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defaultThemeVersion="124226"/>
  <mc:AlternateContent xmlns:mc="http://schemas.openxmlformats.org/markup-compatibility/2006">
    <mc:Choice Requires="x15">
      <x15ac:absPath xmlns:x15ac="http://schemas.microsoft.com/office/spreadsheetml/2010/11/ac" url="https://d.docs.live.net/8ed9c3e3b75d16b0/Documentos/SECRETARIA DE PLANEACION MPAL/INFORME DE ACTIVIDADES/REVISION DEPENDENCIAS/MATRIZ/MONITOREO/10-8-24 NUEVA REVISION/03 JUL- SEC MEDIO AMB GEST RISK/"/>
    </mc:Choice>
  </mc:AlternateContent>
  <xr:revisionPtr revIDLastSave="6" documentId="13_ncr:1_{31F140B7-AA1A-429B-8F72-08392C160C57}" xr6:coauthVersionLast="47" xr6:coauthVersionMax="47" xr10:uidLastSave="{937B1A8A-6D0D-48D3-A5D9-5F0014A3B4AC}"/>
  <bookViews>
    <workbookView xWindow="-108" yWindow="-108" windowWidth="23256" windowHeight="12456" tabRatio="818" firstSheet="1" activeTab="1" xr2:uid="{00000000-000D-0000-FFFF-FFFF00000000}"/>
  </bookViews>
  <sheets>
    <sheet name="Intructivo" sheetId="20" r:id="rId1"/>
    <sheet name="Mapa final" sheetId="1" r:id="rId2"/>
    <sheet name="Dofa" sheetId="21" r:id="rId3"/>
    <sheet name="Matriz Calor Inherente" sheetId="18" r:id="rId4"/>
    <sheet name="Matriz Calor Residual" sheetId="19" r:id="rId5"/>
    <sheet name="Tabla probabilidad" sheetId="12" r:id="rId6"/>
    <sheet name="Tabla Impacto" sheetId="13" r:id="rId7"/>
    <sheet name="Tabla Valoración controles" sheetId="15" r:id="rId8"/>
    <sheet name="Hoja5" sheetId="24" r:id="rId9"/>
    <sheet name="Opciones Tratamiento" sheetId="16" state="hidden" r:id="rId10"/>
    <sheet name="Hoja1" sheetId="11" state="hidden" r:id="rId11"/>
  </sheets>
  <externalReferences>
    <externalReference r:id="rId12"/>
    <externalReference r:id="rId13"/>
  </externalReferences>
  <calcPr calcId="191029"/>
  <pivotCaches>
    <pivotCache cacheId="48"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1" l="1"/>
  <c r="K16" i="1" l="1"/>
  <c r="L16" i="1" s="1"/>
  <c r="K17" i="1"/>
  <c r="L17" i="1" s="1"/>
  <c r="K23" i="1"/>
  <c r="L23" i="1" s="1"/>
  <c r="K29" i="1"/>
  <c r="L29" i="1" s="1"/>
  <c r="K35" i="1"/>
  <c r="L35" i="1" s="1"/>
  <c r="W14" i="1"/>
  <c r="W15" i="1"/>
  <c r="N27" i="1"/>
  <c r="N18" i="1"/>
  <c r="N36" i="1"/>
  <c r="N20" i="1"/>
  <c r="N38" i="1"/>
  <c r="N31" i="1"/>
  <c r="N22" i="1"/>
  <c r="N40" i="1"/>
  <c r="N25" i="1"/>
  <c r="N34" i="1"/>
  <c r="N28" i="1"/>
  <c r="N24" i="1"/>
  <c r="N19" i="1"/>
  <c r="N37" i="1"/>
  <c r="N21" i="1"/>
  <c r="N39" i="1"/>
  <c r="N30" i="1"/>
  <c r="N26" i="1"/>
  <c r="N32" i="1"/>
  <c r="N33" i="1"/>
  <c r="AC16" i="1" l="1"/>
  <c r="AB16" i="1"/>
  <c r="F217" i="13" l="1"/>
  <c r="T14" i="1"/>
  <c r="T15" i="1"/>
  <c r="AE14" i="1" l="1"/>
  <c r="AD14" i="1" l="1"/>
  <c r="AE15" i="1"/>
  <c r="AD15" i="1" s="1"/>
  <c r="W10" i="1" l="1"/>
  <c r="T10" i="1"/>
  <c r="K10" i="1" l="1"/>
  <c r="L10" i="1" s="1"/>
  <c r="F221" i="13" l="1"/>
  <c r="F211" i="13"/>
  <c r="F212" i="13"/>
  <c r="F213" i="13"/>
  <c r="F214" i="13"/>
  <c r="F215" i="13"/>
  <c r="F216" i="13"/>
  <c r="F218" i="13"/>
  <c r="F219" i="13"/>
  <c r="F220" i="13"/>
  <c r="F210" i="13"/>
  <c r="N15" i="1"/>
  <c r="N14" i="1"/>
  <c r="N12" i="1"/>
  <c r="B221" i="13" a="1"/>
  <c r="N13" i="1"/>
  <c r="N11"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W40" i="1" l="1"/>
  <c r="T40" i="1"/>
  <c r="W39" i="1"/>
  <c r="T39" i="1"/>
  <c r="W38" i="1"/>
  <c r="T38" i="1"/>
  <c r="W37" i="1"/>
  <c r="T37" i="1"/>
  <c r="W36" i="1"/>
  <c r="T36" i="1"/>
  <c r="W35" i="1"/>
  <c r="T35" i="1"/>
  <c r="W34" i="1"/>
  <c r="T34" i="1"/>
  <c r="W33" i="1"/>
  <c r="T33" i="1"/>
  <c r="W32" i="1"/>
  <c r="T32" i="1"/>
  <c r="W31" i="1"/>
  <c r="T31" i="1"/>
  <c r="W30" i="1"/>
  <c r="T30" i="1"/>
  <c r="W29" i="1"/>
  <c r="T29" i="1"/>
  <c r="W28" i="1"/>
  <c r="T28" i="1"/>
  <c r="W27" i="1"/>
  <c r="T27" i="1"/>
  <c r="W26" i="1"/>
  <c r="T26" i="1"/>
  <c r="W25" i="1"/>
  <c r="T25" i="1"/>
  <c r="W24" i="1"/>
  <c r="T24" i="1"/>
  <c r="AE24" i="1" s="1"/>
  <c r="W23" i="1"/>
  <c r="AE36" i="1" l="1"/>
  <c r="AE30" i="1"/>
  <c r="AA35" i="1"/>
  <c r="AA29" i="1"/>
  <c r="AA23" i="1"/>
  <c r="AB35" i="1" l="1"/>
  <c r="AC35" i="1"/>
  <c r="AA36" i="1" s="1"/>
  <c r="AB36" i="1" s="1"/>
  <c r="AB29" i="1"/>
  <c r="AC29" i="1"/>
  <c r="AA30" i="1" s="1"/>
  <c r="AC30" i="1" s="1"/>
  <c r="AA31" i="1" s="1"/>
  <c r="AB23" i="1"/>
  <c r="AC23" i="1"/>
  <c r="AA24" i="1" s="1"/>
  <c r="AC24" i="1" s="1"/>
  <c r="AA25" i="1" s="1"/>
  <c r="AB30" i="1" l="1"/>
  <c r="AB24" i="1"/>
  <c r="AC31" i="1"/>
  <c r="AA32" i="1" s="1"/>
  <c r="AB31" i="1"/>
  <c r="AC25" i="1"/>
  <c r="AA26" i="1" s="1"/>
  <c r="AB25" i="1"/>
  <c r="AC36" i="1"/>
  <c r="AA37"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B32" i="1" l="1"/>
  <c r="AC32" i="1"/>
  <c r="AB26" i="1"/>
  <c r="AC26" i="1"/>
  <c r="AA27" i="1" s="1"/>
  <c r="AB37" i="1"/>
  <c r="AC37" i="1"/>
  <c r="AA38" i="1" s="1"/>
  <c r="AB27" i="1" l="1"/>
  <c r="AC27" i="1"/>
  <c r="AA28" i="1" s="1"/>
  <c r="AA33" i="1"/>
  <c r="AA34" i="1"/>
  <c r="AC38" i="1"/>
  <c r="AB38" i="1"/>
  <c r="AB34" i="1" l="1"/>
  <c r="AC34" i="1"/>
  <c r="AB33" i="1"/>
  <c r="AC33" i="1"/>
  <c r="AB28" i="1"/>
  <c r="AC28" i="1"/>
  <c r="AA39" i="1"/>
  <c r="AA40" i="1"/>
  <c r="AA10" i="1"/>
  <c r="AB10" i="1" s="1"/>
  <c r="AB40" i="1" l="1"/>
  <c r="AC40" i="1"/>
  <c r="AB39" i="1"/>
  <c r="AC39" i="1"/>
  <c r="AC10" i="1" l="1"/>
  <c r="AA11" i="1" s="1"/>
  <c r="AB11" i="1" l="1"/>
  <c r="AC11" i="1"/>
  <c r="AE35" i="1"/>
  <c r="AD35" i="1" l="1"/>
  <c r="AE37" i="1"/>
  <c r="AE29" i="1"/>
  <c r="AA14" i="1" l="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AF35" i="1"/>
  <c r="P25" i="19"/>
  <c r="V55" i="19"/>
  <c r="J15" i="19"/>
  <c r="AB15" i="19"/>
  <c r="J35" i="19"/>
  <c r="AB35" i="19"/>
  <c r="J55" i="19"/>
  <c r="AB25" i="19"/>
  <c r="P35" i="19"/>
  <c r="P55" i="19"/>
  <c r="AB45" i="19"/>
  <c r="P15" i="19"/>
  <c r="AD29" i="1"/>
  <c r="AD36"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37" i="1"/>
  <c r="AE38"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D24" i="1"/>
  <c r="AE25" i="1"/>
  <c r="AD30" i="1"/>
  <c r="AE31" i="1"/>
  <c r="AB14" i="1" l="1"/>
  <c r="AF14" i="1" s="1"/>
  <c r="AC14" i="1"/>
  <c r="AA15" i="1" s="1"/>
  <c r="AD38" i="1"/>
  <c r="AE39" i="1"/>
  <c r="K35" i="19"/>
  <c r="AC25" i="19"/>
  <c r="K45" i="19"/>
  <c r="AI45" i="19"/>
  <c r="W45" i="19"/>
  <c r="Q35" i="19"/>
  <c r="K55" i="19"/>
  <c r="AC15" i="19"/>
  <c r="Q15" i="19"/>
  <c r="AC35" i="19"/>
  <c r="AI35" i="19"/>
  <c r="Q55" i="19"/>
  <c r="AI25" i="19"/>
  <c r="AF36"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F30"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F37"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F29"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D25" i="1"/>
  <c r="AE26"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D31" i="1"/>
  <c r="AE32"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F24"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B15" i="1" l="1"/>
  <c r="AF15" i="1" s="1"/>
  <c r="AC15" i="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26" i="1"/>
  <c r="AE27" i="1"/>
  <c r="AD39" i="1"/>
  <c r="AE40" i="1"/>
  <c r="AD40" i="1" s="1"/>
  <c r="AJ43" i="19"/>
  <c r="AD33" i="19"/>
  <c r="X33" i="19"/>
  <c r="X13" i="19"/>
  <c r="AD43" i="19"/>
  <c r="L43" i="19"/>
  <c r="AF25" i="1"/>
  <c r="X23" i="19"/>
  <c r="R33" i="19"/>
  <c r="R43" i="19"/>
  <c r="AD53" i="19"/>
  <c r="AJ13" i="19"/>
  <c r="R23" i="19"/>
  <c r="R13" i="19"/>
  <c r="AJ53" i="19"/>
  <c r="L33" i="19"/>
  <c r="L23" i="19"/>
  <c r="X43" i="19"/>
  <c r="X53" i="19"/>
  <c r="AD13" i="19"/>
  <c r="L53" i="19"/>
  <c r="L13" i="19"/>
  <c r="AD23" i="19"/>
  <c r="AJ33" i="19"/>
  <c r="AJ23" i="19"/>
  <c r="R53" i="19"/>
  <c r="M55" i="19"/>
  <c r="AK15" i="19"/>
  <c r="AE25" i="19"/>
  <c r="AF38"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D32" i="1"/>
  <c r="AE33"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F31"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F32" i="1"/>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F40"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F39"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D27" i="1"/>
  <c r="AE28" i="1"/>
  <c r="AD28"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D33" i="1"/>
  <c r="AE34" i="1"/>
  <c r="AD34"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F26"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F34" i="1"/>
  <c r="AA14" i="19"/>
  <c r="O54" i="19"/>
  <c r="U44" i="19"/>
  <c r="U43" i="19"/>
  <c r="U13" i="19"/>
  <c r="AM53" i="19"/>
  <c r="AA53" i="19"/>
  <c r="AA43" i="19"/>
  <c r="O53" i="19"/>
  <c r="O23" i="19"/>
  <c r="O13" i="19"/>
  <c r="AG43" i="19"/>
  <c r="U33" i="19"/>
  <c r="U23" i="19"/>
  <c r="AM13" i="19"/>
  <c r="AM23" i="19"/>
  <c r="AG13" i="19"/>
  <c r="AA23" i="19"/>
  <c r="AG33" i="19"/>
  <c r="AA33" i="19"/>
  <c r="AM33" i="19"/>
  <c r="AA13" i="19"/>
  <c r="AF28"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33" i="1"/>
  <c r="AF53" i="19"/>
  <c r="T43" i="19"/>
  <c r="Z53" i="19"/>
  <c r="N43" i="19"/>
  <c r="T23" i="19"/>
  <c r="AF43" i="19"/>
  <c r="Z13" i="19"/>
  <c r="Z43" i="19"/>
  <c r="AF23" i="19"/>
  <c r="AL13" i="19"/>
  <c r="Z23" i="19"/>
  <c r="AL43" i="19"/>
  <c r="AF13" i="19"/>
  <c r="AL23" i="19"/>
  <c r="N13" i="19"/>
  <c r="T33" i="19"/>
  <c r="AL53" i="19"/>
  <c r="N23" i="19"/>
  <c r="N53" i="19"/>
  <c r="AF33" i="19"/>
  <c r="N33" i="19"/>
  <c r="AF27"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16" i="1" l="1"/>
  <c r="O16" i="1" s="1"/>
  <c r="N17" i="1"/>
  <c r="O17" i="1" s="1"/>
  <c r="N10" i="1"/>
  <c r="O10" i="1" s="1"/>
  <c r="N23" i="1"/>
  <c r="O23" i="1" s="1"/>
  <c r="N29" i="1"/>
  <c r="O29" i="1" s="1"/>
  <c r="N35" i="1"/>
  <c r="O35" i="1" s="1"/>
  <c r="P35" i="1" l="1"/>
  <c r="Q35" i="1"/>
  <c r="V12" i="18"/>
  <c r="V36" i="18"/>
  <c r="V20" i="18"/>
  <c r="AH28" i="18"/>
  <c r="J28" i="18"/>
  <c r="P20" i="18"/>
  <c r="V44" i="18"/>
  <c r="AB20" i="18"/>
  <c r="AH36" i="18"/>
  <c r="J36" i="18"/>
  <c r="AB36" i="18"/>
  <c r="J12" i="18"/>
  <c r="J44" i="18"/>
  <c r="AB28" i="18"/>
  <c r="AH12" i="18"/>
  <c r="J20" i="18"/>
  <c r="P12" i="18"/>
  <c r="P28" i="18"/>
  <c r="P44" i="18"/>
  <c r="AB12" i="18"/>
  <c r="AB44" i="18"/>
  <c r="P36" i="18"/>
  <c r="V28" i="18"/>
  <c r="AH44" i="18"/>
  <c r="AH20" i="18"/>
  <c r="P29" i="1"/>
  <c r="Q29" i="1"/>
  <c r="Z42" i="18"/>
  <c r="T18" i="18"/>
  <c r="N18" i="18"/>
  <c r="T26" i="18"/>
  <c r="AF34" i="18"/>
  <c r="N42" i="18"/>
  <c r="Z18" i="18"/>
  <c r="N10" i="18"/>
  <c r="AF26" i="18"/>
  <c r="Z10" i="18"/>
  <c r="AL34" i="18"/>
  <c r="N26" i="18"/>
  <c r="AL18" i="18"/>
  <c r="AL42" i="18"/>
  <c r="AF42" i="18"/>
  <c r="AF18" i="18"/>
  <c r="Z26" i="18"/>
  <c r="AF10" i="18"/>
  <c r="N34" i="18"/>
  <c r="T10" i="18"/>
  <c r="T42" i="18"/>
  <c r="Z34" i="18"/>
  <c r="T34" i="18"/>
  <c r="AL10" i="18"/>
  <c r="AL26" i="18"/>
  <c r="L16" i="18"/>
  <c r="AJ16" i="18"/>
  <c r="R8" i="18"/>
  <c r="R32" i="18"/>
  <c r="AD8" i="18"/>
  <c r="X40" i="18"/>
  <c r="AJ24" i="18"/>
  <c r="AJ32" i="18"/>
  <c r="L32" i="18"/>
  <c r="X8" i="18"/>
  <c r="R40" i="18"/>
  <c r="L40" i="18"/>
  <c r="X16" i="18"/>
  <c r="AJ40" i="18"/>
  <c r="R16" i="18"/>
  <c r="AD40" i="18"/>
  <c r="AD32" i="18"/>
  <c r="X32" i="18"/>
  <c r="AD24" i="18"/>
  <c r="L24" i="18"/>
  <c r="X24" i="18"/>
  <c r="AD16" i="18"/>
  <c r="AJ8" i="18"/>
  <c r="R24" i="18"/>
  <c r="L8" i="18"/>
  <c r="P23" i="1"/>
  <c r="AE23" i="1" s="1"/>
  <c r="AD23" i="1" s="1"/>
  <c r="Q23" i="1"/>
  <c r="R18" i="18"/>
  <c r="AJ10" i="18"/>
  <c r="L18" i="18"/>
  <c r="AJ34" i="18"/>
  <c r="R26" i="18"/>
  <c r="AJ42" i="18"/>
  <c r="R10" i="18"/>
  <c r="AD34" i="18"/>
  <c r="R34" i="18"/>
  <c r="L34" i="18"/>
  <c r="AJ18" i="18"/>
  <c r="X42" i="18"/>
  <c r="R42" i="18"/>
  <c r="X26" i="18"/>
  <c r="AD26" i="18"/>
  <c r="AJ26" i="18"/>
  <c r="X34" i="18"/>
  <c r="L10" i="18"/>
  <c r="X10" i="18"/>
  <c r="AD18" i="18"/>
  <c r="AD10" i="18"/>
  <c r="X18" i="18"/>
  <c r="L42" i="18"/>
  <c r="L26" i="18"/>
  <c r="AD42" i="18"/>
  <c r="P16" i="18"/>
  <c r="P40" i="18"/>
  <c r="V32" i="18"/>
  <c r="V8" i="18"/>
  <c r="AH24" i="18"/>
  <c r="AH8" i="18"/>
  <c r="P24" i="18"/>
  <c r="J8" i="18"/>
  <c r="AB32" i="18"/>
  <c r="AB8" i="18"/>
  <c r="AB40" i="18"/>
  <c r="J24" i="18"/>
  <c r="J32" i="18"/>
  <c r="P8" i="18"/>
  <c r="AH32" i="18"/>
  <c r="AH16" i="18"/>
  <c r="V16" i="18"/>
  <c r="AH40" i="18"/>
  <c r="AB16" i="18"/>
  <c r="V40" i="18"/>
  <c r="AB24" i="18"/>
  <c r="J16" i="18"/>
  <c r="P32" i="18"/>
  <c r="V24" i="18"/>
  <c r="J40" i="18"/>
  <c r="J30" i="18"/>
  <c r="P38" i="18"/>
  <c r="AB6" i="18"/>
  <c r="J38" i="18"/>
  <c r="AH6" i="18"/>
  <c r="V6" i="18"/>
  <c r="J14" i="18"/>
  <c r="J6" i="18"/>
  <c r="P30" i="18"/>
  <c r="AH22" i="18"/>
  <c r="P6" i="18"/>
  <c r="AB38" i="18"/>
  <c r="P22" i="18"/>
  <c r="AB30" i="18"/>
  <c r="P10" i="1"/>
  <c r="AE10" i="1" s="1"/>
  <c r="AH38" i="18"/>
  <c r="AH30" i="18"/>
  <c r="J22" i="18"/>
  <c r="V38" i="18"/>
  <c r="Q10" i="1"/>
  <c r="P14" i="18"/>
  <c r="V22" i="18"/>
  <c r="V14" i="18"/>
  <c r="AB22" i="18"/>
  <c r="V30" i="18"/>
  <c r="AB14" i="18"/>
  <c r="AH14" i="18"/>
  <c r="P17" i="1"/>
  <c r="Q17" i="1"/>
  <c r="AB10" i="18"/>
  <c r="J18" i="18"/>
  <c r="P18" i="18"/>
  <c r="AB26" i="18"/>
  <c r="J26" i="18"/>
  <c r="AH10" i="18"/>
  <c r="AB42" i="18"/>
  <c r="V18" i="18"/>
  <c r="AB34" i="18"/>
  <c r="V10" i="18"/>
  <c r="AH26" i="18"/>
  <c r="V42" i="18"/>
  <c r="P26" i="18"/>
  <c r="AB18" i="18"/>
  <c r="J42" i="18"/>
  <c r="P34" i="18"/>
  <c r="P42" i="18"/>
  <c r="AH34" i="18"/>
  <c r="P10" i="18"/>
  <c r="V34" i="18"/>
  <c r="V26" i="18"/>
  <c r="AH42" i="18"/>
  <c r="AH18" i="18"/>
  <c r="J34" i="18"/>
  <c r="J10" i="18"/>
  <c r="L30" i="18"/>
  <c r="R38" i="18"/>
  <c r="AJ14" i="18"/>
  <c r="R14" i="18"/>
  <c r="L6" i="18"/>
  <c r="AD30" i="18"/>
  <c r="AJ38" i="18"/>
  <c r="AJ22" i="18"/>
  <c r="X30" i="18"/>
  <c r="AJ6" i="18"/>
  <c r="L38" i="18"/>
  <c r="AD14" i="18"/>
  <c r="L14" i="18"/>
  <c r="AD6" i="18"/>
  <c r="X38" i="18"/>
  <c r="L22" i="18"/>
  <c r="R6" i="18"/>
  <c r="X14" i="18"/>
  <c r="X22" i="18"/>
  <c r="X6" i="18"/>
  <c r="AJ30" i="18"/>
  <c r="R22" i="18"/>
  <c r="R30" i="18"/>
  <c r="AD38" i="18"/>
  <c r="AD22" i="18"/>
  <c r="AL32" i="18"/>
  <c r="N40" i="18"/>
  <c r="AF16" i="18"/>
  <c r="AL40" i="18"/>
  <c r="T8" i="18"/>
  <c r="T40" i="18"/>
  <c r="AF8" i="18"/>
  <c r="Z16" i="18"/>
  <c r="N8" i="18"/>
  <c r="AF32" i="18"/>
  <c r="AF40" i="18"/>
  <c r="AF24" i="18"/>
  <c r="AL8" i="18"/>
  <c r="AL24" i="18"/>
  <c r="N32" i="18"/>
  <c r="Z40" i="18"/>
  <c r="T24" i="18"/>
  <c r="Z8" i="18"/>
  <c r="Z32" i="18"/>
  <c r="N16" i="18"/>
  <c r="AL16" i="18"/>
  <c r="N24" i="18"/>
  <c r="T32" i="18"/>
  <c r="Z24" i="18"/>
  <c r="T16" i="18"/>
  <c r="P16" i="1"/>
  <c r="AE16" i="1" s="1"/>
  <c r="Q16" i="1"/>
  <c r="AL6" i="18"/>
  <c r="Z30" i="18"/>
  <c r="N30" i="18"/>
  <c r="Z22" i="18"/>
  <c r="Z6" i="18"/>
  <c r="AL38" i="18"/>
  <c r="N14" i="18"/>
  <c r="T14" i="18"/>
  <c r="AL14" i="18"/>
  <c r="N22" i="18"/>
  <c r="T22" i="18"/>
  <c r="AF6" i="18"/>
  <c r="AF38" i="18"/>
  <c r="Z38" i="18"/>
  <c r="T38" i="18"/>
  <c r="N6" i="18"/>
  <c r="AL22" i="18"/>
  <c r="T6" i="18"/>
  <c r="AF22" i="18"/>
  <c r="AL30" i="18"/>
  <c r="T30" i="18"/>
  <c r="N38" i="18"/>
  <c r="AF30" i="18"/>
  <c r="Z14" i="18"/>
  <c r="AF14" i="18"/>
  <c r="AH23" i="19" l="1"/>
  <c r="V23" i="19"/>
  <c r="J33" i="19"/>
  <c r="P23" i="19"/>
  <c r="J43" i="19"/>
  <c r="J23" i="19"/>
  <c r="J53" i="19"/>
  <c r="V53" i="19"/>
  <c r="AB43" i="19"/>
  <c r="AH43" i="19"/>
  <c r="AH33" i="19"/>
  <c r="J13" i="19"/>
  <c r="P33" i="19"/>
  <c r="P43" i="19"/>
  <c r="AH13" i="19"/>
  <c r="AB23" i="19"/>
  <c r="V43" i="19"/>
  <c r="AB53" i="19"/>
  <c r="P53" i="19"/>
  <c r="AH53" i="19"/>
  <c r="V33" i="19"/>
  <c r="AF23" i="1"/>
  <c r="V13" i="19"/>
  <c r="AB33" i="19"/>
  <c r="P13" i="19"/>
  <c r="AB13" i="19"/>
  <c r="AD16" i="1"/>
  <c r="AF16" i="1" s="1"/>
  <c r="AD10" i="1"/>
  <c r="AF10" i="1" s="1"/>
  <c r="AE11" i="1"/>
  <c r="AB48" i="19" l="1"/>
  <c r="P48" i="19"/>
  <c r="P38" i="19"/>
  <c r="AH28" i="19"/>
  <c r="J8" i="19"/>
  <c r="P28" i="19"/>
  <c r="V28" i="19"/>
  <c r="V48" i="19"/>
  <c r="J28" i="19"/>
  <c r="V18" i="19"/>
  <c r="AB28" i="19"/>
  <c r="AH48" i="19"/>
  <c r="AB8" i="19"/>
  <c r="P18" i="19"/>
  <c r="J48" i="19"/>
  <c r="J38" i="19"/>
  <c r="AH18" i="19"/>
  <c r="V8" i="19"/>
  <c r="AH8" i="19"/>
  <c r="J18" i="19"/>
  <c r="AB18" i="19"/>
  <c r="AH38" i="19"/>
  <c r="P8" i="19"/>
  <c r="AB38" i="19"/>
  <c r="V38" i="19"/>
  <c r="K8" i="19"/>
  <c r="AI18" i="19"/>
  <c r="Q18" i="19"/>
  <c r="AC18" i="19"/>
  <c r="W18" i="19"/>
  <c r="Q48" i="19"/>
  <c r="Q28" i="19"/>
  <c r="W28" i="19"/>
  <c r="W8" i="19"/>
  <c r="K48" i="19"/>
  <c r="K38" i="19"/>
  <c r="K28" i="19"/>
  <c r="AI28" i="19"/>
  <c r="W38" i="19"/>
  <c r="Q38" i="19"/>
  <c r="K18" i="19"/>
  <c r="W48" i="19"/>
  <c r="AC28" i="19"/>
  <c r="AC8" i="19"/>
  <c r="AI8" i="19"/>
  <c r="AC38" i="19"/>
  <c r="AI48" i="19"/>
  <c r="Q8" i="19"/>
  <c r="AC48" i="19"/>
  <c r="AI38" i="19"/>
  <c r="AH7" i="19"/>
  <c r="AB7" i="19"/>
  <c r="J37" i="19"/>
  <c r="J17" i="19"/>
  <c r="AB37" i="19"/>
  <c r="V37" i="19"/>
  <c r="AB17" i="19"/>
  <c r="P37" i="19"/>
  <c r="V17" i="19"/>
  <c r="P47" i="19"/>
  <c r="AB47" i="19"/>
  <c r="J47" i="19"/>
  <c r="P27" i="19"/>
  <c r="V7" i="19"/>
  <c r="AB27" i="19"/>
  <c r="J27" i="19"/>
  <c r="P17" i="19"/>
  <c r="AH47" i="19"/>
  <c r="P7" i="19"/>
  <c r="V27" i="19"/>
  <c r="V47" i="19"/>
  <c r="J7" i="19"/>
  <c r="AH27" i="19"/>
  <c r="AH17" i="19"/>
  <c r="AH37" i="19"/>
  <c r="AD11" i="1"/>
  <c r="V16" i="19"/>
  <c r="J26" i="19"/>
  <c r="J6" i="19"/>
  <c r="AB46" i="19"/>
  <c r="AH16" i="19"/>
  <c r="P26" i="19"/>
  <c r="J46" i="19"/>
  <c r="AH46" i="19"/>
  <c r="AH6" i="19"/>
  <c r="J36" i="19"/>
  <c r="AH36" i="19"/>
  <c r="V6" i="19"/>
  <c r="V46" i="19"/>
  <c r="P6" i="19"/>
  <c r="V26" i="19"/>
  <c r="AH26" i="19"/>
  <c r="P16" i="19"/>
  <c r="AB6" i="19"/>
  <c r="J16" i="19"/>
  <c r="P36" i="19"/>
  <c r="AB16" i="19"/>
  <c r="AB26" i="19"/>
  <c r="AB36" i="19"/>
  <c r="P46" i="19"/>
  <c r="V36" i="19"/>
  <c r="AI6" i="19" l="1"/>
  <c r="AF11" i="1"/>
  <c r="L7" i="19"/>
  <c r="K47" i="19"/>
  <c r="AI37" i="19"/>
  <c r="W7" i="19"/>
  <c r="AI27" i="19"/>
  <c r="AC37" i="19"/>
  <c r="K7" i="19"/>
  <c r="K17" i="19"/>
  <c r="AI17" i="19"/>
  <c r="AC17" i="19"/>
  <c r="AC27" i="19"/>
  <c r="K27" i="19"/>
  <c r="Q27" i="19"/>
  <c r="AI7" i="19"/>
  <c r="Q7" i="19"/>
  <c r="AC7" i="19"/>
  <c r="AC47" i="19"/>
  <c r="W27" i="19"/>
  <c r="AI47" i="19"/>
  <c r="Q37" i="19"/>
  <c r="W26" i="19"/>
  <c r="Q17" i="19"/>
  <c r="K37" i="19"/>
  <c r="Q47" i="19"/>
  <c r="W17" i="19"/>
  <c r="W47" i="19"/>
  <c r="W37" i="19"/>
  <c r="K16" i="19"/>
  <c r="AC6" i="19"/>
  <c r="Q26" i="19"/>
  <c r="W36" i="19"/>
  <c r="Q46" i="19"/>
  <c r="K36" i="19"/>
  <c r="W6" i="19"/>
  <c r="AC16" i="19"/>
  <c r="AC26" i="19"/>
  <c r="AI36" i="19"/>
  <c r="Q6" i="19"/>
  <c r="AI26" i="19"/>
  <c r="AC46" i="19"/>
  <c r="W16" i="19"/>
  <c r="AI46" i="19"/>
  <c r="W46" i="19"/>
  <c r="AC36" i="19"/>
  <c r="K46" i="19"/>
  <c r="K26" i="19"/>
  <c r="Q36" i="19"/>
  <c r="AI16" i="19"/>
  <c r="Q16" i="19"/>
  <c r="K6" i="19"/>
  <c r="X36" i="19" l="1"/>
  <c r="AD27" i="19"/>
  <c r="R16" i="19"/>
  <c r="L46" i="19"/>
  <c r="AJ6" i="19"/>
  <c r="AD6" i="19"/>
  <c r="X26" i="19"/>
  <c r="L16" i="19"/>
  <c r="R26" i="19"/>
  <c r="AD46" i="19"/>
  <c r="AD16" i="19"/>
  <c r="R36" i="19"/>
  <c r="L26" i="19"/>
  <c r="X6" i="19"/>
  <c r="AD36" i="19"/>
  <c r="AJ16" i="19"/>
  <c r="AJ46" i="19"/>
  <c r="L36" i="19"/>
  <c r="R46" i="19"/>
  <c r="R6" i="19"/>
  <c r="L6" i="19"/>
  <c r="X16" i="19"/>
  <c r="X46" i="19"/>
  <c r="AJ26" i="19"/>
  <c r="AD26" i="19"/>
  <c r="AJ36" i="19"/>
  <c r="AE16" i="19"/>
  <c r="AK26" i="19"/>
  <c r="AK6" i="19"/>
  <c r="AK46" i="19"/>
  <c r="M6" i="19"/>
  <c r="S16" i="19"/>
  <c r="Y36" i="19"/>
  <c r="M46" i="19"/>
  <c r="Y26" i="19"/>
  <c r="AK16" i="19"/>
  <c r="Y6" i="19"/>
  <c r="S6" i="19"/>
  <c r="S36" i="19"/>
  <c r="AE46" i="19"/>
  <c r="M26" i="19"/>
  <c r="AK36" i="19"/>
  <c r="AE36" i="19"/>
  <c r="M16" i="19"/>
  <c r="Y46" i="19"/>
  <c r="M36" i="19"/>
  <c r="S46" i="19"/>
  <c r="S26" i="19"/>
  <c r="Y16" i="19"/>
  <c r="AE26" i="19"/>
  <c r="AE6" i="19"/>
  <c r="AJ37" i="19"/>
  <c r="R7" i="19"/>
  <c r="L17" i="19"/>
  <c r="X47" i="19"/>
  <c r="X7" i="19"/>
  <c r="R17" i="19"/>
  <c r="L27" i="19"/>
  <c r="AJ7" i="19"/>
  <c r="X17" i="19"/>
  <c r="X27" i="19"/>
  <c r="AJ17" i="19"/>
  <c r="R47" i="19"/>
  <c r="L37" i="19"/>
  <c r="AD37" i="19"/>
  <c r="L47" i="19"/>
  <c r="AD47" i="19"/>
  <c r="AJ27" i="19"/>
  <c r="X37" i="19"/>
  <c r="R37" i="19"/>
  <c r="AD17" i="19"/>
  <c r="AD7" i="19"/>
  <c r="AJ47" i="19"/>
  <c r="R27" i="19"/>
  <c r="S7" i="19"/>
  <c r="M47" i="19"/>
  <c r="S17" i="19"/>
  <c r="M17" i="19"/>
  <c r="AE47" i="19"/>
  <c r="AK7" i="19"/>
  <c r="AE17" i="19"/>
  <c r="Y17" i="19"/>
  <c r="AK47" i="19"/>
  <c r="M37" i="19"/>
  <c r="AK17" i="19"/>
  <c r="AK27" i="19"/>
  <c r="AE7" i="19"/>
  <c r="AK37" i="19"/>
  <c r="Y47" i="19"/>
  <c r="S27" i="19"/>
  <c r="Y7" i="19"/>
  <c r="M27" i="19"/>
  <c r="S37" i="19"/>
  <c r="Y37" i="19"/>
  <c r="S47" i="19"/>
  <c r="AE27" i="19"/>
  <c r="AE37" i="19"/>
  <c r="M7" i="19"/>
  <c r="Y2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author>
    <author>usuario</author>
    <author>CARLOS HERNANDO DIAZ BOTERO</author>
  </authors>
  <commentList>
    <comment ref="J10" authorId="0" shapeId="0" xr:uid="{00000000-0006-0000-0100-000001000000}">
      <text>
        <r>
          <rPr>
            <b/>
            <sz val="9"/>
            <color indexed="81"/>
            <rFont val="Tahoma"/>
            <family val="2"/>
          </rPr>
          <t>MONI:</t>
        </r>
        <r>
          <rPr>
            <sz val="9"/>
            <color indexed="81"/>
            <rFont val="Tahoma"/>
            <family val="2"/>
          </rPr>
          <t xml:space="preserve">
Se cuenta el promedio de contratos sin adiciones, teniendo en cuenta que mensualmente se revisa las necesidades para cumpliento de metas</t>
        </r>
      </text>
    </comment>
    <comment ref="S10" authorId="1" shapeId="0" xr:uid="{7E670801-4EE7-45FE-BC5D-2498B733DBD4}">
      <text>
        <r>
          <rPr>
            <b/>
            <sz val="9"/>
            <color indexed="81"/>
            <rFont val="Tahoma"/>
            <family val="2"/>
          </rPr>
          <t>usuario:</t>
        </r>
        <r>
          <rPr>
            <sz val="9"/>
            <color indexed="81"/>
            <rFont val="Tahoma"/>
            <family val="2"/>
          </rPr>
          <t xml:space="preserve">
actualizar las politicas operacional de la caracterizacion incluyendo este control </t>
        </r>
      </text>
    </comment>
    <comment ref="U10" authorId="2" shapeId="0" xr:uid="{691FB558-D93B-434A-A1EB-05342B7AC862}">
      <text>
        <r>
          <rPr>
            <sz val="9"/>
            <color indexed="81"/>
            <rFont val="Tahoma"/>
            <family val="2"/>
          </rPr>
          <t xml:space="preserve">el control es detectuvo porque esta asocuado al seguimiento de cumplimiento de las metas a través de la apicación de indicador de cada meta
</t>
        </r>
      </text>
    </comment>
    <comment ref="J16" authorId="0" shapeId="0" xr:uid="{00000000-0006-0000-0100-000003000000}">
      <text>
        <r>
          <rPr>
            <b/>
            <sz val="9"/>
            <color indexed="81"/>
            <rFont val="Tahoma"/>
            <family val="2"/>
          </rPr>
          <t>MONI:</t>
        </r>
        <r>
          <rPr>
            <sz val="9"/>
            <color indexed="81"/>
            <rFont val="Tahoma"/>
            <family val="2"/>
          </rPr>
          <t xml:space="preserve">
Se da este valor porque porque diariamente se debe impactar a la comunicad con recursos tecnológicos</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<sst xmlns="http://schemas.openxmlformats.org/spreadsheetml/2006/main" count="553" uniqueCount="369">
  <si>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</si>
  <si>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</si>
  <si>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</si>
  <si>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</si>
  <si>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</si>
  <si>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</si>
  <si>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</si>
  <si>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</si>
  <si>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</si>
  <si>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</si>
  <si>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</si>
  <si>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</si>
  <si>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</si>
  <si>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</si>
  <si>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</si>
  <si>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</si>
  <si>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</si>
  <si>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</si>
  <si>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</si>
  <si>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</si>
  <si>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</si>
  <si>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</si>
  <si>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</si>
  <si>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</si>
  <si>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</si>
  <si>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</si>
  <si>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</si>
  <si>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</si>
  <si>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</si>
  <si>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</si>
  <si>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</si>
  <si>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</si>
  <si>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</si>
  <si>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</si>
  <si>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</si>
  <si>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</si>
  <si>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</si>
  <si>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</si>
  <si>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</si>
  <si>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</si>
  <si>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</si>
  <si>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</si>
  <si>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</si>
  <si>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</si>
  <si>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</si>
  <si>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</si>
  <si>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</si>
  <si>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</si>
  <si>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</si>
  <si>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</si>
  <si>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</si>
  <si>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</si>
  <si>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</si>
  <si>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</si>
  <si>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</si>
  <si>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</si>
  <si>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</si>
  <si>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</si>
  <si>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</si>
  <si>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</si>
  <si>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</si>
  <si>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</si>
  <si>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</si>
  <si>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</si>
  <si>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</si>
  <si>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</si>
  <si>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</si>
  <si>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</si>
  <si>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</si>
  <si>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</si>
  <si>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</si>
  <si>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</si>
  <si>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</si>
  <si>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</si>
  <si>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</si>
  <si>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</si>
  <si>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</si>
  <si>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</si>
  <si>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</si>
  <si>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</si>
  <si>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</si>
  <si>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</si>
  <si>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</si>
  <si>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</si>
  <si>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</si>
  <si>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</si>
  <si>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</si>
  <si>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</si>
  <si>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</si>
  <si>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</si>
  <si>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</si>
  <si>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</si>
  <si>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</si>
  <si>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</si>
  <si>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</si>
  <si>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</si>
  <si>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</si>
  <si>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</si>
  <si>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</si>
  <si>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</si>
  <si>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</si>
  <si>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</si>
  <si>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</si>
  <si>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</si>
  <si>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</si>
  <si>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</si>
  <si>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</si>
  <si>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</si>
  <si>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</si>
  <si>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</si>
  <si>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</si>
  <si>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</si>
  <si>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</si>
  <si>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</si>
  <si>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</si>
  <si>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</si>
  <si>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</si>
  <si>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</si>
  <si>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</si>
  <si>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</si>
  <si>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</si>
  <si>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</si>
  <si>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</si>
  <si>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</si>
  <si>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</si>
  <si>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</si>
  <si>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</si>
  <si>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</si>
  <si>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</si>
  <si>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</si>
  <si>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</si>
  <si>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</si>
  <si>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</si>
  <si>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</si>
  <si>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</si>
  <si>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</si>
  <si>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</si>
  <si>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</si>
  <si>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</si>
  <si>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</si>
  <si>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</si>
  <si>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</si>
  <si>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</si>
  <si>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</si>
  <si>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</si>
  <si>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</si>
  <si>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</si>
  <si>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</si>
  <si>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</si>
  <si>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</si>
  <si>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</si>
  <si>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</si>
  <si>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</si>
  <si>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</si>
  <si>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</si>
  <si>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</si>
  <si>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</si>
  <si>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</si>
  <si>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</si>
  <si>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</si>
  <si>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</si>
  <si>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</si>
  <si>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</si>
  <si>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</si>
  <si>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</si>
  <si>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</si>
  <si>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</si>
  <si>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</si>
  <si>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</si>
  <si>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</si>
  <si>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</si>
  <si>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</si>
  <si>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</si>
  <si>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</si>
  <si>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</si>
  <si>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</si>
  <si>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</si>
  <si>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</si>
  <si>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</si>
  <si>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</si>
  <si>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</si>
  <si>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</si>
  <si>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</si>
  <si>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</si>
  <si>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</si>
  <si>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</si>
  <si>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</si>
  <si>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</si>
  <si>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</si>
  <si>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</si>
  <si>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</si>
  <si>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</si>
  <si>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</si>
  <si>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</si>
  <si>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</si>
  <si>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</si>
  <si>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</si>
  <si>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</si>
  <si>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</si>
  <si>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</si>
  <si>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</si>
  <si>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</si>
  <si>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</si>
  <si>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</si>
  <si>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</si>
  <si>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</si>
  <si>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</si>
  <si>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</si>
  <si>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</si>
  <si>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</si>
  <si>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</si>
  <si>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</si>
  <si>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</si>
  <si>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</si>
  <si>
    <t>GESTIÓN AMBIENTAL</t>
  </si>
  <si>
    <t>GESTIONAR LA CONSERVACIÓN, RESTAURACIÓN Y APROVECHAMIENTO SOSTENIBLE DE LOS RECURSOS NATURALES ASÌ
COMO EJECUTAR ACCIONES DE CONOCIMIENTO, REDUCCIÓN DEL RIESGO Y MANEJO DEL DESASTRE DE MANERA
PERMANENTE, MEDIANTE LA IMPLEMENTACIÓN DE PLANES, PROGRAMAS Y PROYECTOS EN PROCURA DE ALCANZAR
CALIDAD AMBIENTAL PARA EL DESARROLLO HUMANO INTEGRAL EN EL MUNICIPIO DE IBAGUÉ.</t>
  </si>
  <si>
    <t>INICIA CON LA PLANEACIÓN DEL PROCESO, CONTINUANDO CON LAS ACTIVIDADES DE SOCIALIZACIÓN, SENSIBILIZACIÓN E
IMPLEMENTACIÓN DE LA POLÍTICA PÚBLICA AMBIENTAL, PLAN PARA LA GESTION DEL RIESGO, Y DEMÁS ESTRATEGIAS
AMBIENTALES, VERIFICANDO EL CUMPLIMIENTO DE LA NORMATIVA AMBIENTAL Y FINALIZA CON EL SEGUIMIENTO Y
EVALUACIÓN DEL PROCESO</t>
  </si>
  <si>
    <t>Secretaria de Ambiente y gestión el riesgo</t>
  </si>
  <si>
    <t>Codigo: FOR-13-PRO-SIG-04</t>
  </si>
  <si>
    <t>Versión: 04</t>
  </si>
  <si>
    <t>FORMATO: MATRIZ DOFA</t>
  </si>
  <si>
    <t>Fecha: 2020/06/26</t>
  </si>
  <si>
    <t>Pagina: 5 de 15</t>
  </si>
  <si>
    <t xml:space="preserve">PROCESO: GESTION AMBIENTAL </t>
  </si>
  <si>
    <t>OBJETIVO: GESTIONAR LA CONSERVACION, RESTAURACION Y APROVECHAMIENTO SOSTENIBLE DE LOS RECURSOS NATURALES ASI COMO EJECUTAR ACCIONES DE CONOCIMIENTO, REDUCCION DEL RIESGO Y MANEJO DE DESASTRES DE MANERA PERMANENTE, MEDIANTE LA IMPLEMENTACION DE PLANES, PROGRAMAS Y PROYECTOS EN PROCURA DE ALCANZAR CALIDAD AMBIENTAL Y EJERCER EL CONTROL Y VIGILANCIA EN LOS CASOS QUE APLIQUE, PARA EL DESARROLLO HUMANO INTEGRAL EN EL MUNICIPIO DE IBAGUE.</t>
  </si>
  <si>
    <t xml:space="preserve">
MATRIZ DOFA
IDENTIFICACION DE FACTORES 
Y
DEFINICION DE ESTRATEGIAS
</t>
  </si>
  <si>
    <t>FACTORES INTERNOS</t>
  </si>
  <si>
    <t>NEGATIVOS</t>
  </si>
  <si>
    <t>POSITIVOS</t>
  </si>
  <si>
    <t>DEBILIDADES (D)</t>
  </si>
  <si>
    <t>FORTALEZAS (F)</t>
  </si>
  <si>
    <t>1) Falta de continuidad en la ejecución de  planes y  políticas ambientales.</t>
  </si>
  <si>
    <t>1) Personal de planta comprometido con el logro de los objetivos propuestos del proceso</t>
  </si>
  <si>
    <t>2) Seguimiento y control deficiente al procedimiento de entrega o suministro de materiales o insumos y/o ayudas humanitarias.</t>
  </si>
  <si>
    <t xml:space="preserve">2) Implementacion de la politica publica ambiental de acuerdo a lo establecido en la normatividad vigente con la formulacion y establecimiento de proyectos a corto,mediano y largo plazo en un periodo de 15 años. </t>
  </si>
  <si>
    <t>3) Baja capacitacion del personal en el uso de herramientas tecnologicas.</t>
  </si>
  <si>
    <t>Baja capacitacion del personal en el uso de herra,mientas tecnologicas.</t>
  </si>
  <si>
    <t xml:space="preserve">3) Implementacion de la norma de calidad  Iso 9001 que garantiza la articulacion entre los diferentes procesos </t>
  </si>
  <si>
    <t>4) Concentracion del poder en una sola persona.</t>
  </si>
  <si>
    <t>4) Establecimiento de convenios de Cooperación  del orden local, nacional e internacional  para multiplicar los recursos exitentes</t>
  </si>
  <si>
    <t>5) Escasos recursos financieros</t>
  </si>
  <si>
    <t>6) Poca comunicación interna  entre dependencias</t>
  </si>
  <si>
    <t xml:space="preserve">  7) Escaso  personal profesional calificado y especializado de planta en la dependencia</t>
  </si>
  <si>
    <t>7) Codigo de integridad y buen gobierno alcaldía de Ibagué</t>
  </si>
  <si>
    <t>8) Dependencia de otros procesos para la realizacion de trámites contractuales</t>
  </si>
  <si>
    <t>8)Realizacion de visitas tecnicas con profesionales idoneos que generan los correspondientes informes  para aprobacion o desaprobacion de entrega de materiales e insumos y /o ayudas humanitarias For-11-Pro-Gam-02 -informe , For 05-Pro-Gam-02- Informe de visita tecnica ambiental  y acta de entrega de materiales e insumos</t>
  </si>
  <si>
    <t>9) Insuficiencia de recursos economicos, fisicos y humanos    asignados a los proyectos y programas desarrollados</t>
  </si>
  <si>
    <t>9) Formato de entrega de ayudas humanitarias For-18-Pro-Gam-03 ENTREGA DE AYUDAS HUMANITARIAS que se rige por la Ley 1523 de 2012 de la UNGRD donde se establecen los lineamientos para la entrega de ayudas humanitarias .</t>
  </si>
  <si>
    <t>10) La secretaria de Ambiente y gestion del riesgo para la realizacion de los procesos cuenta con guias, instructivos documentados que sirven de soporte.</t>
  </si>
  <si>
    <t xml:space="preserve">11)  Prestamo de equipos tecnológicos para laborar en casa </t>
  </si>
  <si>
    <t xml:space="preserve">12) Disponibilidad de transporte vehicular. </t>
  </si>
  <si>
    <t>13) Protocolo de Bioseguridad para la prevencion de la trasmision del covid-19, de la Alcaldia de Ibague.</t>
  </si>
  <si>
    <t>FACTORES EXTERNOS</t>
  </si>
  <si>
    <t>OPORTUNIDADES (O)</t>
  </si>
  <si>
    <t xml:space="preserve">1) Gestionar recursos del orden nacional  e internacional  a través de proyectos </t>
  </si>
  <si>
    <t xml:space="preserve">D7,O7   Hacer seguimiento al proceso de reorganización institucional para que se incluyan los perfiles de profesionales idóneos para el desempeño de las actividades propias del  proceso </t>
  </si>
  <si>
    <t>F1O7 - Fortalecimiento de la planta de personal asignados para desarrollar actividades asociadas a las tematicas del SIGAMI.</t>
  </si>
  <si>
    <t>2) Constante innovación tecnológica. Acceso a páginas web de entidades ambientales  (MIN AMBIENTE,  PARQUES NACIONALES NATURALES, CORPORACIONES AUTONOMAS REGIONALES, etc.), facilitando la consulta de  Temas, normas y disposiciones  que regulan la dimension ambiental.</t>
  </si>
  <si>
    <t>D1,O3 Armonizar los proyectos y programas de los entes territoriales con las politicas y planes ambientales tanto del orden nacional como regional</t>
  </si>
  <si>
    <t xml:space="preserve">3) Armonización de las políticas Nacionales con los programas y proyectos implementados en los entes territoriales </t>
  </si>
  <si>
    <t xml:space="preserve">D6,O8 Implementar normas de calidad como la ISO 90001 que permita mejorar la interrelacion y la comunicación interna entre procesos </t>
  </si>
  <si>
    <t xml:space="preserve">F3O8 Contribuir al mantenimiento de la certificacion de la norma de calidad ISO 9001 </t>
  </si>
  <si>
    <t>4) Implementacion del Plan Municipal de gestion del riesgo</t>
  </si>
  <si>
    <t>D9 ,O1 Gestionar por parte de la alta dirección recursos a nivel nacional e internacional proyectos de preservación, conservación y protección del  medio ambiente, y gestion del riesgo</t>
  </si>
  <si>
    <t xml:space="preserve">F4O1  Implementacion de proyectos ambientales y de gestion del riesgo con recursos obtenidos en convenios del orden nacional, regional e internacional </t>
  </si>
  <si>
    <t xml:space="preserve">5) Pagina web de la administracion municipal que permite al ciudadano realizar consultas y tramites como tambien divulgacion radial , escrita, y desplazamiento a comunas y corregimientos para realizar jornadas de oferta institucional. 
</t>
  </si>
  <si>
    <t>D3,O12 Solicitar  a Talento Humano capacitacion en herramientas ofimaticas y tecnologicas para servidores publicos.</t>
  </si>
  <si>
    <t>F5O7  Creación de la secretaria de medio ambiente y ampliacion de la planta de personal competente  para llevar a cabo los procesos de forma independiente , generando y administrando recursos propios .</t>
  </si>
  <si>
    <t xml:space="preserve">D3,O2 - Implementación de sistemas informáticos y aplicativos que permitan realizar zonificación y mapificación de programas, proyectos,medición de  indicadores ambientales y de gestion del riesgo </t>
  </si>
  <si>
    <t>F6,O5,O2  Hacer uso de las herramientas tecnologicas   disponibles en la entidad para desarrollar tareas asignadas a la secretaria.</t>
  </si>
  <si>
    <t>7) Implementacion de la reorganizacion administrativa adelantada por la Alcaldia Municipal.</t>
  </si>
  <si>
    <t>D4,O10.- Interiorizar en los servidores publicos de la secretaria los principios  y valores promulgados en el codigo de integridad semestralmente</t>
  </si>
  <si>
    <t>F2, O4, O6 Integrar la tres herramientas ( politica publica ambiental, plan municipal de gestion del riesgo, programa de educacion ambiental) tendientes  a su implemetacion en el municipio de Ibague</t>
  </si>
  <si>
    <t xml:space="preserve">8) Implementacion de la norma de calidad  ISO 9001 que garantiza la articulacion entre los diferentes procesos </t>
  </si>
  <si>
    <t xml:space="preserve">D7, O7 Agilizar nombramiento de vacantes de personal asignados a la secretaria en el proceso de reorganizacion antes de la ley de garantias </t>
  </si>
  <si>
    <t xml:space="preserve">F4, O12, A1 Solicitar a la Direccion de talento humano capacitacion en la formulacion de proyectos para generar recursos </t>
  </si>
  <si>
    <t>9) seguimiento al plan indicativo, utilizando el aplicativo al Tablero.</t>
  </si>
  <si>
    <t>D2, O3, F10, Socializar la normatividad promulgada en la ley 1523 de 2012 de la UNGRD para la entrega de ayudas humanitarias; y  para  el caso de entrega de material vegetal socializar el instructivo, produccion y suministro de material vegetal,  y para unidades septicas el manual suministrado por el proveedor, a los funcionarios que intervienen en estos procesos.</t>
  </si>
  <si>
    <t xml:space="preserve">10)Codigo de integridad y buen gobierno funcion publica </t>
  </si>
  <si>
    <t>D10 O10 Designar el seguimiento a una persona de planta para consolidar y revisar las bases de datos.</t>
  </si>
  <si>
    <t>11) Guia de administracion publica conflicto de interes de servidores publicos del DAFP</t>
  </si>
  <si>
    <t>D13,F13, solicitar a la direccion de talento humano grupo de seguridad y salud en el trabajo, la entrega de elementos de proteccion contra el covid-19, que necesitan los funcionarios y contratistas adscritos a la Secretaria de Ambiente y Gestion del Riesgo</t>
  </si>
  <si>
    <t>12) uso del Plan institucional de capacitacion de la administracion municipal.</t>
  </si>
  <si>
    <t>D9,08,F10, Socializar el Instructivo, produccion y suministro de material vegetal a los funcionarios que intervienen en este proceso, y para unidades septicas el manual suministrado por el proveedor.</t>
  </si>
  <si>
    <t xml:space="preserve">13) La alcaldia municipal cuenta con la oficina de control disciplinario </t>
  </si>
  <si>
    <t>D11,O9: Incluir la meta(s) incumplida(s), en el Plan de Accion del año siguiente.</t>
  </si>
  <si>
    <t xml:space="preserve">15. Declaración  nacional  de estado de emergencia sanitaria,  circular conjunta  100 - 008 - 2020, expedida por Secretaria de transparencia, DAFP, Vicepresidencia y la Agencia Nacional de Contratación Pública ( covid - 19) </t>
  </si>
  <si>
    <t xml:space="preserve">16. Decreto nacional 491 de 2020  adoptado por el Alcaldía mediante el  Decreto municipal 227 de 2020 estableciendo  medidas transitorias como:  Trabajo en casa, uso de tecnologias y lineamientos orientados a la  prevención del   contagio del covid -19;   Directiva presidencial No. 03 del  22 de mayo de 2020,  estableciendo el aislamiento inteligente y productivo, trabajo encasa  por servidores públicos y contratistas  de prestación de servicios y apoyo a la gestión;  Resolución No. 666 del 24 de mayo de 2020 ( procolo de bioseguridad)   del Ministerio de Salud </t>
  </si>
  <si>
    <t>AMENAZAS (A)</t>
  </si>
  <si>
    <t>1) Escasa destinación de  recursos económicos  por parte del estado para la implementación de  planes , políticas ambientales y de gestion del riesgo.</t>
  </si>
  <si>
    <t>D2, O13, A03, Informar a los entes de control (personeria, procuraduria, oficina de control disciplinario) sobre la materializacion del riesgo en el evento de presentarse para el inicio de los procesos respectivos.</t>
  </si>
  <si>
    <t xml:space="preserve">2) Escasa tecnologia aplicada a la obtención  de información estadística y de indicadores ambientales actualizados     </t>
  </si>
  <si>
    <t xml:space="preserve">D1,O14; Realizar seguimiento  trimestral al cumplimiento del plan de accion anual formulado por la secretaria de Ambiente y Gestion del Riesgo. </t>
  </si>
  <si>
    <t>F11, F9 ,A9 Verificar la carpeta de ayudas humanitarias que todas las entregas tengan la firma del beneficiario y firma del responsable operativo quien entrega la ayuda humanitaria asi como que los informes tecnicos de visita generados essten firmados por  el tecnico que realizo la visita y las actas de entrega de insumos y materiales lleven el visto bueno de quien hace la visita , el usuario y la firma del director y del secretrio de despacho</t>
  </si>
  <si>
    <t xml:space="preserve">3)  Escaso cumplimiento y volatilidad de las normas y políticas ambientales </t>
  </si>
  <si>
    <t xml:space="preserve">D12,O2,15,16,F11,A10,11,12,15: Realizar video para socializar  en  las Instituciones educativas  en  temas relacionados con  la  gestión del riesgo y manejo adecuado en recursos naturales. </t>
  </si>
  <si>
    <t xml:space="preserve">4) Continuos Cambios de Gobierno   que   ocasionan cambios en las Politicas Públicas     </t>
  </si>
  <si>
    <t xml:space="preserve">D12,O2,15,16,F11,A10,11,12,15: Realizar talleres virtuales sobre proyectos ambientales escolares  y  temas ambientales como manejo adecuado de residuos sólidos y de recursos naturales. </t>
  </si>
  <si>
    <t xml:space="preserve">5) Ocurrencias de fenomenos Naturales  por cambios Climaticos  y recurrencia de los mismos.  </t>
  </si>
  <si>
    <t>D3,O16,F13: Aplicar el protocolo de bioseguridad para la prevencion de la trasmision del covid-19, de la Alcaldia de Ibague, entre otras medidas: Lavado de manos cada tres horas; distanciamiento fisico , al menos de dos metros con otras personas; uso de tapabocas obligatorio en el trabajo y fuera de este; antes de salir de casa reportar diariamente el estado de salud; presentar temperatura menor a 38 grados centigrados. Participar en las actividades de capacitacion, sensibilizacion y toma de conciencia en la prevencion del covid-19. En el evento de que un funcionario o contratista presente los sintomas del covid-19, manifestarlo a la Directora de Ambiente, Agua y Cambio Climatico, al Director de Gestion del Riesgo y Atencion de Desastres y a Talento Humano.</t>
  </si>
  <si>
    <t>6) Falta de  canales de comunicación  con los ciudadanos</t>
  </si>
  <si>
    <t xml:space="preserve">7) Alto deterioro ambiental debido a la actividad ántropica tanto en la zona urbana como rural.    </t>
  </si>
  <si>
    <t>8) Ampliación de la frontera agropecuaria sacrificando  la zonas de paramo y bosques naturales.</t>
  </si>
  <si>
    <t xml:space="preserve">9) Entrega inapropiada de ayudas humanitarias y/o insumos y materiales </t>
  </si>
  <si>
    <t xml:space="preserve">10) Incremento de la morbilidad y mortalidad por contagio del virus covid -19. </t>
  </si>
  <si>
    <t>11) Ausencia de vacuna contra el covid -19 y de medicamentos antivirales</t>
  </si>
  <si>
    <t>12) propagación del coronavirus covid -19 a pesar de los esfuerzos estatales y de la sociedad</t>
  </si>
  <si>
    <t xml:space="preserve">13) Alto indice de emergencias de origen natural y  atropico  en barrios de estratos 1 y 2 </t>
  </si>
  <si>
    <t>14) Poca aplicación cultural del uso de elementos de protección y del aislamiento preventivo,  en sectores de estrato 1 y 2</t>
  </si>
  <si>
    <t>15. Falta de análisis e  indentificación de los elementos de protección personal que requiere el personal que labora en la Secretaría de Ambiente y Gestión del riesgo; así como, la falta  de  entrega  de los mismos por parte de la Dirección de Talento Humano,  a través del  SST (asociados a prevenir el contagio por covid -19).</t>
  </si>
  <si>
    <r>
      <rPr>
        <b/>
        <sz val="11"/>
        <rFont val="Arial"/>
        <family val="2"/>
      </rPr>
      <t>6)</t>
    </r>
    <r>
      <rPr>
        <sz val="11"/>
        <rFont val="Arial"/>
        <family val="2"/>
      </rPr>
      <t xml:space="preserve"> Se cuenta con una plataforma institucional que permite acceder facilmente a la informacion de la administración municipal asi como el desarrollo de un aplicativo propio PISAMI que posibilita un mejor desempeño de las funciones y mejorar la comunicacion entre dependencias.</t>
    </r>
  </si>
  <si>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</si>
  <si>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</si>
  <si>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r>
      <t>F</t>
    </r>
    <r>
      <rPr>
        <sz val="9"/>
        <color indexed="8"/>
        <rFont val="Arial"/>
        <family val="2"/>
      </rPr>
      <t>2</t>
    </r>
    <r>
      <rPr>
        <sz val="11"/>
        <color indexed="8"/>
        <rFont val="Arial"/>
        <family val="2"/>
      </rPr>
      <t xml:space="preserve">O4O6  Compromiso de la  Alta direccion  con la implementacion de los diferentes ejes tematicos de la Politica publica ambiental </t>
    </r>
  </si>
  <si>
    <r>
      <t>6)</t>
    </r>
    <r>
      <rPr>
        <b/>
        <sz val="11"/>
        <rFont val="Arial"/>
        <family val="2"/>
      </rPr>
      <t xml:space="preserve"> </t>
    </r>
    <r>
      <rPr>
        <sz val="11"/>
        <rFont val="Arial"/>
        <family val="2"/>
      </rPr>
      <t>Programa de educacion ambiental cuyo objetivo es la concienciación de la poblacion urbana y rural acerca del uso adecuado y sostenible de los recursos naturales.</t>
    </r>
  </si>
  <si>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</si>
  <si>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</si>
  <si>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r>
      <rPr>
        <b/>
        <sz val="11"/>
        <color indexed="8"/>
        <rFont val="Arial"/>
        <family val="2"/>
      </rPr>
      <t>F</t>
    </r>
    <r>
      <rPr>
        <b/>
        <sz val="9"/>
        <color indexed="8"/>
        <rFont val="Arial"/>
        <family val="2"/>
      </rPr>
      <t>4</t>
    </r>
    <r>
      <rPr>
        <b/>
        <sz val="11"/>
        <color indexed="8"/>
        <rFont val="Arial"/>
        <family val="2"/>
      </rPr>
      <t>A</t>
    </r>
    <r>
      <rPr>
        <b/>
        <sz val="9"/>
        <color indexed="8"/>
        <rFont val="Arial"/>
        <family val="2"/>
      </rPr>
      <t>1</t>
    </r>
    <r>
      <rPr>
        <sz val="11"/>
        <color indexed="8"/>
        <rFont val="Arial"/>
        <family val="2"/>
      </rPr>
      <t xml:space="preserve"> Solicitar capacitación en modificaciones normativas y realizar jornadas internas de actualización.</t>
    </r>
  </si>
  <si>
    <t>10)Falta de adecuación de instalaciones fisicas y de equipos necesarios para la prestación adecuada de servicios( Gestíon del riesgo)</t>
  </si>
  <si>
    <t>11)Falta de continuidad en la ejecución de  planes y proyectos debido a Continuos Cambios de personal del  nivel directivo y administrtivos, como también falta personal idoneo para la realizacion de labores tecnicas, administrativas especificas para el cumplimiento de las metas establecida</t>
  </si>
  <si>
    <t>12)No se  respeta la asignación de recursos establecidos en el Plan Operativo anual de inversiones para   el cumplimiento de las metas de los diferentes programas establecidos en el plan de desarrollo ( programa de agua potable ysaneamiento basico)</t>
  </si>
  <si>
    <t xml:space="preserve">14)Existen metas del plan indicativo a cargo de esta secretaria  cuya ejecución depende de otros institutos descentralizados </t>
  </si>
  <si>
    <t>5)</t>
  </si>
  <si>
    <t>15) Recursos apropiados para  la secretaria de medio ambiente y gestion del riesgo para llevar a cabo los procesos de forma independiente , generando y administrando recursos propios .</t>
  </si>
  <si>
    <t>D14;O15; Realizar mesas de trabajo periodicas que permitan hacer seguimiento a las actividades desarrolladas en los convenios ejecutados por entiddes descentralizadas para el cumplimiento de las diferens metas del plan de desarrollo</t>
  </si>
  <si>
    <t>D15;D10; Gestionar recursos para realizar las adecuaciones fisicas y compra de equipos necesarios para la prestación del servicio ( Bomberos)</t>
  </si>
  <si>
    <t>14) Seguimiento a traves de comites tecnicos a Metas asignadas a la secretaria de Ambiente y Gestion del Riesgo dentro del plan de Desarrollo 2020-2023</t>
  </si>
  <si>
    <t xml:space="preserve">13)No existe titularidad de predios por parte del municipio para realizar obras de construccion de Platas de tratamiento de agua potable </t>
  </si>
  <si>
    <t>16)Existe en la secretaria administrativa oficina de recursos fisicos el personal idoneo y capacitado para el estudio de titulos para adquisición de predios</t>
  </si>
  <si>
    <t>D13;O16 Realizar mesas de trabajo con Recursos fisicos y la oficina de juridica para analizar la mejor posibilidad de adquisición de los predios de interes colectivo para la construcción de las Plantas de tratamiento de agua potble</t>
  </si>
  <si>
    <t>14) Ausencia de permisos de vertimientos zona rural para poder constuir Plantas de tratamiento de aguas residuales</t>
  </si>
  <si>
    <t>17) Gestionar estudios y diseños atraves de convenios con entes descentralizados</t>
  </si>
  <si>
    <t xml:space="preserve">Gestionar por parte de la alta dirección recursos a nivel nacional e internacional proyectos de preservación, conservación y protección del  medio ambiente, y gestion del riesgo - Realizar comité tecnico para analizar las metas resagadas </t>
  </si>
  <si>
    <t>Incumplimiento  en la ejecución de  Planes, Programas y Proyectos,  priorizados en el Plan de Desarrollo</t>
  </si>
  <si>
    <t xml:space="preserve"> insuficientes recursos económicos y deficiencia en la formulacion ,implementacion  y seguimiento a las   políticas , planes y proyectos .</t>
  </si>
  <si>
    <t xml:space="preserve">Deficiente asignación de presupuesto por parte del municipio y deficiente gestión para conseguir otras fuentes de financiación </t>
  </si>
  <si>
    <t xml:space="preserve">Posibilidad de perdida  economica y reputacional por Incumplimiento en la ejecucion de planes , programas y proyectos debido a  insuficientes recursos económicos y deficiencia en la formulacion ,implementacion  y seguimiento a las   políticas , planes y proyectos .  </t>
  </si>
  <si>
    <t>200 días</t>
  </si>
  <si>
    <r>
      <t>El Profesional Universitario asignado,para recopilar las evidencias de lo actuado o ejecutado, en cada programa  trimestralmente, verifica el avance en el cumplimiento de las metas de los diferentes programas  del plan de desarrollo, establecidos en los instrumentos de planeación ( POAI, PLan de Acción, Plan Indicativo),</t>
    </r>
    <r>
      <rPr>
        <sz val="11"/>
        <rFont val="Arial Narrow"/>
        <family val="2"/>
      </rPr>
      <t xml:space="preserve"> comparando lo programado con lo ejecutado determinando si se cumple o si existe desviación o incumplimiento de las metas establecidas en los programas , se tratan en los comites tecnicos, que se realizan previo al reporte trimestral, estableciendo acciones correctivas que quedan evidenciadas  en las actas de los comites en los compromisos</t>
    </r>
    <r>
      <rPr>
        <sz val="11"/>
        <color theme="1"/>
        <rFont val="Arial Narrow"/>
        <family val="2"/>
      </rPr>
      <t xml:space="preserve">. Como evidencias se dejan el Acta de Comite, y el correo electronico enviado a planeacion municipal con el reporte de avance de cumplimiento al plan de accion, plan indicativo , POAI y los registros del aplicativo al tablero. </t>
    </r>
  </si>
  <si>
    <t xml:space="preserve">La actividad generadora del riesgo se encuentran documentadas en la caracterizacion del proceso de gestion ambiental en las politicas de operación </t>
  </si>
  <si>
    <t>Tipo de Riesgo</t>
  </si>
  <si>
    <t>En la celebración y ejecucion de un contrato de obra</t>
  </si>
  <si>
    <t>Efectos dañosos sobre bienes públicos por  obras inconclusas que no brindan utilidad o beneficio</t>
  </si>
  <si>
    <t>Fiscal</t>
  </si>
  <si>
    <t>Deficiencias en el cumplimiento de  las funciones de Supervisión e Interventoría de los contratos de la Entidad</t>
  </si>
  <si>
    <t xml:space="preserve">Falta de  idoneidad y de experticia técnica en la  supervisión de  obligaciones contractuales </t>
  </si>
  <si>
    <t xml:space="preserve">Posibilidad de Compra o inversion en bienes innecesarios </t>
  </si>
  <si>
    <t>Compra o inversion en bienes innecesarios</t>
  </si>
  <si>
    <t xml:space="preserve">  Desconocimiento real y efectivo sobre la necesidad a satisfacer;¿qué es lo que se requiere contratar?, ¿con cuántos recursos se cuenta?, ¿cuáles son los términos tanto de la ejecución presupuestal, como los requisitos de la obra requerida por la comunidad? y ¿cuáles son los factores que inciden en el desarrollo de los procesos que se realizan? </t>
  </si>
  <si>
    <t>Inadecuada   planeación  en  procesos de contratación pública.</t>
  </si>
  <si>
    <t xml:space="preserve">  Inapropiada aplicación y actualización normativa del impuesto al valor agregado (IVA),</t>
  </si>
  <si>
    <t>Posible inadecuada deduccion de impuestos en el proceso contractual .</t>
  </si>
  <si>
    <t>Inadecuada deduccion de impuestos en el proceso contractual</t>
  </si>
  <si>
    <t xml:space="preserve"> falta de interés, conocimiento de causa y experticia por parte de los involucrados, que estructuran los procesos
 contractuales , contables , administrativos . </t>
  </si>
  <si>
    <t>200 dias</t>
  </si>
  <si>
    <t xml:space="preserve">El estructurador del proceso contractual , verificara en el estatuto tributario la normatividad vigente sobre excension de impuestos  según sea el caso y quedara plasmado en los esudios previos en el capitulo de Perfeccionamiento y requisitos de ejecución. </t>
  </si>
  <si>
    <t xml:space="preserve">El estructurador del proceso contractual así como el ordenador del gasto, verificaran en los estudios previos,  en la descripción de la necesidad, que cumpla con los requisitos expuestos en el Instructivo elabloracion de estudios previos INS-GC-006  y que la necesidad descrita en el estudio de mercado , obedezca al estudio de la necesidad realizado en Comite técnico previo a la elaboración de los estudios , el acta de dicho comite  se anexara al proceso contractual .   </t>
  </si>
  <si>
    <t xml:space="preserve">Gestion </t>
  </si>
  <si>
    <t>200n dias</t>
  </si>
  <si>
    <t>El supervisor designado ejercerá el control y seguimiento a la ejecución contractual para verificar el cumplimiento de las condiciones y especificaciones técnicas pactadas y establecidas en la etapa contractual, de presentarse incumplimiento se debe actuar de acuerrdo a lo establecido en el manual de supervision e interventoria Código: MAN-GC-02, especificiamente en el capitulo 4.1.INFORME SOBRE PRESUNTO INCUMPLIMIENTO CONTRACTUAL.Previo a la citación que realice la entidad al contratista y su garante</t>
  </si>
  <si>
    <t xml:space="preserve">Realizar comité tecnico conformado por el ordenador del gasto , el estructurador del proceso contractual , los tecnicos y profesionales del area, para realizar un estudio de mercado acorde con las necesidades , previo a la elaboracion de estudios </t>
  </si>
  <si>
    <t>Realizar seguimiento a los informes de supervisión del 100% de los contratos suscritos de la Secretaría de Ambiente y Gestión del Riesgo, para verificar el cumplimiento de las condiciones y especificaciones técnicas pactadas y establecidas en la etapa contractual, de acuerdo a las normas vigentes.</t>
  </si>
  <si>
    <t xml:space="preserve">Realizar seguimiento al 100% de los contratos verificando   si la compra a realizar o el bien a adquirir  esta excepto del impuesto IVA de acuerdo a los estatutos tributarios  </t>
  </si>
  <si>
    <t>Posibiliad de efectos dañosos sobre bienes públicos por  obras inconclusas que no brindan utilidad o beneficio</t>
  </si>
  <si>
    <t>Observación Monitoreo</t>
  </si>
  <si>
    <t>28 de febrero del 2024-30 de Abril del 2024-30 de Junio del 2024-30 de Agosto- 30 de Octubre -31 de Diciembre -2024</t>
  </si>
  <si>
    <t xml:space="preserve">En lo corrido de este semestre no se ha llevado proceso de contrrtacion de suminitros </t>
  </si>
  <si>
    <t>En lo corrido de este semestre no se ha llevado proceso de contratacion de suminitros o bienes</t>
  </si>
  <si>
    <t xml:space="preserve">Para este semestre en el periodo transcurrido de la presente vigencia está en construcción el plan de desarrollo Municipal y a la fecha se han realizado 6 comités técnicos en la dirección de gestion del riesgo y 5 comites tecnicos en la direccion de ambiente, agua y cambio climático  para analizar el cumplimiento de metas que para este semestre aplican las mismas del año pasado, mientras se consolida el nuevo plan de desarrollo, sin embargo  en este mes de  junio se consolida información en los instrumentos de planeación ( Plan de acción,POAI). en el corte del primer semestre se puede evidenciar que la ejecución fisica de metas es muy  baja en todas los programas debido a que se esta  teminando de consolidar el plan de desarrollo . La ejecución presupuestal en el mes de junio fue de    53,57%.                                                                                                                       En cuanto  a gestionar por parte de la alta direccion recursos, se ha adelantado las siguientes acciones: Reunion con la ministra de vivienda y la alcaldesa municipal para concretar proyectos de acueductos , participacion en el proyecto "Gestion adaptativa ante la crisis climatica " con el  RAPE anexo carta de intención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</si>
</sst>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sz val="9"/>
      <color indexed="81"/>
      <name val="Tahoma"/>
      <family val="2"/>
    </font>
    <font>
      <b/>
      <sz val="9"/>
      <color indexed="81"/>
      <name val="Tahoma"/>
      <family val="2"/>
    </font>
    <font>
      <b/>
      <sz val="11"/>
      <color indexed="8"/>
      <name val="Arial"/>
      <family val="2"/>
    </font>
    <font>
      <sz val="11"/>
      <color theme="1"/>
      <name val="Arial"/>
      <family val="2"/>
    </font>
    <font>
      <b/>
      <sz val="12"/>
      <color indexed="8"/>
      <name val="Arial"/>
      <family val="2"/>
    </font>
    <font>
      <sz val="11"/>
      <color indexed="8"/>
      <name val="Arial"/>
      <family val="2"/>
    </font>
    <font>
      <b/>
      <sz val="20"/>
      <color theme="1"/>
      <name val="Arial"/>
      <family val="2"/>
    </font>
    <font>
      <b/>
      <sz val="14"/>
      <color theme="1"/>
      <name val="Arial"/>
      <family val="2"/>
    </font>
    <font>
      <sz val="11"/>
      <name val="Arial"/>
      <family val="2"/>
    </font>
    <font>
      <b/>
      <sz val="11"/>
      <name val="Arial"/>
      <family val="2"/>
    </font>
    <font>
      <b/>
      <sz val="11"/>
      <color theme="1"/>
      <name val="Arial"/>
      <family val="2"/>
    </font>
    <font>
      <sz val="9"/>
      <color indexed="8"/>
      <name val="Arial"/>
      <family val="2"/>
    </font>
    <font>
      <b/>
      <sz val="9"/>
      <color indexed="8"/>
      <name val="Arial"/>
      <family val="2"/>
    </font>
  </fonts>
  <fills count="1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rgb="FFFFA365"/>
        <bgColor indexed="64"/>
      </patternFill>
    </fill>
  </fills>
  <borders count="9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77111117893"/>
      </left>
      <right/>
      <top style="dashed">
        <color theme="9" tint="-0.249977111117893"/>
      </top>
      <bottom style="dashed">
        <color theme="9" tint="-0.249977111117893"/>
      </bottom>
      <diagonal/>
    </border>
    <border>
      <left/>
      <right/>
      <top style="dashed">
        <color theme="9" tint="-0.249977111117893"/>
      </top>
      <bottom style="dashed">
        <color theme="9" tint="-0.249977111117893"/>
      </bottom>
      <diagonal/>
    </border>
    <border>
      <left/>
      <right style="dashed">
        <color theme="9" tint="-0.249977111117893"/>
      </right>
      <top style="dashed">
        <color theme="9" tint="-0.249977111117893"/>
      </top>
      <bottom style="dashed">
        <color theme="9" tint="-0.249977111117893"/>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theme="9" tint="-0.24994659260841701"/>
      </left>
      <right style="dashed">
        <color theme="9" tint="-0.24994659260841701"/>
      </right>
      <top style="dashed">
        <color theme="9" tint="-0.249977111117893"/>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0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14" fontId="27" fillId="0" borderId="2" xfId="0" applyNumberFormat="1" applyFont="1" applyBorder="1" applyAlignment="1" applyProtection="1">
      <alignment horizontal="center" vertical="top" wrapText="1"/>
      <protection locked="0"/>
    </xf>
    <xf numFmtId="14" fontId="1" fillId="0" borderId="2" xfId="0" applyNumberFormat="1" applyFont="1" applyBorder="1" applyAlignment="1" applyProtection="1">
      <alignment horizontal="center" vertical="top" wrapText="1"/>
      <protection locked="0"/>
    </xf>
    <xf numFmtId="0" fontId="1" fillId="0" borderId="2" xfId="0" applyFont="1" applyBorder="1" applyAlignment="1" applyProtection="1">
      <alignment horizontal="left" vertical="top" wrapText="1"/>
      <protection locked="0"/>
    </xf>
    <xf numFmtId="0" fontId="27" fillId="3" borderId="75" xfId="0" applyFont="1" applyFill="1" applyBorder="1" applyAlignment="1">
      <alignment horizontal="left" vertical="center" wrapText="1"/>
    </xf>
    <xf numFmtId="14" fontId="27" fillId="0" borderId="2" xfId="0" quotePrefix="1" applyNumberFormat="1" applyFont="1" applyBorder="1" applyAlignment="1" applyProtection="1">
      <alignment horizontal="center" vertical="top" wrapText="1"/>
      <protection locked="0"/>
    </xf>
    <xf numFmtId="0" fontId="2" fillId="0" borderId="2" xfId="0" applyFont="1" applyBorder="1" applyAlignment="1" applyProtection="1">
      <alignment horizontal="justify" vertical="top" wrapText="1"/>
      <protection locked="0"/>
    </xf>
    <xf numFmtId="0" fontId="50" fillId="0" borderId="75" xfId="0" applyFont="1" applyBorder="1" applyAlignment="1" applyProtection="1">
      <alignment vertical="top" wrapText="1"/>
      <protection locked="0"/>
    </xf>
    <xf numFmtId="0" fontId="27" fillId="0" borderId="30" xfId="0" applyFont="1" applyBorder="1" applyAlignment="1" applyProtection="1">
      <alignment vertical="top" wrapText="1"/>
      <protection locked="0"/>
    </xf>
    <xf numFmtId="0" fontId="27" fillId="0" borderId="76" xfId="0" applyFont="1" applyBorder="1" applyAlignment="1" applyProtection="1">
      <alignment vertical="top" wrapText="1"/>
      <protection locked="0"/>
    </xf>
    <xf numFmtId="0" fontId="27" fillId="0" borderId="32" xfId="0" applyFont="1" applyBorder="1" applyAlignment="1" applyProtection="1">
      <alignment vertical="top" wrapText="1"/>
      <protection locked="0"/>
    </xf>
    <xf numFmtId="0" fontId="27" fillId="0" borderId="8" xfId="0" applyFont="1" applyBorder="1" applyAlignment="1" applyProtection="1">
      <alignment vertical="top"/>
      <protection locked="0"/>
    </xf>
    <xf numFmtId="0" fontId="27" fillId="0" borderId="5" xfId="0" applyFont="1" applyBorder="1" applyAlignment="1" applyProtection="1">
      <alignment vertical="top"/>
      <protection locked="0"/>
    </xf>
    <xf numFmtId="0" fontId="27" fillId="3" borderId="81" xfId="0" applyFont="1" applyFill="1" applyBorder="1" applyAlignment="1" applyProtection="1">
      <alignment vertical="center" wrapText="1"/>
      <protection locked="0"/>
    </xf>
    <xf numFmtId="0" fontId="27" fillId="3" borderId="82" xfId="0" applyFont="1" applyFill="1" applyBorder="1" applyAlignment="1" applyProtection="1">
      <alignment vertical="center" wrapText="1"/>
      <protection locked="0"/>
    </xf>
    <xf numFmtId="0" fontId="62" fillId="0" borderId="0" xfId="0" applyFont="1" applyAlignment="1">
      <alignment vertical="center" wrapText="1"/>
    </xf>
    <xf numFmtId="0" fontId="61" fillId="0" borderId="0" xfId="0" applyFont="1"/>
    <xf numFmtId="0" fontId="62" fillId="0" borderId="0" xfId="0" applyFont="1" applyAlignment="1">
      <alignment horizontal="center" vertical="center" wrapText="1"/>
    </xf>
    <xf numFmtId="0" fontId="38" fillId="3" borderId="92" xfId="0" applyFont="1" applyFill="1" applyBorder="1" applyAlignment="1" applyProtection="1">
      <alignment horizontal="left" vertical="center"/>
      <protection locked="0"/>
    </xf>
    <xf numFmtId="0" fontId="38" fillId="3" borderId="93" xfId="0" applyFont="1" applyFill="1" applyBorder="1" applyAlignment="1" applyProtection="1">
      <alignment horizontal="left" vertical="center"/>
      <protection locked="0"/>
    </xf>
    <xf numFmtId="0" fontId="38" fillId="3" borderId="90" xfId="0" applyFont="1" applyFill="1" applyBorder="1" applyAlignment="1" applyProtection="1">
      <alignment horizontal="left" vertical="center"/>
      <protection locked="0"/>
    </xf>
    <xf numFmtId="0" fontId="38" fillId="3" borderId="0" xfId="0" applyFont="1" applyFill="1" applyAlignment="1">
      <alignment horizontal="left"/>
    </xf>
    <xf numFmtId="0" fontId="61" fillId="0" borderId="92" xfId="0" applyFont="1" applyBorder="1" applyAlignment="1">
      <alignment horizontal="left" vertical="center" wrapText="1"/>
    </xf>
    <xf numFmtId="0" fontId="61" fillId="0" borderId="92" xfId="0" applyFont="1" applyBorder="1" applyAlignment="1">
      <alignment horizontal="center" vertical="center"/>
    </xf>
    <xf numFmtId="0" fontId="0" fillId="0" borderId="90" xfId="0" applyBorder="1" applyAlignment="1">
      <alignment horizontal="center" vertical="center"/>
    </xf>
    <xf numFmtId="0" fontId="0" fillId="0" borderId="93" xfId="0" applyBorder="1" applyAlignment="1">
      <alignment horizontal="center" vertical="center"/>
    </xf>
    <xf numFmtId="0" fontId="61" fillId="0" borderId="93" xfId="0" applyFont="1" applyBorder="1" applyAlignment="1">
      <alignment horizontal="left" vertical="center" wrapText="1"/>
    </xf>
    <xf numFmtId="0" fontId="61" fillId="0" borderId="90" xfId="0" applyFont="1" applyBorder="1" applyAlignment="1">
      <alignment horizontal="center" vertical="center"/>
    </xf>
    <xf numFmtId="0" fontId="61" fillId="0" borderId="93" xfId="0" applyFont="1" applyBorder="1" applyAlignment="1">
      <alignment horizontal="center" vertical="center"/>
    </xf>
    <xf numFmtId="0" fontId="50" fillId="0" borderId="77" xfId="0" applyFont="1" applyBorder="1" applyAlignment="1" applyProtection="1">
      <alignment horizontal="left" vertical="top" wrapText="1"/>
      <protection locked="0"/>
    </xf>
    <xf numFmtId="0" fontId="50" fillId="0" borderId="78" xfId="0" applyFont="1" applyBorder="1" applyAlignment="1" applyProtection="1">
      <alignment horizontal="left" vertical="top" wrapText="1"/>
      <protection locked="0"/>
    </xf>
    <xf numFmtId="0" fontId="50" fillId="0" borderId="79" xfId="0" applyFont="1" applyBorder="1" applyAlignment="1" applyProtection="1">
      <alignment horizontal="left" vertical="top" wrapText="1"/>
      <protection locked="0"/>
    </xf>
    <xf numFmtId="0" fontId="2" fillId="0" borderId="77"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4"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4" xfId="0" applyFont="1" applyBorder="1" applyAlignment="1" applyProtection="1">
      <alignment horizontal="left" vertical="top" wrapText="1"/>
      <protection locked="0"/>
    </xf>
    <xf numFmtId="0" fontId="27" fillId="0" borderId="4" xfId="0" applyFont="1" applyBorder="1" applyAlignment="1" applyProtection="1">
      <alignment horizontal="center" vertical="top" wrapText="1"/>
      <protection locked="0"/>
    </xf>
    <xf numFmtId="14" fontId="1" fillId="0" borderId="0" xfId="0" applyNumberFormat="1" applyFont="1"/>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13" borderId="60" xfId="2" applyFont="1" applyFill="1" applyBorder="1" applyAlignment="1">
      <alignment horizontal="justify" vertical="center" wrapText="1"/>
    </xf>
    <xf numFmtId="0" fontId="46" fillId="13" borderId="61" xfId="2" applyFont="1" applyFill="1" applyBorder="1" applyAlignment="1">
      <alignment horizontal="justify" vertical="center" wrapText="1"/>
    </xf>
    <xf numFmtId="0" fontId="46" fillId="13" borderId="64" xfId="2" applyFont="1" applyFill="1" applyBorder="1" applyAlignment="1">
      <alignment horizontal="justify" vertical="center" wrapText="1"/>
    </xf>
    <xf numFmtId="0" fontId="46" fillId="13" borderId="65"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9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27" fillId="3" borderId="75" xfId="0" applyFont="1" applyFill="1" applyBorder="1" applyAlignment="1" applyProtection="1">
      <alignment horizontal="left" vertical="center"/>
      <protection locked="0"/>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27" fillId="0" borderId="4" xfId="0" applyFont="1" applyBorder="1" applyAlignment="1" applyProtection="1">
      <alignment horizontal="center" vertical="top"/>
      <protection locked="0"/>
    </xf>
    <xf numFmtId="0" fontId="0" fillId="0" borderId="8" xfId="0" applyBorder="1" applyAlignment="1">
      <alignment horizontal="center" vertical="top"/>
    </xf>
    <xf numFmtId="0" fontId="27" fillId="3" borderId="80" xfId="0" applyFont="1" applyFill="1" applyBorder="1" applyAlignment="1" applyProtection="1">
      <alignment horizontal="left" vertical="center" wrapText="1"/>
      <protection locked="0"/>
    </xf>
    <xf numFmtId="0" fontId="27" fillId="3" borderId="81" xfId="0" applyFont="1" applyFill="1" applyBorder="1" applyAlignment="1" applyProtection="1">
      <alignment horizontal="left" vertical="center" wrapText="1"/>
      <protection locked="0"/>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7" xfId="0" applyFont="1" applyBorder="1" applyAlignment="1" applyProtection="1">
      <alignment horizontal="left" vertical="top" wrapText="1"/>
      <protection locked="0"/>
    </xf>
    <xf numFmtId="0" fontId="50" fillId="0" borderId="78" xfId="0" applyFont="1" applyBorder="1" applyAlignment="1" applyProtection="1">
      <alignment horizontal="left" vertical="top" wrapText="1"/>
      <protection locked="0"/>
    </xf>
    <xf numFmtId="0" fontId="50" fillId="0" borderId="79" xfId="0" applyFont="1" applyBorder="1" applyAlignment="1" applyProtection="1">
      <alignment horizontal="left" vertical="top" wrapText="1"/>
      <protection locked="0"/>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xf>
    <xf numFmtId="0" fontId="27" fillId="3" borderId="77" xfId="0" applyFont="1" applyFill="1" applyBorder="1" applyAlignment="1">
      <alignment horizontal="center" vertical="center" wrapText="1"/>
    </xf>
    <xf numFmtId="0" fontId="27" fillId="3" borderId="78" xfId="0" applyFont="1" applyFill="1" applyBorder="1" applyAlignment="1">
      <alignment horizontal="center" vertical="center" wrapText="1"/>
    </xf>
    <xf numFmtId="0" fontId="27" fillId="3" borderId="79" xfId="0" applyFont="1" applyFill="1" applyBorder="1" applyAlignment="1">
      <alignment horizontal="center" vertical="center" wrapText="1"/>
    </xf>
    <xf numFmtId="0" fontId="50" fillId="0" borderId="77" xfId="0" applyFont="1" applyBorder="1" applyAlignment="1" applyProtection="1">
      <alignment vertical="top" wrapText="1"/>
      <protection locked="0"/>
    </xf>
    <xf numFmtId="0" fontId="0" fillId="0" borderId="79" xfId="0" applyBorder="1" applyAlignment="1">
      <alignment vertical="top" wrapText="1"/>
    </xf>
    <xf numFmtId="0" fontId="27" fillId="3" borderId="82" xfId="0" applyFont="1" applyFill="1" applyBorder="1" applyAlignment="1" applyProtection="1">
      <alignment horizontal="left" vertical="center"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61" fillId="3" borderId="92" xfId="0" applyFont="1" applyFill="1" applyBorder="1" applyAlignment="1">
      <alignment horizontal="center" vertical="top" wrapText="1"/>
    </xf>
    <xf numFmtId="0" fontId="61" fillId="3" borderId="93" xfId="0" applyFont="1" applyFill="1" applyBorder="1" applyAlignment="1">
      <alignment horizontal="center" vertical="top" wrapText="1"/>
    </xf>
    <xf numFmtId="0" fontId="61" fillId="0" borderId="0" xfId="0" applyFont="1" applyAlignment="1">
      <alignment horizontal="center"/>
    </xf>
    <xf numFmtId="0" fontId="38" fillId="3" borderId="0" xfId="0" applyFont="1" applyFill="1" applyAlignment="1">
      <alignment horizontal="left"/>
    </xf>
    <xf numFmtId="0" fontId="61" fillId="3" borderId="92" xfId="0" applyFont="1" applyFill="1" applyBorder="1" applyAlignment="1" applyProtection="1">
      <alignment horizontal="left" vertical="center" wrapText="1"/>
      <protection locked="0"/>
    </xf>
    <xf numFmtId="0" fontId="61" fillId="3" borderId="93" xfId="0" applyFont="1" applyFill="1" applyBorder="1" applyAlignment="1" applyProtection="1">
      <alignment horizontal="left" vertical="center" wrapText="1"/>
      <protection locked="0"/>
    </xf>
    <xf numFmtId="0" fontId="66" fillId="0" borderId="92" xfId="0" applyFont="1" applyBorder="1" applyAlignment="1">
      <alignment horizontal="justify" vertical="top"/>
    </xf>
    <xf numFmtId="0" fontId="14" fillId="0" borderId="93" xfId="0" applyFont="1" applyBorder="1" applyAlignment="1">
      <alignment horizontal="justify" vertical="top"/>
    </xf>
    <xf numFmtId="0" fontId="38" fillId="3" borderId="92" xfId="0" applyFont="1" applyFill="1" applyBorder="1" applyAlignment="1" applyProtection="1">
      <alignment horizontal="center" vertical="center"/>
      <protection locked="0"/>
    </xf>
    <xf numFmtId="0" fontId="38" fillId="3" borderId="93" xfId="0" applyFont="1" applyFill="1" applyBorder="1" applyAlignment="1" applyProtection="1">
      <alignment horizontal="center" vertical="center"/>
      <protection locked="0"/>
    </xf>
    <xf numFmtId="0" fontId="38" fillId="3" borderId="90" xfId="0" applyFont="1" applyFill="1" applyBorder="1" applyAlignment="1" applyProtection="1">
      <alignment horizontal="center" vertical="center"/>
      <protection locked="0"/>
    </xf>
    <xf numFmtId="0" fontId="66" fillId="3" borderId="92" xfId="0" applyFont="1" applyFill="1" applyBorder="1" applyAlignment="1" applyProtection="1">
      <alignment horizontal="left" vertical="center" wrapText="1"/>
      <protection locked="0"/>
    </xf>
    <xf numFmtId="0" fontId="66" fillId="3" borderId="93" xfId="0" applyFont="1" applyFill="1" applyBorder="1" applyAlignment="1" applyProtection="1">
      <alignment horizontal="left" vertical="center" wrapText="1"/>
      <protection locked="0"/>
    </xf>
    <xf numFmtId="0" fontId="38" fillId="3" borderId="92" xfId="0" applyFont="1" applyFill="1" applyBorder="1" applyAlignment="1" applyProtection="1">
      <alignment horizontal="left" vertical="center"/>
      <protection locked="0"/>
    </xf>
    <xf numFmtId="0" fontId="38" fillId="3" borderId="93" xfId="0" applyFont="1" applyFill="1" applyBorder="1" applyAlignment="1" applyProtection="1">
      <alignment horizontal="left" vertical="center"/>
      <protection locked="0"/>
    </xf>
    <xf numFmtId="0" fontId="38" fillId="3" borderId="90" xfId="0" applyFont="1" applyFill="1" applyBorder="1" applyAlignment="1" applyProtection="1">
      <alignment horizontal="left" vertical="center"/>
      <protection locked="0"/>
    </xf>
    <xf numFmtId="0" fontId="61" fillId="3" borderId="33" xfId="0" applyFont="1" applyFill="1" applyBorder="1" applyAlignment="1" applyProtection="1">
      <alignment horizontal="left" vertical="center" wrapText="1"/>
      <protection locked="0"/>
    </xf>
    <xf numFmtId="0" fontId="38" fillId="3" borderId="33" xfId="0" applyFont="1" applyFill="1" applyBorder="1" applyAlignment="1" applyProtection="1">
      <alignment horizontal="left" vertical="center"/>
      <protection locked="0"/>
    </xf>
    <xf numFmtId="0" fontId="0" fillId="0" borderId="33" xfId="0" applyBorder="1" applyAlignment="1">
      <alignment horizontal="center" vertical="center"/>
    </xf>
    <xf numFmtId="0" fontId="61" fillId="0" borderId="92" xfId="0" applyFont="1" applyBorder="1" applyAlignment="1">
      <alignment horizontal="left" wrapText="1"/>
    </xf>
    <xf numFmtId="0" fontId="61" fillId="0" borderId="93" xfId="0" applyFont="1" applyBorder="1" applyAlignment="1">
      <alignment horizontal="left" wrapText="1"/>
    </xf>
    <xf numFmtId="0" fontId="0" fillId="0" borderId="92" xfId="0" applyBorder="1" applyAlignment="1">
      <alignment horizontal="center"/>
    </xf>
    <xf numFmtId="0" fontId="0" fillId="0" borderId="93" xfId="0" applyBorder="1" applyAlignment="1">
      <alignment horizontal="center"/>
    </xf>
    <xf numFmtId="0" fontId="0" fillId="0" borderId="33" xfId="0" applyBorder="1" applyAlignment="1">
      <alignment horizontal="center"/>
    </xf>
    <xf numFmtId="0" fontId="66" fillId="0" borderId="92" xfId="0" applyFont="1" applyBorder="1" applyAlignment="1">
      <alignment vertical="center"/>
    </xf>
    <xf numFmtId="0" fontId="66" fillId="0" borderId="93" xfId="0" applyFont="1" applyBorder="1" applyAlignment="1">
      <alignment vertical="center"/>
    </xf>
    <xf numFmtId="0" fontId="66" fillId="0" borderId="92" xfId="0" applyFont="1" applyBorder="1" applyAlignment="1">
      <alignment horizontal="left" vertical="center" wrapText="1"/>
    </xf>
    <xf numFmtId="0" fontId="66" fillId="0" borderId="93" xfId="0" applyFont="1" applyBorder="1" applyAlignment="1">
      <alignment horizontal="left" vertical="center" wrapText="1"/>
    </xf>
    <xf numFmtId="0" fontId="61" fillId="0" borderId="33" xfId="0" applyFont="1" applyBorder="1" applyAlignment="1">
      <alignment horizontal="center" vertical="center"/>
    </xf>
    <xf numFmtId="0" fontId="61" fillId="0" borderId="92" xfId="0" applyFont="1" applyBorder="1" applyAlignment="1">
      <alignment horizontal="center" vertical="center"/>
    </xf>
    <xf numFmtId="0" fontId="61" fillId="0" borderId="93" xfId="0" applyFont="1" applyBorder="1" applyAlignment="1">
      <alignment horizontal="center" vertical="center"/>
    </xf>
    <xf numFmtId="0" fontId="61" fillId="0" borderId="92" xfId="0" applyFont="1" applyBorder="1" applyAlignment="1">
      <alignment horizontal="justify" vertical="top" wrapText="1"/>
    </xf>
    <xf numFmtId="0" fontId="0" fillId="0" borderId="93" xfId="0" applyBorder="1" applyAlignment="1">
      <alignment horizontal="justify" vertical="top" wrapText="1"/>
    </xf>
    <xf numFmtId="0" fontId="61" fillId="0" borderId="90" xfId="0" applyFont="1" applyBorder="1" applyAlignment="1">
      <alignment horizontal="center" vertical="center"/>
    </xf>
    <xf numFmtId="0" fontId="65" fillId="17" borderId="33" xfId="0" applyFont="1" applyFill="1" applyBorder="1" applyAlignment="1">
      <alignment horizontal="center" vertical="center" textRotation="255"/>
    </xf>
    <xf numFmtId="0" fontId="65" fillId="17" borderId="33" xfId="0" applyFont="1" applyFill="1" applyBorder="1" applyAlignment="1">
      <alignment horizontal="center" vertical="center"/>
    </xf>
    <xf numFmtId="0" fontId="65" fillId="17" borderId="33" xfId="0" applyFont="1" applyFill="1" applyBorder="1" applyAlignment="1">
      <alignment horizontal="center" wrapText="1"/>
    </xf>
    <xf numFmtId="0" fontId="65" fillId="17" borderId="33" xfId="0" applyFont="1" applyFill="1" applyBorder="1" applyAlignment="1">
      <alignment horizontal="center"/>
    </xf>
    <xf numFmtId="0" fontId="65" fillId="17" borderId="92" xfId="0" applyFont="1" applyFill="1" applyBorder="1" applyAlignment="1">
      <alignment horizontal="center" vertical="top" wrapText="1"/>
    </xf>
    <xf numFmtId="0" fontId="65" fillId="17" borderId="90" xfId="0" applyFont="1" applyFill="1" applyBorder="1" applyAlignment="1">
      <alignment horizontal="center" vertical="top"/>
    </xf>
    <xf numFmtId="0" fontId="65" fillId="17" borderId="93" xfId="0" applyFont="1" applyFill="1" applyBorder="1" applyAlignment="1">
      <alignment horizontal="center" vertical="top"/>
    </xf>
    <xf numFmtId="0" fontId="66" fillId="3" borderId="92" xfId="0" applyFont="1" applyFill="1" applyBorder="1" applyAlignment="1">
      <alignment horizontal="left" vertical="center" wrapText="1"/>
    </xf>
    <xf numFmtId="0" fontId="66" fillId="3" borderId="93" xfId="0" applyFont="1" applyFill="1" applyBorder="1" applyAlignment="1">
      <alignment horizontal="left" vertical="center" wrapText="1"/>
    </xf>
    <xf numFmtId="0" fontId="61" fillId="3" borderId="92" xfId="0" applyFont="1" applyFill="1" applyBorder="1" applyAlignment="1">
      <alignment horizontal="center" vertical="center" wrapText="1"/>
    </xf>
    <xf numFmtId="0" fontId="61" fillId="3" borderId="93" xfId="0" applyFont="1" applyFill="1" applyBorder="1" applyAlignment="1">
      <alignment horizontal="center" vertical="center" wrapText="1"/>
    </xf>
    <xf numFmtId="0" fontId="61" fillId="0" borderId="92" xfId="0" applyFont="1" applyBorder="1" applyAlignment="1">
      <alignment horizontal="center" vertical="center" wrapText="1"/>
    </xf>
    <xf numFmtId="0" fontId="61" fillId="0" borderId="90" xfId="0" applyFont="1" applyBorder="1" applyAlignment="1">
      <alignment horizontal="center" vertical="center" wrapText="1"/>
    </xf>
    <xf numFmtId="0" fontId="61" fillId="0" borderId="93" xfId="0" applyFont="1" applyBorder="1" applyAlignment="1">
      <alignment horizontal="center" vertical="center" wrapText="1"/>
    </xf>
    <xf numFmtId="0" fontId="66" fillId="0" borderId="92" xfId="0" applyFont="1" applyBorder="1" applyAlignment="1">
      <alignment vertical="center" wrapText="1"/>
    </xf>
    <xf numFmtId="0" fontId="66" fillId="0" borderId="93" xfId="0" applyFont="1" applyBorder="1" applyAlignment="1">
      <alignment vertical="center" wrapText="1"/>
    </xf>
    <xf numFmtId="0" fontId="66" fillId="0" borderId="33" xfId="0" applyFont="1" applyBorder="1" applyAlignment="1">
      <alignment horizontal="justify" vertical="top" wrapText="1"/>
    </xf>
    <xf numFmtId="0" fontId="61" fillId="13" borderId="92" xfId="0" applyFont="1" applyFill="1" applyBorder="1" applyAlignment="1">
      <alignment vertical="center" wrapText="1"/>
    </xf>
    <xf numFmtId="0" fontId="61" fillId="13" borderId="93" xfId="0" applyFont="1" applyFill="1" applyBorder="1" applyAlignment="1">
      <alignment vertical="center" wrapText="1"/>
    </xf>
    <xf numFmtId="0" fontId="61" fillId="0" borderId="33" xfId="0" applyFont="1" applyBorder="1" applyAlignment="1">
      <alignment horizontal="center" vertical="center" wrapText="1"/>
    </xf>
    <xf numFmtId="0" fontId="0" fillId="0" borderId="92" xfId="0" applyBorder="1" applyAlignment="1">
      <alignment horizontal="center" vertical="center"/>
    </xf>
    <xf numFmtId="0" fontId="0" fillId="0" borderId="93" xfId="0" applyBorder="1" applyAlignment="1">
      <alignment horizontal="center" vertical="center"/>
    </xf>
    <xf numFmtId="0" fontId="61" fillId="3" borderId="92" xfId="0" applyFont="1" applyFill="1" applyBorder="1" applyAlignment="1">
      <alignment horizontal="left" vertical="center" wrapText="1"/>
    </xf>
    <xf numFmtId="0" fontId="61" fillId="3" borderId="93" xfId="0" applyFont="1" applyFill="1" applyBorder="1" applyAlignment="1">
      <alignment horizontal="left" vertical="center" wrapText="1"/>
    </xf>
    <xf numFmtId="0" fontId="61" fillId="13" borderId="92" xfId="0" applyFont="1" applyFill="1" applyBorder="1" applyAlignment="1">
      <alignment horizontal="left" vertical="center" wrapText="1"/>
    </xf>
    <xf numFmtId="0" fontId="0" fillId="13" borderId="93" xfId="0" applyFill="1" applyBorder="1" applyAlignment="1">
      <alignment horizontal="left" vertical="center" wrapText="1"/>
    </xf>
    <xf numFmtId="0" fontId="0" fillId="0" borderId="90" xfId="0" applyBorder="1" applyAlignment="1">
      <alignment horizontal="center" vertical="center"/>
    </xf>
    <xf numFmtId="0" fontId="61" fillId="3" borderId="92" xfId="0" applyFont="1" applyFill="1" applyBorder="1" applyAlignment="1">
      <alignment horizontal="justify" vertical="top" wrapText="1"/>
    </xf>
    <xf numFmtId="0" fontId="61" fillId="0" borderId="92" xfId="0" applyFont="1" applyBorder="1" applyAlignment="1">
      <alignment horizontal="left" vertical="center" wrapText="1"/>
    </xf>
    <xf numFmtId="0" fontId="61" fillId="0" borderId="93" xfId="0" applyFont="1" applyBorder="1" applyAlignment="1">
      <alignment horizontal="left" vertical="center" wrapText="1"/>
    </xf>
    <xf numFmtId="0" fontId="0" fillId="0" borderId="93" xfId="0" applyBorder="1" applyAlignment="1">
      <alignment horizontal="left" vertical="center" wrapText="1"/>
    </xf>
    <xf numFmtId="0" fontId="61" fillId="3" borderId="92" xfId="0" applyFont="1" applyFill="1" applyBorder="1" applyAlignment="1">
      <alignment horizontal="left" vertical="top" wrapText="1"/>
    </xf>
    <xf numFmtId="0" fontId="61" fillId="3" borderId="93" xfId="0" applyFont="1" applyFill="1" applyBorder="1" applyAlignment="1">
      <alignment horizontal="left" vertical="top"/>
    </xf>
    <xf numFmtId="0" fontId="61" fillId="0" borderId="90" xfId="0" applyFont="1" applyBorder="1" applyAlignment="1">
      <alignment horizontal="left" vertical="center" wrapText="1"/>
    </xf>
    <xf numFmtId="0" fontId="61" fillId="3" borderId="93" xfId="0" applyFont="1" applyFill="1" applyBorder="1" applyAlignment="1">
      <alignment horizontal="left" vertical="top" wrapText="1"/>
    </xf>
    <xf numFmtId="0" fontId="61" fillId="3" borderId="92" xfId="0" applyFont="1" applyFill="1" applyBorder="1" applyAlignment="1">
      <alignment vertical="center" wrapText="1"/>
    </xf>
    <xf numFmtId="0" fontId="61" fillId="3" borderId="90" xfId="0" applyFont="1" applyFill="1" applyBorder="1" applyAlignment="1">
      <alignment vertical="center" wrapText="1"/>
    </xf>
    <xf numFmtId="0" fontId="61" fillId="3" borderId="93" xfId="0" applyFont="1" applyFill="1" applyBorder="1" applyAlignment="1">
      <alignment vertical="center" wrapText="1"/>
    </xf>
    <xf numFmtId="0" fontId="61" fillId="3" borderId="33" xfId="0" applyFont="1" applyFill="1" applyBorder="1" applyAlignment="1">
      <alignment horizontal="left" vertical="center" wrapText="1"/>
    </xf>
    <xf numFmtId="0" fontId="61" fillId="13" borderId="90" xfId="0" applyFont="1" applyFill="1" applyBorder="1" applyAlignment="1">
      <alignment horizontal="left" vertical="center" wrapText="1"/>
    </xf>
    <xf numFmtId="0" fontId="61" fillId="13" borderId="93" xfId="0" applyFont="1" applyFill="1" applyBorder="1" applyAlignment="1">
      <alignment horizontal="left" vertical="center" wrapText="1"/>
    </xf>
    <xf numFmtId="0" fontId="61" fillId="3" borderId="90" xfId="0" applyFont="1" applyFill="1" applyBorder="1" applyAlignment="1">
      <alignment horizontal="left" vertical="center" wrapText="1"/>
    </xf>
    <xf numFmtId="0" fontId="61" fillId="13" borderId="92" xfId="0" applyFont="1" applyFill="1" applyBorder="1" applyAlignment="1">
      <alignment horizontal="left" wrapText="1"/>
    </xf>
    <xf numFmtId="0" fontId="61" fillId="13" borderId="93" xfId="0" applyFont="1" applyFill="1" applyBorder="1" applyAlignment="1">
      <alignment horizontal="left" wrapText="1"/>
    </xf>
    <xf numFmtId="0" fontId="66" fillId="0" borderId="92" xfId="0" applyFont="1" applyBorder="1" applyAlignment="1" applyProtection="1">
      <alignment horizontal="left" vertical="center" wrapText="1"/>
      <protection locked="0"/>
    </xf>
    <xf numFmtId="0" fontId="38" fillId="0" borderId="90" xfId="0" applyFont="1" applyBorder="1" applyAlignment="1" applyProtection="1">
      <alignment horizontal="left" vertical="center" wrapText="1"/>
      <protection locked="0"/>
    </xf>
    <xf numFmtId="0" fontId="38" fillId="0" borderId="93" xfId="0" applyFont="1" applyBorder="1" applyAlignment="1" applyProtection="1">
      <alignment horizontal="left" vertical="center" wrapText="1"/>
      <protection locked="0"/>
    </xf>
    <xf numFmtId="0" fontId="65" fillId="17" borderId="33" xfId="0" applyFont="1" applyFill="1" applyBorder="1" applyAlignment="1">
      <alignment horizontal="center" vertical="center" wrapText="1"/>
    </xf>
    <xf numFmtId="0" fontId="65" fillId="17" borderId="92" xfId="0" applyFont="1" applyFill="1" applyBorder="1" applyAlignment="1">
      <alignment horizontal="center" vertical="center" wrapText="1"/>
    </xf>
    <xf numFmtId="0" fontId="65" fillId="17" borderId="90" xfId="0" applyFont="1" applyFill="1" applyBorder="1" applyAlignment="1">
      <alignment horizontal="center" vertical="center"/>
    </xf>
    <xf numFmtId="0" fontId="65" fillId="17" borderId="93" xfId="0" applyFont="1" applyFill="1" applyBorder="1" applyAlignment="1">
      <alignment horizontal="center" vertical="center"/>
    </xf>
    <xf numFmtId="0" fontId="68" fillId="3" borderId="93" xfId="0" applyFont="1" applyFill="1" applyBorder="1" applyAlignment="1">
      <alignment horizontal="left" vertical="center" wrapText="1"/>
    </xf>
    <xf numFmtId="0" fontId="61" fillId="3" borderId="90" xfId="0" applyFont="1" applyFill="1" applyBorder="1" applyAlignment="1">
      <alignment horizontal="center" vertical="center" wrapText="1"/>
    </xf>
    <xf numFmtId="0" fontId="66" fillId="0" borderId="33" xfId="0" applyFont="1" applyBorder="1" applyAlignment="1">
      <alignment horizontal="left" vertical="center" wrapText="1"/>
    </xf>
    <xf numFmtId="0" fontId="66" fillId="0" borderId="33" xfId="0" applyFont="1" applyBorder="1" applyAlignment="1">
      <alignment horizontal="left" vertical="center"/>
    </xf>
    <xf numFmtId="0" fontId="61" fillId="13" borderId="92" xfId="0" applyFont="1" applyFill="1" applyBorder="1" applyAlignment="1" applyProtection="1">
      <alignment horizontal="left" vertical="center" wrapText="1"/>
      <protection locked="0"/>
    </xf>
    <xf numFmtId="0" fontId="61" fillId="13" borderId="93" xfId="0" applyFont="1" applyFill="1" applyBorder="1" applyAlignment="1" applyProtection="1">
      <alignment horizontal="left" vertical="center" wrapText="1"/>
      <protection locked="0"/>
    </xf>
    <xf numFmtId="0" fontId="66" fillId="0" borderId="92" xfId="0" applyFont="1" applyBorder="1" applyAlignment="1" applyProtection="1">
      <alignment horizontal="left" vertical="center"/>
      <protection locked="0"/>
    </xf>
    <xf numFmtId="0" fontId="66" fillId="0" borderId="90" xfId="0" applyFont="1" applyBorder="1" applyAlignment="1" applyProtection="1">
      <alignment horizontal="left" vertical="center"/>
      <protection locked="0"/>
    </xf>
    <xf numFmtId="0" fontId="66" fillId="0" borderId="93" xfId="0" applyFont="1" applyBorder="1" applyAlignment="1" applyProtection="1">
      <alignment horizontal="left" vertical="center"/>
      <protection locked="0"/>
    </xf>
    <xf numFmtId="0" fontId="61" fillId="0" borderId="92" xfId="0" applyFont="1" applyBorder="1" applyAlignment="1" applyProtection="1">
      <alignment horizontal="left" vertical="center" wrapText="1"/>
      <protection locked="0"/>
    </xf>
    <xf numFmtId="0" fontId="61" fillId="0" borderId="93" xfId="0" applyFont="1" applyBorder="1" applyAlignment="1" applyProtection="1">
      <alignment horizontal="left" vertical="center" wrapText="1"/>
      <protection locked="0"/>
    </xf>
    <xf numFmtId="0" fontId="66" fillId="13" borderId="92" xfId="0" applyFont="1" applyFill="1" applyBorder="1" applyAlignment="1">
      <alignment horizontal="left" vertical="center" wrapText="1"/>
    </xf>
    <xf numFmtId="0" fontId="66" fillId="13" borderId="93" xfId="0" applyFont="1" applyFill="1" applyBorder="1" applyAlignment="1">
      <alignment horizontal="left" vertical="center" wrapText="1"/>
    </xf>
    <xf numFmtId="0" fontId="66" fillId="0" borderId="90" xfId="0" applyFont="1" applyBorder="1" applyAlignment="1">
      <alignment horizontal="left" vertical="center" wrapText="1"/>
    </xf>
    <xf numFmtId="0" fontId="66" fillId="3" borderId="33" xfId="0" applyFont="1" applyFill="1" applyBorder="1" applyAlignment="1">
      <alignment horizontal="left" vertical="center" wrapText="1"/>
    </xf>
    <xf numFmtId="0" fontId="60" fillId="0" borderId="12" xfId="0" applyFont="1" applyBorder="1" applyAlignment="1">
      <alignment horizontal="center" vertical="center" wrapText="1"/>
    </xf>
    <xf numFmtId="0" fontId="60" fillId="0" borderId="19" xfId="0" applyFont="1" applyBorder="1" applyAlignment="1">
      <alignment horizontal="center" vertical="center" wrapText="1"/>
    </xf>
    <xf numFmtId="0" fontId="60" fillId="0" borderId="83" xfId="0" applyFont="1" applyBorder="1" applyAlignment="1">
      <alignment horizontal="center" vertical="center" wrapText="1"/>
    </xf>
    <xf numFmtId="0" fontId="60" fillId="0" borderId="14" xfId="0" applyFont="1" applyBorder="1" applyAlignment="1">
      <alignment horizontal="center" vertical="center" wrapText="1"/>
    </xf>
    <xf numFmtId="0" fontId="60" fillId="0" borderId="0" xfId="0" applyFont="1" applyAlignment="1">
      <alignment horizontal="center" vertical="center" wrapText="1"/>
    </xf>
    <xf numFmtId="0" fontId="60" fillId="0" borderId="86" xfId="0" applyFont="1" applyBorder="1" applyAlignment="1">
      <alignment horizontal="center" vertical="center" wrapText="1"/>
    </xf>
    <xf numFmtId="0" fontId="61" fillId="0" borderId="84" xfId="0" applyFont="1" applyBorder="1" applyAlignment="1">
      <alignment horizontal="left" vertical="center" wrapText="1"/>
    </xf>
    <xf numFmtId="0" fontId="61" fillId="0" borderId="85" xfId="0" applyFont="1" applyBorder="1" applyAlignment="1">
      <alignment horizontal="center" vertical="center" wrapText="1"/>
    </xf>
    <xf numFmtId="0" fontId="61" fillId="0" borderId="87" xfId="0" applyFont="1" applyBorder="1" applyAlignment="1">
      <alignment horizontal="center" vertical="center" wrapText="1"/>
    </xf>
    <xf numFmtId="0" fontId="61" fillId="0" borderId="43" xfId="0" applyFont="1" applyBorder="1" applyAlignment="1">
      <alignment horizontal="center" vertical="center" wrapText="1"/>
    </xf>
    <xf numFmtId="0" fontId="62" fillId="0" borderId="0" xfId="0" applyFont="1" applyAlignment="1">
      <alignment horizontal="center" vertical="center" wrapText="1"/>
    </xf>
    <xf numFmtId="0" fontId="61" fillId="0" borderId="33" xfId="0" applyFont="1" applyBorder="1" applyAlignment="1">
      <alignment horizontal="left" vertical="center" wrapText="1"/>
    </xf>
    <xf numFmtId="0" fontId="60" fillId="0" borderId="68" xfId="0" applyFont="1" applyBorder="1" applyAlignment="1">
      <alignment horizontal="center" vertical="center" wrapText="1"/>
    </xf>
    <xf numFmtId="0" fontId="60" fillId="0" borderId="69" xfId="0" applyFont="1" applyBorder="1" applyAlignment="1">
      <alignment horizontal="center" vertical="center" wrapText="1"/>
    </xf>
    <xf numFmtId="0" fontId="60" fillId="0" borderId="88" xfId="0" applyFont="1" applyBorder="1" applyAlignment="1">
      <alignment horizontal="center" vertical="center" wrapText="1"/>
    </xf>
    <xf numFmtId="0" fontId="66" fillId="0" borderId="92" xfId="0" applyFont="1" applyBorder="1" applyAlignment="1" applyProtection="1">
      <alignment horizontal="center" vertical="center" wrapText="1"/>
      <protection locked="0"/>
    </xf>
    <xf numFmtId="0" fontId="66" fillId="0" borderId="90" xfId="0" applyFont="1" applyBorder="1" applyAlignment="1" applyProtection="1">
      <alignment horizontal="center" vertical="center" wrapText="1"/>
      <protection locked="0"/>
    </xf>
    <xf numFmtId="0" fontId="66" fillId="0" borderId="93" xfId="0" applyFont="1" applyBorder="1" applyAlignment="1" applyProtection="1">
      <alignment horizontal="center" vertical="center" wrapText="1"/>
      <protection locked="0"/>
    </xf>
    <xf numFmtId="0" fontId="63" fillId="0" borderId="89" xfId="0" applyFont="1" applyBorder="1" applyAlignment="1">
      <alignment horizontal="left" vertical="center" wrapText="1"/>
    </xf>
    <xf numFmtId="0" fontId="63" fillId="0" borderId="90" xfId="0" applyFont="1" applyBorder="1" applyAlignment="1">
      <alignment horizontal="left" vertical="center" wrapText="1"/>
    </xf>
    <xf numFmtId="0" fontId="63" fillId="0" borderId="91" xfId="0" applyFont="1" applyBorder="1" applyAlignment="1">
      <alignment horizontal="left" vertical="center" wrapText="1"/>
    </xf>
    <xf numFmtId="0" fontId="61" fillId="16" borderId="51" xfId="0" applyFont="1" applyFill="1" applyBorder="1" applyAlignment="1">
      <alignment horizontal="left" vertical="center" wrapText="1"/>
    </xf>
    <xf numFmtId="0" fontId="61" fillId="16" borderId="52" xfId="0" applyFont="1" applyFill="1" applyBorder="1" applyAlignment="1">
      <alignment horizontal="left" vertical="center" wrapText="1"/>
    </xf>
    <xf numFmtId="0" fontId="61" fillId="16" borderId="53" xfId="0" applyFont="1" applyFill="1" applyBorder="1" applyAlignment="1">
      <alignment horizontal="left" vertical="center" wrapText="1"/>
    </xf>
    <xf numFmtId="0" fontId="61" fillId="16" borderId="16" xfId="0" applyFont="1" applyFill="1" applyBorder="1" applyAlignment="1">
      <alignment horizontal="left" vertical="center" wrapText="1"/>
    </xf>
    <xf numFmtId="0" fontId="61" fillId="16" borderId="18" xfId="0" applyFont="1" applyFill="1" applyBorder="1" applyAlignment="1">
      <alignment horizontal="left" vertical="center" wrapText="1"/>
    </xf>
    <xf numFmtId="0" fontId="61" fillId="16" borderId="17" xfId="0" applyFont="1" applyFill="1" applyBorder="1" applyAlignment="1">
      <alignment horizontal="left" vertical="center" wrapText="1"/>
    </xf>
    <xf numFmtId="0" fontId="64" fillId="17" borderId="33" xfId="0" applyFont="1" applyFill="1" applyBorder="1" applyAlignment="1">
      <alignment horizontal="center" vertical="center" wrapText="1"/>
    </xf>
    <xf numFmtId="0" fontId="65" fillId="17" borderId="90" xfId="0" applyFont="1" applyFill="1" applyBorder="1" applyAlignment="1">
      <alignment horizontal="center" vertical="center" wrapText="1"/>
    </xf>
    <xf numFmtId="0" fontId="65" fillId="17" borderId="93" xfId="0" applyFont="1" applyFill="1" applyBorder="1" applyAlignment="1">
      <alignment horizontal="center" vertical="center" wrapText="1"/>
    </xf>
    <xf numFmtId="0" fontId="65" fillId="17" borderId="92" xfId="0" applyFont="1" applyFill="1" applyBorder="1" applyAlignment="1">
      <alignment horizontal="center"/>
    </xf>
    <xf numFmtId="0" fontId="65" fillId="17" borderId="90" xfId="0" applyFont="1" applyFill="1" applyBorder="1" applyAlignment="1">
      <alignment horizontal="center"/>
    </xf>
    <xf numFmtId="0" fontId="65" fillId="17" borderId="93" xfId="0" applyFont="1" applyFill="1" applyBorder="1" applyAlignment="1">
      <alignment horizontal="center"/>
    </xf>
    <xf numFmtId="0" fontId="66" fillId="13" borderId="33" xfId="0" applyFont="1" applyFill="1" applyBorder="1" applyAlignment="1">
      <alignment horizontal="left"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5">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219574</xdr:colOff>
      <xdr:row>0</xdr:row>
      <xdr:rowOff>67862</xdr:rowOff>
    </xdr:from>
    <xdr:to>
      <xdr:col>9</xdr:col>
      <xdr:colOff>743449</xdr:colOff>
      <xdr:row>3</xdr:row>
      <xdr:rowOff>1187</xdr:rowOff>
    </xdr:to>
    <xdr:pic>
      <xdr:nvPicPr>
        <xdr:cNvPr id="2" name="1 Imagen" descr="logocapitalmusical">
          <a:extLst>
            <a:ext uri="{FF2B5EF4-FFF2-40B4-BE49-F238E27FC236}">
              <a16:creationId xmlns:a16="http://schemas.microsoft.com/office/drawing/2014/main" id="{878BB329-4AB9-41DD-A392-1804453502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06974" y="67862"/>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111331</xdr:colOff>
      <xdr:row>0</xdr:row>
      <xdr:rowOff>77931</xdr:rowOff>
    </xdr:from>
    <xdr:to>
      <xdr:col>2</xdr:col>
      <xdr:colOff>604157</xdr:colOff>
      <xdr:row>2</xdr:row>
      <xdr:rowOff>151750</xdr:rowOff>
    </xdr:to>
    <xdr:pic>
      <xdr:nvPicPr>
        <xdr:cNvPr id="3" name="2 Imagen" descr="logotipo alcaldia version para documentos word">
          <a:extLst>
            <a:ext uri="{FF2B5EF4-FFF2-40B4-BE49-F238E27FC236}">
              <a16:creationId xmlns:a16="http://schemas.microsoft.com/office/drawing/2014/main" id="{DDA81F71-F0B0-40FD-A030-0CEF9BD0EE5E}"/>
            </a:ext>
          </a:extLst>
        </xdr:cNvPr>
        <xdr:cNvPicPr/>
      </xdr:nvPicPr>
      <xdr:blipFill>
        <a:blip xmlns:r="http://schemas.openxmlformats.org/officeDocument/2006/relationships" r:embed="rId2"/>
        <a:srcRect/>
        <a:stretch>
          <a:fillRect/>
        </a:stretch>
      </xdr:blipFill>
      <xdr:spPr bwMode="auto">
        <a:xfrm>
          <a:off x="111331" y="77931"/>
          <a:ext cx="2016826" cy="6072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dofa%20mapa%20de%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1">
          <cell r="B1" t="str">
            <v xml:space="preserve">PROCESO: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7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4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34">
      <pivotArea type="all" dataOnly="0" outline="0" fieldPosition="0"/>
    </format>
    <format dxfId="33">
      <pivotArea field="0" type="button" dataOnly="0" labelOnly="1" outline="0" axis="axisRow" fieldPosition="0"/>
    </format>
    <format dxfId="32">
      <pivotArea field="1" type="button" dataOnly="0" labelOnly="1" outline="0" axis="axisRow" fieldPosition="1"/>
    </format>
    <format dxfId="31">
      <pivotArea dataOnly="0" labelOnly="1" outline="0" fieldPosition="0">
        <references count="1">
          <reference field="0" count="0"/>
        </references>
      </pivotArea>
    </format>
    <format dxfId="30">
      <pivotArea dataOnly="0" labelOnly="1" outline="0" fieldPosition="0">
        <references count="2">
          <reference field="0" count="1" selected="0">
            <x v="0"/>
          </reference>
          <reference field="1" count="5">
            <x v="0"/>
            <x v="6"/>
            <x v="7"/>
            <x v="8"/>
            <x v="9"/>
          </reference>
        </references>
      </pivotArea>
    </format>
    <format dxfId="29">
      <pivotArea dataOnly="0" labelOnly="1" outline="0" fieldPosition="0">
        <references count="2">
          <reference field="0" count="1" selected="0">
            <x v="1"/>
          </reference>
          <reference field="1" count="5">
            <x v="1"/>
            <x v="2"/>
            <x v="3"/>
            <x v="4"/>
            <x v="5"/>
          </reference>
        </references>
      </pivotArea>
    </format>
    <format dxfId="28">
      <pivotArea type="all" dataOnly="0" outline="0" fieldPosition="0"/>
    </format>
    <format dxfId="27">
      <pivotArea field="0" type="button" dataOnly="0" labelOnly="1" outline="0" axis="axisRow" fieldPosition="0"/>
    </format>
    <format dxfId="26">
      <pivotArea field="1" type="button" dataOnly="0" labelOnly="1" outline="0" axis="axisRow" fieldPosition="1"/>
    </format>
    <format dxfId="25">
      <pivotArea dataOnly="0" labelOnly="1" outline="0" fieldPosition="0">
        <references count="1">
          <reference field="0" count="0"/>
        </references>
      </pivotArea>
    </format>
    <format dxfId="24">
      <pivotArea dataOnly="0" labelOnly="1" outline="0" fieldPosition="0">
        <references count="2">
          <reference field="0" count="1" selected="0">
            <x v="0"/>
          </reference>
          <reference field="1" count="5">
            <x v="10"/>
            <x v="11"/>
            <x v="12"/>
            <x v="13"/>
            <x v="14"/>
          </reference>
        </references>
      </pivotArea>
    </format>
    <format dxfId="23">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2" dataDxfId="21">
  <autoFilter ref="B209:C219" xr:uid="{00000000-0009-0000-0100-000001000000}"/>
  <tableColumns count="2">
    <tableColumn id="1" xr3:uid="{00000000-0010-0000-0000-000001000000}" name="Criterios" dataDxfId="20"/>
    <tableColumn id="2" xr3:uid="{00000000-0010-0000-0000-000002000000}" name="Subcriterios" dataDxfId="1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9" zoomScaleNormal="100" workbookViewId="0">
      <selection activeCell="B4" sqref="B4:H5"/>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214" t="s">
        <v>154</v>
      </c>
      <c r="C2" s="215"/>
      <c r="D2" s="215"/>
      <c r="E2" s="215"/>
      <c r="F2" s="215"/>
      <c r="G2" s="215"/>
      <c r="H2" s="216"/>
    </row>
    <row r="3" spans="2:8" x14ac:dyDescent="0.3">
      <c r="B3" s="68"/>
      <c r="C3" s="69"/>
      <c r="D3" s="69"/>
      <c r="E3" s="69"/>
      <c r="F3" s="69"/>
      <c r="G3" s="69"/>
      <c r="H3" s="70"/>
    </row>
    <row r="4" spans="2:8" ht="63" customHeight="1" x14ac:dyDescent="0.3">
      <c r="B4" s="217" t="s">
        <v>197</v>
      </c>
      <c r="C4" s="218"/>
      <c r="D4" s="218"/>
      <c r="E4" s="218"/>
      <c r="F4" s="218"/>
      <c r="G4" s="218"/>
      <c r="H4" s="219"/>
    </row>
    <row r="5" spans="2:8" ht="63" customHeight="1" x14ac:dyDescent="0.3">
      <c r="B5" s="220"/>
      <c r="C5" s="221"/>
      <c r="D5" s="221"/>
      <c r="E5" s="221"/>
      <c r="F5" s="221"/>
      <c r="G5" s="221"/>
      <c r="H5" s="222"/>
    </row>
    <row r="6" spans="2:8" x14ac:dyDescent="0.3">
      <c r="B6" s="223" t="s">
        <v>152</v>
      </c>
      <c r="C6" s="224"/>
      <c r="D6" s="224"/>
      <c r="E6" s="224"/>
      <c r="F6" s="224"/>
      <c r="G6" s="224"/>
      <c r="H6" s="225"/>
    </row>
    <row r="7" spans="2:8" ht="95.25" customHeight="1" x14ac:dyDescent="0.3">
      <c r="B7" s="233" t="s">
        <v>157</v>
      </c>
      <c r="C7" s="234"/>
      <c r="D7" s="234"/>
      <c r="E7" s="234"/>
      <c r="F7" s="234"/>
      <c r="G7" s="234"/>
      <c r="H7" s="235"/>
    </row>
    <row r="8" spans="2:8" x14ac:dyDescent="0.3">
      <c r="B8" s="102"/>
      <c r="C8" s="103"/>
      <c r="D8" s="103"/>
      <c r="E8" s="103"/>
      <c r="F8" s="103"/>
      <c r="G8" s="103"/>
      <c r="H8" s="104"/>
    </row>
    <row r="9" spans="2:8" ht="16.5" customHeight="1" x14ac:dyDescent="0.3">
      <c r="B9" s="226" t="s">
        <v>190</v>
      </c>
      <c r="C9" s="227"/>
      <c r="D9" s="227"/>
      <c r="E9" s="227"/>
      <c r="F9" s="227"/>
      <c r="G9" s="227"/>
      <c r="H9" s="228"/>
    </row>
    <row r="10" spans="2:8" ht="44.25" customHeight="1" x14ac:dyDescent="0.3">
      <c r="B10" s="226"/>
      <c r="C10" s="227"/>
      <c r="D10" s="227"/>
      <c r="E10" s="227"/>
      <c r="F10" s="227"/>
      <c r="G10" s="227"/>
      <c r="H10" s="228"/>
    </row>
    <row r="11" spans="2:8" ht="15" thickBot="1" x14ac:dyDescent="0.35">
      <c r="B11" s="91"/>
      <c r="C11" s="94"/>
      <c r="D11" s="99"/>
      <c r="E11" s="100"/>
      <c r="F11" s="100"/>
      <c r="G11" s="101"/>
      <c r="H11" s="95"/>
    </row>
    <row r="12" spans="2:8" ht="15" thickTop="1" x14ac:dyDescent="0.3">
      <c r="B12" s="91"/>
      <c r="C12" s="229" t="s">
        <v>153</v>
      </c>
      <c r="D12" s="230"/>
      <c r="E12" s="231" t="s">
        <v>191</v>
      </c>
      <c r="F12" s="232"/>
      <c r="G12" s="94"/>
      <c r="H12" s="95"/>
    </row>
    <row r="13" spans="2:8" ht="35.25" customHeight="1" x14ac:dyDescent="0.3">
      <c r="B13" s="91"/>
      <c r="C13" s="199" t="s">
        <v>184</v>
      </c>
      <c r="D13" s="200"/>
      <c r="E13" s="201" t="s">
        <v>189</v>
      </c>
      <c r="F13" s="202"/>
      <c r="G13" s="94"/>
      <c r="H13" s="95"/>
    </row>
    <row r="14" spans="2:8" ht="17.25" customHeight="1" x14ac:dyDescent="0.3">
      <c r="B14" s="91"/>
      <c r="C14" s="199" t="s">
        <v>185</v>
      </c>
      <c r="D14" s="200"/>
      <c r="E14" s="201" t="s">
        <v>187</v>
      </c>
      <c r="F14" s="202"/>
      <c r="G14" s="94"/>
      <c r="H14" s="95"/>
    </row>
    <row r="15" spans="2:8" ht="19.5" customHeight="1" x14ac:dyDescent="0.3">
      <c r="B15" s="91"/>
      <c r="C15" s="199" t="s">
        <v>186</v>
      </c>
      <c r="D15" s="200"/>
      <c r="E15" s="201" t="s">
        <v>188</v>
      </c>
      <c r="F15" s="202"/>
      <c r="G15" s="94"/>
      <c r="H15" s="95"/>
    </row>
    <row r="16" spans="2:8" ht="69.75" customHeight="1" x14ac:dyDescent="0.3">
      <c r="B16" s="91"/>
      <c r="C16" s="199" t="s">
        <v>155</v>
      </c>
      <c r="D16" s="200"/>
      <c r="E16" s="201" t="s">
        <v>156</v>
      </c>
      <c r="F16" s="202"/>
      <c r="G16" s="94"/>
      <c r="H16" s="95"/>
    </row>
    <row r="17" spans="2:8" ht="34.5" customHeight="1" x14ac:dyDescent="0.3">
      <c r="B17" s="91"/>
      <c r="C17" s="205" t="s">
        <v>2</v>
      </c>
      <c r="D17" s="206"/>
      <c r="E17" s="203" t="s">
        <v>198</v>
      </c>
      <c r="F17" s="204"/>
      <c r="G17" s="94"/>
      <c r="H17" s="95"/>
    </row>
    <row r="18" spans="2:8" ht="27.75" customHeight="1" x14ac:dyDescent="0.3">
      <c r="B18" s="91"/>
      <c r="C18" s="205" t="s">
        <v>3</v>
      </c>
      <c r="D18" s="206"/>
      <c r="E18" s="203" t="s">
        <v>199</v>
      </c>
      <c r="F18" s="204"/>
      <c r="G18" s="94"/>
      <c r="H18" s="95"/>
    </row>
    <row r="19" spans="2:8" ht="28.5" customHeight="1" x14ac:dyDescent="0.3">
      <c r="B19" s="91"/>
      <c r="C19" s="205" t="s">
        <v>41</v>
      </c>
      <c r="D19" s="206"/>
      <c r="E19" s="203" t="s">
        <v>200</v>
      </c>
      <c r="F19" s="204"/>
      <c r="G19" s="94"/>
      <c r="H19" s="95"/>
    </row>
    <row r="20" spans="2:8" ht="72.75" customHeight="1" x14ac:dyDescent="0.3">
      <c r="B20" s="91"/>
      <c r="C20" s="205" t="s">
        <v>1</v>
      </c>
      <c r="D20" s="206"/>
      <c r="E20" s="203" t="s">
        <v>201</v>
      </c>
      <c r="F20" s="204"/>
      <c r="G20" s="94"/>
      <c r="H20" s="95"/>
    </row>
    <row r="21" spans="2:8" ht="64.5" customHeight="1" x14ac:dyDescent="0.3">
      <c r="B21" s="91"/>
      <c r="C21" s="205" t="s">
        <v>49</v>
      </c>
      <c r="D21" s="206"/>
      <c r="E21" s="203" t="s">
        <v>159</v>
      </c>
      <c r="F21" s="204"/>
      <c r="G21" s="94"/>
      <c r="H21" s="95"/>
    </row>
    <row r="22" spans="2:8" ht="71.25" customHeight="1" x14ac:dyDescent="0.3">
      <c r="B22" s="91"/>
      <c r="C22" s="205" t="s">
        <v>158</v>
      </c>
      <c r="D22" s="206"/>
      <c r="E22" s="203" t="s">
        <v>160</v>
      </c>
      <c r="F22" s="204"/>
      <c r="G22" s="94"/>
      <c r="H22" s="95"/>
    </row>
    <row r="23" spans="2:8" ht="55.5" customHeight="1" x14ac:dyDescent="0.3">
      <c r="B23" s="91"/>
      <c r="C23" s="197" t="s">
        <v>161</v>
      </c>
      <c r="D23" s="198"/>
      <c r="E23" s="195" t="s">
        <v>162</v>
      </c>
      <c r="F23" s="196"/>
      <c r="G23" s="94"/>
      <c r="H23" s="95"/>
    </row>
    <row r="24" spans="2:8" ht="42" customHeight="1" x14ac:dyDescent="0.3">
      <c r="B24" s="91"/>
      <c r="C24" s="197" t="s">
        <v>47</v>
      </c>
      <c r="D24" s="198"/>
      <c r="E24" s="195" t="s">
        <v>163</v>
      </c>
      <c r="F24" s="196"/>
      <c r="G24" s="94"/>
      <c r="H24" s="95"/>
    </row>
    <row r="25" spans="2:8" ht="59.25" customHeight="1" x14ac:dyDescent="0.3">
      <c r="B25" s="91"/>
      <c r="C25" s="197" t="s">
        <v>151</v>
      </c>
      <c r="D25" s="198"/>
      <c r="E25" s="203" t="s">
        <v>164</v>
      </c>
      <c r="F25" s="204"/>
      <c r="G25" s="94"/>
      <c r="H25" s="95"/>
    </row>
    <row r="26" spans="2:8" ht="23.25" customHeight="1" x14ac:dyDescent="0.3">
      <c r="B26" s="91"/>
      <c r="C26" s="197" t="s">
        <v>12</v>
      </c>
      <c r="D26" s="198"/>
      <c r="E26" s="195" t="s">
        <v>165</v>
      </c>
      <c r="F26" s="196"/>
      <c r="G26" s="94"/>
      <c r="H26" s="95"/>
    </row>
    <row r="27" spans="2:8" ht="30.75" customHeight="1" x14ac:dyDescent="0.3">
      <c r="B27" s="91"/>
      <c r="C27" s="197" t="s">
        <v>169</v>
      </c>
      <c r="D27" s="198"/>
      <c r="E27" s="195" t="s">
        <v>166</v>
      </c>
      <c r="F27" s="196"/>
      <c r="G27" s="94"/>
      <c r="H27" s="95"/>
    </row>
    <row r="28" spans="2:8" ht="35.25" customHeight="1" x14ac:dyDescent="0.3">
      <c r="B28" s="91"/>
      <c r="C28" s="197" t="s">
        <v>170</v>
      </c>
      <c r="D28" s="198"/>
      <c r="E28" s="195" t="s">
        <v>167</v>
      </c>
      <c r="F28" s="196"/>
      <c r="G28" s="94"/>
      <c r="H28" s="95"/>
    </row>
    <row r="29" spans="2:8" ht="33" customHeight="1" x14ac:dyDescent="0.3">
      <c r="B29" s="91"/>
      <c r="C29" s="197" t="s">
        <v>170</v>
      </c>
      <c r="D29" s="198"/>
      <c r="E29" s="195" t="s">
        <v>167</v>
      </c>
      <c r="F29" s="196"/>
      <c r="G29" s="94"/>
      <c r="H29" s="95"/>
    </row>
    <row r="30" spans="2:8" ht="30" customHeight="1" x14ac:dyDescent="0.3">
      <c r="B30" s="91"/>
      <c r="C30" s="197" t="s">
        <v>171</v>
      </c>
      <c r="D30" s="198"/>
      <c r="E30" s="195" t="s">
        <v>168</v>
      </c>
      <c r="F30" s="196"/>
      <c r="G30" s="94"/>
      <c r="H30" s="95"/>
    </row>
    <row r="31" spans="2:8" ht="35.25" customHeight="1" x14ac:dyDescent="0.3">
      <c r="B31" s="91"/>
      <c r="C31" s="197" t="s">
        <v>172</v>
      </c>
      <c r="D31" s="198"/>
      <c r="E31" s="195" t="s">
        <v>173</v>
      </c>
      <c r="F31" s="196"/>
      <c r="G31" s="94"/>
      <c r="H31" s="95"/>
    </row>
    <row r="32" spans="2:8" ht="31.5" customHeight="1" x14ac:dyDescent="0.3">
      <c r="B32" s="91"/>
      <c r="C32" s="197" t="s">
        <v>174</v>
      </c>
      <c r="D32" s="198"/>
      <c r="E32" s="195" t="s">
        <v>175</v>
      </c>
      <c r="F32" s="196"/>
      <c r="G32" s="94"/>
      <c r="H32" s="95"/>
    </row>
    <row r="33" spans="2:8" ht="35.25" customHeight="1" x14ac:dyDescent="0.3">
      <c r="B33" s="91"/>
      <c r="C33" s="197" t="s">
        <v>176</v>
      </c>
      <c r="D33" s="198"/>
      <c r="E33" s="195" t="s">
        <v>177</v>
      </c>
      <c r="F33" s="196"/>
      <c r="G33" s="94"/>
      <c r="H33" s="95"/>
    </row>
    <row r="34" spans="2:8" ht="59.25" customHeight="1" x14ac:dyDescent="0.3">
      <c r="B34" s="91"/>
      <c r="C34" s="197" t="s">
        <v>178</v>
      </c>
      <c r="D34" s="198"/>
      <c r="E34" s="195" t="s">
        <v>179</v>
      </c>
      <c r="F34" s="196"/>
      <c r="G34" s="94"/>
      <c r="H34" s="95"/>
    </row>
    <row r="35" spans="2:8" ht="29.25" customHeight="1" x14ac:dyDescent="0.3">
      <c r="B35" s="91"/>
      <c r="C35" s="197" t="s">
        <v>29</v>
      </c>
      <c r="D35" s="198"/>
      <c r="E35" s="195" t="s">
        <v>180</v>
      </c>
      <c r="F35" s="196"/>
      <c r="G35" s="94"/>
      <c r="H35" s="95"/>
    </row>
    <row r="36" spans="2:8" ht="82.5" customHeight="1" x14ac:dyDescent="0.3">
      <c r="B36" s="91"/>
      <c r="C36" s="197" t="s">
        <v>182</v>
      </c>
      <c r="D36" s="198"/>
      <c r="E36" s="195" t="s">
        <v>181</v>
      </c>
      <c r="F36" s="196"/>
      <c r="G36" s="94"/>
      <c r="H36" s="95"/>
    </row>
    <row r="37" spans="2:8" ht="46.5" customHeight="1" x14ac:dyDescent="0.3">
      <c r="B37" s="91"/>
      <c r="C37" s="197" t="s">
        <v>38</v>
      </c>
      <c r="D37" s="198"/>
      <c r="E37" s="195" t="s">
        <v>183</v>
      </c>
      <c r="F37" s="196"/>
      <c r="G37" s="94"/>
      <c r="H37" s="95"/>
    </row>
    <row r="38" spans="2:8" ht="6.75" customHeight="1" thickBot="1" x14ac:dyDescent="0.35">
      <c r="B38" s="91"/>
      <c r="C38" s="210"/>
      <c r="D38" s="211"/>
      <c r="E38" s="212"/>
      <c r="F38" s="213"/>
      <c r="G38" s="94"/>
      <c r="H38" s="95"/>
    </row>
    <row r="39" spans="2:8" ht="15" thickTop="1" x14ac:dyDescent="0.3">
      <c r="B39" s="91"/>
      <c r="C39" s="92"/>
      <c r="D39" s="92"/>
      <c r="E39" s="93"/>
      <c r="F39" s="93"/>
      <c r="G39" s="94"/>
      <c r="H39" s="95"/>
    </row>
    <row r="40" spans="2:8" ht="21" customHeight="1" x14ac:dyDescent="0.3">
      <c r="B40" s="207" t="s">
        <v>192</v>
      </c>
      <c r="C40" s="208"/>
      <c r="D40" s="208"/>
      <c r="E40" s="208"/>
      <c r="F40" s="208"/>
      <c r="G40" s="208"/>
      <c r="H40" s="209"/>
    </row>
    <row r="41" spans="2:8" ht="20.25" customHeight="1" x14ac:dyDescent="0.3">
      <c r="B41" s="207" t="s">
        <v>193</v>
      </c>
      <c r="C41" s="208"/>
      <c r="D41" s="208"/>
      <c r="E41" s="208"/>
      <c r="F41" s="208"/>
      <c r="G41" s="208"/>
      <c r="H41" s="209"/>
    </row>
    <row r="42" spans="2:8" ht="20.25" customHeight="1" x14ac:dyDescent="0.3">
      <c r="B42" s="207" t="s">
        <v>194</v>
      </c>
      <c r="C42" s="208"/>
      <c r="D42" s="208"/>
      <c r="E42" s="208"/>
      <c r="F42" s="208"/>
      <c r="G42" s="208"/>
      <c r="H42" s="209"/>
    </row>
    <row r="43" spans="2:8" ht="20.25" customHeight="1" x14ac:dyDescent="0.3">
      <c r="B43" s="207" t="s">
        <v>195</v>
      </c>
      <c r="C43" s="208"/>
      <c r="D43" s="208"/>
      <c r="E43" s="208"/>
      <c r="F43" s="208"/>
      <c r="G43" s="208"/>
      <c r="H43" s="209"/>
    </row>
    <row r="44" spans="2:8" x14ac:dyDescent="0.3">
      <c r="B44" s="207" t="s">
        <v>196</v>
      </c>
      <c r="C44" s="208"/>
      <c r="D44" s="208"/>
      <c r="E44" s="208"/>
      <c r="F44" s="208"/>
      <c r="G44" s="208"/>
      <c r="H44" s="209"/>
    </row>
    <row r="45" spans="2:8" ht="15" thickBot="1" x14ac:dyDescent="0.35">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heetViews>
  <sheetFormatPr baseColWidth="10" defaultRowHeight="14.4" x14ac:dyDescent="0.3"/>
  <sheetData>
    <row r="2" spans="2:5" x14ac:dyDescent="0.3">
      <c r="B2" t="s">
        <v>31</v>
      </c>
      <c r="E2" t="s">
        <v>127</v>
      </c>
    </row>
    <row r="3" spans="2:5" x14ac:dyDescent="0.3">
      <c r="B3" t="s">
        <v>32</v>
      </c>
      <c r="E3" t="s">
        <v>126</v>
      </c>
    </row>
    <row r="4" spans="2:5" x14ac:dyDescent="0.3">
      <c r="B4" t="s">
        <v>131</v>
      </c>
      <c r="E4" t="s">
        <v>128</v>
      </c>
    </row>
    <row r="5" spans="2:5" x14ac:dyDescent="0.3">
      <c r="B5" t="s">
        <v>130</v>
      </c>
    </row>
    <row r="8" spans="2:5" x14ac:dyDescent="0.3">
      <c r="B8" t="s">
        <v>84</v>
      </c>
    </row>
    <row r="9" spans="2:5" x14ac:dyDescent="0.3">
      <c r="B9" t="s">
        <v>39</v>
      </c>
    </row>
    <row r="10" spans="2:5" x14ac:dyDescent="0.3">
      <c r="B10" t="s">
        <v>40</v>
      </c>
    </row>
    <row r="13" spans="2:5" x14ac:dyDescent="0.3">
      <c r="B13" t="s">
        <v>123</v>
      </c>
    </row>
    <row r="14" spans="2:5" x14ac:dyDescent="0.3">
      <c r="B14" t="s">
        <v>117</v>
      </c>
    </row>
    <row r="15" spans="2:5" x14ac:dyDescent="0.3">
      <c r="B15" t="s">
        <v>120</v>
      </c>
    </row>
    <row r="16" spans="2:5" x14ac:dyDescent="0.3">
      <c r="B16" t="s">
        <v>118</v>
      </c>
    </row>
    <row r="17" spans="2:2" x14ac:dyDescent="0.3">
      <c r="B17" t="s">
        <v>119</v>
      </c>
    </row>
    <row r="18" spans="2:2" x14ac:dyDescent="0.3">
      <c r="B18" t="s">
        <v>121</v>
      </c>
    </row>
    <row r="19" spans="2:2" x14ac:dyDescent="0.3">
      <c r="B19" t="s">
        <v>122</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39</v>
      </c>
    </row>
    <row r="21" spans="1:1" x14ac:dyDescent="0.3">
      <c r="A21" s="10"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S43"/>
  <sheetViews>
    <sheetView tabSelected="1" topLeftCell="S1" zoomScale="70" zoomScaleNormal="70" workbookViewId="0">
      <selection activeCell="AL23" sqref="AL23"/>
    </sheetView>
  </sheetViews>
  <sheetFormatPr baseColWidth="10" defaultColWidth="11.44140625" defaultRowHeight="13.8" x14ac:dyDescent="0.25"/>
  <cols>
    <col min="1" max="1" width="4" style="2" bestFit="1" customWidth="1"/>
    <col min="2" max="3" width="14.109375" style="2" customWidth="1"/>
    <col min="4" max="4" width="16.109375" style="2" customWidth="1"/>
    <col min="5" max="5" width="30.33203125" style="2" customWidth="1"/>
    <col min="6" max="8" width="35" style="1" customWidth="1"/>
    <col min="9" max="9" width="18.109375" style="5" customWidth="1"/>
    <col min="10" max="10" width="14.33203125" style="1" customWidth="1"/>
    <col min="11" max="11" width="12" style="1" customWidth="1"/>
    <col min="12" max="12" width="16.5546875" style="1" customWidth="1"/>
    <col min="13" max="13" width="24.44140625" style="1" bestFit="1" customWidth="1"/>
    <col min="14" max="14" width="28.33203125" style="1" hidden="1" customWidth="1"/>
    <col min="15" max="15" width="17.5546875" style="1" customWidth="1"/>
    <col min="16" max="17" width="16" style="1" customWidth="1"/>
    <col min="18" max="18" width="5.88671875" style="1" customWidth="1"/>
    <col min="19" max="19" width="65.33203125" style="1" customWidth="1"/>
    <col min="20" max="20" width="15.109375" style="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customWidth="1"/>
    <col min="27" max="27" width="38.5546875" style="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27" style="1" customWidth="1"/>
    <col min="35" max="35" width="18.88671875" style="1" customWidth="1"/>
    <col min="36" max="36" width="21.109375" style="1" customWidth="1"/>
    <col min="37" max="37" width="23.33203125" style="1" customWidth="1"/>
    <col min="38" max="38" width="69.88671875" style="1" customWidth="1"/>
    <col min="39" max="39" width="21" style="1" customWidth="1"/>
    <col min="40" max="16384" width="11.44140625" style="1"/>
  </cols>
  <sheetData>
    <row r="1" spans="1:71" x14ac:dyDescent="0.25">
      <c r="A1" s="236" t="s">
        <v>138</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x14ac:dyDescent="0.25">
      <c r="A2" s="239"/>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1"/>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ht="23.4" x14ac:dyDescent="0.25">
      <c r="A4" s="277" t="s">
        <v>42</v>
      </c>
      <c r="B4" s="278"/>
      <c r="C4" s="289" t="s">
        <v>214</v>
      </c>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71" ht="59.1" customHeight="1" x14ac:dyDescent="0.25">
      <c r="A5" s="277" t="s">
        <v>124</v>
      </c>
      <c r="B5" s="278"/>
      <c r="C5" s="300" t="s">
        <v>215</v>
      </c>
      <c r="D5" s="301"/>
      <c r="E5" s="301"/>
      <c r="F5" s="301"/>
      <c r="G5" s="301"/>
      <c r="H5" s="301"/>
      <c r="I5" s="301"/>
      <c r="J5" s="301"/>
      <c r="K5" s="301"/>
      <c r="L5" s="301"/>
      <c r="M5" s="301"/>
      <c r="N5" s="301"/>
      <c r="O5" s="301"/>
      <c r="P5" s="301"/>
      <c r="Q5" s="301"/>
      <c r="R5" s="165"/>
      <c r="S5" s="165"/>
      <c r="T5" s="165"/>
      <c r="U5" s="165"/>
      <c r="V5" s="165"/>
      <c r="W5" s="165"/>
      <c r="X5" s="165"/>
      <c r="Y5" s="165"/>
      <c r="Z5" s="165"/>
      <c r="AA5" s="165"/>
      <c r="AB5" s="165"/>
      <c r="AC5" s="165"/>
      <c r="AD5" s="165"/>
      <c r="AE5" s="165"/>
      <c r="AF5" s="165"/>
      <c r="AG5" s="165"/>
      <c r="AH5" s="165"/>
      <c r="AI5" s="165"/>
      <c r="AJ5" s="165"/>
      <c r="AK5" s="165"/>
      <c r="AL5" s="165"/>
      <c r="AM5" s="166"/>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66.599999999999994" customHeight="1" x14ac:dyDescent="0.25">
      <c r="A6" s="277" t="s">
        <v>43</v>
      </c>
      <c r="B6" s="278"/>
      <c r="C6" s="300" t="s">
        <v>216</v>
      </c>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c r="AM6" s="31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x14ac:dyDescent="0.25">
      <c r="A7" s="242" t="s">
        <v>133</v>
      </c>
      <c r="B7" s="243"/>
      <c r="C7" s="244"/>
      <c r="D7" s="244"/>
      <c r="E7" s="244"/>
      <c r="F7" s="244"/>
      <c r="G7" s="244"/>
      <c r="H7" s="244"/>
      <c r="I7" s="244"/>
      <c r="J7" s="245"/>
      <c r="K7" s="246" t="s">
        <v>134</v>
      </c>
      <c r="L7" s="244"/>
      <c r="M7" s="244"/>
      <c r="N7" s="244"/>
      <c r="O7" s="244"/>
      <c r="P7" s="244"/>
      <c r="Q7" s="245"/>
      <c r="R7" s="246" t="s">
        <v>135</v>
      </c>
      <c r="S7" s="244"/>
      <c r="T7" s="244"/>
      <c r="U7" s="244"/>
      <c r="V7" s="244"/>
      <c r="W7" s="244"/>
      <c r="X7" s="244"/>
      <c r="Y7" s="244"/>
      <c r="Z7" s="245"/>
      <c r="AA7" s="246" t="s">
        <v>136</v>
      </c>
      <c r="AB7" s="244"/>
      <c r="AC7" s="244"/>
      <c r="AD7" s="244"/>
      <c r="AE7" s="244"/>
      <c r="AF7" s="244"/>
      <c r="AG7" s="245"/>
      <c r="AH7" s="246" t="s">
        <v>34</v>
      </c>
      <c r="AI7" s="244"/>
      <c r="AJ7" s="244"/>
      <c r="AK7" s="244"/>
      <c r="AL7" s="244"/>
      <c r="AM7" s="245"/>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4.1" customHeight="1" x14ac:dyDescent="0.25">
      <c r="A8" s="279" t="s">
        <v>0</v>
      </c>
      <c r="B8" s="312" t="s">
        <v>2</v>
      </c>
      <c r="C8" s="282" t="s">
        <v>3</v>
      </c>
      <c r="D8" s="282" t="s">
        <v>41</v>
      </c>
      <c r="E8" s="281" t="s">
        <v>202</v>
      </c>
      <c r="F8" s="283" t="s">
        <v>1</v>
      </c>
      <c r="G8" s="143"/>
      <c r="H8" s="143"/>
      <c r="I8" s="281" t="s">
        <v>49</v>
      </c>
      <c r="J8" s="282" t="s">
        <v>129</v>
      </c>
      <c r="K8" s="311" t="s">
        <v>33</v>
      </c>
      <c r="L8" s="296" t="s">
        <v>5</v>
      </c>
      <c r="M8" s="281" t="s">
        <v>85</v>
      </c>
      <c r="N8" s="281" t="s">
        <v>90</v>
      </c>
      <c r="O8" s="297" t="s">
        <v>44</v>
      </c>
      <c r="P8" s="296" t="s">
        <v>5</v>
      </c>
      <c r="Q8" s="282" t="s">
        <v>47</v>
      </c>
      <c r="R8" s="286" t="s">
        <v>11</v>
      </c>
      <c r="S8" s="285" t="s">
        <v>151</v>
      </c>
      <c r="T8" s="281" t="s">
        <v>12</v>
      </c>
      <c r="U8" s="285" t="s">
        <v>8</v>
      </c>
      <c r="V8" s="285"/>
      <c r="W8" s="285"/>
      <c r="X8" s="285"/>
      <c r="Y8" s="285"/>
      <c r="Z8" s="285"/>
      <c r="AA8" s="288" t="s">
        <v>132</v>
      </c>
      <c r="AB8" s="288" t="s">
        <v>45</v>
      </c>
      <c r="AC8" s="288" t="s">
        <v>5</v>
      </c>
      <c r="AD8" s="288" t="s">
        <v>46</v>
      </c>
      <c r="AE8" s="288" t="s">
        <v>5</v>
      </c>
      <c r="AF8" s="288" t="s">
        <v>48</v>
      </c>
      <c r="AG8" s="286" t="s">
        <v>29</v>
      </c>
      <c r="AH8" s="285" t="s">
        <v>34</v>
      </c>
      <c r="AI8" s="285" t="s">
        <v>35</v>
      </c>
      <c r="AJ8" s="285" t="s">
        <v>36</v>
      </c>
      <c r="AK8" s="285" t="s">
        <v>37</v>
      </c>
      <c r="AL8" s="285" t="s">
        <v>364</v>
      </c>
      <c r="AM8" s="285" t="s">
        <v>38</v>
      </c>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s="4" customFormat="1" ht="70.2" x14ac:dyDescent="0.3">
      <c r="A9" s="280"/>
      <c r="B9" s="312"/>
      <c r="C9" s="285"/>
      <c r="D9" s="285"/>
      <c r="E9" s="311"/>
      <c r="F9" s="284"/>
      <c r="G9" s="143" t="s">
        <v>340</v>
      </c>
      <c r="H9" s="143" t="s">
        <v>203</v>
      </c>
      <c r="I9" s="282"/>
      <c r="J9" s="285"/>
      <c r="K9" s="282"/>
      <c r="L9" s="246"/>
      <c r="M9" s="282"/>
      <c r="N9" s="282"/>
      <c r="O9" s="246"/>
      <c r="P9" s="246"/>
      <c r="Q9" s="285"/>
      <c r="R9" s="287"/>
      <c r="S9" s="285"/>
      <c r="T9" s="282"/>
      <c r="U9" s="7" t="s">
        <v>13</v>
      </c>
      <c r="V9" s="7" t="s">
        <v>17</v>
      </c>
      <c r="W9" s="7" t="s">
        <v>28</v>
      </c>
      <c r="X9" s="7" t="s">
        <v>18</v>
      </c>
      <c r="Y9" s="7" t="s">
        <v>21</v>
      </c>
      <c r="Z9" s="7" t="s">
        <v>24</v>
      </c>
      <c r="AA9" s="288"/>
      <c r="AB9" s="288"/>
      <c r="AC9" s="288"/>
      <c r="AD9" s="288"/>
      <c r="AE9" s="288"/>
      <c r="AF9" s="288"/>
      <c r="AG9" s="287"/>
      <c r="AH9" s="285"/>
      <c r="AI9" s="285"/>
      <c r="AJ9" s="285"/>
      <c r="AK9" s="285"/>
      <c r="AL9" s="285"/>
      <c r="AM9" s="28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row>
    <row r="10" spans="1:71" s="3" customFormat="1" ht="408.75" customHeight="1" x14ac:dyDescent="0.3">
      <c r="A10" s="256">
        <v>1</v>
      </c>
      <c r="B10" s="302" t="s">
        <v>128</v>
      </c>
      <c r="C10" s="302" t="s">
        <v>333</v>
      </c>
      <c r="D10" s="305" t="s">
        <v>334</v>
      </c>
      <c r="E10" s="156" t="s">
        <v>335</v>
      </c>
      <c r="F10" s="308" t="s">
        <v>336</v>
      </c>
      <c r="G10" s="181" t="s">
        <v>357</v>
      </c>
      <c r="H10" s="316" t="s">
        <v>339</v>
      </c>
      <c r="I10" s="160" t="s">
        <v>117</v>
      </c>
      <c r="J10" s="298" t="s">
        <v>337</v>
      </c>
      <c r="K10" s="293" t="str">
        <f>IF(J10&lt;=0,"",IF(J10&lt;=2,"Muy Baja",IF(J10&lt;=24,"Baja",IF(J10&lt;=500,"Media",IF(J10&lt;=5000,"Alta","Muy Alta")))))</f>
        <v>Muy Alta</v>
      </c>
      <c r="L10" s="290">
        <f>IF(K10="","",IF(K10="Muy Baja",0.2,IF(K10="Baja",0.4,IF(K10="Media",0.6,IF(K10="Alta",0.8,IF(K10="Muy Alta",1,))))))</f>
        <v>1</v>
      </c>
      <c r="M10" s="322" t="s">
        <v>212</v>
      </c>
      <c r="N10" s="290" t="str">
        <f>IF(NOT(ISERROR(MATCH(M10,'Tabla Impacto'!$B$221:$B$223,0))),'Tabla Impacto'!$F$223&amp;"Por favor no seleccionar los criterios de impacto(Afectación Económica o presupuestal y Pérdida Reputacional)",M10)</f>
        <v xml:space="preserve">     Mayor a 10000 SMLMV</v>
      </c>
      <c r="O10" s="293" t="str">
        <f>IF(OR(N10='Tabla Impacto'!$C$11,N10='Tabla Impacto'!$D$11),"Leve",IF(OR(N10='Tabla Impacto'!$C$12,N10='Tabla Impacto'!$D$12),"Menor",IF(OR(N10='Tabla Impacto'!$C$13,N10='Tabla Impacto'!$D$13),"Moderado",IF(OR(N10='Tabla Impacto'!$C$14,N10='Tabla Impacto'!$D$14),"Mayor",IF(OR(N10='Tabla Impacto'!$C$15,N10='Tabla Impacto'!$D$15),"Catastrófico","")))))</f>
        <v>Catastrófico</v>
      </c>
      <c r="P10" s="290">
        <f>IF(O10="","",IF(O10="Leve",0.2,IF(O10="Menor",0.4,IF(O10="Moderado",0.6,IF(O10="Mayor",0.8,IF(O10="Catastrófico",1,))))))</f>
        <v>1</v>
      </c>
      <c r="Q10" s="319"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Extremo</v>
      </c>
      <c r="R10" s="105">
        <v>1</v>
      </c>
      <c r="S10" s="119" t="s">
        <v>338</v>
      </c>
      <c r="T10" s="107" t="str">
        <f>IF(OR(U10="Preventivo",U10="Detectivo"),"Probabilidad",IF(U10="Correctivo","Impacto",""))</f>
        <v>Probabilidad</v>
      </c>
      <c r="U10" s="120" t="s">
        <v>15</v>
      </c>
      <c r="V10" s="120" t="s">
        <v>9</v>
      </c>
      <c r="W10" s="121" t="str">
        <f>IF(AND(U10="Preventivo",V10="Automático"),"50%",IF(AND(U10="Preventivo",V10="Manual"),"40%",IF(AND(U10="Detectivo",V10="Automático"),"40%",IF(AND(U10="Detectivo",V10="Manual"),"30%",IF(AND(U10="Correctivo",V10="Automático"),"35%",IF(AND(U10="Correctivo",V10="Manual"),"25%",""))))))</f>
        <v>30%</v>
      </c>
      <c r="X10" s="120" t="s">
        <v>19</v>
      </c>
      <c r="Y10" s="120" t="s">
        <v>22</v>
      </c>
      <c r="Z10" s="120" t="s">
        <v>113</v>
      </c>
      <c r="AA10" s="110">
        <f>IFERROR(IF(T10="Probabilidad",(L10-(+L10*W10)),IF(T10="Impacto",L10,"")),"")</f>
        <v>0.7</v>
      </c>
      <c r="AB10" s="123" t="str">
        <f>IFERROR(IF(AA10="","",IF(AA10&lt;=0.2,"Muy Baja",IF(AA10&lt;=0.4,"Baja",IF(AA10&lt;=0.6,"Media",IF(AA10&lt;=0.8,"Alta","Muy Alta"))))),"")</f>
        <v>Alta</v>
      </c>
      <c r="AC10" s="124">
        <f>+AA10</f>
        <v>0.7</v>
      </c>
      <c r="AD10" s="123" t="str">
        <f>IFERROR(IF(AE10="","",IF(AE10&lt;=0.2,"Leve",IF(AE10&lt;=0.4,"Menor",IF(AE10&lt;=0.6,"Moderado",IF(AE10&lt;=0.8,"Mayor","Catastrófico"))))),"")</f>
        <v>Catastrófico</v>
      </c>
      <c r="AE10" s="124">
        <f>IFERROR(IF(T10="Impacto",(P10-(+P10*W10)),IF(T10="Probabilidad",P10,"")),"")</f>
        <v>1</v>
      </c>
      <c r="AF10" s="125"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Extremo</v>
      </c>
      <c r="AG10" s="126" t="s">
        <v>32</v>
      </c>
      <c r="AH10" s="262" t="s">
        <v>332</v>
      </c>
      <c r="AI10" s="115" t="s">
        <v>217</v>
      </c>
      <c r="AJ10" s="117">
        <v>44927</v>
      </c>
      <c r="AK10" s="154" t="s">
        <v>365</v>
      </c>
      <c r="AL10" s="157" t="s">
        <v>368</v>
      </c>
      <c r="AM10" s="122"/>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row>
    <row r="11" spans="1:71" ht="99.9" customHeight="1" x14ac:dyDescent="0.25">
      <c r="A11" s="257"/>
      <c r="B11" s="303"/>
      <c r="C11" s="303"/>
      <c r="D11" s="306"/>
      <c r="E11" s="313"/>
      <c r="F11" s="309"/>
      <c r="G11" s="182"/>
      <c r="H11" s="317"/>
      <c r="I11" s="161"/>
      <c r="J11" s="299"/>
      <c r="K11" s="294"/>
      <c r="L11" s="291"/>
      <c r="M11" s="323"/>
      <c r="N11" s="291">
        <f>IF(NOT(ISERROR(MATCH(M11,_xlfn.ANCHORARRAY(F16),0))),#REF!&amp;"Por favor no seleccionar los criterios de impacto",M11)</f>
        <v>0</v>
      </c>
      <c r="O11" s="294"/>
      <c r="P11" s="291"/>
      <c r="Q11" s="320"/>
      <c r="R11" s="105"/>
      <c r="S11" s="119"/>
      <c r="T11" s="107"/>
      <c r="U11" s="120"/>
      <c r="V11" s="120"/>
      <c r="W11" s="121"/>
      <c r="X11" s="120"/>
      <c r="Y11" s="120"/>
      <c r="Z11" s="120"/>
      <c r="AA11" s="110" t="str">
        <f>IFERROR(IF(AND(T10="Probabilidad",T11="Probabilidad"),(AC10-(+AC10*W11)),IF(AND(T10="Impacto",T11="Probabilidad"),(AC9-(+AC9*W11)),IF(T11="Impacto",AC10,""))),"")</f>
        <v/>
      </c>
      <c r="AB11" s="123" t="str">
        <f t="shared" ref="AB11" si="0">IFERROR(IF(AA11="","",IF(AA11&lt;=0.2,"Muy Baja",IF(AA11&lt;=0.4,"Baja",IF(AA11&lt;=0.6,"Media",IF(AA11&lt;=0.8,"Alta","Muy Alta"))))),"")</f>
        <v/>
      </c>
      <c r="AC11" s="124" t="str">
        <f t="shared" ref="AC11" si="1">+AA11</f>
        <v/>
      </c>
      <c r="AD11" s="123" t="str">
        <f t="shared" ref="AD11" si="2">IFERROR(IF(AE11="","",IF(AE11&lt;=0.2,"Leve",IF(AE11&lt;=0.4,"Menor",IF(AE11&lt;=0.6,"Moderado",IF(AE11&lt;=0.8,"Mayor","Catastrófico"))))),"")</f>
        <v/>
      </c>
      <c r="AE11" s="124" t="str">
        <f>IFERROR(IF(AND(T10="Impacto",T11="Impacto"),(AE10-(+AE10*W11)),IF(AND(T10="Probabilidad",T11="Impacto"),(AE9-(+AE9*W11)),IF(T11="Probabilidad",AE10,""))),"")</f>
        <v/>
      </c>
      <c r="AF11" s="125" t="str">
        <f t="shared" ref="AF11" si="3">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
      </c>
      <c r="AG11" s="126"/>
      <c r="AH11" s="263"/>
      <c r="AI11" s="115" t="s">
        <v>217</v>
      </c>
      <c r="AJ11" s="117">
        <v>44927</v>
      </c>
      <c r="AK11" s="117"/>
      <c r="AL11" s="155"/>
      <c r="AM11" s="116"/>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15.6" x14ac:dyDescent="0.25">
      <c r="A12" s="257"/>
      <c r="B12" s="303"/>
      <c r="C12" s="303"/>
      <c r="D12" s="306"/>
      <c r="E12" s="314"/>
      <c r="F12" s="309"/>
      <c r="G12" s="182"/>
      <c r="H12" s="159"/>
      <c r="I12" s="161"/>
      <c r="J12" s="163"/>
      <c r="K12" s="294"/>
      <c r="L12" s="291"/>
      <c r="M12" s="323"/>
      <c r="N12" s="291">
        <f>IF(NOT(ISERROR(MATCH(M12,_xlfn.ANCHORARRAY(#REF!),0))),#REF!&amp;"Por favor no seleccionar los criterios de impacto",M12)</f>
        <v>0</v>
      </c>
      <c r="O12" s="294"/>
      <c r="P12" s="291"/>
      <c r="Q12" s="320"/>
      <c r="R12" s="105">
        <v>3</v>
      </c>
      <c r="S12" s="118"/>
      <c r="T12" s="107"/>
      <c r="U12" s="120"/>
      <c r="V12" s="120"/>
      <c r="W12" s="121"/>
      <c r="X12" s="120"/>
      <c r="Y12" s="120"/>
      <c r="Z12" s="120"/>
      <c r="AA12" s="110"/>
      <c r="AB12" s="123"/>
      <c r="AC12" s="124"/>
      <c r="AD12" s="123"/>
      <c r="AE12" s="124"/>
      <c r="AF12" s="125"/>
      <c r="AG12" s="126"/>
      <c r="AH12" s="263"/>
      <c r="AI12" s="115"/>
      <c r="AJ12" s="154"/>
      <c r="AK12" s="117"/>
      <c r="AL12" s="155"/>
      <c r="AM12" s="116"/>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15.6" x14ac:dyDescent="0.25">
      <c r="A13" s="257"/>
      <c r="B13" s="303"/>
      <c r="C13" s="303"/>
      <c r="D13" s="306"/>
      <c r="E13" s="314"/>
      <c r="F13" s="309"/>
      <c r="G13" s="182"/>
      <c r="H13" s="159"/>
      <c r="I13" s="161"/>
      <c r="J13" s="163"/>
      <c r="K13" s="294"/>
      <c r="L13" s="291"/>
      <c r="M13" s="323"/>
      <c r="N13" s="291">
        <f>IF(NOT(ISERROR(MATCH(M13,_xlfn.ANCHORARRAY(#REF!),0))),#REF!&amp;"Por favor no seleccionar los criterios de impacto",M13)</f>
        <v>0</v>
      </c>
      <c r="O13" s="294"/>
      <c r="P13" s="291"/>
      <c r="Q13" s="320"/>
      <c r="R13" s="105">
        <v>4</v>
      </c>
      <c r="S13" s="106"/>
      <c r="T13" s="107"/>
      <c r="U13" s="120"/>
      <c r="V13" s="120"/>
      <c r="W13" s="121"/>
      <c r="X13" s="120"/>
      <c r="Y13" s="120"/>
      <c r="Z13" s="120"/>
      <c r="AA13" s="110"/>
      <c r="AB13" s="123"/>
      <c r="AC13" s="124"/>
      <c r="AD13" s="123"/>
      <c r="AE13" s="124"/>
      <c r="AF13" s="125"/>
      <c r="AG13" s="126"/>
      <c r="AH13" s="155"/>
      <c r="AI13" s="116"/>
      <c r="AJ13" s="154"/>
      <c r="AK13" s="117"/>
      <c r="AL13" s="155"/>
      <c r="AM13" s="116"/>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15.6" x14ac:dyDescent="0.25">
      <c r="A14" s="257"/>
      <c r="B14" s="303"/>
      <c r="C14" s="303"/>
      <c r="D14" s="306"/>
      <c r="E14" s="314"/>
      <c r="F14" s="309"/>
      <c r="G14" s="182"/>
      <c r="H14" s="159"/>
      <c r="I14" s="161"/>
      <c r="J14" s="163"/>
      <c r="K14" s="294"/>
      <c r="L14" s="291"/>
      <c r="M14" s="323"/>
      <c r="N14" s="291">
        <f>IF(NOT(ISERROR(MATCH(M14,_xlfn.ANCHORARRAY(#REF!),0))),#REF!&amp;"Por favor no seleccionar los criterios de impacto",M14)</f>
        <v>0</v>
      </c>
      <c r="O14" s="294"/>
      <c r="P14" s="291"/>
      <c r="Q14" s="320"/>
      <c r="R14" s="105">
        <v>5</v>
      </c>
      <c r="S14" s="106"/>
      <c r="T14" s="107" t="str">
        <f t="shared" ref="T14:T15" si="4">IF(OR(U14="Preventivo",U14="Detectivo"),"Probabilidad",IF(U14="Correctivo","Impacto",""))</f>
        <v/>
      </c>
      <c r="U14" s="120"/>
      <c r="V14" s="120"/>
      <c r="W14" s="121" t="str">
        <f t="shared" ref="W14:W15" si="5">IF(AND(U14="Preventivo",V14="Automático"),"50%",IF(AND(U14="Preventivo",V14="Manual"),"40%",IF(AND(U14="Detectivo",V14="Automático"),"40%",IF(AND(U14="Detectivo",V14="Manual"),"30%",IF(AND(U14="Correctivo",V14="Automático"),"35%",IF(AND(U14="Correctivo",V14="Manual"),"25%",""))))))</f>
        <v/>
      </c>
      <c r="X14" s="120"/>
      <c r="Y14" s="120"/>
      <c r="Z14" s="120"/>
      <c r="AA14" s="110" t="str">
        <f t="shared" ref="AA14:AA15" si="6">IFERROR(IF(AND(T13="Probabilidad",T14="Probabilidad"),(AC13-(+AC13*W14)),IF(AND(T13="Impacto",T14="Probabilidad"),(AC12-(+AC12*W14)),IF(T14="Impacto",AC13,""))),"")</f>
        <v/>
      </c>
      <c r="AB14" s="123" t="str">
        <f t="shared" ref="AB14:AB15" si="7">IFERROR(IF(AA14="","",IF(AA14&lt;=0.2,"Muy Baja",IF(AA14&lt;=0.4,"Baja",IF(AA14&lt;=0.6,"Media",IF(AA14&lt;=0.8,"Alta","Muy Alta"))))),"")</f>
        <v/>
      </c>
      <c r="AC14" s="124" t="str">
        <f t="shared" ref="AC14:AC15" si="8">+AA14</f>
        <v/>
      </c>
      <c r="AD14" s="123" t="str">
        <f t="shared" ref="AD14:AD15" si="9">IFERROR(IF(AE14="","",IF(AE14&lt;=0.2,"Leve",IF(AE14&lt;=0.4,"Menor",IF(AE14&lt;=0.6,"Moderado",IF(AE14&lt;=0.8,"Mayor","Catastrófico"))))),"")</f>
        <v/>
      </c>
      <c r="AE14" s="124" t="str">
        <f t="shared" ref="AE14:AE15" si="10">IFERROR(IF(AND(T13="Impacto",T14="Impacto"),(AE13-(+AE13*W14)),IF(AND(T13="Probabilidad",T14="Impacto"),(AE12-(+AE12*W14)),IF(T14="Probabilidad",AE13,""))),"")</f>
        <v/>
      </c>
      <c r="AF14" s="125" t="str">
        <f t="shared" ref="AF14:AF15" si="11">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
      </c>
      <c r="AG14" s="126"/>
      <c r="AH14" s="115"/>
      <c r="AI14" s="116"/>
      <c r="AJ14" s="117"/>
      <c r="AK14" s="117"/>
      <c r="AL14" s="155"/>
      <c r="AM14" s="116"/>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15.6" x14ac:dyDescent="0.25">
      <c r="A15" s="258"/>
      <c r="B15" s="304"/>
      <c r="C15" s="304"/>
      <c r="D15" s="307"/>
      <c r="E15" s="315"/>
      <c r="F15" s="310"/>
      <c r="G15" s="183"/>
      <c r="H15" s="159"/>
      <c r="I15" s="162"/>
      <c r="J15" s="164"/>
      <c r="K15" s="295"/>
      <c r="L15" s="292"/>
      <c r="M15" s="324"/>
      <c r="N15" s="292">
        <f>IF(NOT(ISERROR(MATCH(M15,_xlfn.ANCHORARRAY(#REF!),0))),#REF!&amp;"Por favor no seleccionar los criterios de impacto",M15)</f>
        <v>0</v>
      </c>
      <c r="O15" s="295"/>
      <c r="P15" s="292"/>
      <c r="Q15" s="321"/>
      <c r="R15" s="105">
        <v>6</v>
      </c>
      <c r="S15" s="106"/>
      <c r="T15" s="107" t="str">
        <f t="shared" si="4"/>
        <v/>
      </c>
      <c r="U15" s="120"/>
      <c r="V15" s="120"/>
      <c r="W15" s="121" t="str">
        <f t="shared" si="5"/>
        <v/>
      </c>
      <c r="X15" s="120"/>
      <c r="Y15" s="120"/>
      <c r="Z15" s="120"/>
      <c r="AA15" s="110" t="str">
        <f t="shared" si="6"/>
        <v/>
      </c>
      <c r="AB15" s="123" t="str">
        <f t="shared" si="7"/>
        <v/>
      </c>
      <c r="AC15" s="124" t="str">
        <f t="shared" si="8"/>
        <v/>
      </c>
      <c r="AD15" s="123" t="str">
        <f t="shared" si="9"/>
        <v/>
      </c>
      <c r="AE15" s="124" t="str">
        <f t="shared" si="10"/>
        <v/>
      </c>
      <c r="AF15" s="125" t="str">
        <f t="shared" si="11"/>
        <v/>
      </c>
      <c r="AG15" s="126"/>
      <c r="AH15" s="115"/>
      <c r="AI15" s="116"/>
      <c r="AJ15" s="117"/>
      <c r="AK15" s="117"/>
      <c r="AL15" s="155"/>
      <c r="AM15" s="116"/>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177.75" customHeight="1" x14ac:dyDescent="0.25">
      <c r="A16" s="187">
        <v>3</v>
      </c>
      <c r="B16" s="193" t="s">
        <v>127</v>
      </c>
      <c r="C16" s="192" t="s">
        <v>347</v>
      </c>
      <c r="D16" s="192" t="s">
        <v>349</v>
      </c>
      <c r="E16" s="144" t="s">
        <v>348</v>
      </c>
      <c r="F16" s="145" t="s">
        <v>346</v>
      </c>
      <c r="G16" s="184" t="s">
        <v>343</v>
      </c>
      <c r="H16" s="184" t="s">
        <v>341</v>
      </c>
      <c r="I16" s="191" t="s">
        <v>117</v>
      </c>
      <c r="J16" s="188" t="s">
        <v>354</v>
      </c>
      <c r="K16" s="189" t="str">
        <f t="shared" ref="K16" si="12">IF(J16&lt;=0,"",IF(J16&lt;=2,"Muy Baja",IF(J16&lt;=24,"Baja",IF(J16&lt;=500,"Media",IF(J16&lt;=5000,"Alta","Muy Alta")))))</f>
        <v>Muy Alta</v>
      </c>
      <c r="L16" s="185">
        <f t="shared" ref="L16" si="13">IF(K16="","",IF(K16="Muy Baja",0.2,IF(K16="Baja",0.4,IF(K16="Media",0.6,IF(K16="Alta",0.8,IF(K16="Muy Alta",1,))))))</f>
        <v>1</v>
      </c>
      <c r="M16" s="190" t="s">
        <v>212</v>
      </c>
      <c r="N16" s="185" t="str">
        <f>IF(NOT(ISERROR(MATCH(M16,'Tabla Impacto'!$B$221:$B$223,0))),'Tabla Impacto'!$F$223&amp;"Por favor no seleccionar los criterios de impacto(Afectación Económica o presupuestal y Pérdida Reputacional)",M16)</f>
        <v xml:space="preserve">     Mayor a 10000 SMLMV</v>
      </c>
      <c r="O16" s="189" t="str">
        <f>IF(OR(N16='Tabla Impacto'!$C$11,N16='Tabla Impacto'!$D$11),"Leve",IF(OR(N16='Tabla Impacto'!$C$12,N16='Tabla Impacto'!$D$12),"Menor",IF(OR(N16='Tabla Impacto'!$C$13,N16='Tabla Impacto'!$D$13),"Moderado",IF(OR(N16='Tabla Impacto'!$C$14,N16='Tabla Impacto'!$D$14),"Mayor",IF(OR(N16='Tabla Impacto'!$C$15,N16='Tabla Impacto'!$D$15),"Catastrófico","")))))</f>
        <v>Catastrófico</v>
      </c>
      <c r="P16" s="185">
        <f t="shared" ref="P16" si="14">IF(O16="","",IF(O16="Leve",0.2,IF(O16="Menor",0.4,IF(O16="Moderado",0.6,IF(O16="Mayor",0.8,IF(O16="Catastrófico",1,))))))</f>
        <v>1</v>
      </c>
      <c r="Q16" s="186" t="str">
        <f t="shared" ref="Q16" si="15">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Extremo</v>
      </c>
      <c r="R16" s="105"/>
      <c r="S16" s="158" t="s">
        <v>356</v>
      </c>
      <c r="T16" s="107" t="s">
        <v>4</v>
      </c>
      <c r="U16" s="108" t="s">
        <v>15</v>
      </c>
      <c r="V16" s="108" t="s">
        <v>9</v>
      </c>
      <c r="W16" s="109">
        <v>0.3</v>
      </c>
      <c r="X16" s="108" t="s">
        <v>19</v>
      </c>
      <c r="Y16" s="108" t="s">
        <v>22</v>
      </c>
      <c r="Z16" s="108" t="s">
        <v>113</v>
      </c>
      <c r="AA16" s="110">
        <v>0.7</v>
      </c>
      <c r="AB16" s="111" t="str">
        <f>IFERROR(IF(AA16="","",IF(AA16&lt;=0.2,"Muy Baja",IF(AA16&lt;=0.4,"Baja",IF(AA16&lt;=0.6,"Media",IF(AA16&lt;=0.8,"Alta","Muy Alta"))))),"")</f>
        <v>Alta</v>
      </c>
      <c r="AC16" s="112">
        <f>+AA16</f>
        <v>0.7</v>
      </c>
      <c r="AD16" s="111" t="str">
        <f>IFERROR(IF(AE16="","",IF(AE16&lt;=0.2,"Leve",IF(AE16&lt;=0.4,"Menor",IF(AE16&lt;=0.6,"Moderado",IF(AE16&lt;=0.8,"Mayor","Catastrófico"))))),"")</f>
        <v>Catastrófico</v>
      </c>
      <c r="AE16" s="112">
        <f>IFERROR(IF(T16="Impacto",(P16-(+P16*W16)),IF(T16="Probabilidad",P16,"")),"")</f>
        <v>1</v>
      </c>
      <c r="AF16" s="113" t="str">
        <f>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Extremo</v>
      </c>
      <c r="AG16" s="114"/>
      <c r="AH16" s="155" t="s">
        <v>360</v>
      </c>
      <c r="AI16" s="115" t="s">
        <v>217</v>
      </c>
      <c r="AJ16" s="154">
        <v>45321</v>
      </c>
      <c r="AK16" s="153"/>
      <c r="AL16" s="153" t="s">
        <v>367</v>
      </c>
      <c r="AM16" s="116"/>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1" ht="77.25" customHeight="1" x14ac:dyDescent="0.25">
      <c r="A17" s="256">
        <v>7</v>
      </c>
      <c r="B17" s="259" t="s">
        <v>127</v>
      </c>
      <c r="C17" s="259" t="s">
        <v>352</v>
      </c>
      <c r="D17" s="259" t="s">
        <v>350</v>
      </c>
      <c r="E17" s="274" t="s">
        <v>353</v>
      </c>
      <c r="F17" s="263" t="s">
        <v>351</v>
      </c>
      <c r="G17" s="131" t="s">
        <v>343</v>
      </c>
      <c r="H17" s="131" t="s">
        <v>341</v>
      </c>
      <c r="I17" s="259" t="s">
        <v>117</v>
      </c>
      <c r="J17" s="265" t="s">
        <v>354</v>
      </c>
      <c r="K17" s="268" t="str">
        <f t="shared" ref="K17" si="16">IF(J17&lt;=0,"",IF(J17&lt;=2,"Muy Baja",IF(J17&lt;=24,"Baja",IF(J17&lt;=500,"Media",IF(J17&lt;=5000,"Alta","Muy Alta")))))</f>
        <v>Muy Alta</v>
      </c>
      <c r="L17" s="250">
        <f t="shared" ref="L17" si="17">IF(K17="","",IF(K17="Muy Baja",0.2,IF(K17="Baja",0.4,IF(K17="Media",0.6,IF(K17="Alta",0.8,IF(K17="Muy Alta",1,))))))</f>
        <v>1</v>
      </c>
      <c r="M17" s="271" t="s">
        <v>212</v>
      </c>
      <c r="N17" s="250" t="str">
        <f>IF(NOT(ISERROR(MATCH(M17,'Tabla Impacto'!$B$221:$B$223,0))),'Tabla Impacto'!$F$223&amp;"Por favor no seleccionar los criterios de impacto(Afectación Económica o presupuestal y Pérdida Reputacional)",M17)</f>
        <v xml:space="preserve">     Mayor a 10000 SMLMV</v>
      </c>
      <c r="O17" s="268" t="str">
        <f>IF(OR(N17='Tabla Impacto'!$C$11,N17='Tabla Impacto'!$D$11),"Leve",IF(OR(N17='Tabla Impacto'!$C$12,N17='Tabla Impacto'!$D$12),"Menor",IF(OR(N17='Tabla Impacto'!$C$13,N17='Tabla Impacto'!$D$13),"Moderado",IF(OR(N17='Tabla Impacto'!$C$14,N17='Tabla Impacto'!$D$14),"Mayor",IF(OR(N17='Tabla Impacto'!$C$15,N17='Tabla Impacto'!$D$15),"Catastrófico","")))))</f>
        <v>Catastrófico</v>
      </c>
      <c r="P17" s="250">
        <f t="shared" ref="P17" si="18">IF(O17="","",IF(O17="Leve",0.2,IF(O17="Menor",0.4,IF(O17="Moderado",0.6,IF(O17="Mayor",0.8,IF(O17="Catastrófico",1,))))))</f>
        <v>1</v>
      </c>
      <c r="Q17" s="253" t="str">
        <f t="shared" ref="Q17" si="19">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Extremo</v>
      </c>
      <c r="R17" s="105">
        <v>1</v>
      </c>
      <c r="S17" s="106" t="s">
        <v>355</v>
      </c>
      <c r="T17" s="107" t="s">
        <v>4</v>
      </c>
      <c r="U17" s="108" t="s">
        <v>15</v>
      </c>
      <c r="V17" s="108" t="s">
        <v>9</v>
      </c>
      <c r="W17" s="109">
        <v>0.3</v>
      </c>
      <c r="X17" s="108" t="s">
        <v>19</v>
      </c>
      <c r="Y17" s="108" t="s">
        <v>22</v>
      </c>
      <c r="Z17" s="108" t="s">
        <v>113</v>
      </c>
      <c r="AA17" s="110">
        <v>0.7</v>
      </c>
      <c r="AB17" s="111" t="s">
        <v>213</v>
      </c>
      <c r="AC17" s="112" t="s">
        <v>213</v>
      </c>
      <c r="AD17" s="111" t="s">
        <v>213</v>
      </c>
      <c r="AE17" s="112" t="s">
        <v>213</v>
      </c>
      <c r="AF17" s="113" t="s">
        <v>213</v>
      </c>
      <c r="AG17" s="114"/>
      <c r="AH17" s="115" t="s">
        <v>362</v>
      </c>
      <c r="AI17" s="115" t="s">
        <v>217</v>
      </c>
      <c r="AJ17" s="117">
        <v>45321</v>
      </c>
      <c r="AK17" s="117"/>
      <c r="AL17" s="115" t="s">
        <v>366</v>
      </c>
      <c r="AM17" s="116"/>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1" x14ac:dyDescent="0.25">
      <c r="A18" s="257"/>
      <c r="B18" s="260"/>
      <c r="C18" s="260"/>
      <c r="D18" s="260"/>
      <c r="E18" s="275"/>
      <c r="F18" s="263"/>
      <c r="G18" s="131"/>
      <c r="H18" s="131"/>
      <c r="I18" s="260"/>
      <c r="J18" s="266"/>
      <c r="K18" s="269"/>
      <c r="L18" s="251"/>
      <c r="M18" s="272"/>
      <c r="N18" s="251">
        <f>IF(NOT(ISERROR(MATCH(M18,_xlfn.ANCHORARRAY(F29),0))),L31&amp;"Por favor no seleccionar los criterios de impacto",M18)</f>
        <v>0</v>
      </c>
      <c r="O18" s="269"/>
      <c r="P18" s="251"/>
      <c r="Q18" s="254"/>
      <c r="R18" s="105">
        <v>2</v>
      </c>
      <c r="S18" s="106"/>
      <c r="T18" s="107" t="s">
        <v>213</v>
      </c>
      <c r="U18" s="108"/>
      <c r="V18" s="108"/>
      <c r="W18" s="109" t="s">
        <v>213</v>
      </c>
      <c r="X18" s="108"/>
      <c r="Y18" s="108"/>
      <c r="Z18" s="108"/>
      <c r="AA18" s="110" t="s">
        <v>213</v>
      </c>
      <c r="AB18" s="111" t="s">
        <v>213</v>
      </c>
      <c r="AC18" s="112" t="s">
        <v>213</v>
      </c>
      <c r="AD18" s="111" t="s">
        <v>213</v>
      </c>
      <c r="AE18" s="112" t="s">
        <v>213</v>
      </c>
      <c r="AF18" s="113" t="s">
        <v>213</v>
      </c>
      <c r="AG18" s="114"/>
      <c r="AH18" s="115"/>
      <c r="AI18" s="116"/>
      <c r="AJ18" s="117"/>
      <c r="AK18" s="117"/>
      <c r="AL18" s="115"/>
      <c r="AM18" s="116"/>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1" x14ac:dyDescent="0.25">
      <c r="A19" s="257"/>
      <c r="B19" s="260"/>
      <c r="C19" s="260"/>
      <c r="D19" s="260"/>
      <c r="E19" s="275"/>
      <c r="F19" s="263"/>
      <c r="G19" s="131"/>
      <c r="H19" s="131"/>
      <c r="I19" s="260"/>
      <c r="J19" s="266"/>
      <c r="K19" s="269"/>
      <c r="L19" s="251"/>
      <c r="M19" s="272"/>
      <c r="N19" s="251">
        <f>IF(NOT(ISERROR(MATCH(M19,_xlfn.ANCHORARRAY(F30),0))),L32&amp;"Por favor no seleccionar los criterios de impacto",M19)</f>
        <v>0</v>
      </c>
      <c r="O19" s="269"/>
      <c r="P19" s="251"/>
      <c r="Q19" s="254"/>
      <c r="R19" s="105">
        <v>3</v>
      </c>
      <c r="S19" s="118"/>
      <c r="T19" s="107" t="s">
        <v>213</v>
      </c>
      <c r="U19" s="108"/>
      <c r="V19" s="108"/>
      <c r="W19" s="109" t="s">
        <v>213</v>
      </c>
      <c r="X19" s="108"/>
      <c r="Y19" s="108"/>
      <c r="Z19" s="108"/>
      <c r="AA19" s="110" t="s">
        <v>213</v>
      </c>
      <c r="AB19" s="111" t="s">
        <v>213</v>
      </c>
      <c r="AC19" s="112" t="s">
        <v>213</v>
      </c>
      <c r="AD19" s="111" t="s">
        <v>213</v>
      </c>
      <c r="AE19" s="112" t="s">
        <v>213</v>
      </c>
      <c r="AF19" s="113" t="s">
        <v>213</v>
      </c>
      <c r="AG19" s="114"/>
      <c r="AH19" s="115"/>
      <c r="AI19" s="116"/>
      <c r="AJ19" s="117"/>
      <c r="AK19" s="117"/>
      <c r="AL19" s="115"/>
      <c r="AM19" s="116"/>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1" x14ac:dyDescent="0.25">
      <c r="A20" s="257"/>
      <c r="B20" s="260"/>
      <c r="C20" s="260"/>
      <c r="D20" s="260"/>
      <c r="E20" s="275"/>
      <c r="F20" s="263"/>
      <c r="G20" s="131"/>
      <c r="H20" s="131"/>
      <c r="I20" s="260"/>
      <c r="J20" s="266"/>
      <c r="K20" s="269"/>
      <c r="L20" s="251"/>
      <c r="M20" s="272"/>
      <c r="N20" s="251">
        <f>IF(NOT(ISERROR(MATCH(M20,_xlfn.ANCHORARRAY(F31),0))),L33&amp;"Por favor no seleccionar los criterios de impacto",M20)</f>
        <v>0</v>
      </c>
      <c r="O20" s="269"/>
      <c r="P20" s="251"/>
      <c r="Q20" s="254"/>
      <c r="R20" s="105">
        <v>4</v>
      </c>
      <c r="S20" s="106"/>
      <c r="T20" s="107" t="s">
        <v>213</v>
      </c>
      <c r="U20" s="108"/>
      <c r="V20" s="108"/>
      <c r="W20" s="109" t="s">
        <v>213</v>
      </c>
      <c r="X20" s="108"/>
      <c r="Y20" s="108"/>
      <c r="Z20" s="108"/>
      <c r="AA20" s="110" t="s">
        <v>213</v>
      </c>
      <c r="AB20" s="111" t="s">
        <v>213</v>
      </c>
      <c r="AC20" s="112" t="s">
        <v>213</v>
      </c>
      <c r="AD20" s="111" t="s">
        <v>213</v>
      </c>
      <c r="AE20" s="112" t="s">
        <v>213</v>
      </c>
      <c r="AF20" s="113" t="s">
        <v>213</v>
      </c>
      <c r="AG20" s="114"/>
      <c r="AH20" s="115"/>
      <c r="AI20" s="116"/>
      <c r="AJ20" s="117"/>
      <c r="AK20" s="117"/>
      <c r="AL20" s="115"/>
      <c r="AM20" s="116"/>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1" x14ac:dyDescent="0.25">
      <c r="A21" s="257"/>
      <c r="B21" s="260"/>
      <c r="C21" s="260"/>
      <c r="D21" s="260"/>
      <c r="E21" s="275"/>
      <c r="F21" s="263"/>
      <c r="G21" s="131"/>
      <c r="H21" s="131"/>
      <c r="I21" s="260"/>
      <c r="J21" s="266"/>
      <c r="K21" s="269"/>
      <c r="L21" s="251"/>
      <c r="M21" s="272"/>
      <c r="N21" s="251">
        <f>IF(NOT(ISERROR(MATCH(M21,_xlfn.ANCHORARRAY(F32),0))),L34&amp;"Por favor no seleccionar los criterios de impacto",M21)</f>
        <v>0</v>
      </c>
      <c r="O21" s="269"/>
      <c r="P21" s="251"/>
      <c r="Q21" s="254"/>
      <c r="R21" s="105">
        <v>5</v>
      </c>
      <c r="S21" s="106"/>
      <c r="T21" s="107" t="s">
        <v>213</v>
      </c>
      <c r="U21" s="108"/>
      <c r="V21" s="108"/>
      <c r="W21" s="109" t="s">
        <v>213</v>
      </c>
      <c r="X21" s="108"/>
      <c r="Y21" s="108"/>
      <c r="Z21" s="108"/>
      <c r="AA21" s="110" t="s">
        <v>213</v>
      </c>
      <c r="AB21" s="111" t="s">
        <v>213</v>
      </c>
      <c r="AC21" s="112" t="s">
        <v>213</v>
      </c>
      <c r="AD21" s="111" t="s">
        <v>213</v>
      </c>
      <c r="AE21" s="112" t="s">
        <v>213</v>
      </c>
      <c r="AF21" s="113" t="s">
        <v>213</v>
      </c>
      <c r="AG21" s="114"/>
      <c r="AH21" s="115"/>
      <c r="AI21" s="116"/>
      <c r="AJ21" s="117"/>
      <c r="AK21" s="117"/>
      <c r="AL21" s="115"/>
      <c r="AM21" s="116"/>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1" x14ac:dyDescent="0.25">
      <c r="A22" s="258"/>
      <c r="B22" s="261"/>
      <c r="C22" s="261"/>
      <c r="D22" s="261"/>
      <c r="E22" s="276"/>
      <c r="F22" s="264"/>
      <c r="G22" s="132"/>
      <c r="H22" s="132"/>
      <c r="I22" s="261"/>
      <c r="J22" s="267"/>
      <c r="K22" s="270"/>
      <c r="L22" s="252"/>
      <c r="M22" s="273"/>
      <c r="N22" s="252">
        <f>IF(NOT(ISERROR(MATCH(M22,_xlfn.ANCHORARRAY(F33),0))),L35&amp;"Por favor no seleccionar los criterios de impacto",M22)</f>
        <v>0</v>
      </c>
      <c r="O22" s="270"/>
      <c r="P22" s="252"/>
      <c r="Q22" s="255"/>
      <c r="R22" s="105">
        <v>6</v>
      </c>
      <c r="S22" s="106"/>
      <c r="T22" s="107" t="s">
        <v>213</v>
      </c>
      <c r="U22" s="108"/>
      <c r="V22" s="108"/>
      <c r="W22" s="109" t="s">
        <v>213</v>
      </c>
      <c r="X22" s="108"/>
      <c r="Y22" s="108"/>
      <c r="Z22" s="108"/>
      <c r="AA22" s="110" t="s">
        <v>213</v>
      </c>
      <c r="AB22" s="111" t="s">
        <v>213</v>
      </c>
      <c r="AC22" s="112" t="s">
        <v>213</v>
      </c>
      <c r="AD22" s="111" t="s">
        <v>213</v>
      </c>
      <c r="AE22" s="112" t="s">
        <v>213</v>
      </c>
      <c r="AF22" s="113" t="s">
        <v>213</v>
      </c>
      <c r="AG22" s="114"/>
      <c r="AH22" s="115"/>
      <c r="AI22" s="116"/>
      <c r="AJ22" s="117"/>
      <c r="AK22" s="117"/>
      <c r="AL22" s="115"/>
      <c r="AM22" s="116"/>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1" ht="149.25" customHeight="1" x14ac:dyDescent="0.25">
      <c r="A23" s="256">
        <v>8</v>
      </c>
      <c r="B23" s="259" t="s">
        <v>128</v>
      </c>
      <c r="C23" s="259" t="s">
        <v>342</v>
      </c>
      <c r="D23" s="259" t="s">
        <v>344</v>
      </c>
      <c r="E23" s="259" t="s">
        <v>345</v>
      </c>
      <c r="F23" s="262" t="s">
        <v>363</v>
      </c>
      <c r="G23" s="130" t="s">
        <v>343</v>
      </c>
      <c r="H23" s="130" t="s">
        <v>341</v>
      </c>
      <c r="I23" s="259" t="s">
        <v>123</v>
      </c>
      <c r="J23" s="265" t="s">
        <v>358</v>
      </c>
      <c r="K23" s="268" t="str">
        <f t="shared" ref="K23" si="20">IF(J23&lt;=0,"",IF(J23&lt;=2,"Muy Baja",IF(J23&lt;=24,"Baja",IF(J23&lt;=500,"Media",IF(J23&lt;=5000,"Alta","Muy Alta")))))</f>
        <v>Muy Alta</v>
      </c>
      <c r="L23" s="250">
        <f t="shared" ref="L23" si="21">IF(K23="","",IF(K23="Muy Baja",0.2,IF(K23="Baja",0.4,IF(K23="Media",0.6,IF(K23="Alta",0.8,IF(K23="Muy Alta",1,))))))</f>
        <v>1</v>
      </c>
      <c r="M23" s="271" t="s">
        <v>212</v>
      </c>
      <c r="N23" s="250" t="str">
        <f>IF(NOT(ISERROR(MATCH(M23,'Tabla Impacto'!$B$221:$B$223,0))),'Tabla Impacto'!$F$223&amp;"Por favor no seleccionar los criterios de impacto(Afectación Económica o presupuestal y Pérdida Reputacional)",M23)</f>
        <v xml:space="preserve">     Mayor a 10000 SMLMV</v>
      </c>
      <c r="O23" s="268" t="str">
        <f>IF(OR(N23='Tabla Impacto'!$C$11,N23='Tabla Impacto'!$D$11),"Leve",IF(OR(N23='Tabla Impacto'!$C$12,N23='Tabla Impacto'!$D$12),"Menor",IF(OR(N23='Tabla Impacto'!$C$13,N23='Tabla Impacto'!$D$13),"Moderado",IF(OR(N23='Tabla Impacto'!$C$14,N23='Tabla Impacto'!$D$14),"Mayor",IF(OR(N23='Tabla Impacto'!$C$15,N23='Tabla Impacto'!$D$15),"Catastrófico","")))))</f>
        <v>Catastrófico</v>
      </c>
      <c r="P23" s="250">
        <f t="shared" ref="P23" si="22">IF(O23="","",IF(O23="Leve",0.2,IF(O23="Menor",0.4,IF(O23="Moderado",0.6,IF(O23="Mayor",0.8,IF(O23="Catastrófico",1,))))))</f>
        <v>1</v>
      </c>
      <c r="Q23" s="253" t="str">
        <f t="shared" ref="Q23" si="23">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Extremo</v>
      </c>
      <c r="R23" s="105">
        <v>1</v>
      </c>
      <c r="S23" s="106" t="s">
        <v>359</v>
      </c>
      <c r="T23" s="107" t="s">
        <v>4</v>
      </c>
      <c r="U23" s="108" t="s">
        <v>15</v>
      </c>
      <c r="V23" s="108" t="s">
        <v>9</v>
      </c>
      <c r="W23" s="109" t="str">
        <f>IF(AND(U23="Preventivo",V23="Automático"),"50%",IF(AND(U23="Preventivo",V23="Manual"),"40%",IF(AND(U23="Detectivo",V23="Automático"),"40%",IF(AND(U23="Detectivo",V23="Manual"),"30%",IF(AND(U23="Correctivo",V23="Automático"),"35%",IF(AND(U23="Correctivo",V23="Manual"),"25%",""))))))</f>
        <v>30%</v>
      </c>
      <c r="X23" s="108" t="s">
        <v>19</v>
      </c>
      <c r="Y23" s="108" t="s">
        <v>22</v>
      </c>
      <c r="Z23" s="108" t="s">
        <v>113</v>
      </c>
      <c r="AA23" s="110">
        <f>IFERROR(IF(T23="Probabilidad",(L23-(+L23*W23)),IF(T23="Impacto",L23,"")),"")</f>
        <v>0.7</v>
      </c>
      <c r="AB23" s="111" t="str">
        <f>IFERROR(IF(AA23="","",IF(AA23&lt;=0.2,"Muy Baja",IF(AA23&lt;=0.4,"Baja",IF(AA23&lt;=0.6,"Media",IF(AA23&lt;=0.8,"Alta","Muy Alta"))))),"")</f>
        <v>Alta</v>
      </c>
      <c r="AC23" s="112">
        <f>+AA23</f>
        <v>0.7</v>
      </c>
      <c r="AD23" s="111" t="str">
        <f>IFERROR(IF(AE23="","",IF(AE23&lt;=0.2,"Leve",IF(AE23&lt;=0.4,"Menor",IF(AE23&lt;=0.6,"Moderado",IF(AE23&lt;=0.8,"Mayor","Catastrófico"))))),"")</f>
        <v>Catastrófico</v>
      </c>
      <c r="AE23" s="112">
        <f>IFERROR(IF(T23="Impacto",(P23-(+P23*W23)),IF(T23="Probabilidad",P23,"")),"")</f>
        <v>1</v>
      </c>
      <c r="AF23" s="113" t="str">
        <f>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Extremo</v>
      </c>
      <c r="AG23" s="114"/>
      <c r="AH23" s="154" t="s">
        <v>361</v>
      </c>
      <c r="AI23" s="115" t="s">
        <v>217</v>
      </c>
      <c r="AJ23" s="194">
        <v>45321</v>
      </c>
      <c r="AK23" s="117"/>
      <c r="AL23" s="115" t="s">
        <v>366</v>
      </c>
      <c r="AM23" s="116"/>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row>
    <row r="24" spans="1:71" x14ac:dyDescent="0.25">
      <c r="A24" s="257"/>
      <c r="B24" s="260"/>
      <c r="C24" s="260"/>
      <c r="D24" s="260"/>
      <c r="E24" s="260"/>
      <c r="F24" s="263"/>
      <c r="G24" s="131"/>
      <c r="H24" s="131"/>
      <c r="I24" s="260"/>
      <c r="J24" s="266"/>
      <c r="K24" s="269"/>
      <c r="L24" s="251"/>
      <c r="M24" s="272"/>
      <c r="N24" s="251">
        <f>IF(NOT(ISERROR(MATCH(M24,_xlfn.ANCHORARRAY(F35),0))),L37&amp;"Por favor no seleccionar los criterios de impacto",M24)</f>
        <v>0</v>
      </c>
      <c r="O24" s="269"/>
      <c r="P24" s="251"/>
      <c r="Q24" s="254"/>
      <c r="R24" s="105">
        <v>2</v>
      </c>
      <c r="S24" s="106"/>
      <c r="T24" s="107" t="str">
        <f>IF(OR(U24="Preventivo",U24="Detectivo"),"Probabilidad",IF(U24="Correctivo","Impacto",""))</f>
        <v/>
      </c>
      <c r="U24" s="108"/>
      <c r="V24" s="108"/>
      <c r="W24" s="109" t="str">
        <f t="shared" ref="W24:W28" si="24">IF(AND(U24="Preventivo",V24="Automático"),"50%",IF(AND(U24="Preventivo",V24="Manual"),"40%",IF(AND(U24="Detectivo",V24="Automático"),"40%",IF(AND(U24="Detectivo",V24="Manual"),"30%",IF(AND(U24="Correctivo",V24="Automático"),"35%",IF(AND(U24="Correctivo",V24="Manual"),"25%",""))))))</f>
        <v/>
      </c>
      <c r="X24" s="108"/>
      <c r="Y24" s="108"/>
      <c r="Z24" s="108"/>
      <c r="AA24" s="110" t="str">
        <f>IFERROR(IF(AND(T23="Probabilidad",T24="Probabilidad"),(AC23-(+AC23*W24)),IF(T24="Probabilidad",(L23-(+L23*W24)),IF(T24="Impacto",AC23,""))),"")</f>
        <v/>
      </c>
      <c r="AB24" s="111" t="str">
        <f t="shared" ref="AB24:AB40" si="25">IFERROR(IF(AA24="","",IF(AA24&lt;=0.2,"Muy Baja",IF(AA24&lt;=0.4,"Baja",IF(AA24&lt;=0.6,"Media",IF(AA24&lt;=0.8,"Alta","Muy Alta"))))),"")</f>
        <v/>
      </c>
      <c r="AC24" s="112" t="str">
        <f t="shared" ref="AC24:AC28" si="26">+AA24</f>
        <v/>
      </c>
      <c r="AD24" s="111" t="str">
        <f t="shared" ref="AD24:AD40" si="27">IFERROR(IF(AE24="","",IF(AE24&lt;=0.2,"Leve",IF(AE24&lt;=0.4,"Menor",IF(AE24&lt;=0.6,"Moderado",IF(AE24&lt;=0.8,"Mayor","Catastrófico"))))),"")</f>
        <v/>
      </c>
      <c r="AE24" s="112" t="str">
        <f>IFERROR(IF(AND(T23="Impacto",T24="Impacto"),(AE23-(+AE23*W24)),IF(T24="Impacto",(P23-(+P23*W24)),IF(T24="Probabilidad",AE23,""))),"")</f>
        <v/>
      </c>
      <c r="AF24" s="113" t="str">
        <f t="shared" ref="AF24:AF25" si="28">IFERROR(IF(OR(AND(AB24="Muy Baja",AD24="Leve"),AND(AB24="Muy Baja",AD24="Menor"),AND(AB24="Baja",AD24="Leve")),"Bajo",IF(OR(AND(AB24="Muy baja",AD24="Moderado"),AND(AB24="Baja",AD24="Menor"),AND(AB24="Baja",AD24="Moderado"),AND(AB24="Media",AD24="Leve"),AND(AB24="Media",AD24="Menor"),AND(AB24="Media",AD24="Moderado"),AND(AB24="Alta",AD24="Leve"),AND(AB24="Alta",AD24="Menor")),"Moderado",IF(OR(AND(AB24="Muy Baja",AD24="Mayor"),AND(AB24="Baja",AD24="Mayor"),AND(AB24="Media",AD24="Mayor"),AND(AB24="Alta",AD24="Moderado"),AND(AB24="Alta",AD24="Mayor"),AND(AB24="Muy Alta",AD24="Leve"),AND(AB24="Muy Alta",AD24="Menor"),AND(AB24="Muy Alta",AD24="Moderado"),AND(AB24="Muy Alta",AD24="Mayor")),"Alto",IF(OR(AND(AB24="Muy Baja",AD24="Catastrófico"),AND(AB24="Baja",AD24="Catastrófico"),AND(AB24="Media",AD24="Catastrófico"),AND(AB24="Alta",AD24="Catastrófico"),AND(AB24="Muy Alta",AD24="Catastrófico")),"Extremo","")))),"")</f>
        <v/>
      </c>
      <c r="AG24" s="114"/>
      <c r="AH24" s="115"/>
      <c r="AI24" s="116"/>
      <c r="AJ24" s="117"/>
      <c r="AK24" s="117"/>
      <c r="AL24" s="115"/>
      <c r="AM24" s="116"/>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x14ac:dyDescent="0.25">
      <c r="A25" s="257"/>
      <c r="B25" s="260"/>
      <c r="C25" s="260"/>
      <c r="D25" s="260"/>
      <c r="E25" s="260"/>
      <c r="F25" s="263"/>
      <c r="G25" s="131"/>
      <c r="H25" s="131"/>
      <c r="I25" s="260"/>
      <c r="J25" s="266"/>
      <c r="K25" s="269"/>
      <c r="L25" s="251"/>
      <c r="M25" s="272"/>
      <c r="N25" s="251">
        <f>IF(NOT(ISERROR(MATCH(M25,_xlfn.ANCHORARRAY(F36),0))),L38&amp;"Por favor no seleccionar los criterios de impacto",M25)</f>
        <v>0</v>
      </c>
      <c r="O25" s="269"/>
      <c r="P25" s="251"/>
      <c r="Q25" s="254"/>
      <c r="R25" s="105">
        <v>3</v>
      </c>
      <c r="S25" s="118"/>
      <c r="T25" s="107" t="str">
        <f>IF(OR(U25="Preventivo",U25="Detectivo"),"Probabilidad",IF(U25="Correctivo","Impacto",""))</f>
        <v/>
      </c>
      <c r="U25" s="108"/>
      <c r="V25" s="108"/>
      <c r="W25" s="109" t="str">
        <f t="shared" si="24"/>
        <v/>
      </c>
      <c r="X25" s="108"/>
      <c r="Y25" s="108"/>
      <c r="Z25" s="108"/>
      <c r="AA25" s="110" t="str">
        <f>IFERROR(IF(AND(T24="Probabilidad",T25="Probabilidad"),(AC24-(+AC24*W25)),IF(AND(T24="Impacto",T25="Probabilidad"),(AC23-(+AC23*W25)),IF(T25="Impacto",AC24,""))),"")</f>
        <v/>
      </c>
      <c r="AB25" s="111" t="str">
        <f t="shared" si="25"/>
        <v/>
      </c>
      <c r="AC25" s="112" t="str">
        <f t="shared" si="26"/>
        <v/>
      </c>
      <c r="AD25" s="111" t="str">
        <f t="shared" si="27"/>
        <v/>
      </c>
      <c r="AE25" s="112" t="str">
        <f>IFERROR(IF(AND(T24="Impacto",T25="Impacto"),(AE24-(+AE24*W25)),IF(AND(T24="Probabilidad",T25="Impacto"),(AE23-(+AE23*W25)),IF(T25="Probabilidad",AE24,""))),"")</f>
        <v/>
      </c>
      <c r="AF25" s="113" t="str">
        <f t="shared" si="28"/>
        <v/>
      </c>
      <c r="AG25" s="114"/>
      <c r="AH25" s="115"/>
      <c r="AI25" s="116"/>
      <c r="AJ25" s="117"/>
      <c r="AK25" s="117"/>
      <c r="AL25" s="115"/>
      <c r="AM25" s="116"/>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x14ac:dyDescent="0.25">
      <c r="A26" s="257"/>
      <c r="B26" s="260"/>
      <c r="C26" s="260"/>
      <c r="D26" s="260"/>
      <c r="E26" s="260"/>
      <c r="F26" s="263"/>
      <c r="G26" s="131"/>
      <c r="H26" s="131"/>
      <c r="I26" s="260"/>
      <c r="J26" s="266"/>
      <c r="K26" s="269"/>
      <c r="L26" s="251"/>
      <c r="M26" s="272"/>
      <c r="N26" s="251">
        <f>IF(NOT(ISERROR(MATCH(M26,_xlfn.ANCHORARRAY(F37),0))),L39&amp;"Por favor no seleccionar los criterios de impacto",M26)</f>
        <v>0</v>
      </c>
      <c r="O26" s="269"/>
      <c r="P26" s="251"/>
      <c r="Q26" s="254"/>
      <c r="R26" s="105">
        <v>4</v>
      </c>
      <c r="S26" s="106"/>
      <c r="T26" s="107" t="str">
        <f t="shared" ref="T26:T28" si="29">IF(OR(U26="Preventivo",U26="Detectivo"),"Probabilidad",IF(U26="Correctivo","Impacto",""))</f>
        <v/>
      </c>
      <c r="U26" s="108"/>
      <c r="V26" s="108"/>
      <c r="W26" s="109" t="str">
        <f t="shared" si="24"/>
        <v/>
      </c>
      <c r="X26" s="108"/>
      <c r="Y26" s="108"/>
      <c r="Z26" s="108"/>
      <c r="AA26" s="110" t="str">
        <f t="shared" ref="AA26:AA28" si="30">IFERROR(IF(AND(T25="Probabilidad",T26="Probabilidad"),(AC25-(+AC25*W26)),IF(AND(T25="Impacto",T26="Probabilidad"),(AC24-(+AC24*W26)),IF(T26="Impacto",AC25,""))),"")</f>
        <v/>
      </c>
      <c r="AB26" s="111" t="str">
        <f t="shared" si="25"/>
        <v/>
      </c>
      <c r="AC26" s="112" t="str">
        <f t="shared" si="26"/>
        <v/>
      </c>
      <c r="AD26" s="111" t="str">
        <f t="shared" si="27"/>
        <v/>
      </c>
      <c r="AE26" s="112" t="str">
        <f t="shared" ref="AE26:AE28" si="31">IFERROR(IF(AND(T25="Impacto",T26="Impacto"),(AE25-(+AE25*W26)),IF(AND(T25="Probabilidad",T26="Impacto"),(AE24-(+AE24*W26)),IF(T26="Probabilidad",AE25,""))),"")</f>
        <v/>
      </c>
      <c r="AF26" s="113" t="str">
        <f>IFERROR(IF(OR(AND(AB26="Muy Baja",AD26="Leve"),AND(AB26="Muy Baja",AD26="Menor"),AND(AB26="Baja",AD26="Leve")),"Bajo",IF(OR(AND(AB26="Muy baja",AD26="Moderado"),AND(AB26="Baja",AD26="Menor"),AND(AB26="Baja",AD26="Moderado"),AND(AB26="Media",AD26="Leve"),AND(AB26="Media",AD26="Menor"),AND(AB26="Media",AD26="Moderado"),AND(AB26="Alta",AD26="Leve"),AND(AB26="Alta",AD26="Menor")),"Moderado",IF(OR(AND(AB26="Muy Baja",AD26="Mayor"),AND(AB26="Baja",AD26="Mayor"),AND(AB26="Media",AD26="Mayor"),AND(AB26="Alta",AD26="Moderado"),AND(AB26="Alta",AD26="Mayor"),AND(AB26="Muy Alta",AD26="Leve"),AND(AB26="Muy Alta",AD26="Menor"),AND(AB26="Muy Alta",AD26="Moderado"),AND(AB26="Muy Alta",AD26="Mayor")),"Alto",IF(OR(AND(AB26="Muy Baja",AD26="Catastrófico"),AND(AB26="Baja",AD26="Catastrófico"),AND(AB26="Media",AD26="Catastrófico"),AND(AB26="Alta",AD26="Catastrófico"),AND(AB26="Muy Alta",AD26="Catastrófico")),"Extremo","")))),"")</f>
        <v/>
      </c>
      <c r="AG26" s="114"/>
      <c r="AH26" s="115"/>
      <c r="AI26" s="116"/>
      <c r="AJ26" s="117"/>
      <c r="AK26" s="117"/>
      <c r="AL26" s="115"/>
      <c r="AM26" s="116"/>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x14ac:dyDescent="0.25">
      <c r="A27" s="257"/>
      <c r="B27" s="260"/>
      <c r="C27" s="260"/>
      <c r="D27" s="260"/>
      <c r="E27" s="260"/>
      <c r="F27" s="263"/>
      <c r="G27" s="131"/>
      <c r="H27" s="131"/>
      <c r="I27" s="260"/>
      <c r="J27" s="266"/>
      <c r="K27" s="269"/>
      <c r="L27" s="251"/>
      <c r="M27" s="272"/>
      <c r="N27" s="251">
        <f>IF(NOT(ISERROR(MATCH(M27,_xlfn.ANCHORARRAY(F38),0))),L40&amp;"Por favor no seleccionar los criterios de impacto",M27)</f>
        <v>0</v>
      </c>
      <c r="O27" s="269"/>
      <c r="P27" s="251"/>
      <c r="Q27" s="254"/>
      <c r="R27" s="105">
        <v>5</v>
      </c>
      <c r="S27" s="106"/>
      <c r="T27" s="107" t="str">
        <f t="shared" si="29"/>
        <v/>
      </c>
      <c r="U27" s="108"/>
      <c r="V27" s="108"/>
      <c r="W27" s="109" t="str">
        <f t="shared" si="24"/>
        <v/>
      </c>
      <c r="X27" s="108"/>
      <c r="Y27" s="108"/>
      <c r="Z27" s="108"/>
      <c r="AA27" s="110" t="str">
        <f t="shared" si="30"/>
        <v/>
      </c>
      <c r="AB27" s="111" t="str">
        <f t="shared" si="25"/>
        <v/>
      </c>
      <c r="AC27" s="112" t="str">
        <f t="shared" si="26"/>
        <v/>
      </c>
      <c r="AD27" s="111" t="str">
        <f t="shared" si="27"/>
        <v/>
      </c>
      <c r="AE27" s="112" t="str">
        <f t="shared" si="31"/>
        <v/>
      </c>
      <c r="AF27" s="113" t="str">
        <f t="shared" ref="AF27:AF28" si="32">IFERROR(IF(OR(AND(AB27="Muy Baja",AD27="Leve"),AND(AB27="Muy Baja",AD27="Menor"),AND(AB27="Baja",AD27="Leve")),"Bajo",IF(OR(AND(AB27="Muy baja",AD27="Moderado"),AND(AB27="Baja",AD27="Menor"),AND(AB27="Baja",AD27="Moderado"),AND(AB27="Media",AD27="Leve"),AND(AB27="Media",AD27="Menor"),AND(AB27="Media",AD27="Moderado"),AND(AB27="Alta",AD27="Leve"),AND(AB27="Alta",AD27="Menor")),"Moderado",IF(OR(AND(AB27="Muy Baja",AD27="Mayor"),AND(AB27="Baja",AD27="Mayor"),AND(AB27="Media",AD27="Mayor"),AND(AB27="Alta",AD27="Moderado"),AND(AB27="Alta",AD27="Mayor"),AND(AB27="Muy Alta",AD27="Leve"),AND(AB27="Muy Alta",AD27="Menor"),AND(AB27="Muy Alta",AD27="Moderado"),AND(AB27="Muy Alta",AD27="Mayor")),"Alto",IF(OR(AND(AB27="Muy Baja",AD27="Catastrófico"),AND(AB27="Baja",AD27="Catastrófico"),AND(AB27="Media",AD27="Catastrófico"),AND(AB27="Alta",AD27="Catastrófico"),AND(AB27="Muy Alta",AD27="Catastrófico")),"Extremo","")))),"")</f>
        <v/>
      </c>
      <c r="AG27" s="114"/>
      <c r="AH27" s="115"/>
      <c r="AI27" s="116"/>
      <c r="AJ27" s="117"/>
      <c r="AK27" s="117"/>
      <c r="AL27" s="115"/>
      <c r="AM27" s="116"/>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1" x14ac:dyDescent="0.25">
      <c r="A28" s="258"/>
      <c r="B28" s="261"/>
      <c r="C28" s="261"/>
      <c r="D28" s="261"/>
      <c r="E28" s="261"/>
      <c r="F28" s="264"/>
      <c r="G28" s="132"/>
      <c r="H28" s="132"/>
      <c r="I28" s="261"/>
      <c r="J28" s="267"/>
      <c r="K28" s="270"/>
      <c r="L28" s="252"/>
      <c r="M28" s="273"/>
      <c r="N28" s="252">
        <f>IF(NOT(ISERROR(MATCH(M28,_xlfn.ANCHORARRAY(F39),0))),L41&amp;"Por favor no seleccionar los criterios de impacto",M28)</f>
        <v>0</v>
      </c>
      <c r="O28" s="270"/>
      <c r="P28" s="252"/>
      <c r="Q28" s="255"/>
      <c r="R28" s="105">
        <v>6</v>
      </c>
      <c r="S28" s="106"/>
      <c r="T28" s="107" t="str">
        <f t="shared" si="29"/>
        <v/>
      </c>
      <c r="U28" s="108"/>
      <c r="V28" s="108"/>
      <c r="W28" s="109" t="str">
        <f t="shared" si="24"/>
        <v/>
      </c>
      <c r="X28" s="108"/>
      <c r="Y28" s="108"/>
      <c r="Z28" s="108"/>
      <c r="AA28" s="110" t="str">
        <f t="shared" si="30"/>
        <v/>
      </c>
      <c r="AB28" s="111" t="str">
        <f t="shared" si="25"/>
        <v/>
      </c>
      <c r="AC28" s="112" t="str">
        <f t="shared" si="26"/>
        <v/>
      </c>
      <c r="AD28" s="111" t="str">
        <f t="shared" si="27"/>
        <v/>
      </c>
      <c r="AE28" s="112" t="str">
        <f t="shared" si="31"/>
        <v/>
      </c>
      <c r="AF28" s="113" t="str">
        <f t="shared" si="32"/>
        <v/>
      </c>
      <c r="AG28" s="114"/>
      <c r="AH28" s="115"/>
      <c r="AI28" s="116"/>
      <c r="AJ28" s="117"/>
      <c r="AK28" s="117"/>
      <c r="AL28" s="115"/>
      <c r="AM28" s="116"/>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x14ac:dyDescent="0.25">
      <c r="A29" s="256">
        <v>9</v>
      </c>
      <c r="B29" s="259"/>
      <c r="C29" s="259"/>
      <c r="D29" s="259"/>
      <c r="E29" s="127"/>
      <c r="F29" s="262"/>
      <c r="G29" s="130"/>
      <c r="H29" s="130"/>
      <c r="I29" s="259"/>
      <c r="J29" s="265"/>
      <c r="K29" s="268" t="str">
        <f t="shared" ref="K29" si="33">IF(J29&lt;=0,"",IF(J29&lt;=2,"Muy Baja",IF(J29&lt;=24,"Baja",IF(J29&lt;=500,"Media",IF(J29&lt;=5000,"Alta","Muy Alta")))))</f>
        <v/>
      </c>
      <c r="L29" s="250" t="str">
        <f t="shared" ref="L29" si="34">IF(K29="","",IF(K29="Muy Baja",0.2,IF(K29="Baja",0.4,IF(K29="Media",0.6,IF(K29="Alta",0.8,IF(K29="Muy Alta",1,))))))</f>
        <v/>
      </c>
      <c r="M29" s="271"/>
      <c r="N29" s="250">
        <f>IF(NOT(ISERROR(MATCH(M29,'Tabla Impacto'!$B$221:$B$223,0))),'Tabla Impacto'!$F$223&amp;"Por favor no seleccionar los criterios de impacto(Afectación Económica o presupuestal y Pérdida Reputacional)",M29)</f>
        <v>0</v>
      </c>
      <c r="O29" s="268" t="str">
        <f>IF(OR(N29='Tabla Impacto'!$C$11,N29='Tabla Impacto'!$D$11),"Leve",IF(OR(N29='Tabla Impacto'!$C$12,N29='Tabla Impacto'!$D$12),"Menor",IF(OR(N29='Tabla Impacto'!$C$13,N29='Tabla Impacto'!$D$13),"Moderado",IF(OR(N29='Tabla Impacto'!$C$14,N29='Tabla Impacto'!$D$14),"Mayor",IF(OR(N29='Tabla Impacto'!$C$15,N29='Tabla Impacto'!$D$15),"Catastrófico","")))))</f>
        <v/>
      </c>
      <c r="P29" s="250" t="str">
        <f t="shared" ref="P29" si="35">IF(O29="","",IF(O29="Leve",0.2,IF(O29="Menor",0.4,IF(O29="Moderado",0.6,IF(O29="Mayor",0.8,IF(O29="Catastrófico",1,))))))</f>
        <v/>
      </c>
      <c r="Q29" s="253" t="str">
        <f t="shared" ref="Q29" si="36">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105">
        <v>1</v>
      </c>
      <c r="S29" s="106"/>
      <c r="T29" s="107" t="str">
        <f>IF(OR(U29="Preventivo",U29="Detectivo"),"Probabilidad",IF(U29="Correctivo","Impacto",""))</f>
        <v/>
      </c>
      <c r="U29" s="108"/>
      <c r="V29" s="108"/>
      <c r="W29" s="109" t="str">
        <f>IF(AND(U29="Preventivo",V29="Automático"),"50%",IF(AND(U29="Preventivo",V29="Manual"),"40%",IF(AND(U29="Detectivo",V29="Automático"),"40%",IF(AND(U29="Detectivo",V29="Manual"),"30%",IF(AND(U29="Correctivo",V29="Automático"),"35%",IF(AND(U29="Correctivo",V29="Manual"),"25%",""))))))</f>
        <v/>
      </c>
      <c r="X29" s="108"/>
      <c r="Y29" s="108"/>
      <c r="Z29" s="108"/>
      <c r="AA29" s="110" t="str">
        <f>IFERROR(IF(T29="Probabilidad",(L29-(+L29*W29)),IF(T29="Impacto",L29,"")),"")</f>
        <v/>
      </c>
      <c r="AB29" s="111" t="str">
        <f>IFERROR(IF(AA29="","",IF(AA29&lt;=0.2,"Muy Baja",IF(AA29&lt;=0.4,"Baja",IF(AA29&lt;=0.6,"Media",IF(AA29&lt;=0.8,"Alta","Muy Alta"))))),"")</f>
        <v/>
      </c>
      <c r="AC29" s="112" t="str">
        <f>+AA29</f>
        <v/>
      </c>
      <c r="AD29" s="111" t="str">
        <f>IFERROR(IF(AE29="","",IF(AE29&lt;=0.2,"Leve",IF(AE29&lt;=0.4,"Menor",IF(AE29&lt;=0.6,"Moderado",IF(AE29&lt;=0.8,"Mayor","Catastrófico"))))),"")</f>
        <v/>
      </c>
      <c r="AE29" s="112" t="str">
        <f>IFERROR(IF(T29="Impacto",(P29-(+P29*W29)),IF(T29="Probabilidad",P29,"")),"")</f>
        <v/>
      </c>
      <c r="AF29" s="113" t="str">
        <f>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
      </c>
      <c r="AG29" s="114"/>
      <c r="AH29" s="115"/>
      <c r="AI29" s="116"/>
      <c r="AJ29" s="117"/>
      <c r="AK29" s="117"/>
      <c r="AL29" s="115"/>
      <c r="AM29" s="116"/>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1" x14ac:dyDescent="0.25">
      <c r="A30" s="257"/>
      <c r="B30" s="260"/>
      <c r="C30" s="260"/>
      <c r="D30" s="260"/>
      <c r="E30" s="128"/>
      <c r="F30" s="263"/>
      <c r="G30" s="131"/>
      <c r="H30" s="131"/>
      <c r="I30" s="260"/>
      <c r="J30" s="266"/>
      <c r="K30" s="269"/>
      <c r="L30" s="251"/>
      <c r="M30" s="272"/>
      <c r="N30" s="251">
        <f>IF(NOT(ISERROR(MATCH(M30,_xlfn.ANCHORARRAY(F41),0))),L43&amp;"Por favor no seleccionar los criterios de impacto",M30)</f>
        <v>0</v>
      </c>
      <c r="O30" s="269"/>
      <c r="P30" s="251"/>
      <c r="Q30" s="254"/>
      <c r="R30" s="105">
        <v>2</v>
      </c>
      <c r="S30" s="106"/>
      <c r="T30" s="107" t="str">
        <f>IF(OR(U30="Preventivo",U30="Detectivo"),"Probabilidad",IF(U30="Correctivo","Impacto",""))</f>
        <v/>
      </c>
      <c r="U30" s="108"/>
      <c r="V30" s="108"/>
      <c r="W30" s="109" t="str">
        <f t="shared" ref="W30:W34" si="37">IF(AND(U30="Preventivo",V30="Automático"),"50%",IF(AND(U30="Preventivo",V30="Manual"),"40%",IF(AND(U30="Detectivo",V30="Automático"),"40%",IF(AND(U30="Detectivo",V30="Manual"),"30%",IF(AND(U30="Correctivo",V30="Automático"),"35%",IF(AND(U30="Correctivo",V30="Manual"),"25%",""))))))</f>
        <v/>
      </c>
      <c r="X30" s="108"/>
      <c r="Y30" s="108"/>
      <c r="Z30" s="108"/>
      <c r="AA30" s="110" t="str">
        <f>IFERROR(IF(AND(T29="Probabilidad",T30="Probabilidad"),(AC29-(+AC29*W30)),IF(T30="Probabilidad",(L29-(+L29*W30)),IF(T30="Impacto",AC29,""))),"")</f>
        <v/>
      </c>
      <c r="AB30" s="111" t="str">
        <f t="shared" si="25"/>
        <v/>
      </c>
      <c r="AC30" s="112" t="str">
        <f t="shared" ref="AC30:AC34" si="38">+AA30</f>
        <v/>
      </c>
      <c r="AD30" s="111" t="str">
        <f t="shared" si="27"/>
        <v/>
      </c>
      <c r="AE30" s="112" t="str">
        <f>IFERROR(IF(AND(T29="Impacto",T30="Impacto"),(AE29-(+AE29*W30)),IF(T30="Impacto",(P29-(+P29*W30)),IF(T30="Probabilidad",AE29,""))),"")</f>
        <v/>
      </c>
      <c r="AF30" s="113" t="str">
        <f t="shared" ref="AF30:AF31" si="39">IFERROR(IF(OR(AND(AB30="Muy Baja",AD30="Leve"),AND(AB30="Muy Baja",AD30="Menor"),AND(AB30="Baja",AD30="Leve")),"Bajo",IF(OR(AND(AB30="Muy baja",AD30="Moderado"),AND(AB30="Baja",AD30="Menor"),AND(AB30="Baja",AD30="Moderado"),AND(AB30="Media",AD30="Leve"),AND(AB30="Media",AD30="Menor"),AND(AB30="Media",AD30="Moderado"),AND(AB30="Alta",AD30="Leve"),AND(AB30="Alta",AD30="Menor")),"Moderado",IF(OR(AND(AB30="Muy Baja",AD30="Mayor"),AND(AB30="Baja",AD30="Mayor"),AND(AB30="Media",AD30="Mayor"),AND(AB30="Alta",AD30="Moderado"),AND(AB30="Alta",AD30="Mayor"),AND(AB30="Muy Alta",AD30="Leve"),AND(AB30="Muy Alta",AD30="Menor"),AND(AB30="Muy Alta",AD30="Moderado"),AND(AB30="Muy Alta",AD30="Mayor")),"Alto",IF(OR(AND(AB30="Muy Baja",AD30="Catastrófico"),AND(AB30="Baja",AD30="Catastrófico"),AND(AB30="Media",AD30="Catastrófico"),AND(AB30="Alta",AD30="Catastrófico"),AND(AB30="Muy Alta",AD30="Catastrófico")),"Extremo","")))),"")</f>
        <v/>
      </c>
      <c r="AG30" s="114"/>
      <c r="AH30" s="115"/>
      <c r="AI30" s="116"/>
      <c r="AJ30" s="117"/>
      <c r="AK30" s="117"/>
      <c r="AL30" s="115"/>
      <c r="AM30" s="116"/>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1" x14ac:dyDescent="0.25">
      <c r="A31" s="257"/>
      <c r="B31" s="260"/>
      <c r="C31" s="260"/>
      <c r="D31" s="260"/>
      <c r="E31" s="128"/>
      <c r="F31" s="263"/>
      <c r="G31" s="131"/>
      <c r="H31" s="131"/>
      <c r="I31" s="260"/>
      <c r="J31" s="266"/>
      <c r="K31" s="269"/>
      <c r="L31" s="251"/>
      <c r="M31" s="272"/>
      <c r="N31" s="251">
        <f>IF(NOT(ISERROR(MATCH(M31,_xlfn.ANCHORARRAY(F42),0))),L44&amp;"Por favor no seleccionar los criterios de impacto",M31)</f>
        <v>0</v>
      </c>
      <c r="O31" s="269"/>
      <c r="P31" s="251"/>
      <c r="Q31" s="254"/>
      <c r="R31" s="105">
        <v>3</v>
      </c>
      <c r="S31" s="118"/>
      <c r="T31" s="107" t="str">
        <f>IF(OR(U31="Preventivo",U31="Detectivo"),"Probabilidad",IF(U31="Correctivo","Impacto",""))</f>
        <v/>
      </c>
      <c r="U31" s="108"/>
      <c r="V31" s="108"/>
      <c r="W31" s="109" t="str">
        <f t="shared" si="37"/>
        <v/>
      </c>
      <c r="X31" s="108"/>
      <c r="Y31" s="108"/>
      <c r="Z31" s="108"/>
      <c r="AA31" s="110" t="str">
        <f>IFERROR(IF(AND(T30="Probabilidad",T31="Probabilidad"),(AC30-(+AC30*W31)),IF(AND(T30="Impacto",T31="Probabilidad"),(AC29-(+AC29*W31)),IF(T31="Impacto",AC30,""))),"")</f>
        <v/>
      </c>
      <c r="AB31" s="111" t="str">
        <f t="shared" si="25"/>
        <v/>
      </c>
      <c r="AC31" s="112" t="str">
        <f t="shared" si="38"/>
        <v/>
      </c>
      <c r="AD31" s="111" t="str">
        <f t="shared" si="27"/>
        <v/>
      </c>
      <c r="AE31" s="112" t="str">
        <f>IFERROR(IF(AND(T30="Impacto",T31="Impacto"),(AE30-(+AE30*W31)),IF(AND(T30="Probabilidad",T31="Impacto"),(AE29-(+AE29*W31)),IF(T31="Probabilidad",AE30,""))),"")</f>
        <v/>
      </c>
      <c r="AF31" s="113" t="str">
        <f t="shared" si="39"/>
        <v/>
      </c>
      <c r="AG31" s="114"/>
      <c r="AH31" s="115"/>
      <c r="AI31" s="116"/>
      <c r="AJ31" s="117"/>
      <c r="AK31" s="117"/>
      <c r="AL31" s="115"/>
      <c r="AM31" s="116"/>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x14ac:dyDescent="0.25">
      <c r="A32" s="257"/>
      <c r="B32" s="260"/>
      <c r="C32" s="260"/>
      <c r="D32" s="260"/>
      <c r="E32" s="128"/>
      <c r="F32" s="263"/>
      <c r="G32" s="131"/>
      <c r="H32" s="131"/>
      <c r="I32" s="260"/>
      <c r="J32" s="266"/>
      <c r="K32" s="269"/>
      <c r="L32" s="251"/>
      <c r="M32" s="272"/>
      <c r="N32" s="251">
        <f>IF(NOT(ISERROR(MATCH(M32,_xlfn.ANCHORARRAY(F43),0))),L45&amp;"Por favor no seleccionar los criterios de impacto",M32)</f>
        <v>0</v>
      </c>
      <c r="O32" s="269"/>
      <c r="P32" s="251"/>
      <c r="Q32" s="254"/>
      <c r="R32" s="105">
        <v>4</v>
      </c>
      <c r="S32" s="106"/>
      <c r="T32" s="107" t="str">
        <f t="shared" ref="T32:T34" si="40">IF(OR(U32="Preventivo",U32="Detectivo"),"Probabilidad",IF(U32="Correctivo","Impacto",""))</f>
        <v/>
      </c>
      <c r="U32" s="108"/>
      <c r="V32" s="108"/>
      <c r="W32" s="109" t="str">
        <f t="shared" si="37"/>
        <v/>
      </c>
      <c r="X32" s="108"/>
      <c r="Y32" s="108"/>
      <c r="Z32" s="108"/>
      <c r="AA32" s="110" t="str">
        <f t="shared" ref="AA32:AA34" si="41">IFERROR(IF(AND(T31="Probabilidad",T32="Probabilidad"),(AC31-(+AC31*W32)),IF(AND(T31="Impacto",T32="Probabilidad"),(AC30-(+AC30*W32)),IF(T32="Impacto",AC31,""))),"")</f>
        <v/>
      </c>
      <c r="AB32" s="111" t="str">
        <f t="shared" si="25"/>
        <v/>
      </c>
      <c r="AC32" s="112" t="str">
        <f t="shared" si="38"/>
        <v/>
      </c>
      <c r="AD32" s="111" t="str">
        <f t="shared" si="27"/>
        <v/>
      </c>
      <c r="AE32" s="112" t="str">
        <f t="shared" ref="AE32:AE34" si="42">IFERROR(IF(AND(T31="Impacto",T32="Impacto"),(AE31-(+AE31*W32)),IF(AND(T31="Probabilidad",T32="Impacto"),(AE30-(+AE30*W32)),IF(T32="Probabilidad",AE31,""))),"")</f>
        <v/>
      </c>
      <c r="AF32" s="113" t="str">
        <f>IFERROR(IF(OR(AND(AB32="Muy Baja",AD32="Leve"),AND(AB32="Muy Baja",AD32="Menor"),AND(AB32="Baja",AD32="Leve")),"Bajo",IF(OR(AND(AB32="Muy baja",AD32="Moderado"),AND(AB32="Baja",AD32="Menor"),AND(AB32="Baja",AD32="Moderado"),AND(AB32="Media",AD32="Leve"),AND(AB32="Media",AD32="Menor"),AND(AB32="Media",AD32="Moderado"),AND(AB32="Alta",AD32="Leve"),AND(AB32="Alta",AD32="Menor")),"Moderado",IF(OR(AND(AB32="Muy Baja",AD32="Mayor"),AND(AB32="Baja",AD32="Mayor"),AND(AB32="Media",AD32="Mayor"),AND(AB32="Alta",AD32="Moderado"),AND(AB32="Alta",AD32="Mayor"),AND(AB32="Muy Alta",AD32="Leve"),AND(AB32="Muy Alta",AD32="Menor"),AND(AB32="Muy Alta",AD32="Moderado"),AND(AB32="Muy Alta",AD32="Mayor")),"Alto",IF(OR(AND(AB32="Muy Baja",AD32="Catastrófico"),AND(AB32="Baja",AD32="Catastrófico"),AND(AB32="Media",AD32="Catastrófico"),AND(AB32="Alta",AD32="Catastrófico"),AND(AB32="Muy Alta",AD32="Catastrófico")),"Extremo","")))),"")</f>
        <v/>
      </c>
      <c r="AG32" s="114"/>
      <c r="AH32" s="115"/>
      <c r="AI32" s="116"/>
      <c r="AJ32" s="117"/>
      <c r="AK32" s="117"/>
      <c r="AL32" s="115"/>
      <c r="AM32" s="116"/>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row>
    <row r="33" spans="1:71" x14ac:dyDescent="0.25">
      <c r="A33" s="257"/>
      <c r="B33" s="260"/>
      <c r="C33" s="260"/>
      <c r="D33" s="260"/>
      <c r="E33" s="128"/>
      <c r="F33" s="263"/>
      <c r="G33" s="131"/>
      <c r="H33" s="131"/>
      <c r="I33" s="260"/>
      <c r="J33" s="266"/>
      <c r="K33" s="269"/>
      <c r="L33" s="251"/>
      <c r="M33" s="272"/>
      <c r="N33" s="251">
        <f>IF(NOT(ISERROR(MATCH(M33,_xlfn.ANCHORARRAY(F44),0))),L46&amp;"Por favor no seleccionar los criterios de impacto",M33)</f>
        <v>0</v>
      </c>
      <c r="O33" s="269"/>
      <c r="P33" s="251"/>
      <c r="Q33" s="254"/>
      <c r="R33" s="105">
        <v>5</v>
      </c>
      <c r="S33" s="106"/>
      <c r="T33" s="107" t="str">
        <f t="shared" si="40"/>
        <v/>
      </c>
      <c r="U33" s="108"/>
      <c r="V33" s="108"/>
      <c r="W33" s="109" t="str">
        <f t="shared" si="37"/>
        <v/>
      </c>
      <c r="X33" s="108"/>
      <c r="Y33" s="108"/>
      <c r="Z33" s="108"/>
      <c r="AA33" s="110" t="str">
        <f t="shared" si="41"/>
        <v/>
      </c>
      <c r="AB33" s="111" t="str">
        <f t="shared" si="25"/>
        <v/>
      </c>
      <c r="AC33" s="112" t="str">
        <f t="shared" si="38"/>
        <v/>
      </c>
      <c r="AD33" s="111" t="str">
        <f t="shared" si="27"/>
        <v/>
      </c>
      <c r="AE33" s="112" t="str">
        <f t="shared" si="42"/>
        <v/>
      </c>
      <c r="AF33" s="113" t="str">
        <f t="shared" ref="AF33:AF34" si="43">IFERROR(IF(OR(AND(AB33="Muy Baja",AD33="Leve"),AND(AB33="Muy Baja",AD33="Menor"),AND(AB33="Baja",AD33="Leve")),"Bajo",IF(OR(AND(AB33="Muy baja",AD33="Moderado"),AND(AB33="Baja",AD33="Menor"),AND(AB33="Baja",AD33="Moderado"),AND(AB33="Media",AD33="Leve"),AND(AB33="Media",AD33="Menor"),AND(AB33="Media",AD33="Moderado"),AND(AB33="Alta",AD33="Leve"),AND(AB33="Alta",AD33="Menor")),"Moderado",IF(OR(AND(AB33="Muy Baja",AD33="Mayor"),AND(AB33="Baja",AD33="Mayor"),AND(AB33="Media",AD33="Mayor"),AND(AB33="Alta",AD33="Moderado"),AND(AB33="Alta",AD33="Mayor"),AND(AB33="Muy Alta",AD33="Leve"),AND(AB33="Muy Alta",AD33="Menor"),AND(AB33="Muy Alta",AD33="Moderado"),AND(AB33="Muy Alta",AD33="Mayor")),"Alto",IF(OR(AND(AB33="Muy Baja",AD33="Catastrófico"),AND(AB33="Baja",AD33="Catastrófico"),AND(AB33="Media",AD33="Catastrófico"),AND(AB33="Alta",AD33="Catastrófico"),AND(AB33="Muy Alta",AD33="Catastrófico")),"Extremo","")))),"")</f>
        <v/>
      </c>
      <c r="AG33" s="114"/>
      <c r="AH33" s="115"/>
      <c r="AI33" s="116"/>
      <c r="AJ33" s="117"/>
      <c r="AK33" s="117"/>
      <c r="AL33" s="115"/>
      <c r="AM33" s="116"/>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row>
    <row r="34" spans="1:71" x14ac:dyDescent="0.25">
      <c r="A34" s="258"/>
      <c r="B34" s="261"/>
      <c r="C34" s="261"/>
      <c r="D34" s="261"/>
      <c r="E34" s="129"/>
      <c r="F34" s="264"/>
      <c r="G34" s="132"/>
      <c r="H34" s="132"/>
      <c r="I34" s="261"/>
      <c r="J34" s="267"/>
      <c r="K34" s="270"/>
      <c r="L34" s="252"/>
      <c r="M34" s="273"/>
      <c r="N34" s="252">
        <f>IF(NOT(ISERROR(MATCH(M34,_xlfn.ANCHORARRAY(F45),0))),L47&amp;"Por favor no seleccionar los criterios de impacto",M34)</f>
        <v>0</v>
      </c>
      <c r="O34" s="270"/>
      <c r="P34" s="252"/>
      <c r="Q34" s="255"/>
      <c r="R34" s="105">
        <v>6</v>
      </c>
      <c r="S34" s="106"/>
      <c r="T34" s="107" t="str">
        <f t="shared" si="40"/>
        <v/>
      </c>
      <c r="U34" s="108"/>
      <c r="V34" s="108"/>
      <c r="W34" s="109" t="str">
        <f t="shared" si="37"/>
        <v/>
      </c>
      <c r="X34" s="108"/>
      <c r="Y34" s="108"/>
      <c r="Z34" s="108"/>
      <c r="AA34" s="110" t="str">
        <f t="shared" si="41"/>
        <v/>
      </c>
      <c r="AB34" s="111" t="str">
        <f t="shared" si="25"/>
        <v/>
      </c>
      <c r="AC34" s="112" t="str">
        <f t="shared" si="38"/>
        <v/>
      </c>
      <c r="AD34" s="111" t="str">
        <f t="shared" si="27"/>
        <v/>
      </c>
      <c r="AE34" s="112" t="str">
        <f t="shared" si="42"/>
        <v/>
      </c>
      <c r="AF34" s="113" t="str">
        <f t="shared" si="43"/>
        <v/>
      </c>
      <c r="AG34" s="114"/>
      <c r="AH34" s="115"/>
      <c r="AI34" s="116"/>
      <c r="AJ34" s="117"/>
      <c r="AK34" s="117"/>
      <c r="AL34" s="115"/>
      <c r="AM34" s="116"/>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1" x14ac:dyDescent="0.25">
      <c r="A35" s="256">
        <v>10</v>
      </c>
      <c r="B35" s="259"/>
      <c r="C35" s="259"/>
      <c r="D35" s="259"/>
      <c r="E35" s="127"/>
      <c r="F35" s="262"/>
      <c r="G35" s="130"/>
      <c r="H35" s="130"/>
      <c r="I35" s="259"/>
      <c r="J35" s="265"/>
      <c r="K35" s="268" t="str">
        <f t="shared" ref="K35" si="44">IF(J35&lt;=0,"",IF(J35&lt;=2,"Muy Baja",IF(J35&lt;=24,"Baja",IF(J35&lt;=500,"Media",IF(J35&lt;=5000,"Alta","Muy Alta")))))</f>
        <v/>
      </c>
      <c r="L35" s="250" t="str">
        <f t="shared" ref="L35" si="45">IF(K35="","",IF(K35="Muy Baja",0.2,IF(K35="Baja",0.4,IF(K35="Media",0.6,IF(K35="Alta",0.8,IF(K35="Muy Alta",1,))))))</f>
        <v/>
      </c>
      <c r="M35" s="271"/>
      <c r="N35" s="250">
        <f>IF(NOT(ISERROR(MATCH(M35,'Tabla Impacto'!$B$221:$B$223,0))),'Tabla Impacto'!$F$223&amp;"Por favor no seleccionar los criterios de impacto(Afectación Económica o presupuestal y Pérdida Reputacional)",M35)</f>
        <v>0</v>
      </c>
      <c r="O35" s="268" t="str">
        <f>IF(OR(N35='Tabla Impacto'!$C$11,N35='Tabla Impacto'!$D$11),"Leve",IF(OR(N35='Tabla Impacto'!$C$12,N35='Tabla Impacto'!$D$12),"Menor",IF(OR(N35='Tabla Impacto'!$C$13,N35='Tabla Impacto'!$D$13),"Moderado",IF(OR(N35='Tabla Impacto'!$C$14,N35='Tabla Impacto'!$D$14),"Mayor",IF(OR(N35='Tabla Impacto'!$C$15,N35='Tabla Impacto'!$D$15),"Catastrófico","")))))</f>
        <v/>
      </c>
      <c r="P35" s="250" t="str">
        <f t="shared" ref="P35" si="46">IF(O35="","",IF(O35="Leve",0.2,IF(O35="Menor",0.4,IF(O35="Moderado",0.6,IF(O35="Mayor",0.8,IF(O35="Catastrófico",1,))))))</f>
        <v/>
      </c>
      <c r="Q35" s="253" t="str">
        <f t="shared" ref="Q35" si="47">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105">
        <v>1</v>
      </c>
      <c r="S35" s="106"/>
      <c r="T35" s="107" t="str">
        <f>IF(OR(U35="Preventivo",U35="Detectivo"),"Probabilidad",IF(U35="Correctivo","Impacto",""))</f>
        <v/>
      </c>
      <c r="U35" s="108"/>
      <c r="V35" s="108"/>
      <c r="W35" s="109" t="str">
        <f>IF(AND(U35="Preventivo",V35="Automático"),"50%",IF(AND(U35="Preventivo",V35="Manual"),"40%",IF(AND(U35="Detectivo",V35="Automático"),"40%",IF(AND(U35="Detectivo",V35="Manual"),"30%",IF(AND(U35="Correctivo",V35="Automático"),"35%",IF(AND(U35="Correctivo",V35="Manual"),"25%",""))))))</f>
        <v/>
      </c>
      <c r="X35" s="108"/>
      <c r="Y35" s="108"/>
      <c r="Z35" s="108"/>
      <c r="AA35" s="110" t="str">
        <f>IFERROR(IF(T35="Probabilidad",(L35-(+L35*W35)),IF(T35="Impacto",L35,"")),"")</f>
        <v/>
      </c>
      <c r="AB35" s="111" t="str">
        <f>IFERROR(IF(AA35="","",IF(AA35&lt;=0.2,"Muy Baja",IF(AA35&lt;=0.4,"Baja",IF(AA35&lt;=0.6,"Media",IF(AA35&lt;=0.8,"Alta","Muy Alta"))))),"")</f>
        <v/>
      </c>
      <c r="AC35" s="112" t="str">
        <f>+AA35</f>
        <v/>
      </c>
      <c r="AD35" s="111" t="str">
        <f>IFERROR(IF(AE35="","",IF(AE35&lt;=0.2,"Leve",IF(AE35&lt;=0.4,"Menor",IF(AE35&lt;=0.6,"Moderado",IF(AE35&lt;=0.8,"Mayor","Catastrófico"))))),"")</f>
        <v/>
      </c>
      <c r="AE35" s="112" t="str">
        <f>IFERROR(IF(T35="Impacto",(P35-(+P35*W35)),IF(T35="Probabilidad",P35,"")),"")</f>
        <v/>
      </c>
      <c r="AF35" s="113" t="str">
        <f>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
      </c>
      <c r="AG35" s="114"/>
      <c r="AH35" s="115"/>
      <c r="AI35" s="116"/>
      <c r="AJ35" s="117"/>
      <c r="AK35" s="117"/>
      <c r="AL35" s="115"/>
      <c r="AM35" s="116"/>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1" x14ac:dyDescent="0.25">
      <c r="A36" s="257"/>
      <c r="B36" s="260"/>
      <c r="C36" s="260"/>
      <c r="D36" s="260"/>
      <c r="E36" s="128"/>
      <c r="F36" s="263"/>
      <c r="G36" s="131"/>
      <c r="H36" s="131"/>
      <c r="I36" s="260"/>
      <c r="J36" s="266"/>
      <c r="K36" s="269"/>
      <c r="L36" s="251"/>
      <c r="M36" s="272"/>
      <c r="N36" s="251">
        <f>IF(NOT(ISERROR(MATCH(M36,_xlfn.ANCHORARRAY(F47),0))),L49&amp;"Por favor no seleccionar los criterios de impacto",M36)</f>
        <v>0</v>
      </c>
      <c r="O36" s="269"/>
      <c r="P36" s="251"/>
      <c r="Q36" s="254"/>
      <c r="R36" s="105">
        <v>2</v>
      </c>
      <c r="S36" s="106"/>
      <c r="T36" s="107" t="str">
        <f>IF(OR(U36="Preventivo",U36="Detectivo"),"Probabilidad",IF(U36="Correctivo","Impacto",""))</f>
        <v/>
      </c>
      <c r="U36" s="108"/>
      <c r="V36" s="108"/>
      <c r="W36" s="109" t="str">
        <f t="shared" ref="W36:W40" si="48">IF(AND(U36="Preventivo",V36="Automático"),"50%",IF(AND(U36="Preventivo",V36="Manual"),"40%",IF(AND(U36="Detectivo",V36="Automático"),"40%",IF(AND(U36="Detectivo",V36="Manual"),"30%",IF(AND(U36="Correctivo",V36="Automático"),"35%",IF(AND(U36="Correctivo",V36="Manual"),"25%",""))))))</f>
        <v/>
      </c>
      <c r="X36" s="108"/>
      <c r="Y36" s="108"/>
      <c r="Z36" s="108"/>
      <c r="AA36" s="110" t="str">
        <f>IFERROR(IF(AND(T35="Probabilidad",T36="Probabilidad"),(AC35-(+AC35*W36)),IF(T36="Probabilidad",(L35-(+L35*W36)),IF(T36="Impacto",AC35,""))),"")</f>
        <v/>
      </c>
      <c r="AB36" s="111" t="str">
        <f t="shared" si="25"/>
        <v/>
      </c>
      <c r="AC36" s="112" t="str">
        <f t="shared" ref="AC36:AC40" si="49">+AA36</f>
        <v/>
      </c>
      <c r="AD36" s="111" t="str">
        <f t="shared" si="27"/>
        <v/>
      </c>
      <c r="AE36" s="112" t="str">
        <f>IFERROR(IF(AND(T35="Impacto",T36="Impacto"),(AE35-(+AE35*W36)),IF(T36="Impacto",(P35-(+P35*W36)),IF(T36="Probabilidad",AE35,""))),"")</f>
        <v/>
      </c>
      <c r="AF36" s="113" t="str">
        <f t="shared" ref="AF36:AF37" si="50">IFERROR(IF(OR(AND(AB36="Muy Baja",AD36="Leve"),AND(AB36="Muy Baja",AD36="Menor"),AND(AB36="Baja",AD36="Leve")),"Bajo",IF(OR(AND(AB36="Muy baja",AD36="Moderado"),AND(AB36="Baja",AD36="Menor"),AND(AB36="Baja",AD36="Moderado"),AND(AB36="Media",AD36="Leve"),AND(AB36="Media",AD36="Menor"),AND(AB36="Media",AD36="Moderado"),AND(AB36="Alta",AD36="Leve"),AND(AB36="Alta",AD36="Menor")),"Moderado",IF(OR(AND(AB36="Muy Baja",AD36="Mayor"),AND(AB36="Baja",AD36="Mayor"),AND(AB36="Media",AD36="Mayor"),AND(AB36="Alta",AD36="Moderado"),AND(AB36="Alta",AD36="Mayor"),AND(AB36="Muy Alta",AD36="Leve"),AND(AB36="Muy Alta",AD36="Menor"),AND(AB36="Muy Alta",AD36="Moderado"),AND(AB36="Muy Alta",AD36="Mayor")),"Alto",IF(OR(AND(AB36="Muy Baja",AD36="Catastrófico"),AND(AB36="Baja",AD36="Catastrófico"),AND(AB36="Media",AD36="Catastrófico"),AND(AB36="Alta",AD36="Catastrófico"),AND(AB36="Muy Alta",AD36="Catastrófico")),"Extremo","")))),"")</f>
        <v/>
      </c>
      <c r="AG36" s="114"/>
      <c r="AH36" s="115"/>
      <c r="AI36" s="116"/>
      <c r="AJ36" s="117"/>
      <c r="AK36" s="117"/>
      <c r="AL36" s="115"/>
      <c r="AM36" s="116"/>
    </row>
    <row r="37" spans="1:71" x14ac:dyDescent="0.25">
      <c r="A37" s="257"/>
      <c r="B37" s="260"/>
      <c r="C37" s="260"/>
      <c r="D37" s="260"/>
      <c r="E37" s="128"/>
      <c r="F37" s="263"/>
      <c r="G37" s="131"/>
      <c r="H37" s="131"/>
      <c r="I37" s="260"/>
      <c r="J37" s="266"/>
      <c r="K37" s="269"/>
      <c r="L37" s="251"/>
      <c r="M37" s="272"/>
      <c r="N37" s="251">
        <f>IF(NOT(ISERROR(MATCH(M37,_xlfn.ANCHORARRAY(F48),0))),L50&amp;"Por favor no seleccionar los criterios de impacto",M37)</f>
        <v>0</v>
      </c>
      <c r="O37" s="269"/>
      <c r="P37" s="251"/>
      <c r="Q37" s="254"/>
      <c r="R37" s="105">
        <v>3</v>
      </c>
      <c r="S37" s="118"/>
      <c r="T37" s="107" t="str">
        <f>IF(OR(U37="Preventivo",U37="Detectivo"),"Probabilidad",IF(U37="Correctivo","Impacto",""))</f>
        <v/>
      </c>
      <c r="U37" s="108"/>
      <c r="V37" s="108"/>
      <c r="W37" s="109" t="str">
        <f t="shared" si="48"/>
        <v/>
      </c>
      <c r="X37" s="108"/>
      <c r="Y37" s="108"/>
      <c r="Z37" s="108"/>
      <c r="AA37" s="110" t="str">
        <f>IFERROR(IF(AND(T36="Probabilidad",T37="Probabilidad"),(AC36-(+AC36*W37)),IF(AND(T36="Impacto",T37="Probabilidad"),(AC35-(+AC35*W37)),IF(T37="Impacto",AC36,""))),"")</f>
        <v/>
      </c>
      <c r="AB37" s="111" t="str">
        <f t="shared" si="25"/>
        <v/>
      </c>
      <c r="AC37" s="112" t="str">
        <f t="shared" si="49"/>
        <v/>
      </c>
      <c r="AD37" s="111" t="str">
        <f t="shared" si="27"/>
        <v/>
      </c>
      <c r="AE37" s="112" t="str">
        <f>IFERROR(IF(AND(T36="Impacto",T37="Impacto"),(AE36-(+AE36*W37)),IF(AND(T36="Probabilidad",T37="Impacto"),(AE35-(+AE35*W37)),IF(T37="Probabilidad",AE36,""))),"")</f>
        <v/>
      </c>
      <c r="AF37" s="113" t="str">
        <f t="shared" si="50"/>
        <v/>
      </c>
      <c r="AG37" s="114"/>
      <c r="AH37" s="115"/>
      <c r="AI37" s="116"/>
      <c r="AJ37" s="117"/>
      <c r="AK37" s="117"/>
      <c r="AL37" s="115"/>
      <c r="AM37" s="116"/>
    </row>
    <row r="38" spans="1:71" x14ac:dyDescent="0.25">
      <c r="A38" s="257"/>
      <c r="B38" s="260"/>
      <c r="C38" s="260"/>
      <c r="D38" s="260"/>
      <c r="E38" s="128"/>
      <c r="F38" s="263"/>
      <c r="G38" s="131"/>
      <c r="H38" s="131"/>
      <c r="I38" s="260"/>
      <c r="J38" s="266"/>
      <c r="K38" s="269"/>
      <c r="L38" s="251"/>
      <c r="M38" s="272"/>
      <c r="N38" s="251">
        <f>IF(NOT(ISERROR(MATCH(M38,_xlfn.ANCHORARRAY(F49),0))),L51&amp;"Por favor no seleccionar los criterios de impacto",M38)</f>
        <v>0</v>
      </c>
      <c r="O38" s="269"/>
      <c r="P38" s="251"/>
      <c r="Q38" s="254"/>
      <c r="R38" s="105">
        <v>4</v>
      </c>
      <c r="S38" s="106"/>
      <c r="T38" s="107" t="str">
        <f t="shared" ref="T38:T40" si="51">IF(OR(U38="Preventivo",U38="Detectivo"),"Probabilidad",IF(U38="Correctivo","Impacto",""))</f>
        <v/>
      </c>
      <c r="U38" s="108"/>
      <c r="V38" s="108"/>
      <c r="W38" s="109" t="str">
        <f t="shared" si="48"/>
        <v/>
      </c>
      <c r="X38" s="108"/>
      <c r="Y38" s="108"/>
      <c r="Z38" s="108"/>
      <c r="AA38" s="110" t="str">
        <f t="shared" ref="AA38:AA40" si="52">IFERROR(IF(AND(T37="Probabilidad",T38="Probabilidad"),(AC37-(+AC37*W38)),IF(AND(T37="Impacto",T38="Probabilidad"),(AC36-(+AC36*W38)),IF(T38="Impacto",AC37,""))),"")</f>
        <v/>
      </c>
      <c r="AB38" s="111" t="str">
        <f t="shared" si="25"/>
        <v/>
      </c>
      <c r="AC38" s="112" t="str">
        <f t="shared" si="49"/>
        <v/>
      </c>
      <c r="AD38" s="111" t="str">
        <f t="shared" si="27"/>
        <v/>
      </c>
      <c r="AE38" s="112" t="str">
        <f t="shared" ref="AE38:AE40" si="53">IFERROR(IF(AND(T37="Impacto",T38="Impacto"),(AE37-(+AE37*W38)),IF(AND(T37="Probabilidad",T38="Impacto"),(AE36-(+AE36*W38)),IF(T38="Probabilidad",AE37,""))),"")</f>
        <v/>
      </c>
      <c r="AF38" s="113" t="str">
        <f>IFERROR(IF(OR(AND(AB38="Muy Baja",AD38="Leve"),AND(AB38="Muy Baja",AD38="Menor"),AND(AB38="Baja",AD38="Leve")),"Bajo",IF(OR(AND(AB38="Muy baja",AD38="Moderado"),AND(AB38="Baja",AD38="Menor"),AND(AB38="Baja",AD38="Moderado"),AND(AB38="Media",AD38="Leve"),AND(AB38="Media",AD38="Menor"),AND(AB38="Media",AD38="Moderado"),AND(AB38="Alta",AD38="Leve"),AND(AB38="Alta",AD38="Menor")),"Moderado",IF(OR(AND(AB38="Muy Baja",AD38="Mayor"),AND(AB38="Baja",AD38="Mayor"),AND(AB38="Media",AD38="Mayor"),AND(AB38="Alta",AD38="Moderado"),AND(AB38="Alta",AD38="Mayor"),AND(AB38="Muy Alta",AD38="Leve"),AND(AB38="Muy Alta",AD38="Menor"),AND(AB38="Muy Alta",AD38="Moderado"),AND(AB38="Muy Alta",AD38="Mayor")),"Alto",IF(OR(AND(AB38="Muy Baja",AD38="Catastrófico"),AND(AB38="Baja",AD38="Catastrófico"),AND(AB38="Media",AD38="Catastrófico"),AND(AB38="Alta",AD38="Catastrófico"),AND(AB38="Muy Alta",AD38="Catastrófico")),"Extremo","")))),"")</f>
        <v/>
      </c>
      <c r="AG38" s="114"/>
      <c r="AH38" s="115"/>
      <c r="AI38" s="116"/>
      <c r="AJ38" s="117"/>
      <c r="AK38" s="117"/>
      <c r="AL38" s="115"/>
      <c r="AM38" s="116"/>
    </row>
    <row r="39" spans="1:71" x14ac:dyDescent="0.25">
      <c r="A39" s="257"/>
      <c r="B39" s="260"/>
      <c r="C39" s="260"/>
      <c r="D39" s="260"/>
      <c r="E39" s="128"/>
      <c r="F39" s="263"/>
      <c r="G39" s="131"/>
      <c r="H39" s="131"/>
      <c r="I39" s="260"/>
      <c r="J39" s="266"/>
      <c r="K39" s="269"/>
      <c r="L39" s="251"/>
      <c r="M39" s="272"/>
      <c r="N39" s="251">
        <f>IF(NOT(ISERROR(MATCH(M39,_xlfn.ANCHORARRAY(F50),0))),L52&amp;"Por favor no seleccionar los criterios de impacto",M39)</f>
        <v>0</v>
      </c>
      <c r="O39" s="269"/>
      <c r="P39" s="251"/>
      <c r="Q39" s="254"/>
      <c r="R39" s="105">
        <v>5</v>
      </c>
      <c r="S39" s="106"/>
      <c r="T39" s="107" t="str">
        <f t="shared" si="51"/>
        <v/>
      </c>
      <c r="U39" s="108"/>
      <c r="V39" s="108"/>
      <c r="W39" s="109" t="str">
        <f t="shared" si="48"/>
        <v/>
      </c>
      <c r="X39" s="108"/>
      <c r="Y39" s="108"/>
      <c r="Z39" s="108"/>
      <c r="AA39" s="110" t="str">
        <f t="shared" si="52"/>
        <v/>
      </c>
      <c r="AB39" s="111" t="str">
        <f t="shared" si="25"/>
        <v/>
      </c>
      <c r="AC39" s="112" t="str">
        <f t="shared" si="49"/>
        <v/>
      </c>
      <c r="AD39" s="111" t="str">
        <f t="shared" si="27"/>
        <v/>
      </c>
      <c r="AE39" s="112" t="str">
        <f t="shared" si="53"/>
        <v/>
      </c>
      <c r="AF39" s="113" t="str">
        <f t="shared" ref="AF39:AF40" si="54">IFERROR(IF(OR(AND(AB39="Muy Baja",AD39="Leve"),AND(AB39="Muy Baja",AD39="Menor"),AND(AB39="Baja",AD39="Leve")),"Bajo",IF(OR(AND(AB39="Muy baja",AD39="Moderado"),AND(AB39="Baja",AD39="Menor"),AND(AB39="Baja",AD39="Moderado"),AND(AB39="Media",AD39="Leve"),AND(AB39="Media",AD39="Menor"),AND(AB39="Media",AD39="Moderado"),AND(AB39="Alta",AD39="Leve"),AND(AB39="Alta",AD39="Menor")),"Moderado",IF(OR(AND(AB39="Muy Baja",AD39="Mayor"),AND(AB39="Baja",AD39="Mayor"),AND(AB39="Media",AD39="Mayor"),AND(AB39="Alta",AD39="Moderado"),AND(AB39="Alta",AD39="Mayor"),AND(AB39="Muy Alta",AD39="Leve"),AND(AB39="Muy Alta",AD39="Menor"),AND(AB39="Muy Alta",AD39="Moderado"),AND(AB39="Muy Alta",AD39="Mayor")),"Alto",IF(OR(AND(AB39="Muy Baja",AD39="Catastrófico"),AND(AB39="Baja",AD39="Catastrófico"),AND(AB39="Media",AD39="Catastrófico"),AND(AB39="Alta",AD39="Catastrófico"),AND(AB39="Muy Alta",AD39="Catastrófico")),"Extremo","")))),"")</f>
        <v/>
      </c>
      <c r="AG39" s="114"/>
      <c r="AH39" s="115"/>
      <c r="AI39" s="116"/>
      <c r="AJ39" s="117"/>
      <c r="AK39" s="117"/>
      <c r="AL39" s="115"/>
      <c r="AM39" s="116"/>
    </row>
    <row r="40" spans="1:71" x14ac:dyDescent="0.25">
      <c r="A40" s="258"/>
      <c r="B40" s="261"/>
      <c r="C40" s="261"/>
      <c r="D40" s="261"/>
      <c r="E40" s="129"/>
      <c r="F40" s="264"/>
      <c r="G40" s="132"/>
      <c r="H40" s="132"/>
      <c r="I40" s="261"/>
      <c r="J40" s="267"/>
      <c r="K40" s="270"/>
      <c r="L40" s="252"/>
      <c r="M40" s="273"/>
      <c r="N40" s="252">
        <f>IF(NOT(ISERROR(MATCH(M40,_xlfn.ANCHORARRAY(F51),0))),L53&amp;"Por favor no seleccionar los criterios de impacto",M40)</f>
        <v>0</v>
      </c>
      <c r="O40" s="270"/>
      <c r="P40" s="252"/>
      <c r="Q40" s="255"/>
      <c r="R40" s="105">
        <v>6</v>
      </c>
      <c r="S40" s="106"/>
      <c r="T40" s="107" t="str">
        <f t="shared" si="51"/>
        <v/>
      </c>
      <c r="U40" s="108"/>
      <c r="V40" s="108"/>
      <c r="W40" s="109" t="str">
        <f t="shared" si="48"/>
        <v/>
      </c>
      <c r="X40" s="108"/>
      <c r="Y40" s="108"/>
      <c r="Z40" s="108"/>
      <c r="AA40" s="110" t="str">
        <f t="shared" si="52"/>
        <v/>
      </c>
      <c r="AB40" s="111" t="str">
        <f t="shared" si="25"/>
        <v/>
      </c>
      <c r="AC40" s="112" t="str">
        <f t="shared" si="49"/>
        <v/>
      </c>
      <c r="AD40" s="111" t="str">
        <f t="shared" si="27"/>
        <v/>
      </c>
      <c r="AE40" s="112" t="str">
        <f t="shared" si="53"/>
        <v/>
      </c>
      <c r="AF40" s="113" t="str">
        <f t="shared" si="54"/>
        <v/>
      </c>
      <c r="AG40" s="114"/>
      <c r="AH40" s="115"/>
      <c r="AI40" s="116"/>
      <c r="AJ40" s="117"/>
      <c r="AK40" s="117"/>
      <c r="AL40" s="115"/>
      <c r="AM40" s="116"/>
    </row>
    <row r="41" spans="1:71" x14ac:dyDescent="0.25">
      <c r="A41" s="6"/>
      <c r="B41" s="247" t="s">
        <v>125</v>
      </c>
      <c r="C41" s="248"/>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9"/>
    </row>
    <row r="43" spans="1:71" x14ac:dyDescent="0.25">
      <c r="A43" s="1"/>
      <c r="B43" s="24" t="s">
        <v>137</v>
      </c>
      <c r="C43" s="1"/>
      <c r="D43" s="1"/>
      <c r="E43" s="1"/>
      <c r="I43" s="1"/>
    </row>
  </sheetData>
  <dataConsolidate/>
  <mergeCells count="119">
    <mergeCell ref="J10:J11"/>
    <mergeCell ref="C5:Q5"/>
    <mergeCell ref="A10:A15"/>
    <mergeCell ref="B10:B15"/>
    <mergeCell ref="C10:C15"/>
    <mergeCell ref="D10:D15"/>
    <mergeCell ref="F10:F15"/>
    <mergeCell ref="K10:K15"/>
    <mergeCell ref="E8:E9"/>
    <mergeCell ref="B8:B9"/>
    <mergeCell ref="Q8:Q9"/>
    <mergeCell ref="M8:M9"/>
    <mergeCell ref="N8:N9"/>
    <mergeCell ref="J8:J9"/>
    <mergeCell ref="K8:K9"/>
    <mergeCell ref="E11:E15"/>
    <mergeCell ref="H10:H11"/>
    <mergeCell ref="C6:AM6"/>
    <mergeCell ref="T8:T9"/>
    <mergeCell ref="U8:Z8"/>
    <mergeCell ref="AH8:AH9"/>
    <mergeCell ref="Q10:Q15"/>
    <mergeCell ref="L10:L15"/>
    <mergeCell ref="M10:M15"/>
    <mergeCell ref="N10:N15"/>
    <mergeCell ref="O10:O15"/>
    <mergeCell ref="P10:P15"/>
    <mergeCell ref="L8:L9"/>
    <mergeCell ref="O8:O9"/>
    <mergeCell ref="P8:P9"/>
    <mergeCell ref="AM8:AM9"/>
    <mergeCell ref="AL8:AL9"/>
    <mergeCell ref="AK8:AK9"/>
    <mergeCell ref="AJ8:AJ9"/>
    <mergeCell ref="AI8:AI9"/>
    <mergeCell ref="AC8:AC9"/>
    <mergeCell ref="AH10:AH12"/>
    <mergeCell ref="A4:B4"/>
    <mergeCell ref="A5:B5"/>
    <mergeCell ref="A6:B6"/>
    <mergeCell ref="A8:A9"/>
    <mergeCell ref="I8:I9"/>
    <mergeCell ref="F8:F9"/>
    <mergeCell ref="D8:D9"/>
    <mergeCell ref="C8:C9"/>
    <mergeCell ref="AG8:AG9"/>
    <mergeCell ref="R8:R9"/>
    <mergeCell ref="AF8:AF9"/>
    <mergeCell ref="AE8:AE9"/>
    <mergeCell ref="AA8:AA9"/>
    <mergeCell ref="S8:S9"/>
    <mergeCell ref="AD8:AD9"/>
    <mergeCell ref="AB8:AB9"/>
    <mergeCell ref="C4:AM4"/>
    <mergeCell ref="A23:A28"/>
    <mergeCell ref="B23:B28"/>
    <mergeCell ref="C23:C28"/>
    <mergeCell ref="D23:D28"/>
    <mergeCell ref="F23:F28"/>
    <mergeCell ref="A17:A22"/>
    <mergeCell ref="B17:B22"/>
    <mergeCell ref="C17:C22"/>
    <mergeCell ref="D17:D22"/>
    <mergeCell ref="F17:F22"/>
    <mergeCell ref="E17:E22"/>
    <mergeCell ref="E23:E28"/>
    <mergeCell ref="P17:P22"/>
    <mergeCell ref="Q17:Q22"/>
    <mergeCell ref="I23:I28"/>
    <mergeCell ref="J23:J28"/>
    <mergeCell ref="K23:K28"/>
    <mergeCell ref="L23:L28"/>
    <mergeCell ref="M23:M28"/>
    <mergeCell ref="I17:I22"/>
    <mergeCell ref="J17:J22"/>
    <mergeCell ref="K17:K22"/>
    <mergeCell ref="L17:L22"/>
    <mergeCell ref="N23:N28"/>
    <mergeCell ref="O23:O28"/>
    <mergeCell ref="P23:P28"/>
    <mergeCell ref="Q23:Q28"/>
    <mergeCell ref="M17:M22"/>
    <mergeCell ref="N17:N22"/>
    <mergeCell ref="O17:O22"/>
    <mergeCell ref="N29:N34"/>
    <mergeCell ref="O29:O34"/>
    <mergeCell ref="A29:A34"/>
    <mergeCell ref="B29:B34"/>
    <mergeCell ref="C29:C34"/>
    <mergeCell ref="D29:D34"/>
    <mergeCell ref="F29:F34"/>
    <mergeCell ref="I29:I34"/>
    <mergeCell ref="J29:J34"/>
    <mergeCell ref="K29:K34"/>
    <mergeCell ref="L29:L34"/>
    <mergeCell ref="A1:AM2"/>
    <mergeCell ref="A7:J7"/>
    <mergeCell ref="K7:Q7"/>
    <mergeCell ref="R7:Z7"/>
    <mergeCell ref="AA7:AG7"/>
    <mergeCell ref="AH7:AM7"/>
    <mergeCell ref="B41:AM41"/>
    <mergeCell ref="P29:P34"/>
    <mergeCell ref="Q29:Q34"/>
    <mergeCell ref="A35:A40"/>
    <mergeCell ref="B35:B40"/>
    <mergeCell ref="C35:C40"/>
    <mergeCell ref="D35:D40"/>
    <mergeCell ref="F35:F40"/>
    <mergeCell ref="I35:I40"/>
    <mergeCell ref="J35:J40"/>
    <mergeCell ref="K35:K40"/>
    <mergeCell ref="L35:L40"/>
    <mergeCell ref="M35:M40"/>
    <mergeCell ref="N35:N40"/>
    <mergeCell ref="O35:O40"/>
    <mergeCell ref="P35:P40"/>
    <mergeCell ref="Q35:Q40"/>
    <mergeCell ref="M29:M34"/>
  </mergeCells>
  <conditionalFormatting sqref="K10 AB10:AB40 K16:K17 K23 K29 K35">
    <cfRule type="cellIs" dxfId="18" priority="361" operator="equal">
      <formula>"Muy Alta"</formula>
    </cfRule>
    <cfRule type="cellIs" dxfId="17" priority="362" operator="equal">
      <formula>"Alta"</formula>
    </cfRule>
    <cfRule type="cellIs" dxfId="16" priority="363" operator="equal">
      <formula>"Media"</formula>
    </cfRule>
    <cfRule type="cellIs" dxfId="15" priority="364" operator="equal">
      <formula>"Baja"</formula>
    </cfRule>
    <cfRule type="cellIs" dxfId="14" priority="365" operator="equal">
      <formula>"Muy Baja"</formula>
    </cfRule>
  </conditionalFormatting>
  <conditionalFormatting sqref="N10:N40">
    <cfRule type="containsText" dxfId="13" priority="43" operator="containsText" text="❌">
      <formula>NOT(ISERROR(SEARCH("❌",N10)))</formula>
    </cfRule>
  </conditionalFormatting>
  <conditionalFormatting sqref="O10 AD10:AD40 O16:O17 O23 O29 O35">
    <cfRule type="cellIs" dxfId="12" priority="356" operator="equal">
      <formula>"Catastrófico"</formula>
    </cfRule>
    <cfRule type="cellIs" dxfId="11" priority="357" operator="equal">
      <formula>"Mayor"</formula>
    </cfRule>
    <cfRule type="cellIs" dxfId="10" priority="358" operator="equal">
      <formula>"Moderado"</formula>
    </cfRule>
    <cfRule type="cellIs" dxfId="9" priority="359" operator="equal">
      <formula>"Menor"</formula>
    </cfRule>
    <cfRule type="cellIs" dxfId="8" priority="360" operator="equal">
      <formula>"Leve"</formula>
    </cfRule>
  </conditionalFormatting>
  <conditionalFormatting sqref="Q10 AF10:AF40">
    <cfRule type="cellIs" dxfId="7" priority="352" operator="equal">
      <formula>"Extremo"</formula>
    </cfRule>
    <cfRule type="cellIs" dxfId="6" priority="353" operator="equal">
      <formula>"Alto"</formula>
    </cfRule>
    <cfRule type="cellIs" dxfId="5" priority="354" operator="equal">
      <formula>"Moderado"</formula>
    </cfRule>
    <cfRule type="cellIs" dxfId="4" priority="355" operator="equal">
      <formula>"Bajo"</formula>
    </cfRule>
  </conditionalFormatting>
  <conditionalFormatting sqref="Q16:Q17 Q23 Q29 Q35">
    <cfRule type="cellIs" dxfId="3" priority="282" operator="equal">
      <formula>"Extremo"</formula>
    </cfRule>
    <cfRule type="cellIs" dxfId="2" priority="283" operator="equal">
      <formula>"Alto"</formula>
    </cfRule>
    <cfRule type="cellIs" dxfId="1" priority="284" operator="equal">
      <formula>"Moderado"</formula>
    </cfRule>
    <cfRule type="cellIs" dxfId="0" priority="285" operator="equal">
      <formula>"Bajo"</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100-000000000000}">
          <x14:formula1>
            <xm:f>'Tabla Valoración controles'!$D$4:$D$6</xm:f>
          </x14:formula1>
          <xm:sqref>U10:U13 U16:U40</xm:sqref>
        </x14:dataValidation>
        <x14:dataValidation type="list" allowBlank="1" showInputMessage="1" showErrorMessage="1" xr:uid="{00000000-0002-0000-0100-000001000000}">
          <x14:formula1>
            <xm:f>'Tabla Valoración controles'!$D$7:$D$8</xm:f>
          </x14:formula1>
          <xm:sqref>V10:V13 V16:V40</xm:sqref>
        </x14:dataValidation>
        <x14:dataValidation type="list" allowBlank="1" showInputMessage="1" showErrorMessage="1" xr:uid="{00000000-0002-0000-0100-000002000000}">
          <x14:formula1>
            <xm:f>'Tabla Valoración controles'!$D$9:$D$10</xm:f>
          </x14:formula1>
          <xm:sqref>X10:X12 X16:X40</xm:sqref>
        </x14:dataValidation>
        <x14:dataValidation type="list" allowBlank="1" showInputMessage="1" showErrorMessage="1" xr:uid="{00000000-0002-0000-0100-000003000000}">
          <x14:formula1>
            <xm:f>'Tabla Valoración controles'!$D$11:$D$12</xm:f>
          </x14:formula1>
          <xm:sqref>Y10:Y12 Y16:Y40</xm:sqref>
        </x14:dataValidation>
        <x14:dataValidation type="list" allowBlank="1" showInputMessage="1" showErrorMessage="1" xr:uid="{00000000-0002-0000-0100-000004000000}">
          <x14:formula1>
            <xm:f>'Opciones Tratamiento'!$B$9:$B$10</xm:f>
          </x14:formula1>
          <xm:sqref>AM10:AM14 AM20:AM21 AM23:AM24 AM26:AM27 AM29:AM30 AM32:AM33 AM35:AM36 AM38:AM39 AM16:AM18</xm:sqref>
        </x14:dataValidation>
        <x14:dataValidation type="list" allowBlank="1" showInputMessage="1" showErrorMessage="1" xr:uid="{00000000-0002-0000-0100-000005000000}">
          <x14:formula1>
            <xm:f>'Tabla Valoración controles'!$D$13:$D$14</xm:f>
          </x14:formula1>
          <xm:sqref>Z10:Z12 Z16:Z40</xm:sqref>
        </x14:dataValidation>
        <x14:dataValidation type="custom" allowBlank="1" showInputMessage="1" showErrorMessage="1" error="Recuerde que las acciones se generan bajo la medida de mitigar el riesgo" xr:uid="{00000000-0002-0000-0100-00000C000000}">
          <x14:formula1>
            <xm:f>IF(OR(AG10='Opciones Tratamiento'!$B$2,AG10='Opciones Tratamiento'!$B$3,AG10='Opciones Tratamiento'!$B$4),ISBLANK(AG10),ISTEXT(AG10))</xm:f>
          </x14:formula1>
          <xm:sqref>AL10 AK16:AL16 AJ12:AJ22 AJ24:AJ40</xm:sqref>
        </x14:dataValidation>
        <x14:dataValidation type="custom" allowBlank="1" showInputMessage="1" showErrorMessage="1" error="Recuerde que las acciones se generan bajo la medida de mitigar el riesgo" xr:uid="{00000000-0002-0000-0100-00000D000000}">
          <x14:formula1>
            <xm:f>IF(OR(AG12='Opciones Tratamiento'!$B$2,AG12='Opciones Tratamiento'!$B$3,AG12='Opciones Tratamiento'!$B$4),ISBLANK(AG12),ISTEXT(AG12))</xm:f>
          </x14:formula1>
          <xm:sqref>AK12:AK15 AK17:AK40</xm:sqref>
        </x14:dataValidation>
        <x14:dataValidation type="custom" allowBlank="1" showInputMessage="1" showErrorMessage="1" error="Recuerde que las acciones se generan bajo la medida de mitigar el riesgo" xr:uid="{00000000-0002-0000-0100-00000E000000}">
          <x14:formula1>
            <xm:f>IF(OR(AG11='Opciones Tratamiento'!$B$2,AG11='Opciones Tratamiento'!$B$3,AG11='Opciones Tratamiento'!$B$4),ISBLANK(AG11),ISTEXT(AG11))</xm:f>
          </x14:formula1>
          <xm:sqref>AL17:AL40 AL11:AL15</xm:sqref>
        </x14:dataValidation>
        <x14:dataValidation type="list" allowBlank="1" showInputMessage="1" showErrorMessage="1" xr:uid="{00000000-0002-0000-0100-00000F000000}">
          <x14:formula1>
            <xm:f>'C:\Users\HOME\Downloads\[Formato Matriz de Riesgos 2021 (1).xlsx]Tabla Valoración controles'!#REF!</xm:f>
          </x14:formula1>
          <xm:sqref>X13:Z15 U14:V15</xm:sqref>
        </x14:dataValidation>
        <x14:dataValidation type="list" allowBlank="1" showInputMessage="1" showErrorMessage="1" xr:uid="{00000000-0002-0000-0100-000006000000}">
          <x14:formula1>
            <xm:f>'Opciones Tratamiento'!$B$13:$B$19</xm:f>
          </x14:formula1>
          <xm:sqref>I10:I40</xm:sqref>
        </x14:dataValidation>
        <x14:dataValidation type="list" allowBlank="1" showInputMessage="1" showErrorMessage="1" xr:uid="{00000000-0002-0000-0100-000007000000}">
          <x14:formula1>
            <xm:f>'Opciones Tratamiento'!$E$2:$E$4</xm:f>
          </x14:formula1>
          <xm:sqref>B10:B40</xm:sqref>
        </x14:dataValidation>
        <x14:dataValidation type="list" allowBlank="1" showInputMessage="1" showErrorMessage="1" xr:uid="{00000000-0002-0000-0100-000008000000}">
          <x14:formula1>
            <xm:f>'Opciones Tratamiento'!$B$2:$B$5</xm:f>
          </x14:formula1>
          <xm:sqref>AG10:AG40</xm:sqref>
        </x14:dataValidation>
        <x14:dataValidation type="list" allowBlank="1" showInputMessage="1" showErrorMessage="1" xr:uid="{00000000-0002-0000-0100-000009000000}">
          <x14:formula1>
            <xm:f>'Tabla Impacto'!$F$210:$F$221</xm:f>
          </x14:formula1>
          <xm:sqref>M10:M40</xm:sqref>
        </x14:dataValidation>
        <x14:dataValidation type="custom" allowBlank="1" showInputMessage="1" showErrorMessage="1" error="Recuerde que las acciones se generan bajo la medida de mitigar el riesgo" xr:uid="{00000000-0002-0000-0100-00000A000000}">
          <x14:formula1>
            <xm:f>IF(OR(AG13='Opciones Tratamiento'!$B$2,AG13='Opciones Tratamiento'!$B$3,AG13='Opciones Tratamiento'!$B$4),ISBLANK(AG13),ISTEXT(AG13))</xm:f>
          </x14:formula1>
          <xm:sqref>AH13:AH40</xm:sqref>
        </x14:dataValidation>
        <x14:dataValidation type="custom" allowBlank="1" showInputMessage="1" showErrorMessage="1" error="Recuerde que las acciones se generan bajo la medida de mitigar el riesgo" xr:uid="{00000000-0002-0000-0100-00000B000000}">
          <x14:formula1>
            <xm:f>IF(OR(AG12='Opciones Tratamiento'!$B$2,AG12='Opciones Tratamiento'!$B$3,AG12='Opciones Tratamiento'!$B$4),ISBLANK(AG12),ISTEXT(AG12))</xm:f>
          </x14:formula1>
          <xm:sqref>AI12:AI40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8071E-364D-4525-B8AF-3A1945913406}">
  <dimension ref="A1:N89"/>
  <sheetViews>
    <sheetView topLeftCell="A8" workbookViewId="0">
      <selection activeCell="G12" sqref="G12:J12"/>
    </sheetView>
  </sheetViews>
  <sheetFormatPr baseColWidth="10" defaultRowHeight="14.4" x14ac:dyDescent="0.3"/>
  <cols>
    <col min="4" max="4" width="18.6640625" customWidth="1"/>
    <col min="6" max="6" width="24.33203125" customWidth="1"/>
    <col min="10" max="10" width="28.5546875" customWidth="1"/>
  </cols>
  <sheetData>
    <row r="1" spans="1:14" s="168" customFormat="1" ht="26.4" customHeight="1" x14ac:dyDescent="0.25">
      <c r="A1" s="425" t="str">
        <f>[2]CONTEXTO!B1</f>
        <v xml:space="preserve">PROCESO: </v>
      </c>
      <c r="B1" s="426"/>
      <c r="C1" s="426"/>
      <c r="D1" s="426"/>
      <c r="E1" s="426"/>
      <c r="F1" s="426"/>
      <c r="G1" s="427"/>
      <c r="H1" s="431" t="s">
        <v>218</v>
      </c>
      <c r="I1" s="431"/>
      <c r="J1" s="432"/>
      <c r="K1" s="167"/>
      <c r="N1" s="435"/>
    </row>
    <row r="2" spans="1:14" s="168" customFormat="1" ht="15.6" x14ac:dyDescent="0.25">
      <c r="A2" s="428"/>
      <c r="B2" s="429"/>
      <c r="C2" s="429"/>
      <c r="D2" s="429"/>
      <c r="E2" s="429"/>
      <c r="F2" s="429"/>
      <c r="G2" s="430"/>
      <c r="H2" s="436" t="s">
        <v>219</v>
      </c>
      <c r="I2" s="436"/>
      <c r="J2" s="433"/>
      <c r="K2" s="167"/>
      <c r="N2" s="435"/>
    </row>
    <row r="3" spans="1:14" s="168" customFormat="1" ht="15" customHeight="1" x14ac:dyDescent="0.25">
      <c r="A3" s="428" t="s">
        <v>220</v>
      </c>
      <c r="B3" s="429"/>
      <c r="C3" s="429"/>
      <c r="D3" s="429"/>
      <c r="E3" s="429"/>
      <c r="F3" s="429"/>
      <c r="G3" s="430"/>
      <c r="H3" s="436" t="s">
        <v>221</v>
      </c>
      <c r="I3" s="436"/>
      <c r="J3" s="433"/>
      <c r="K3" s="167"/>
      <c r="N3" s="435"/>
    </row>
    <row r="4" spans="1:14" s="168" customFormat="1" ht="15.75" customHeight="1" x14ac:dyDescent="0.25">
      <c r="A4" s="437"/>
      <c r="B4" s="438"/>
      <c r="C4" s="438"/>
      <c r="D4" s="438"/>
      <c r="E4" s="438"/>
      <c r="F4" s="438"/>
      <c r="G4" s="439"/>
      <c r="H4" s="436" t="s">
        <v>222</v>
      </c>
      <c r="I4" s="436"/>
      <c r="J4" s="434"/>
      <c r="K4" s="167"/>
      <c r="N4" s="435"/>
    </row>
    <row r="5" spans="1:14" s="168" customFormat="1" ht="15.75" customHeight="1" x14ac:dyDescent="0.25">
      <c r="A5" s="443" t="s">
        <v>223</v>
      </c>
      <c r="B5" s="444"/>
      <c r="C5" s="444"/>
      <c r="D5" s="444"/>
      <c r="E5" s="444"/>
      <c r="F5" s="444"/>
      <c r="G5" s="444"/>
      <c r="H5" s="444"/>
      <c r="I5" s="444"/>
      <c r="J5" s="445"/>
      <c r="K5" s="167"/>
      <c r="N5" s="169"/>
    </row>
    <row r="6" spans="1:14" s="168" customFormat="1" ht="15" customHeight="1" x14ac:dyDescent="0.25">
      <c r="A6" s="446" t="s">
        <v>224</v>
      </c>
      <c r="B6" s="447"/>
      <c r="C6" s="447"/>
      <c r="D6" s="447"/>
      <c r="E6" s="447"/>
      <c r="F6" s="447"/>
      <c r="G6" s="447"/>
      <c r="H6" s="447"/>
      <c r="I6" s="447"/>
      <c r="J6" s="448"/>
    </row>
    <row r="7" spans="1:14" s="168" customFormat="1" ht="52.2" customHeight="1" thickBot="1" x14ac:dyDescent="0.3">
      <c r="A7" s="449"/>
      <c r="B7" s="450"/>
      <c r="C7" s="450"/>
      <c r="D7" s="450"/>
      <c r="E7" s="450"/>
      <c r="F7" s="450"/>
      <c r="G7" s="450"/>
      <c r="H7" s="450"/>
      <c r="I7" s="450"/>
      <c r="J7" s="451"/>
    </row>
    <row r="8" spans="1:14" s="168" customFormat="1" ht="23.25" customHeight="1" x14ac:dyDescent="0.25">
      <c r="A8" s="452" t="s">
        <v>225</v>
      </c>
      <c r="B8" s="452"/>
      <c r="C8" s="452"/>
      <c r="D8" s="452"/>
      <c r="E8" s="407" t="s">
        <v>226</v>
      </c>
      <c r="F8" s="453"/>
      <c r="G8" s="453"/>
      <c r="H8" s="453"/>
      <c r="I8" s="453"/>
      <c r="J8" s="454"/>
    </row>
    <row r="9" spans="1:14" s="168" customFormat="1" ht="23.25" customHeight="1" x14ac:dyDescent="0.25">
      <c r="A9" s="452"/>
      <c r="B9" s="452"/>
      <c r="C9" s="452"/>
      <c r="D9" s="452"/>
      <c r="E9" s="406" t="s">
        <v>227</v>
      </c>
      <c r="F9" s="406"/>
      <c r="G9" s="406" t="s">
        <v>228</v>
      </c>
      <c r="H9" s="406"/>
      <c r="I9" s="406"/>
      <c r="J9" s="406"/>
    </row>
    <row r="10" spans="1:14" s="168" customFormat="1" ht="30.6" customHeight="1" x14ac:dyDescent="0.3">
      <c r="A10" s="452"/>
      <c r="B10" s="452"/>
      <c r="C10" s="452"/>
      <c r="D10" s="452"/>
      <c r="E10" s="360" t="s">
        <v>229</v>
      </c>
      <c r="F10" s="360"/>
      <c r="G10" s="455" t="s">
        <v>230</v>
      </c>
      <c r="H10" s="456"/>
      <c r="I10" s="456"/>
      <c r="J10" s="457"/>
    </row>
    <row r="11" spans="1:14" s="168" customFormat="1" ht="53.1" customHeight="1" x14ac:dyDescent="0.25">
      <c r="A11" s="452"/>
      <c r="B11" s="452"/>
      <c r="C11" s="452"/>
      <c r="D11" s="452"/>
      <c r="E11" s="351" t="s">
        <v>231</v>
      </c>
      <c r="F11" s="352"/>
      <c r="G11" s="412" t="s">
        <v>232</v>
      </c>
      <c r="H11" s="412"/>
      <c r="I11" s="412"/>
      <c r="J11" s="412"/>
    </row>
    <row r="12" spans="1:14" s="168" customFormat="1" ht="62.1" customHeight="1" x14ac:dyDescent="0.25">
      <c r="A12" s="452"/>
      <c r="B12" s="452"/>
      <c r="C12" s="452"/>
      <c r="D12" s="452"/>
      <c r="E12" s="351" t="s">
        <v>233</v>
      </c>
      <c r="F12" s="352"/>
      <c r="G12" s="412" t="s">
        <v>234</v>
      </c>
      <c r="H12" s="412"/>
      <c r="I12" s="412"/>
      <c r="J12" s="412"/>
    </row>
    <row r="13" spans="1:14" s="168" customFormat="1" ht="43.5" customHeight="1" x14ac:dyDescent="0.25">
      <c r="A13" s="452"/>
      <c r="B13" s="452"/>
      <c r="C13" s="452"/>
      <c r="D13" s="452"/>
      <c r="E13" s="351" t="s">
        <v>235</v>
      </c>
      <c r="F13" s="352" t="s">
        <v>236</v>
      </c>
      <c r="G13" s="424" t="s">
        <v>237</v>
      </c>
      <c r="H13" s="424"/>
      <c r="I13" s="424"/>
      <c r="J13" s="424"/>
    </row>
    <row r="14" spans="1:14" s="168" customFormat="1" ht="43.5" customHeight="1" x14ac:dyDescent="0.25">
      <c r="A14" s="452"/>
      <c r="B14" s="452"/>
      <c r="C14" s="452"/>
      <c r="D14" s="452"/>
      <c r="E14" s="366" t="s">
        <v>238</v>
      </c>
      <c r="F14" s="367"/>
      <c r="G14" s="412" t="s">
        <v>239</v>
      </c>
      <c r="H14" s="412"/>
      <c r="I14" s="412"/>
      <c r="J14" s="412"/>
    </row>
    <row r="15" spans="1:14" s="168" customFormat="1" ht="49.5" customHeight="1" x14ac:dyDescent="0.25">
      <c r="A15" s="452"/>
      <c r="B15" s="452"/>
      <c r="C15" s="452"/>
      <c r="D15" s="452"/>
      <c r="E15" s="351" t="s">
        <v>240</v>
      </c>
      <c r="F15" s="352"/>
      <c r="G15" s="458" t="s">
        <v>322</v>
      </c>
      <c r="H15" s="458"/>
      <c r="I15" s="458"/>
      <c r="J15" s="458"/>
    </row>
    <row r="16" spans="1:14" s="168" customFormat="1" ht="70.5" customHeight="1" x14ac:dyDescent="0.25">
      <c r="A16" s="452"/>
      <c r="B16" s="452"/>
      <c r="C16" s="452"/>
      <c r="D16" s="452"/>
      <c r="E16" s="351" t="s">
        <v>241</v>
      </c>
      <c r="F16" s="352"/>
      <c r="G16" s="424" t="s">
        <v>310</v>
      </c>
      <c r="H16" s="424"/>
      <c r="I16" s="424"/>
      <c r="J16" s="424"/>
    </row>
    <row r="17" spans="1:10" s="168" customFormat="1" ht="54.75" customHeight="1" x14ac:dyDescent="0.25">
      <c r="A17" s="452"/>
      <c r="B17" s="452"/>
      <c r="C17" s="452"/>
      <c r="D17" s="452"/>
      <c r="E17" s="373" t="s">
        <v>242</v>
      </c>
      <c r="F17" s="374"/>
      <c r="G17" s="351" t="s">
        <v>243</v>
      </c>
      <c r="H17" s="423"/>
      <c r="I17" s="423"/>
      <c r="J17" s="352"/>
    </row>
    <row r="18" spans="1:10" s="168" customFormat="1" ht="77.25" customHeight="1" x14ac:dyDescent="0.25">
      <c r="A18" s="452"/>
      <c r="B18" s="452"/>
      <c r="C18" s="452"/>
      <c r="D18" s="452"/>
      <c r="E18" s="351" t="s">
        <v>244</v>
      </c>
      <c r="F18" s="352"/>
      <c r="G18" s="387" t="s">
        <v>245</v>
      </c>
      <c r="H18" s="392"/>
      <c r="I18" s="392"/>
      <c r="J18" s="388"/>
    </row>
    <row r="19" spans="1:10" s="168" customFormat="1" ht="71.25" customHeight="1" x14ac:dyDescent="0.25">
      <c r="A19" s="452"/>
      <c r="B19" s="452"/>
      <c r="C19" s="452"/>
      <c r="D19" s="452"/>
      <c r="E19" s="421" t="s">
        <v>246</v>
      </c>
      <c r="F19" s="422"/>
      <c r="G19" s="387" t="s">
        <v>247</v>
      </c>
      <c r="H19" s="392"/>
      <c r="I19" s="392"/>
      <c r="J19" s="388"/>
    </row>
    <row r="20" spans="1:10" s="168" customFormat="1" ht="74.099999999999994" customHeight="1" x14ac:dyDescent="0.25">
      <c r="A20" s="452"/>
      <c r="B20" s="452"/>
      <c r="C20" s="452"/>
      <c r="D20" s="452"/>
      <c r="E20" s="351" t="s">
        <v>318</v>
      </c>
      <c r="F20" s="352"/>
      <c r="G20" s="381" t="s">
        <v>248</v>
      </c>
      <c r="H20" s="400"/>
      <c r="I20" s="400"/>
      <c r="J20" s="382"/>
    </row>
    <row r="21" spans="1:10" s="168" customFormat="1" ht="70.5" customHeight="1" x14ac:dyDescent="0.25">
      <c r="A21" s="452"/>
      <c r="B21" s="452"/>
      <c r="C21" s="452"/>
      <c r="D21" s="452"/>
      <c r="E21" s="419" t="s">
        <v>319</v>
      </c>
      <c r="F21" s="420"/>
      <c r="G21" s="416" t="s">
        <v>249</v>
      </c>
      <c r="H21" s="417"/>
      <c r="I21" s="417"/>
      <c r="J21" s="418"/>
    </row>
    <row r="22" spans="1:10" s="168" customFormat="1" ht="69" customHeight="1" x14ac:dyDescent="0.25">
      <c r="A22" s="452"/>
      <c r="B22" s="452"/>
      <c r="C22" s="452"/>
      <c r="D22" s="452"/>
      <c r="E22" s="414" t="s">
        <v>320</v>
      </c>
      <c r="F22" s="415"/>
      <c r="G22" s="416" t="s">
        <v>250</v>
      </c>
      <c r="H22" s="417"/>
      <c r="I22" s="417"/>
      <c r="J22" s="418"/>
    </row>
    <row r="23" spans="1:10" s="168" customFormat="1" ht="69" customHeight="1" x14ac:dyDescent="0.25">
      <c r="A23" s="452"/>
      <c r="B23" s="452"/>
      <c r="C23" s="452"/>
      <c r="D23" s="452"/>
      <c r="E23" s="419" t="s">
        <v>327</v>
      </c>
      <c r="F23" s="420"/>
      <c r="G23" s="403"/>
      <c r="H23" s="404"/>
      <c r="I23" s="404"/>
      <c r="J23" s="405"/>
    </row>
    <row r="24" spans="1:10" s="168" customFormat="1" ht="69" customHeight="1" x14ac:dyDescent="0.25">
      <c r="A24" s="452"/>
      <c r="B24" s="452"/>
      <c r="C24" s="452"/>
      <c r="D24" s="452"/>
      <c r="E24" s="419" t="s">
        <v>330</v>
      </c>
      <c r="F24" s="420"/>
      <c r="G24" s="440"/>
      <c r="H24" s="441"/>
      <c r="I24" s="441"/>
      <c r="J24" s="442"/>
    </row>
    <row r="25" spans="1:10" s="168" customFormat="1" ht="82.5" customHeight="1" x14ac:dyDescent="0.25">
      <c r="A25" s="452"/>
      <c r="B25" s="452"/>
      <c r="C25" s="452"/>
      <c r="D25" s="452"/>
      <c r="E25" s="401" t="s">
        <v>321</v>
      </c>
      <c r="F25" s="402"/>
      <c r="G25" s="403" t="s">
        <v>251</v>
      </c>
      <c r="H25" s="404"/>
      <c r="I25" s="404"/>
      <c r="J25" s="405"/>
    </row>
    <row r="26" spans="1:10" s="168" customFormat="1" ht="17.399999999999999" x14ac:dyDescent="0.25">
      <c r="A26" s="359" t="s">
        <v>252</v>
      </c>
      <c r="B26" s="359" t="s">
        <v>228</v>
      </c>
      <c r="C26" s="360" t="s">
        <v>253</v>
      </c>
      <c r="D26" s="360"/>
      <c r="E26" s="406" t="s">
        <v>311</v>
      </c>
      <c r="F26" s="360"/>
      <c r="G26" s="407" t="s">
        <v>312</v>
      </c>
      <c r="H26" s="408"/>
      <c r="I26" s="408"/>
      <c r="J26" s="409"/>
    </row>
    <row r="27" spans="1:10" s="168" customFormat="1" ht="66.599999999999994" customHeight="1" x14ac:dyDescent="0.25">
      <c r="A27" s="359"/>
      <c r="B27" s="359"/>
      <c r="C27" s="366" t="s">
        <v>254</v>
      </c>
      <c r="D27" s="367"/>
      <c r="E27" s="383" t="s">
        <v>255</v>
      </c>
      <c r="F27" s="399"/>
      <c r="G27" s="381" t="s">
        <v>256</v>
      </c>
      <c r="H27" s="400"/>
      <c r="I27" s="400"/>
      <c r="J27" s="382"/>
    </row>
    <row r="28" spans="1:10" s="168" customFormat="1" ht="80.25" customHeight="1" x14ac:dyDescent="0.25">
      <c r="A28" s="359"/>
      <c r="B28" s="359"/>
      <c r="C28" s="366" t="s">
        <v>257</v>
      </c>
      <c r="D28" s="367"/>
      <c r="E28" s="387" t="s">
        <v>258</v>
      </c>
      <c r="F28" s="388"/>
      <c r="G28" s="383" t="s">
        <v>313</v>
      </c>
      <c r="H28" s="398"/>
      <c r="I28" s="398"/>
      <c r="J28" s="399"/>
    </row>
    <row r="29" spans="1:10" s="168" customFormat="1" ht="54.75" customHeight="1" x14ac:dyDescent="0.25">
      <c r="A29" s="359"/>
      <c r="B29" s="359"/>
      <c r="C29" s="373" t="s">
        <v>259</v>
      </c>
      <c r="D29" s="374"/>
      <c r="E29" s="387" t="s">
        <v>260</v>
      </c>
      <c r="F29" s="388"/>
      <c r="G29" s="381" t="s">
        <v>261</v>
      </c>
      <c r="H29" s="400"/>
      <c r="I29" s="400"/>
      <c r="J29" s="382"/>
    </row>
    <row r="30" spans="1:10" s="168" customFormat="1" ht="95.1" customHeight="1" x14ac:dyDescent="0.25">
      <c r="A30" s="359"/>
      <c r="B30" s="359"/>
      <c r="C30" s="412" t="s">
        <v>262</v>
      </c>
      <c r="D30" s="413"/>
      <c r="E30" s="351" t="s">
        <v>263</v>
      </c>
      <c r="F30" s="388"/>
      <c r="G30" s="370" t="s">
        <v>264</v>
      </c>
      <c r="H30" s="371"/>
      <c r="I30" s="371"/>
      <c r="J30" s="372"/>
    </row>
    <row r="31" spans="1:10" s="168" customFormat="1" ht="79.5" customHeight="1" x14ac:dyDescent="0.25">
      <c r="A31" s="359"/>
      <c r="B31" s="359"/>
      <c r="C31" s="390" t="s">
        <v>265</v>
      </c>
      <c r="D31" s="391"/>
      <c r="E31" s="381" t="s">
        <v>266</v>
      </c>
      <c r="F31" s="382"/>
      <c r="G31" s="387" t="s">
        <v>267</v>
      </c>
      <c r="H31" s="392"/>
      <c r="I31" s="392"/>
      <c r="J31" s="388"/>
    </row>
    <row r="32" spans="1:10" s="168" customFormat="1" ht="52.5" customHeight="1" x14ac:dyDescent="0.25">
      <c r="A32" s="359"/>
      <c r="B32" s="359"/>
      <c r="C32" s="351" t="s">
        <v>314</v>
      </c>
      <c r="D32" s="352"/>
      <c r="E32" s="387" t="s">
        <v>268</v>
      </c>
      <c r="F32" s="388"/>
      <c r="G32" s="383" t="s">
        <v>269</v>
      </c>
      <c r="H32" s="398"/>
      <c r="I32" s="398"/>
      <c r="J32" s="399"/>
    </row>
    <row r="33" spans="1:10" s="168" customFormat="1" ht="47.25" customHeight="1" x14ac:dyDescent="0.25">
      <c r="A33" s="359"/>
      <c r="B33" s="359"/>
      <c r="C33" s="366" t="s">
        <v>270</v>
      </c>
      <c r="D33" s="367"/>
      <c r="E33" s="381" t="s">
        <v>271</v>
      </c>
      <c r="F33" s="410"/>
      <c r="G33" s="368" t="s">
        <v>272</v>
      </c>
      <c r="H33" s="411"/>
      <c r="I33" s="411"/>
      <c r="J33" s="369"/>
    </row>
    <row r="34" spans="1:10" s="168" customFormat="1" ht="51" customHeight="1" x14ac:dyDescent="0.25">
      <c r="A34" s="359"/>
      <c r="B34" s="359"/>
      <c r="C34" s="351" t="s">
        <v>273</v>
      </c>
      <c r="D34" s="352"/>
      <c r="E34" s="390" t="s">
        <v>274</v>
      </c>
      <c r="F34" s="393"/>
      <c r="G34" s="394" t="s">
        <v>275</v>
      </c>
      <c r="H34" s="395"/>
      <c r="I34" s="395"/>
      <c r="J34" s="396"/>
    </row>
    <row r="35" spans="1:10" s="168" customFormat="1" ht="90.75" customHeight="1" x14ac:dyDescent="0.25">
      <c r="A35" s="359"/>
      <c r="B35" s="359"/>
      <c r="C35" s="387" t="s">
        <v>276</v>
      </c>
      <c r="D35" s="388"/>
      <c r="E35" s="397" t="s">
        <v>277</v>
      </c>
      <c r="F35" s="397"/>
      <c r="G35" s="353"/>
      <c r="H35" s="353"/>
      <c r="I35" s="353"/>
      <c r="J35" s="353"/>
    </row>
    <row r="36" spans="1:10" s="168" customFormat="1" ht="51" customHeight="1" x14ac:dyDescent="0.25">
      <c r="A36" s="359"/>
      <c r="B36" s="359"/>
      <c r="C36" s="387" t="s">
        <v>278</v>
      </c>
      <c r="D36" s="388"/>
      <c r="E36" s="381" t="s">
        <v>279</v>
      </c>
      <c r="F36" s="382"/>
      <c r="G36" s="354"/>
      <c r="H36" s="358"/>
      <c r="I36" s="358"/>
      <c r="J36" s="355"/>
    </row>
    <row r="37" spans="1:10" s="168" customFormat="1" ht="45.75" customHeight="1" x14ac:dyDescent="0.25">
      <c r="A37" s="359"/>
      <c r="B37" s="359"/>
      <c r="C37" s="387" t="s">
        <v>280</v>
      </c>
      <c r="D37" s="388"/>
      <c r="E37" s="387" t="s">
        <v>281</v>
      </c>
      <c r="F37" s="388"/>
      <c r="G37" s="354"/>
      <c r="H37" s="358"/>
      <c r="I37" s="358"/>
      <c r="J37" s="355"/>
    </row>
    <row r="38" spans="1:10" s="168" customFormat="1" ht="45.75" customHeight="1" x14ac:dyDescent="0.25">
      <c r="A38" s="359"/>
      <c r="B38" s="359"/>
      <c r="C38" s="387" t="s">
        <v>282</v>
      </c>
      <c r="D38" s="388"/>
      <c r="E38" s="387" t="s">
        <v>283</v>
      </c>
      <c r="F38" s="389"/>
      <c r="G38" s="354"/>
      <c r="H38" s="358"/>
      <c r="I38" s="358"/>
      <c r="J38" s="355"/>
    </row>
    <row r="39" spans="1:10" s="168" customFormat="1" ht="41.25" customHeight="1" x14ac:dyDescent="0.25">
      <c r="A39" s="359"/>
      <c r="B39" s="359"/>
      <c r="C39" s="381" t="s">
        <v>284</v>
      </c>
      <c r="D39" s="382"/>
      <c r="E39" s="387" t="s">
        <v>285</v>
      </c>
      <c r="F39" s="388"/>
      <c r="G39" s="354"/>
      <c r="H39" s="358"/>
      <c r="I39" s="358"/>
      <c r="J39" s="355"/>
    </row>
    <row r="40" spans="1:10" s="168" customFormat="1" ht="41.25" customHeight="1" x14ac:dyDescent="0.25">
      <c r="A40" s="359"/>
      <c r="B40" s="359"/>
      <c r="C40" s="381" t="s">
        <v>326</v>
      </c>
      <c r="D40" s="382"/>
      <c r="E40" s="383" t="s">
        <v>324</v>
      </c>
      <c r="F40" s="384"/>
      <c r="G40" s="354"/>
      <c r="H40" s="385"/>
      <c r="I40" s="385"/>
      <c r="J40" s="380"/>
    </row>
    <row r="41" spans="1:10" s="168" customFormat="1" ht="41.25" customHeight="1" x14ac:dyDescent="0.25">
      <c r="A41" s="359"/>
      <c r="B41" s="359"/>
      <c r="C41" s="368" t="s">
        <v>323</v>
      </c>
      <c r="D41" s="369"/>
      <c r="E41" s="370" t="s">
        <v>325</v>
      </c>
      <c r="F41" s="372"/>
      <c r="G41" s="175"/>
      <c r="H41" s="176"/>
      <c r="I41" s="176"/>
      <c r="J41" s="177"/>
    </row>
    <row r="42" spans="1:10" s="168" customFormat="1" ht="72" customHeight="1" x14ac:dyDescent="0.25">
      <c r="A42" s="359"/>
      <c r="B42" s="359"/>
      <c r="C42" s="386" t="s">
        <v>286</v>
      </c>
      <c r="D42" s="357"/>
      <c r="E42" s="387" t="s">
        <v>329</v>
      </c>
      <c r="F42" s="388"/>
      <c r="G42" s="354"/>
      <c r="H42" s="358"/>
      <c r="I42" s="358"/>
      <c r="J42" s="355"/>
    </row>
    <row r="43" spans="1:10" s="168" customFormat="1" ht="72" customHeight="1" x14ac:dyDescent="0.25">
      <c r="A43" s="359"/>
      <c r="B43" s="359"/>
      <c r="C43" s="325" t="s">
        <v>328</v>
      </c>
      <c r="D43" s="326"/>
      <c r="E43" s="174"/>
      <c r="F43" s="178"/>
      <c r="G43" s="175"/>
      <c r="H43" s="179"/>
      <c r="I43" s="179"/>
      <c r="J43" s="180"/>
    </row>
    <row r="44" spans="1:10" s="168" customFormat="1" ht="72" customHeight="1" x14ac:dyDescent="0.25">
      <c r="A44" s="359"/>
      <c r="B44" s="359"/>
      <c r="C44" s="325" t="s">
        <v>331</v>
      </c>
      <c r="D44" s="326"/>
      <c r="E44" s="174"/>
      <c r="F44" s="178"/>
      <c r="G44" s="175"/>
      <c r="H44" s="179"/>
      <c r="I44" s="179"/>
      <c r="J44" s="180"/>
    </row>
    <row r="45" spans="1:10" s="168" customFormat="1" ht="154.5" customHeight="1" x14ac:dyDescent="0.25">
      <c r="A45" s="359"/>
      <c r="B45" s="359"/>
      <c r="C45" s="356" t="s">
        <v>287</v>
      </c>
      <c r="D45" s="357"/>
      <c r="E45" s="354"/>
      <c r="F45" s="355"/>
      <c r="G45" s="354"/>
      <c r="H45" s="358"/>
      <c r="I45" s="358"/>
      <c r="J45" s="355"/>
    </row>
    <row r="46" spans="1:10" s="168" customFormat="1" ht="66" customHeight="1" x14ac:dyDescent="0.3">
      <c r="A46" s="359"/>
      <c r="B46" s="359" t="s">
        <v>227</v>
      </c>
      <c r="C46" s="360" t="s">
        <v>288</v>
      </c>
      <c r="D46" s="360"/>
      <c r="E46" s="361" t="s">
        <v>315</v>
      </c>
      <c r="F46" s="362"/>
      <c r="G46" s="363" t="s">
        <v>316</v>
      </c>
      <c r="H46" s="364"/>
      <c r="I46" s="364"/>
      <c r="J46" s="365"/>
    </row>
    <row r="47" spans="1:10" s="168" customFormat="1" ht="51.75" customHeight="1" x14ac:dyDescent="0.25">
      <c r="A47" s="359"/>
      <c r="B47" s="359"/>
      <c r="C47" s="366" t="s">
        <v>289</v>
      </c>
      <c r="D47" s="367"/>
      <c r="E47" s="368" t="s">
        <v>290</v>
      </c>
      <c r="F47" s="369"/>
      <c r="G47" s="370" t="s">
        <v>317</v>
      </c>
      <c r="H47" s="371"/>
      <c r="I47" s="371"/>
      <c r="J47" s="372"/>
    </row>
    <row r="48" spans="1:10" s="168" customFormat="1" ht="63.75" customHeight="1" x14ac:dyDescent="0.25">
      <c r="A48" s="359"/>
      <c r="B48" s="359"/>
      <c r="C48" s="351" t="s">
        <v>291</v>
      </c>
      <c r="D48" s="352"/>
      <c r="E48" s="376" t="s">
        <v>292</v>
      </c>
      <c r="F48" s="377"/>
      <c r="G48" s="378" t="s">
        <v>293</v>
      </c>
      <c r="H48" s="378"/>
      <c r="I48" s="378"/>
      <c r="J48" s="378"/>
    </row>
    <row r="49" spans="1:10" s="168" customFormat="1" ht="109.5" customHeight="1" x14ac:dyDescent="0.25">
      <c r="A49" s="359"/>
      <c r="B49" s="359"/>
      <c r="C49" s="366" t="s">
        <v>294</v>
      </c>
      <c r="D49" s="367"/>
      <c r="E49" s="351" t="s">
        <v>295</v>
      </c>
      <c r="F49" s="352"/>
      <c r="G49" s="378"/>
      <c r="H49" s="378"/>
      <c r="I49" s="378"/>
      <c r="J49" s="378"/>
    </row>
    <row r="50" spans="1:10" s="168" customFormat="1" ht="48" customHeight="1" x14ac:dyDescent="0.25">
      <c r="A50" s="359"/>
      <c r="B50" s="359"/>
      <c r="C50" s="373" t="s">
        <v>296</v>
      </c>
      <c r="D50" s="374"/>
      <c r="E50" s="375" t="s">
        <v>297</v>
      </c>
      <c r="F50" s="375"/>
      <c r="G50" s="353"/>
      <c r="H50" s="353"/>
      <c r="I50" s="353"/>
      <c r="J50" s="353"/>
    </row>
    <row r="51" spans="1:10" s="168" customFormat="1" ht="83.25" customHeight="1" x14ac:dyDescent="0.25">
      <c r="A51" s="359"/>
      <c r="B51" s="359"/>
      <c r="C51" s="351" t="s">
        <v>298</v>
      </c>
      <c r="D51" s="352"/>
      <c r="E51" s="351" t="s">
        <v>299</v>
      </c>
      <c r="F51" s="352"/>
      <c r="G51" s="353"/>
      <c r="H51" s="353"/>
      <c r="I51" s="353"/>
      <c r="J51" s="353"/>
    </row>
    <row r="52" spans="1:10" s="168" customFormat="1" ht="69" customHeight="1" x14ac:dyDescent="0.25">
      <c r="A52" s="359"/>
      <c r="B52" s="359"/>
      <c r="C52" s="349" t="s">
        <v>300</v>
      </c>
      <c r="D52" s="350"/>
      <c r="E52" s="351"/>
      <c r="F52" s="352"/>
      <c r="G52" s="353"/>
      <c r="H52" s="353"/>
      <c r="I52" s="353"/>
      <c r="J52" s="353"/>
    </row>
    <row r="53" spans="1:10" s="168" customFormat="1" ht="13.8" x14ac:dyDescent="0.25">
      <c r="A53" s="359"/>
      <c r="B53" s="359"/>
      <c r="C53" s="351" t="s">
        <v>301</v>
      </c>
      <c r="D53" s="352"/>
      <c r="E53" s="354"/>
      <c r="F53" s="355"/>
      <c r="G53" s="353"/>
      <c r="H53" s="353"/>
      <c r="I53" s="353"/>
      <c r="J53" s="353"/>
    </row>
    <row r="54" spans="1:10" s="168" customFormat="1" ht="50.25" customHeight="1" x14ac:dyDescent="0.25">
      <c r="A54" s="359"/>
      <c r="B54" s="359"/>
      <c r="C54" s="373" t="s">
        <v>302</v>
      </c>
      <c r="D54" s="374"/>
      <c r="E54" s="379"/>
      <c r="F54" s="380"/>
      <c r="G54" s="343"/>
      <c r="H54" s="343"/>
      <c r="I54" s="343"/>
      <c r="J54" s="343"/>
    </row>
    <row r="55" spans="1:10" s="168" customFormat="1" ht="52.5" customHeight="1" x14ac:dyDescent="0.3">
      <c r="A55" s="359"/>
      <c r="B55" s="359"/>
      <c r="C55" s="344" t="s">
        <v>303</v>
      </c>
      <c r="D55" s="345"/>
      <c r="E55" s="346"/>
      <c r="F55" s="347"/>
      <c r="G55" s="348"/>
      <c r="H55" s="348"/>
      <c r="I55" s="348"/>
      <c r="J55" s="348"/>
    </row>
    <row r="56" spans="1:10" s="168" customFormat="1" ht="46.5" customHeight="1" x14ac:dyDescent="0.25">
      <c r="A56" s="359"/>
      <c r="B56" s="359"/>
      <c r="C56" s="336" t="s">
        <v>304</v>
      </c>
      <c r="D56" s="337"/>
      <c r="E56" s="333"/>
      <c r="F56" s="334"/>
      <c r="G56" s="333"/>
      <c r="H56" s="335"/>
      <c r="I56" s="335"/>
      <c r="J56" s="334"/>
    </row>
    <row r="57" spans="1:10" s="168" customFormat="1" ht="48" customHeight="1" x14ac:dyDescent="0.25">
      <c r="A57" s="359"/>
      <c r="B57" s="359"/>
      <c r="C57" s="336" t="s">
        <v>305</v>
      </c>
      <c r="D57" s="337"/>
      <c r="E57" s="338"/>
      <c r="F57" s="339"/>
      <c r="G57" s="338"/>
      <c r="H57" s="340"/>
      <c r="I57" s="340"/>
      <c r="J57" s="339"/>
    </row>
    <row r="58" spans="1:10" s="168" customFormat="1" ht="53.25" customHeight="1" x14ac:dyDescent="0.25">
      <c r="A58" s="359"/>
      <c r="B58" s="359"/>
      <c r="C58" s="336" t="s">
        <v>306</v>
      </c>
      <c r="D58" s="337"/>
      <c r="E58" s="338"/>
      <c r="F58" s="339"/>
      <c r="G58" s="338"/>
      <c r="H58" s="340"/>
      <c r="I58" s="340"/>
      <c r="J58" s="339"/>
    </row>
    <row r="59" spans="1:10" s="168" customFormat="1" ht="43.5" customHeight="1" x14ac:dyDescent="0.25">
      <c r="A59" s="359"/>
      <c r="B59" s="359"/>
      <c r="C59" s="341" t="s">
        <v>307</v>
      </c>
      <c r="D59" s="341"/>
      <c r="E59" s="342"/>
      <c r="F59" s="342"/>
      <c r="G59" s="342"/>
      <c r="H59" s="342"/>
      <c r="I59" s="342"/>
      <c r="J59" s="342"/>
    </row>
    <row r="60" spans="1:10" s="168" customFormat="1" ht="43.5" customHeight="1" x14ac:dyDescent="0.25">
      <c r="A60" s="359"/>
      <c r="B60" s="359"/>
      <c r="C60" s="329" t="s">
        <v>308</v>
      </c>
      <c r="D60" s="330"/>
      <c r="E60" s="170"/>
      <c r="F60" s="171"/>
      <c r="G60" s="170"/>
      <c r="H60" s="172"/>
      <c r="I60" s="172"/>
      <c r="J60" s="171"/>
    </row>
    <row r="61" spans="1:10" s="168" customFormat="1" ht="91.5" customHeight="1" x14ac:dyDescent="0.25">
      <c r="A61" s="359"/>
      <c r="B61" s="359"/>
      <c r="C61" s="331" t="s">
        <v>309</v>
      </c>
      <c r="D61" s="332"/>
      <c r="E61" s="333"/>
      <c r="F61" s="334"/>
      <c r="G61" s="333"/>
      <c r="H61" s="335"/>
      <c r="I61" s="335"/>
      <c r="J61" s="334"/>
    </row>
    <row r="62" spans="1:10" s="168" customFormat="1" ht="13.8" x14ac:dyDescent="0.25">
      <c r="C62" s="173"/>
      <c r="D62" s="173"/>
      <c r="E62" s="328"/>
      <c r="F62" s="328"/>
      <c r="G62" s="328"/>
      <c r="H62" s="328"/>
      <c r="I62" s="328"/>
      <c r="J62" s="328"/>
    </row>
    <row r="63" spans="1:10" s="168" customFormat="1" ht="13.8" x14ac:dyDescent="0.25">
      <c r="C63" s="173"/>
      <c r="D63" s="173"/>
      <c r="E63" s="328"/>
      <c r="F63" s="328"/>
      <c r="G63" s="328"/>
      <c r="H63" s="328"/>
      <c r="I63" s="328"/>
      <c r="J63" s="328"/>
    </row>
    <row r="64" spans="1:10" s="168" customFormat="1" ht="13.8" x14ac:dyDescent="0.25">
      <c r="E64" s="327"/>
      <c r="F64" s="327"/>
      <c r="G64" s="327"/>
      <c r="H64" s="327"/>
      <c r="I64" s="327"/>
      <c r="J64" s="327"/>
    </row>
    <row r="65" spans="5:10" s="168" customFormat="1" ht="13.8" x14ac:dyDescent="0.25">
      <c r="E65" s="327"/>
      <c r="F65" s="327"/>
      <c r="G65" s="327"/>
      <c r="H65" s="327"/>
      <c r="I65" s="327"/>
      <c r="J65" s="327"/>
    </row>
    <row r="66" spans="5:10" s="168" customFormat="1" ht="13.8" x14ac:dyDescent="0.25">
      <c r="E66" s="327"/>
      <c r="F66" s="327"/>
      <c r="G66" s="327"/>
      <c r="H66" s="327"/>
      <c r="I66" s="327"/>
      <c r="J66" s="327"/>
    </row>
    <row r="67" spans="5:10" s="168" customFormat="1" ht="13.8" x14ac:dyDescent="0.25">
      <c r="E67" s="327"/>
      <c r="F67" s="327"/>
      <c r="G67" s="327"/>
      <c r="H67" s="327"/>
      <c r="I67" s="327"/>
      <c r="J67" s="327"/>
    </row>
    <row r="68" spans="5:10" s="168" customFormat="1" ht="13.8" x14ac:dyDescent="0.25">
      <c r="E68" s="327"/>
      <c r="F68" s="327"/>
      <c r="G68" s="327"/>
      <c r="H68" s="327"/>
      <c r="I68" s="327"/>
      <c r="J68" s="327"/>
    </row>
    <row r="69" spans="5:10" s="168" customFormat="1" ht="13.8" x14ac:dyDescent="0.25">
      <c r="E69" s="327"/>
      <c r="F69" s="327"/>
      <c r="G69" s="327"/>
      <c r="H69" s="327"/>
      <c r="I69" s="327"/>
      <c r="J69" s="327"/>
    </row>
    <row r="70" spans="5:10" s="168" customFormat="1" ht="13.8" x14ac:dyDescent="0.25">
      <c r="E70" s="327"/>
      <c r="F70" s="327"/>
      <c r="G70" s="327"/>
      <c r="H70" s="327"/>
      <c r="I70" s="327"/>
      <c r="J70" s="327"/>
    </row>
    <row r="71" spans="5:10" s="168" customFormat="1" ht="13.8" x14ac:dyDescent="0.25">
      <c r="E71" s="327"/>
      <c r="F71" s="327"/>
      <c r="G71" s="327"/>
      <c r="H71" s="327"/>
      <c r="I71" s="327"/>
      <c r="J71" s="327"/>
    </row>
    <row r="72" spans="5:10" s="168" customFormat="1" ht="13.8" x14ac:dyDescent="0.25">
      <c r="E72" s="327"/>
      <c r="F72" s="327"/>
      <c r="G72" s="327"/>
      <c r="H72" s="327"/>
      <c r="I72" s="327"/>
      <c r="J72" s="327"/>
    </row>
    <row r="73" spans="5:10" s="168" customFormat="1" ht="13.8" x14ac:dyDescent="0.25">
      <c r="E73" s="327"/>
      <c r="F73" s="327"/>
      <c r="G73" s="327"/>
      <c r="H73" s="327"/>
      <c r="I73" s="327"/>
      <c r="J73" s="327"/>
    </row>
    <row r="74" spans="5:10" s="168" customFormat="1" ht="13.8" x14ac:dyDescent="0.25">
      <c r="E74" s="327"/>
      <c r="F74" s="327"/>
      <c r="G74" s="327"/>
      <c r="H74" s="327"/>
      <c r="I74" s="327"/>
      <c r="J74" s="327"/>
    </row>
    <row r="75" spans="5:10" s="168" customFormat="1" ht="13.8" x14ac:dyDescent="0.25">
      <c r="E75" s="327"/>
      <c r="F75" s="327"/>
      <c r="G75" s="327"/>
      <c r="H75" s="327"/>
      <c r="I75" s="327"/>
      <c r="J75" s="327"/>
    </row>
    <row r="76" spans="5:10" s="168" customFormat="1" ht="13.8" x14ac:dyDescent="0.25">
      <c r="E76" s="327"/>
      <c r="F76" s="327"/>
      <c r="G76" s="327"/>
      <c r="H76" s="327"/>
      <c r="I76" s="327"/>
      <c r="J76" s="327"/>
    </row>
    <row r="77" spans="5:10" s="168" customFormat="1" ht="13.8" x14ac:dyDescent="0.25">
      <c r="E77" s="327"/>
      <c r="F77" s="327"/>
      <c r="G77" s="327"/>
      <c r="H77" s="327"/>
      <c r="I77" s="327"/>
      <c r="J77" s="327"/>
    </row>
    <row r="78" spans="5:10" s="168" customFormat="1" ht="13.8" x14ac:dyDescent="0.25">
      <c r="E78" s="327"/>
      <c r="F78" s="327"/>
      <c r="G78" s="327"/>
      <c r="H78" s="327"/>
      <c r="I78" s="327"/>
      <c r="J78" s="327"/>
    </row>
    <row r="79" spans="5:10" s="168" customFormat="1" ht="13.8" x14ac:dyDescent="0.25">
      <c r="E79" s="327"/>
      <c r="F79" s="327"/>
      <c r="G79" s="327"/>
      <c r="H79" s="327"/>
      <c r="I79" s="327"/>
      <c r="J79" s="327"/>
    </row>
    <row r="80" spans="5:10" s="168" customFormat="1" ht="13.8" x14ac:dyDescent="0.25">
      <c r="E80" s="327"/>
      <c r="F80" s="327"/>
      <c r="G80" s="327"/>
      <c r="H80" s="327"/>
      <c r="I80" s="327"/>
      <c r="J80" s="327"/>
    </row>
    <row r="81" spans="5:10" s="168" customFormat="1" ht="13.8" x14ac:dyDescent="0.25">
      <c r="E81" s="327"/>
      <c r="F81" s="327"/>
      <c r="G81" s="327"/>
      <c r="H81" s="327"/>
      <c r="I81" s="327"/>
      <c r="J81" s="327"/>
    </row>
    <row r="82" spans="5:10" s="168" customFormat="1" ht="13.8" x14ac:dyDescent="0.25">
      <c r="E82" s="327"/>
      <c r="F82" s="327"/>
      <c r="G82" s="327"/>
      <c r="H82" s="327"/>
      <c r="I82" s="327"/>
      <c r="J82" s="327"/>
    </row>
    <row r="83" spans="5:10" s="168" customFormat="1" ht="13.8" x14ac:dyDescent="0.25">
      <c r="E83" s="327"/>
      <c r="F83" s="327"/>
      <c r="G83" s="327"/>
      <c r="H83" s="327"/>
      <c r="I83" s="327"/>
      <c r="J83" s="327"/>
    </row>
    <row r="84" spans="5:10" s="168" customFormat="1" ht="13.8" x14ac:dyDescent="0.25">
      <c r="E84" s="327"/>
      <c r="F84" s="327"/>
      <c r="G84" s="327"/>
      <c r="H84" s="327"/>
      <c r="I84" s="327"/>
      <c r="J84" s="327"/>
    </row>
    <row r="85" spans="5:10" s="168" customFormat="1" ht="13.8" x14ac:dyDescent="0.25">
      <c r="E85" s="327"/>
      <c r="F85" s="327"/>
      <c r="G85" s="327"/>
      <c r="H85" s="327"/>
      <c r="I85" s="327"/>
      <c r="J85" s="327"/>
    </row>
    <row r="86" spans="5:10" s="168" customFormat="1" ht="13.8" x14ac:dyDescent="0.25">
      <c r="E86" s="327"/>
      <c r="F86" s="327"/>
      <c r="G86" s="327"/>
      <c r="H86" s="327"/>
      <c r="I86" s="327"/>
      <c r="J86" s="327"/>
    </row>
    <row r="87" spans="5:10" s="168" customFormat="1" ht="13.8" x14ac:dyDescent="0.25">
      <c r="E87" s="327"/>
      <c r="F87" s="327"/>
      <c r="G87" s="327"/>
      <c r="H87" s="327"/>
      <c r="I87" s="327"/>
      <c r="J87" s="327"/>
    </row>
    <row r="88" spans="5:10" s="168" customFormat="1" ht="13.8" x14ac:dyDescent="0.25">
      <c r="E88" s="327"/>
      <c r="F88" s="327"/>
      <c r="G88" s="327"/>
      <c r="H88" s="327"/>
      <c r="I88" s="327"/>
      <c r="J88" s="327"/>
    </row>
    <row r="89" spans="5:10" s="168" customFormat="1" ht="13.8" x14ac:dyDescent="0.25">
      <c r="E89" s="327"/>
      <c r="F89" s="327"/>
      <c r="G89" s="327"/>
      <c r="H89" s="327"/>
      <c r="I89" s="327"/>
      <c r="J89" s="327"/>
    </row>
  </sheetData>
  <mergeCells count="206">
    <mergeCell ref="A1:G2"/>
    <mergeCell ref="H1:I1"/>
    <mergeCell ref="J1:J4"/>
    <mergeCell ref="N1:N4"/>
    <mergeCell ref="H2:I2"/>
    <mergeCell ref="A3:G4"/>
    <mergeCell ref="H3:I3"/>
    <mergeCell ref="H4:I4"/>
    <mergeCell ref="E24:F24"/>
    <mergeCell ref="G24:J24"/>
    <mergeCell ref="A5:J5"/>
    <mergeCell ref="A6:J7"/>
    <mergeCell ref="A8:D25"/>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 ref="G14:J14"/>
    <mergeCell ref="E21:F21"/>
    <mergeCell ref="G21:J21"/>
    <mergeCell ref="E22:F22"/>
    <mergeCell ref="G22:J22"/>
    <mergeCell ref="E23:F23"/>
    <mergeCell ref="G23:J23"/>
    <mergeCell ref="E18:F18"/>
    <mergeCell ref="G18:J18"/>
    <mergeCell ref="E19:F19"/>
    <mergeCell ref="G19:J19"/>
    <mergeCell ref="E20:F20"/>
    <mergeCell ref="G20:J20"/>
    <mergeCell ref="C28:D28"/>
    <mergeCell ref="E28:F28"/>
    <mergeCell ref="G28:J28"/>
    <mergeCell ref="C29:D29"/>
    <mergeCell ref="E29:F29"/>
    <mergeCell ref="G29:J29"/>
    <mergeCell ref="E25:F25"/>
    <mergeCell ref="G25:J25"/>
    <mergeCell ref="A26:A61"/>
    <mergeCell ref="B26:B45"/>
    <mergeCell ref="C26:D26"/>
    <mergeCell ref="E26:F26"/>
    <mergeCell ref="G26:J26"/>
    <mergeCell ref="C27:D27"/>
    <mergeCell ref="E27:F27"/>
    <mergeCell ref="G27:J27"/>
    <mergeCell ref="C32:D32"/>
    <mergeCell ref="E32:F32"/>
    <mergeCell ref="G32:J32"/>
    <mergeCell ref="C33:D33"/>
    <mergeCell ref="E33:F33"/>
    <mergeCell ref="G33:J33"/>
    <mergeCell ref="C30:D30"/>
    <mergeCell ref="E30:F30"/>
    <mergeCell ref="G30:J30"/>
    <mergeCell ref="C31:D31"/>
    <mergeCell ref="E31:F31"/>
    <mergeCell ref="G31:J31"/>
    <mergeCell ref="C36:D36"/>
    <mergeCell ref="E36:F36"/>
    <mergeCell ref="G36:J36"/>
    <mergeCell ref="C37:D37"/>
    <mergeCell ref="E37:F37"/>
    <mergeCell ref="G37:J37"/>
    <mergeCell ref="C34:D34"/>
    <mergeCell ref="E34:F34"/>
    <mergeCell ref="G34:J34"/>
    <mergeCell ref="C35:D35"/>
    <mergeCell ref="E35:F35"/>
    <mergeCell ref="G35:J35"/>
    <mergeCell ref="C40:D40"/>
    <mergeCell ref="E40:F40"/>
    <mergeCell ref="G40:J40"/>
    <mergeCell ref="C42:D42"/>
    <mergeCell ref="E42:F42"/>
    <mergeCell ref="G42:J42"/>
    <mergeCell ref="C41:D41"/>
    <mergeCell ref="E41:F41"/>
    <mergeCell ref="C38:D38"/>
    <mergeCell ref="E38:F38"/>
    <mergeCell ref="G38:J38"/>
    <mergeCell ref="C39:D39"/>
    <mergeCell ref="E39:F39"/>
    <mergeCell ref="G39:J39"/>
    <mergeCell ref="C45:D45"/>
    <mergeCell ref="E45:F45"/>
    <mergeCell ref="G45:J45"/>
    <mergeCell ref="B46:B61"/>
    <mergeCell ref="C46:D46"/>
    <mergeCell ref="E46:F46"/>
    <mergeCell ref="G46:J46"/>
    <mergeCell ref="C47:D47"/>
    <mergeCell ref="E47:F47"/>
    <mergeCell ref="G47:J47"/>
    <mergeCell ref="C50:D50"/>
    <mergeCell ref="E50:F50"/>
    <mergeCell ref="G50:J50"/>
    <mergeCell ref="C51:D51"/>
    <mergeCell ref="E51:F51"/>
    <mergeCell ref="G51:J51"/>
    <mergeCell ref="C48:D48"/>
    <mergeCell ref="E48:F48"/>
    <mergeCell ref="G48:J48"/>
    <mergeCell ref="C49:D49"/>
    <mergeCell ref="E49:F49"/>
    <mergeCell ref="G49:J49"/>
    <mergeCell ref="C54:D54"/>
    <mergeCell ref="E54:F54"/>
    <mergeCell ref="G54:J54"/>
    <mergeCell ref="C55:D55"/>
    <mergeCell ref="E55:F55"/>
    <mergeCell ref="G55:J55"/>
    <mergeCell ref="C52:D52"/>
    <mergeCell ref="E52:F52"/>
    <mergeCell ref="G52:J52"/>
    <mergeCell ref="C53:D53"/>
    <mergeCell ref="E53:F53"/>
    <mergeCell ref="G53:J53"/>
    <mergeCell ref="C58:D58"/>
    <mergeCell ref="E58:F58"/>
    <mergeCell ref="G58:J58"/>
    <mergeCell ref="C59:D59"/>
    <mergeCell ref="E59:F59"/>
    <mergeCell ref="G59:J59"/>
    <mergeCell ref="C56:D56"/>
    <mergeCell ref="E56:F56"/>
    <mergeCell ref="G56:J56"/>
    <mergeCell ref="C57:D57"/>
    <mergeCell ref="E57:F57"/>
    <mergeCell ref="G57:J57"/>
    <mergeCell ref="E63:F63"/>
    <mergeCell ref="G63:J63"/>
    <mergeCell ref="E64:F64"/>
    <mergeCell ref="G64:J64"/>
    <mergeCell ref="E65:F65"/>
    <mergeCell ref="G65:J65"/>
    <mergeCell ref="C60:D60"/>
    <mergeCell ref="C61:D61"/>
    <mergeCell ref="E61:F61"/>
    <mergeCell ref="G61:J61"/>
    <mergeCell ref="E62:F62"/>
    <mergeCell ref="G62:J62"/>
    <mergeCell ref="E69:F69"/>
    <mergeCell ref="G69:J69"/>
    <mergeCell ref="E70:F70"/>
    <mergeCell ref="G70:J70"/>
    <mergeCell ref="E71:F71"/>
    <mergeCell ref="G71:J71"/>
    <mergeCell ref="E66:F66"/>
    <mergeCell ref="G66:J66"/>
    <mergeCell ref="E67:F67"/>
    <mergeCell ref="G67:J67"/>
    <mergeCell ref="E68:F68"/>
    <mergeCell ref="G68:J68"/>
    <mergeCell ref="E80:F80"/>
    <mergeCell ref="G80:J80"/>
    <mergeCell ref="E75:F75"/>
    <mergeCell ref="G75:J75"/>
    <mergeCell ref="E76:F76"/>
    <mergeCell ref="G76:J76"/>
    <mergeCell ref="E77:F77"/>
    <mergeCell ref="G77:J77"/>
    <mergeCell ref="E72:F72"/>
    <mergeCell ref="G72:J72"/>
    <mergeCell ref="E73:F73"/>
    <mergeCell ref="G73:J73"/>
    <mergeCell ref="E74:F74"/>
    <mergeCell ref="G74:J74"/>
    <mergeCell ref="C43:D43"/>
    <mergeCell ref="C44:D44"/>
    <mergeCell ref="E87:F87"/>
    <mergeCell ref="G87:J87"/>
    <mergeCell ref="E88:F88"/>
    <mergeCell ref="G88:J88"/>
    <mergeCell ref="E89:F89"/>
    <mergeCell ref="G89:J89"/>
    <mergeCell ref="E84:F84"/>
    <mergeCell ref="G84:J84"/>
    <mergeCell ref="E85:F85"/>
    <mergeCell ref="G85:J85"/>
    <mergeCell ref="E86:F86"/>
    <mergeCell ref="G86:J86"/>
    <mergeCell ref="E81:F81"/>
    <mergeCell ref="G81:J81"/>
    <mergeCell ref="E82:F82"/>
    <mergeCell ref="G82:J82"/>
    <mergeCell ref="E83:F83"/>
    <mergeCell ref="G83:J83"/>
    <mergeCell ref="E78:F78"/>
    <mergeCell ref="G78:J78"/>
    <mergeCell ref="E79:F79"/>
    <mergeCell ref="G79:J7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6" sqref="A6"/>
    </sheetView>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544" t="s">
        <v>149</v>
      </c>
      <c r="C2" s="544"/>
      <c r="D2" s="544"/>
      <c r="E2" s="544"/>
      <c r="F2" s="544"/>
      <c r="G2" s="544"/>
      <c r="H2" s="544"/>
      <c r="I2" s="544"/>
      <c r="J2" s="512" t="s">
        <v>2</v>
      </c>
      <c r="K2" s="512"/>
      <c r="L2" s="512"/>
      <c r="M2" s="512"/>
      <c r="N2" s="512"/>
      <c r="O2" s="512"/>
      <c r="P2" s="512"/>
      <c r="Q2" s="512"/>
      <c r="R2" s="512"/>
      <c r="S2" s="512"/>
      <c r="T2" s="512"/>
      <c r="U2" s="512"/>
      <c r="V2" s="512"/>
      <c r="W2" s="512"/>
      <c r="X2" s="512"/>
      <c r="Y2" s="512"/>
      <c r="Z2" s="512"/>
      <c r="AA2" s="512"/>
      <c r="AB2" s="512"/>
      <c r="AC2" s="512"/>
      <c r="AD2" s="512"/>
      <c r="AE2" s="512"/>
      <c r="AF2" s="512"/>
      <c r="AG2" s="512"/>
      <c r="AH2" s="512"/>
      <c r="AI2" s="512"/>
      <c r="AJ2" s="512"/>
      <c r="AK2" s="512"/>
      <c r="AL2" s="512"/>
      <c r="AM2" s="512"/>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544"/>
      <c r="C3" s="544"/>
      <c r="D3" s="544"/>
      <c r="E3" s="544"/>
      <c r="F3" s="544"/>
      <c r="G3" s="544"/>
      <c r="H3" s="544"/>
      <c r="I3" s="544"/>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L3" s="512"/>
      <c r="AM3" s="512"/>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544"/>
      <c r="C4" s="544"/>
      <c r="D4" s="544"/>
      <c r="E4" s="544"/>
      <c r="F4" s="544"/>
      <c r="G4" s="544"/>
      <c r="H4" s="544"/>
      <c r="I4" s="544"/>
      <c r="J4" s="512"/>
      <c r="K4" s="512"/>
      <c r="L4" s="512"/>
      <c r="M4" s="512"/>
      <c r="N4" s="512"/>
      <c r="O4" s="512"/>
      <c r="P4" s="512"/>
      <c r="Q4" s="512"/>
      <c r="R4" s="512"/>
      <c r="S4" s="512"/>
      <c r="T4" s="512"/>
      <c r="U4" s="512"/>
      <c r="V4" s="512"/>
      <c r="W4" s="512"/>
      <c r="X4" s="512"/>
      <c r="Y4" s="512"/>
      <c r="Z4" s="512"/>
      <c r="AA4" s="512"/>
      <c r="AB4" s="512"/>
      <c r="AC4" s="512"/>
      <c r="AD4" s="512"/>
      <c r="AE4" s="512"/>
      <c r="AF4" s="512"/>
      <c r="AG4" s="512"/>
      <c r="AH4" s="512"/>
      <c r="AI4" s="512"/>
      <c r="AJ4" s="512"/>
      <c r="AK4" s="512"/>
      <c r="AL4" s="512"/>
      <c r="AM4" s="512"/>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459" t="s">
        <v>4</v>
      </c>
      <c r="C6" s="459"/>
      <c r="D6" s="460"/>
      <c r="E6" s="497" t="s">
        <v>110</v>
      </c>
      <c r="F6" s="498"/>
      <c r="G6" s="498"/>
      <c r="H6" s="498"/>
      <c r="I6" s="499"/>
      <c r="J6" s="508" t="str">
        <f>IF(AND('Mapa final'!$K$10="Muy Alta",'Mapa final'!$O$10="Leve"),CONCATENATE("R",'Mapa final'!$A$10),"")</f>
        <v/>
      </c>
      <c r="K6" s="509"/>
      <c r="L6" s="509" t="e">
        <f>IF(AND('Mapa final'!#REF!="Muy Alta",'Mapa final'!#REF!="Leve"),CONCATENATE("R",'Mapa final'!#REF!),"")</f>
        <v>#REF!</v>
      </c>
      <c r="M6" s="509"/>
      <c r="N6" s="509" t="str">
        <f>IF(AND('Mapa final'!$K$16="Muy Alta",'Mapa final'!$O$16="Leve"),CONCATENATE("R",'Mapa final'!$A$16),"")</f>
        <v/>
      </c>
      <c r="O6" s="511"/>
      <c r="P6" s="508" t="str">
        <f>IF(AND('Mapa final'!$K$10="Muy Alta",'Mapa final'!$O$10="Menor"),CONCATENATE("R",'Mapa final'!$A$10),"")</f>
        <v/>
      </c>
      <c r="Q6" s="509"/>
      <c r="R6" s="509" t="e">
        <f>IF(AND('Mapa final'!#REF!="Muy Alta",'Mapa final'!#REF!="Menor"),CONCATENATE("R",'Mapa final'!#REF!),"")</f>
        <v>#REF!</v>
      </c>
      <c r="S6" s="509"/>
      <c r="T6" s="509" t="str">
        <f>IF(AND('Mapa final'!$K$16="Muy Alta",'Mapa final'!$O$16="Menor"),CONCATENATE("R",'Mapa final'!$A$16),"")</f>
        <v/>
      </c>
      <c r="U6" s="511"/>
      <c r="V6" s="508" t="str">
        <f>IF(AND('Mapa final'!$K$10="Muy Alta",'Mapa final'!$O$10="Moderado"),CONCATENATE("R",'Mapa final'!$A$10),"")</f>
        <v/>
      </c>
      <c r="W6" s="509"/>
      <c r="X6" s="509" t="e">
        <f>IF(AND('Mapa final'!#REF!="Muy Alta",'Mapa final'!#REF!="Moderado"),CONCATENATE("R",'Mapa final'!#REF!),"")</f>
        <v>#REF!</v>
      </c>
      <c r="Y6" s="509"/>
      <c r="Z6" s="509" t="str">
        <f>IF(AND('Mapa final'!$K$16="Muy Alta",'Mapa final'!$O$16="Moderado"),CONCATENATE("R",'Mapa final'!$A$16),"")</f>
        <v/>
      </c>
      <c r="AA6" s="511"/>
      <c r="AB6" s="508" t="str">
        <f>IF(AND('Mapa final'!$K$10="Muy Alta",'Mapa final'!$O$10="Mayor"),CONCATENATE("R",'Mapa final'!$A$10),"")</f>
        <v/>
      </c>
      <c r="AC6" s="509"/>
      <c r="AD6" s="509" t="e">
        <f>IF(AND('Mapa final'!#REF!="Muy Alta",'Mapa final'!#REF!="Mayor"),CONCATENATE("R",'Mapa final'!#REF!),"")</f>
        <v>#REF!</v>
      </c>
      <c r="AE6" s="509"/>
      <c r="AF6" s="509" t="str">
        <f>IF(AND('Mapa final'!$K$16="Muy Alta",'Mapa final'!$O$16="Mayor"),CONCATENATE("R",'Mapa final'!$A$16),"")</f>
        <v/>
      </c>
      <c r="AG6" s="511"/>
      <c r="AH6" s="523" t="str">
        <f>IF(AND('Mapa final'!$K$10="Muy Alta",'Mapa final'!$O$10="Catastrófico"),CONCATENATE("R",'Mapa final'!$A$10),"")</f>
        <v>R1</v>
      </c>
      <c r="AI6" s="524"/>
      <c r="AJ6" s="524" t="e">
        <f>IF(AND('Mapa final'!#REF!="Muy Alta",'Mapa final'!#REF!="Catastrófico"),CONCATENATE("R",'Mapa final'!#REF!),"")</f>
        <v>#REF!</v>
      </c>
      <c r="AK6" s="524"/>
      <c r="AL6" s="524" t="str">
        <f>IF(AND('Mapa final'!$K$16="Muy Alta",'Mapa final'!$O$16="Catastrófico"),CONCATENATE("R",'Mapa final'!$A$16),"")</f>
        <v>R3</v>
      </c>
      <c r="AM6" s="525"/>
      <c r="AO6" s="461" t="s">
        <v>77</v>
      </c>
      <c r="AP6" s="462"/>
      <c r="AQ6" s="462"/>
      <c r="AR6" s="462"/>
      <c r="AS6" s="462"/>
      <c r="AT6" s="463"/>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459"/>
      <c r="C7" s="459"/>
      <c r="D7" s="460"/>
      <c r="E7" s="500"/>
      <c r="F7" s="501"/>
      <c r="G7" s="501"/>
      <c r="H7" s="501"/>
      <c r="I7" s="502"/>
      <c r="J7" s="510"/>
      <c r="K7" s="506"/>
      <c r="L7" s="506"/>
      <c r="M7" s="506"/>
      <c r="N7" s="506"/>
      <c r="O7" s="507"/>
      <c r="P7" s="510"/>
      <c r="Q7" s="506"/>
      <c r="R7" s="506"/>
      <c r="S7" s="506"/>
      <c r="T7" s="506"/>
      <c r="U7" s="507"/>
      <c r="V7" s="510"/>
      <c r="W7" s="506"/>
      <c r="X7" s="506"/>
      <c r="Y7" s="506"/>
      <c r="Z7" s="506"/>
      <c r="AA7" s="507"/>
      <c r="AB7" s="510"/>
      <c r="AC7" s="506"/>
      <c r="AD7" s="506"/>
      <c r="AE7" s="506"/>
      <c r="AF7" s="506"/>
      <c r="AG7" s="507"/>
      <c r="AH7" s="517"/>
      <c r="AI7" s="518"/>
      <c r="AJ7" s="518"/>
      <c r="AK7" s="518"/>
      <c r="AL7" s="518"/>
      <c r="AM7" s="519"/>
      <c r="AN7" s="67"/>
      <c r="AO7" s="464"/>
      <c r="AP7" s="465"/>
      <c r="AQ7" s="465"/>
      <c r="AR7" s="465"/>
      <c r="AS7" s="465"/>
      <c r="AT7" s="466"/>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459"/>
      <c r="C8" s="459"/>
      <c r="D8" s="460"/>
      <c r="E8" s="500"/>
      <c r="F8" s="501"/>
      <c r="G8" s="501"/>
      <c r="H8" s="501"/>
      <c r="I8" s="502"/>
      <c r="J8" s="510" t="e">
        <f>IF(AND('Mapa final'!#REF!="Muy Alta",'Mapa final'!#REF!="Leve"),CONCATENATE("R",'Mapa final'!#REF!),"")</f>
        <v>#REF!</v>
      </c>
      <c r="K8" s="506"/>
      <c r="L8" s="506" t="e">
        <f>IF(AND('Mapa final'!#REF!="Muy Alta",'Mapa final'!#REF!="Leve"),CONCATENATE("R",'Mapa final'!#REF!),"")</f>
        <v>#REF!</v>
      </c>
      <c r="M8" s="506"/>
      <c r="N8" s="506" t="e">
        <f>IF(AND('Mapa final'!#REF!="Muy Alta",'Mapa final'!#REF!="Leve"),CONCATENATE("R",'Mapa final'!#REF!),"")</f>
        <v>#REF!</v>
      </c>
      <c r="O8" s="507"/>
      <c r="P8" s="510" t="e">
        <f>IF(AND('Mapa final'!#REF!="Muy Alta",'Mapa final'!#REF!="Menor"),CONCATENATE("R",'Mapa final'!#REF!),"")</f>
        <v>#REF!</v>
      </c>
      <c r="Q8" s="506"/>
      <c r="R8" s="506" t="e">
        <f>IF(AND('Mapa final'!#REF!="Muy Alta",'Mapa final'!#REF!="Menor"),CONCATENATE("R",'Mapa final'!#REF!),"")</f>
        <v>#REF!</v>
      </c>
      <c r="S8" s="506"/>
      <c r="T8" s="506" t="e">
        <f>IF(AND('Mapa final'!#REF!="Muy Alta",'Mapa final'!#REF!="Menor"),CONCATENATE("R",'Mapa final'!#REF!),"")</f>
        <v>#REF!</v>
      </c>
      <c r="U8" s="507"/>
      <c r="V8" s="510" t="e">
        <f>IF(AND('Mapa final'!#REF!="Muy Alta",'Mapa final'!#REF!="Moderado"),CONCATENATE("R",'Mapa final'!#REF!),"")</f>
        <v>#REF!</v>
      </c>
      <c r="W8" s="506"/>
      <c r="X8" s="506" t="e">
        <f>IF(AND('Mapa final'!#REF!="Muy Alta",'Mapa final'!#REF!="Moderado"),CONCATENATE("R",'Mapa final'!#REF!),"")</f>
        <v>#REF!</v>
      </c>
      <c r="Y8" s="506"/>
      <c r="Z8" s="506" t="e">
        <f>IF(AND('Mapa final'!#REF!="Muy Alta",'Mapa final'!#REF!="Moderado"),CONCATENATE("R",'Mapa final'!#REF!),"")</f>
        <v>#REF!</v>
      </c>
      <c r="AA8" s="507"/>
      <c r="AB8" s="510" t="e">
        <f>IF(AND('Mapa final'!#REF!="Muy Alta",'Mapa final'!#REF!="Mayor"),CONCATENATE("R",'Mapa final'!#REF!),"")</f>
        <v>#REF!</v>
      </c>
      <c r="AC8" s="506"/>
      <c r="AD8" s="506" t="e">
        <f>IF(AND('Mapa final'!#REF!="Muy Alta",'Mapa final'!#REF!="Mayor"),CONCATENATE("R",'Mapa final'!#REF!),"")</f>
        <v>#REF!</v>
      </c>
      <c r="AE8" s="506"/>
      <c r="AF8" s="506" t="e">
        <f>IF(AND('Mapa final'!#REF!="Muy Alta",'Mapa final'!#REF!="Mayor"),CONCATENATE("R",'Mapa final'!#REF!),"")</f>
        <v>#REF!</v>
      </c>
      <c r="AG8" s="507"/>
      <c r="AH8" s="517" t="e">
        <f>IF(AND('Mapa final'!#REF!="Muy Alta",'Mapa final'!#REF!="Catastrófico"),CONCATENATE("R",'Mapa final'!#REF!),"")</f>
        <v>#REF!</v>
      </c>
      <c r="AI8" s="518"/>
      <c r="AJ8" s="518" t="e">
        <f>IF(AND('Mapa final'!#REF!="Muy Alta",'Mapa final'!#REF!="Catastrófico"),CONCATENATE("R",'Mapa final'!#REF!),"")</f>
        <v>#REF!</v>
      </c>
      <c r="AK8" s="518"/>
      <c r="AL8" s="518" t="e">
        <f>IF(AND('Mapa final'!#REF!="Muy Alta",'Mapa final'!#REF!="Catastrófico"),CONCATENATE("R",'Mapa final'!#REF!),"")</f>
        <v>#REF!</v>
      </c>
      <c r="AM8" s="519"/>
      <c r="AN8" s="67"/>
      <c r="AO8" s="464"/>
      <c r="AP8" s="465"/>
      <c r="AQ8" s="465"/>
      <c r="AR8" s="465"/>
      <c r="AS8" s="465"/>
      <c r="AT8" s="466"/>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459"/>
      <c r="C9" s="459"/>
      <c r="D9" s="460"/>
      <c r="E9" s="500"/>
      <c r="F9" s="501"/>
      <c r="G9" s="501"/>
      <c r="H9" s="501"/>
      <c r="I9" s="502"/>
      <c r="J9" s="510"/>
      <c r="K9" s="506"/>
      <c r="L9" s="506"/>
      <c r="M9" s="506"/>
      <c r="N9" s="506"/>
      <c r="O9" s="507"/>
      <c r="P9" s="510"/>
      <c r="Q9" s="506"/>
      <c r="R9" s="506"/>
      <c r="S9" s="506"/>
      <c r="T9" s="506"/>
      <c r="U9" s="507"/>
      <c r="V9" s="510"/>
      <c r="W9" s="506"/>
      <c r="X9" s="506"/>
      <c r="Y9" s="506"/>
      <c r="Z9" s="506"/>
      <c r="AA9" s="507"/>
      <c r="AB9" s="510"/>
      <c r="AC9" s="506"/>
      <c r="AD9" s="506"/>
      <c r="AE9" s="506"/>
      <c r="AF9" s="506"/>
      <c r="AG9" s="507"/>
      <c r="AH9" s="517"/>
      <c r="AI9" s="518"/>
      <c r="AJ9" s="518"/>
      <c r="AK9" s="518"/>
      <c r="AL9" s="518"/>
      <c r="AM9" s="519"/>
      <c r="AN9" s="67"/>
      <c r="AO9" s="464"/>
      <c r="AP9" s="465"/>
      <c r="AQ9" s="465"/>
      <c r="AR9" s="465"/>
      <c r="AS9" s="465"/>
      <c r="AT9" s="466"/>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459"/>
      <c r="C10" s="459"/>
      <c r="D10" s="460"/>
      <c r="E10" s="500"/>
      <c r="F10" s="501"/>
      <c r="G10" s="501"/>
      <c r="H10" s="501"/>
      <c r="I10" s="502"/>
      <c r="J10" s="510" t="str">
        <f>IF(AND('Mapa final'!$K$17="Muy Alta",'Mapa final'!$O$17="Leve"),CONCATENATE("R",'Mapa final'!$A$17),"")</f>
        <v/>
      </c>
      <c r="K10" s="506"/>
      <c r="L10" s="506" t="str">
        <f>IF(AND('Mapa final'!$K$23="Muy Alta",'Mapa final'!$O$23="Leve"),CONCATENATE("R",'Mapa final'!$A$23),"")</f>
        <v/>
      </c>
      <c r="M10" s="506"/>
      <c r="N10" s="506" t="str">
        <f>IF(AND('Mapa final'!$K$29="Muy Alta",'Mapa final'!$O$29="Leve"),CONCATENATE("R",'Mapa final'!$A$29),"")</f>
        <v/>
      </c>
      <c r="O10" s="507"/>
      <c r="P10" s="510" t="str">
        <f>IF(AND('Mapa final'!$K$17="Muy Alta",'Mapa final'!$O$17="Menor"),CONCATENATE("R",'Mapa final'!$A$17),"")</f>
        <v/>
      </c>
      <c r="Q10" s="506"/>
      <c r="R10" s="506" t="str">
        <f>IF(AND('Mapa final'!$K$23="Muy Alta",'Mapa final'!$O$23="Menor"),CONCATENATE("R",'Mapa final'!$A$23),"")</f>
        <v/>
      </c>
      <c r="S10" s="506"/>
      <c r="T10" s="506" t="str">
        <f>IF(AND('Mapa final'!$K$29="Muy Alta",'Mapa final'!$O$29="Menor"),CONCATENATE("R",'Mapa final'!$A$29),"")</f>
        <v/>
      </c>
      <c r="U10" s="507"/>
      <c r="V10" s="510" t="str">
        <f>IF(AND('Mapa final'!$K$17="Muy Alta",'Mapa final'!$O$17="Moderado"),CONCATENATE("R",'Mapa final'!$A$17),"")</f>
        <v/>
      </c>
      <c r="W10" s="506"/>
      <c r="X10" s="506" t="str">
        <f>IF(AND('Mapa final'!$K$23="Muy Alta",'Mapa final'!$O$23="Moderado"),CONCATENATE("R",'Mapa final'!$A$23),"")</f>
        <v/>
      </c>
      <c r="Y10" s="506"/>
      <c r="Z10" s="506" t="str">
        <f>IF(AND('Mapa final'!$K$29="Muy Alta",'Mapa final'!$O$29="Moderado"),CONCATENATE("R",'Mapa final'!$A$29),"")</f>
        <v/>
      </c>
      <c r="AA10" s="507"/>
      <c r="AB10" s="510" t="str">
        <f>IF(AND('Mapa final'!$K$17="Muy Alta",'Mapa final'!$O$17="Mayor"),CONCATENATE("R",'Mapa final'!$A$17),"")</f>
        <v/>
      </c>
      <c r="AC10" s="506"/>
      <c r="AD10" s="506" t="str">
        <f>IF(AND('Mapa final'!$K$23="Muy Alta",'Mapa final'!$O$23="Mayor"),CONCATENATE("R",'Mapa final'!$A$23),"")</f>
        <v/>
      </c>
      <c r="AE10" s="506"/>
      <c r="AF10" s="506" t="str">
        <f>IF(AND('Mapa final'!$K$29="Muy Alta",'Mapa final'!$O$29="Mayor"),CONCATENATE("R",'Mapa final'!$A$29),"")</f>
        <v/>
      </c>
      <c r="AG10" s="507"/>
      <c r="AH10" s="517" t="str">
        <f>IF(AND('Mapa final'!$K$17="Muy Alta",'Mapa final'!$O$17="Catastrófico"),CONCATENATE("R",'Mapa final'!$A$17),"")</f>
        <v>R7</v>
      </c>
      <c r="AI10" s="518"/>
      <c r="AJ10" s="518" t="str">
        <f>IF(AND('Mapa final'!$K$23="Muy Alta",'Mapa final'!$O$23="Catastrófico"),CONCATENATE("R",'Mapa final'!$A$23),"")</f>
        <v>R8</v>
      </c>
      <c r="AK10" s="518"/>
      <c r="AL10" s="518" t="str">
        <f>IF(AND('Mapa final'!$K$29="Muy Alta",'Mapa final'!$O$29="Catastrófico"),CONCATENATE("R",'Mapa final'!$A$29),"")</f>
        <v/>
      </c>
      <c r="AM10" s="519"/>
      <c r="AN10" s="67"/>
      <c r="AO10" s="464"/>
      <c r="AP10" s="465"/>
      <c r="AQ10" s="465"/>
      <c r="AR10" s="465"/>
      <c r="AS10" s="465"/>
      <c r="AT10" s="466"/>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459"/>
      <c r="C11" s="459"/>
      <c r="D11" s="460"/>
      <c r="E11" s="500"/>
      <c r="F11" s="501"/>
      <c r="G11" s="501"/>
      <c r="H11" s="501"/>
      <c r="I11" s="502"/>
      <c r="J11" s="510"/>
      <c r="K11" s="506"/>
      <c r="L11" s="506"/>
      <c r="M11" s="506"/>
      <c r="N11" s="506"/>
      <c r="O11" s="507"/>
      <c r="P11" s="510"/>
      <c r="Q11" s="506"/>
      <c r="R11" s="506"/>
      <c r="S11" s="506"/>
      <c r="T11" s="506"/>
      <c r="U11" s="507"/>
      <c r="V11" s="510"/>
      <c r="W11" s="506"/>
      <c r="X11" s="506"/>
      <c r="Y11" s="506"/>
      <c r="Z11" s="506"/>
      <c r="AA11" s="507"/>
      <c r="AB11" s="510"/>
      <c r="AC11" s="506"/>
      <c r="AD11" s="506"/>
      <c r="AE11" s="506"/>
      <c r="AF11" s="506"/>
      <c r="AG11" s="507"/>
      <c r="AH11" s="517"/>
      <c r="AI11" s="518"/>
      <c r="AJ11" s="518"/>
      <c r="AK11" s="518"/>
      <c r="AL11" s="518"/>
      <c r="AM11" s="519"/>
      <c r="AN11" s="67"/>
      <c r="AO11" s="464"/>
      <c r="AP11" s="465"/>
      <c r="AQ11" s="465"/>
      <c r="AR11" s="465"/>
      <c r="AS11" s="465"/>
      <c r="AT11" s="466"/>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459"/>
      <c r="C12" s="459"/>
      <c r="D12" s="460"/>
      <c r="E12" s="500"/>
      <c r="F12" s="501"/>
      <c r="G12" s="501"/>
      <c r="H12" s="501"/>
      <c r="I12" s="502"/>
      <c r="J12" s="510" t="str">
        <f>IF(AND('Mapa final'!$K$35="Muy Alta",'Mapa final'!$O$35="Leve"),CONCATENATE("R",'Mapa final'!$A$35),"")</f>
        <v/>
      </c>
      <c r="K12" s="506"/>
      <c r="L12" s="506" t="str">
        <f>IF(AND('Mapa final'!$K$41="Muy Alta",'Mapa final'!$O$41="Leve"),CONCATENATE("R",'Mapa final'!$A$41),"")</f>
        <v/>
      </c>
      <c r="M12" s="506"/>
      <c r="N12" s="506" t="str">
        <f>IF(AND('Mapa final'!$K$47="Muy Alta",'Mapa final'!$O$47="Leve"),CONCATENATE("R",'Mapa final'!$A$47),"")</f>
        <v/>
      </c>
      <c r="O12" s="507"/>
      <c r="P12" s="510" t="str">
        <f>IF(AND('Mapa final'!$K$35="Muy Alta",'Mapa final'!$O$35="Menor"),CONCATENATE("R",'Mapa final'!$A$35),"")</f>
        <v/>
      </c>
      <c r="Q12" s="506"/>
      <c r="R12" s="506" t="str">
        <f>IF(AND('Mapa final'!$K$41="Muy Alta",'Mapa final'!$O$41="Menor"),CONCATENATE("R",'Mapa final'!$A$41),"")</f>
        <v/>
      </c>
      <c r="S12" s="506"/>
      <c r="T12" s="506" t="str">
        <f>IF(AND('Mapa final'!$K$47="Muy Alta",'Mapa final'!$O$47="Menor"),CONCATENATE("R",'Mapa final'!$A$47),"")</f>
        <v/>
      </c>
      <c r="U12" s="507"/>
      <c r="V12" s="510" t="str">
        <f>IF(AND('Mapa final'!$K$35="Muy Alta",'Mapa final'!$O$35="Moderado"),CONCATENATE("R",'Mapa final'!$A$35),"")</f>
        <v/>
      </c>
      <c r="W12" s="506"/>
      <c r="X12" s="506" t="str">
        <f>IF(AND('Mapa final'!$K$41="Muy Alta",'Mapa final'!$O$41="Moderado"),CONCATENATE("R",'Mapa final'!$A$41),"")</f>
        <v/>
      </c>
      <c r="Y12" s="506"/>
      <c r="Z12" s="506" t="str">
        <f>IF(AND('Mapa final'!$K$47="Muy Alta",'Mapa final'!$O$47="Moderado"),CONCATENATE("R",'Mapa final'!$A$47),"")</f>
        <v/>
      </c>
      <c r="AA12" s="507"/>
      <c r="AB12" s="510" t="str">
        <f>IF(AND('Mapa final'!$K$35="Muy Alta",'Mapa final'!$O$35="Mayor"),CONCATENATE("R",'Mapa final'!$A$35),"")</f>
        <v/>
      </c>
      <c r="AC12" s="506"/>
      <c r="AD12" s="506" t="str">
        <f>IF(AND('Mapa final'!$K$41="Muy Alta",'Mapa final'!$O$41="Mayor"),CONCATENATE("R",'Mapa final'!$A$41),"")</f>
        <v/>
      </c>
      <c r="AE12" s="506"/>
      <c r="AF12" s="506" t="str">
        <f>IF(AND('Mapa final'!$K$47="Muy Alta",'Mapa final'!$O$47="Mayor"),CONCATENATE("R",'Mapa final'!$A$47),"")</f>
        <v/>
      </c>
      <c r="AG12" s="507"/>
      <c r="AH12" s="517" t="str">
        <f>IF(AND('Mapa final'!$K$35="Muy Alta",'Mapa final'!$O$35="Catastrófico"),CONCATENATE("R",'Mapa final'!$A$35),"")</f>
        <v/>
      </c>
      <c r="AI12" s="518"/>
      <c r="AJ12" s="518" t="str">
        <f>IF(AND('Mapa final'!$K$41="Muy Alta",'Mapa final'!$O$41="Catastrófico"),CONCATENATE("R",'Mapa final'!$A$41),"")</f>
        <v/>
      </c>
      <c r="AK12" s="518"/>
      <c r="AL12" s="518" t="str">
        <f>IF(AND('Mapa final'!$K$47="Muy Alta",'Mapa final'!$O$47="Catastrófico"),CONCATENATE("R",'Mapa final'!$A$47),"")</f>
        <v/>
      </c>
      <c r="AM12" s="519"/>
      <c r="AN12" s="67"/>
      <c r="AO12" s="464"/>
      <c r="AP12" s="465"/>
      <c r="AQ12" s="465"/>
      <c r="AR12" s="465"/>
      <c r="AS12" s="465"/>
      <c r="AT12" s="466"/>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459"/>
      <c r="C13" s="459"/>
      <c r="D13" s="460"/>
      <c r="E13" s="503"/>
      <c r="F13" s="504"/>
      <c r="G13" s="504"/>
      <c r="H13" s="504"/>
      <c r="I13" s="505"/>
      <c r="J13" s="510"/>
      <c r="K13" s="506"/>
      <c r="L13" s="506"/>
      <c r="M13" s="506"/>
      <c r="N13" s="506"/>
      <c r="O13" s="507"/>
      <c r="P13" s="510"/>
      <c r="Q13" s="506"/>
      <c r="R13" s="506"/>
      <c r="S13" s="506"/>
      <c r="T13" s="506"/>
      <c r="U13" s="507"/>
      <c r="V13" s="510"/>
      <c r="W13" s="506"/>
      <c r="X13" s="506"/>
      <c r="Y13" s="506"/>
      <c r="Z13" s="506"/>
      <c r="AA13" s="507"/>
      <c r="AB13" s="510"/>
      <c r="AC13" s="506"/>
      <c r="AD13" s="506"/>
      <c r="AE13" s="506"/>
      <c r="AF13" s="506"/>
      <c r="AG13" s="507"/>
      <c r="AH13" s="520"/>
      <c r="AI13" s="521"/>
      <c r="AJ13" s="521"/>
      <c r="AK13" s="521"/>
      <c r="AL13" s="521"/>
      <c r="AM13" s="522"/>
      <c r="AN13" s="67"/>
      <c r="AO13" s="467"/>
      <c r="AP13" s="468"/>
      <c r="AQ13" s="468"/>
      <c r="AR13" s="468"/>
      <c r="AS13" s="468"/>
      <c r="AT13" s="469"/>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459"/>
      <c r="C14" s="459"/>
      <c r="D14" s="460"/>
      <c r="E14" s="497" t="s">
        <v>109</v>
      </c>
      <c r="F14" s="498"/>
      <c r="G14" s="498"/>
      <c r="H14" s="498"/>
      <c r="I14" s="498"/>
      <c r="J14" s="532" t="str">
        <f>IF(AND('Mapa final'!$K$10="Alta",'Mapa final'!$O$10="Leve"),CONCATENATE("R",'Mapa final'!$A$10),"")</f>
        <v/>
      </c>
      <c r="K14" s="533"/>
      <c r="L14" s="533" t="e">
        <f>IF(AND('Mapa final'!#REF!="Alta",'Mapa final'!#REF!="Leve"),CONCATENATE("R",'Mapa final'!#REF!),"")</f>
        <v>#REF!</v>
      </c>
      <c r="M14" s="533"/>
      <c r="N14" s="533" t="str">
        <f>IF(AND('Mapa final'!$K$16="Alta",'Mapa final'!$O$16="Leve"),CONCATENATE("R",'Mapa final'!$A$16),"")</f>
        <v/>
      </c>
      <c r="O14" s="534"/>
      <c r="P14" s="532" t="str">
        <f>IF(AND('Mapa final'!$K$10="Alta",'Mapa final'!$O$10="Menor"),CONCATENATE("R",'Mapa final'!$A$10),"")</f>
        <v/>
      </c>
      <c r="Q14" s="533"/>
      <c r="R14" s="533" t="e">
        <f>IF(AND('Mapa final'!#REF!="Alta",'Mapa final'!#REF!="Menor"),CONCATENATE("R",'Mapa final'!#REF!),"")</f>
        <v>#REF!</v>
      </c>
      <c r="S14" s="533"/>
      <c r="T14" s="533" t="str">
        <f>IF(AND('Mapa final'!$K$16="Alta",'Mapa final'!$O$16="Menor"),CONCATENATE("R",'Mapa final'!$A$16),"")</f>
        <v/>
      </c>
      <c r="U14" s="534"/>
      <c r="V14" s="508" t="str">
        <f>IF(AND('Mapa final'!$K$10="Alta",'Mapa final'!$O$10="Moderado"),CONCATENATE("R",'Mapa final'!$A$10),"")</f>
        <v/>
      </c>
      <c r="W14" s="509"/>
      <c r="X14" s="509" t="e">
        <f>IF(AND('Mapa final'!#REF!="Alta",'Mapa final'!#REF!="Moderado"),CONCATENATE("R",'Mapa final'!#REF!),"")</f>
        <v>#REF!</v>
      </c>
      <c r="Y14" s="509"/>
      <c r="Z14" s="509" t="str">
        <f>IF(AND('Mapa final'!$K$16="Alta",'Mapa final'!$O$16="Moderado"),CONCATENATE("R",'Mapa final'!$A$16),"")</f>
        <v/>
      </c>
      <c r="AA14" s="511"/>
      <c r="AB14" s="508" t="str">
        <f>IF(AND('Mapa final'!$K$10="Alta",'Mapa final'!$O$10="Mayor"),CONCATENATE("R",'Mapa final'!$A$10),"")</f>
        <v/>
      </c>
      <c r="AC14" s="509"/>
      <c r="AD14" s="509" t="e">
        <f>IF(AND('Mapa final'!#REF!="Alta",'Mapa final'!#REF!="Mayor"),CONCATENATE("R",'Mapa final'!#REF!),"")</f>
        <v>#REF!</v>
      </c>
      <c r="AE14" s="509"/>
      <c r="AF14" s="509" t="str">
        <f>IF(AND('Mapa final'!$K$16="Alta",'Mapa final'!$O$16="Mayor"),CONCATENATE("R",'Mapa final'!$A$16),"")</f>
        <v/>
      </c>
      <c r="AG14" s="511"/>
      <c r="AH14" s="523" t="str">
        <f>IF(AND('Mapa final'!$K$10="Alta",'Mapa final'!$O$10="Catastrófico"),CONCATENATE("R",'Mapa final'!$A$10),"")</f>
        <v/>
      </c>
      <c r="AI14" s="524"/>
      <c r="AJ14" s="524" t="e">
        <f>IF(AND('Mapa final'!#REF!="Alta",'Mapa final'!#REF!="Catastrófico"),CONCATENATE("R",'Mapa final'!#REF!),"")</f>
        <v>#REF!</v>
      </c>
      <c r="AK14" s="524"/>
      <c r="AL14" s="524" t="str">
        <f>IF(AND('Mapa final'!$K$16="Alta",'Mapa final'!$O$16="Catastrófico"),CONCATENATE("R",'Mapa final'!$A$16),"")</f>
        <v/>
      </c>
      <c r="AM14" s="525"/>
      <c r="AN14" s="67"/>
      <c r="AO14" s="470" t="s">
        <v>78</v>
      </c>
      <c r="AP14" s="471"/>
      <c r="AQ14" s="471"/>
      <c r="AR14" s="471"/>
      <c r="AS14" s="471"/>
      <c r="AT14" s="472"/>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459"/>
      <c r="C15" s="459"/>
      <c r="D15" s="460"/>
      <c r="E15" s="500"/>
      <c r="F15" s="501"/>
      <c r="G15" s="501"/>
      <c r="H15" s="501"/>
      <c r="I15" s="501"/>
      <c r="J15" s="526"/>
      <c r="K15" s="527"/>
      <c r="L15" s="527"/>
      <c r="M15" s="527"/>
      <c r="N15" s="527"/>
      <c r="O15" s="528"/>
      <c r="P15" s="526"/>
      <c r="Q15" s="527"/>
      <c r="R15" s="527"/>
      <c r="S15" s="527"/>
      <c r="T15" s="527"/>
      <c r="U15" s="528"/>
      <c r="V15" s="510"/>
      <c r="W15" s="506"/>
      <c r="X15" s="506"/>
      <c r="Y15" s="506"/>
      <c r="Z15" s="506"/>
      <c r="AA15" s="507"/>
      <c r="AB15" s="510"/>
      <c r="AC15" s="506"/>
      <c r="AD15" s="506"/>
      <c r="AE15" s="506"/>
      <c r="AF15" s="506"/>
      <c r="AG15" s="507"/>
      <c r="AH15" s="517"/>
      <c r="AI15" s="518"/>
      <c r="AJ15" s="518"/>
      <c r="AK15" s="518"/>
      <c r="AL15" s="518"/>
      <c r="AM15" s="519"/>
      <c r="AN15" s="67"/>
      <c r="AO15" s="473"/>
      <c r="AP15" s="474"/>
      <c r="AQ15" s="474"/>
      <c r="AR15" s="474"/>
      <c r="AS15" s="474"/>
      <c r="AT15" s="475"/>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459"/>
      <c r="C16" s="459"/>
      <c r="D16" s="460"/>
      <c r="E16" s="500"/>
      <c r="F16" s="501"/>
      <c r="G16" s="501"/>
      <c r="H16" s="501"/>
      <c r="I16" s="501"/>
      <c r="J16" s="526" t="e">
        <f>IF(AND('Mapa final'!#REF!="Alta",'Mapa final'!#REF!="Leve"),CONCATENATE("R",'Mapa final'!#REF!),"")</f>
        <v>#REF!</v>
      </c>
      <c r="K16" s="527"/>
      <c r="L16" s="527" t="e">
        <f>IF(AND('Mapa final'!#REF!="Alta",'Mapa final'!#REF!="Leve"),CONCATENATE("R",'Mapa final'!#REF!),"")</f>
        <v>#REF!</v>
      </c>
      <c r="M16" s="527"/>
      <c r="N16" s="527" t="e">
        <f>IF(AND('Mapa final'!#REF!="Alta",'Mapa final'!#REF!="Leve"),CONCATENATE("R",'Mapa final'!#REF!),"")</f>
        <v>#REF!</v>
      </c>
      <c r="O16" s="528"/>
      <c r="P16" s="526" t="e">
        <f>IF(AND('Mapa final'!#REF!="Alta",'Mapa final'!#REF!="Menor"),CONCATENATE("R",'Mapa final'!#REF!),"")</f>
        <v>#REF!</v>
      </c>
      <c r="Q16" s="527"/>
      <c r="R16" s="527" t="e">
        <f>IF(AND('Mapa final'!#REF!="Alta",'Mapa final'!#REF!="Menor"),CONCATENATE("R",'Mapa final'!#REF!),"")</f>
        <v>#REF!</v>
      </c>
      <c r="S16" s="527"/>
      <c r="T16" s="527" t="e">
        <f>IF(AND('Mapa final'!#REF!="Alta",'Mapa final'!#REF!="Menor"),CONCATENATE("R",'Mapa final'!#REF!),"")</f>
        <v>#REF!</v>
      </c>
      <c r="U16" s="528"/>
      <c r="V16" s="510" t="e">
        <f>IF(AND('Mapa final'!#REF!="Alta",'Mapa final'!#REF!="Moderado"),CONCATENATE("R",'Mapa final'!#REF!),"")</f>
        <v>#REF!</v>
      </c>
      <c r="W16" s="506"/>
      <c r="X16" s="506" t="e">
        <f>IF(AND('Mapa final'!#REF!="Alta",'Mapa final'!#REF!="Moderado"),CONCATENATE("R",'Mapa final'!#REF!),"")</f>
        <v>#REF!</v>
      </c>
      <c r="Y16" s="506"/>
      <c r="Z16" s="506" t="e">
        <f>IF(AND('Mapa final'!#REF!="Alta",'Mapa final'!#REF!="Moderado"),CONCATENATE("R",'Mapa final'!#REF!),"")</f>
        <v>#REF!</v>
      </c>
      <c r="AA16" s="507"/>
      <c r="AB16" s="510" t="e">
        <f>IF(AND('Mapa final'!#REF!="Alta",'Mapa final'!#REF!="Mayor"),CONCATENATE("R",'Mapa final'!#REF!),"")</f>
        <v>#REF!</v>
      </c>
      <c r="AC16" s="506"/>
      <c r="AD16" s="506" t="e">
        <f>IF(AND('Mapa final'!#REF!="Alta",'Mapa final'!#REF!="Mayor"),CONCATENATE("R",'Mapa final'!#REF!),"")</f>
        <v>#REF!</v>
      </c>
      <c r="AE16" s="506"/>
      <c r="AF16" s="506" t="e">
        <f>IF(AND('Mapa final'!#REF!="Alta",'Mapa final'!#REF!="Mayor"),CONCATENATE("R",'Mapa final'!#REF!),"")</f>
        <v>#REF!</v>
      </c>
      <c r="AG16" s="507"/>
      <c r="AH16" s="517" t="e">
        <f>IF(AND('Mapa final'!#REF!="Alta",'Mapa final'!#REF!="Catastrófico"),CONCATENATE("R",'Mapa final'!#REF!),"")</f>
        <v>#REF!</v>
      </c>
      <c r="AI16" s="518"/>
      <c r="AJ16" s="518" t="e">
        <f>IF(AND('Mapa final'!#REF!="Alta",'Mapa final'!#REF!="Catastrófico"),CONCATENATE("R",'Mapa final'!#REF!),"")</f>
        <v>#REF!</v>
      </c>
      <c r="AK16" s="518"/>
      <c r="AL16" s="518" t="e">
        <f>IF(AND('Mapa final'!#REF!="Alta",'Mapa final'!#REF!="Catastrófico"),CONCATENATE("R",'Mapa final'!#REF!),"")</f>
        <v>#REF!</v>
      </c>
      <c r="AM16" s="519"/>
      <c r="AN16" s="67"/>
      <c r="AO16" s="473"/>
      <c r="AP16" s="474"/>
      <c r="AQ16" s="474"/>
      <c r="AR16" s="474"/>
      <c r="AS16" s="474"/>
      <c r="AT16" s="475"/>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459"/>
      <c r="C17" s="459"/>
      <c r="D17" s="460"/>
      <c r="E17" s="500"/>
      <c r="F17" s="501"/>
      <c r="G17" s="501"/>
      <c r="H17" s="501"/>
      <c r="I17" s="501"/>
      <c r="J17" s="526"/>
      <c r="K17" s="527"/>
      <c r="L17" s="527"/>
      <c r="M17" s="527"/>
      <c r="N17" s="527"/>
      <c r="O17" s="528"/>
      <c r="P17" s="526"/>
      <c r="Q17" s="527"/>
      <c r="R17" s="527"/>
      <c r="S17" s="527"/>
      <c r="T17" s="527"/>
      <c r="U17" s="528"/>
      <c r="V17" s="510"/>
      <c r="W17" s="506"/>
      <c r="X17" s="506"/>
      <c r="Y17" s="506"/>
      <c r="Z17" s="506"/>
      <c r="AA17" s="507"/>
      <c r="AB17" s="510"/>
      <c r="AC17" s="506"/>
      <c r="AD17" s="506"/>
      <c r="AE17" s="506"/>
      <c r="AF17" s="506"/>
      <c r="AG17" s="507"/>
      <c r="AH17" s="517"/>
      <c r="AI17" s="518"/>
      <c r="AJ17" s="518"/>
      <c r="AK17" s="518"/>
      <c r="AL17" s="518"/>
      <c r="AM17" s="519"/>
      <c r="AN17" s="67"/>
      <c r="AO17" s="473"/>
      <c r="AP17" s="474"/>
      <c r="AQ17" s="474"/>
      <c r="AR17" s="474"/>
      <c r="AS17" s="474"/>
      <c r="AT17" s="475"/>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459"/>
      <c r="C18" s="459"/>
      <c r="D18" s="460"/>
      <c r="E18" s="500"/>
      <c r="F18" s="501"/>
      <c r="G18" s="501"/>
      <c r="H18" s="501"/>
      <c r="I18" s="501"/>
      <c r="J18" s="526" t="str">
        <f>IF(AND('Mapa final'!$K$17="Alta",'Mapa final'!$O$17="Leve"),CONCATENATE("R",'Mapa final'!$A$17),"")</f>
        <v/>
      </c>
      <c r="K18" s="527"/>
      <c r="L18" s="527" t="str">
        <f>IF(AND('Mapa final'!$K$23="Alta",'Mapa final'!$O$23="Leve"),CONCATENATE("R",'Mapa final'!$A$23),"")</f>
        <v/>
      </c>
      <c r="M18" s="527"/>
      <c r="N18" s="527" t="str">
        <f>IF(AND('Mapa final'!$K$29="Alta",'Mapa final'!$O$29="Leve"),CONCATENATE("R",'Mapa final'!$A$29),"")</f>
        <v/>
      </c>
      <c r="O18" s="528"/>
      <c r="P18" s="526" t="str">
        <f>IF(AND('Mapa final'!$K$17="Alta",'Mapa final'!$O$17="Menor"),CONCATENATE("R",'Mapa final'!$A$17),"")</f>
        <v/>
      </c>
      <c r="Q18" s="527"/>
      <c r="R18" s="527" t="str">
        <f>IF(AND('Mapa final'!$K$23="Alta",'Mapa final'!$O$23="Menor"),CONCATENATE("R",'Mapa final'!$A$23),"")</f>
        <v/>
      </c>
      <c r="S18" s="527"/>
      <c r="T18" s="527" t="str">
        <f>IF(AND('Mapa final'!$K$29="Alta",'Mapa final'!$O$29="Menor"),CONCATENATE("R",'Mapa final'!$A$29),"")</f>
        <v/>
      </c>
      <c r="U18" s="528"/>
      <c r="V18" s="510" t="str">
        <f>IF(AND('Mapa final'!$K$17="Alta",'Mapa final'!$O$17="Moderado"),CONCATENATE("R",'Mapa final'!$A$17),"")</f>
        <v/>
      </c>
      <c r="W18" s="506"/>
      <c r="X18" s="506" t="str">
        <f>IF(AND('Mapa final'!$K$23="Alta",'Mapa final'!$O$23="Moderado"),CONCATENATE("R",'Mapa final'!$A$23),"")</f>
        <v/>
      </c>
      <c r="Y18" s="506"/>
      <c r="Z18" s="506" t="str">
        <f>IF(AND('Mapa final'!$K$29="Alta",'Mapa final'!$O$29="Moderado"),CONCATENATE("R",'Mapa final'!$A$29),"")</f>
        <v/>
      </c>
      <c r="AA18" s="507"/>
      <c r="AB18" s="510" t="str">
        <f>IF(AND('Mapa final'!$K$17="Alta",'Mapa final'!$O$17="Mayor"),CONCATENATE("R",'Mapa final'!$A$17),"")</f>
        <v/>
      </c>
      <c r="AC18" s="506"/>
      <c r="AD18" s="506" t="str">
        <f>IF(AND('Mapa final'!$K$23="Alta",'Mapa final'!$O$23="Mayor"),CONCATENATE("R",'Mapa final'!$A$23),"")</f>
        <v/>
      </c>
      <c r="AE18" s="506"/>
      <c r="AF18" s="506" t="str">
        <f>IF(AND('Mapa final'!$K$29="Alta",'Mapa final'!$O$29="Mayor"),CONCATENATE("R",'Mapa final'!$A$29),"")</f>
        <v/>
      </c>
      <c r="AG18" s="507"/>
      <c r="AH18" s="517" t="str">
        <f>IF(AND('Mapa final'!$K$17="Alta",'Mapa final'!$O$17="Catastrófico"),CONCATENATE("R",'Mapa final'!$A$17),"")</f>
        <v/>
      </c>
      <c r="AI18" s="518"/>
      <c r="AJ18" s="518" t="str">
        <f>IF(AND('Mapa final'!$K$23="Alta",'Mapa final'!$O$23="Catastrófico"),CONCATENATE("R",'Mapa final'!$A$23),"")</f>
        <v/>
      </c>
      <c r="AK18" s="518"/>
      <c r="AL18" s="518" t="str">
        <f>IF(AND('Mapa final'!$K$29="Alta",'Mapa final'!$O$29="Catastrófico"),CONCATENATE("R",'Mapa final'!$A$29),"")</f>
        <v/>
      </c>
      <c r="AM18" s="519"/>
      <c r="AN18" s="67"/>
      <c r="AO18" s="473"/>
      <c r="AP18" s="474"/>
      <c r="AQ18" s="474"/>
      <c r="AR18" s="474"/>
      <c r="AS18" s="474"/>
      <c r="AT18" s="475"/>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459"/>
      <c r="C19" s="459"/>
      <c r="D19" s="460"/>
      <c r="E19" s="500"/>
      <c r="F19" s="501"/>
      <c r="G19" s="501"/>
      <c r="H19" s="501"/>
      <c r="I19" s="501"/>
      <c r="J19" s="526"/>
      <c r="K19" s="527"/>
      <c r="L19" s="527"/>
      <c r="M19" s="527"/>
      <c r="N19" s="527"/>
      <c r="O19" s="528"/>
      <c r="P19" s="526"/>
      <c r="Q19" s="527"/>
      <c r="R19" s="527"/>
      <c r="S19" s="527"/>
      <c r="T19" s="527"/>
      <c r="U19" s="528"/>
      <c r="V19" s="510"/>
      <c r="W19" s="506"/>
      <c r="X19" s="506"/>
      <c r="Y19" s="506"/>
      <c r="Z19" s="506"/>
      <c r="AA19" s="507"/>
      <c r="AB19" s="510"/>
      <c r="AC19" s="506"/>
      <c r="AD19" s="506"/>
      <c r="AE19" s="506"/>
      <c r="AF19" s="506"/>
      <c r="AG19" s="507"/>
      <c r="AH19" s="517"/>
      <c r="AI19" s="518"/>
      <c r="AJ19" s="518"/>
      <c r="AK19" s="518"/>
      <c r="AL19" s="518"/>
      <c r="AM19" s="519"/>
      <c r="AN19" s="67"/>
      <c r="AO19" s="473"/>
      <c r="AP19" s="474"/>
      <c r="AQ19" s="474"/>
      <c r="AR19" s="474"/>
      <c r="AS19" s="474"/>
      <c r="AT19" s="475"/>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459"/>
      <c r="C20" s="459"/>
      <c r="D20" s="460"/>
      <c r="E20" s="500"/>
      <c r="F20" s="501"/>
      <c r="G20" s="501"/>
      <c r="H20" s="501"/>
      <c r="I20" s="501"/>
      <c r="J20" s="526" t="str">
        <f>IF(AND('Mapa final'!$K$35="Alta",'Mapa final'!$O$35="Leve"),CONCATENATE("R",'Mapa final'!$A$35),"")</f>
        <v/>
      </c>
      <c r="K20" s="527"/>
      <c r="L20" s="527" t="str">
        <f>IF(AND('Mapa final'!$K$41="Alta",'Mapa final'!$O$41="Leve"),CONCATENATE("R",'Mapa final'!$A$41),"")</f>
        <v/>
      </c>
      <c r="M20" s="527"/>
      <c r="N20" s="527" t="str">
        <f>IF(AND('Mapa final'!$K$47="Alta",'Mapa final'!$O$47="Leve"),CONCATENATE("R",'Mapa final'!$A$47),"")</f>
        <v/>
      </c>
      <c r="O20" s="528"/>
      <c r="P20" s="526" t="str">
        <f>IF(AND('Mapa final'!$K$35="Alta",'Mapa final'!$O$35="Menor"),CONCATENATE("R",'Mapa final'!$A$35),"")</f>
        <v/>
      </c>
      <c r="Q20" s="527"/>
      <c r="R20" s="527" t="str">
        <f>IF(AND('Mapa final'!$K$41="Alta",'Mapa final'!$O$41="Menor"),CONCATENATE("R",'Mapa final'!$A$41),"")</f>
        <v/>
      </c>
      <c r="S20" s="527"/>
      <c r="T20" s="527" t="str">
        <f>IF(AND('Mapa final'!$K$47="Alta",'Mapa final'!$O$47="Menor"),CONCATENATE("R",'Mapa final'!$A$47),"")</f>
        <v/>
      </c>
      <c r="U20" s="528"/>
      <c r="V20" s="510" t="str">
        <f>IF(AND('Mapa final'!$K$35="Alta",'Mapa final'!$O$35="Moderado"),CONCATENATE("R",'Mapa final'!$A$35),"")</f>
        <v/>
      </c>
      <c r="W20" s="506"/>
      <c r="X20" s="506" t="str">
        <f>IF(AND('Mapa final'!$K$41="Alta",'Mapa final'!$O$41="Moderado"),CONCATENATE("R",'Mapa final'!$A$41),"")</f>
        <v/>
      </c>
      <c r="Y20" s="506"/>
      <c r="Z20" s="506" t="str">
        <f>IF(AND('Mapa final'!$K$47="Alta",'Mapa final'!$O$47="Moderado"),CONCATENATE("R",'Mapa final'!$A$47),"")</f>
        <v/>
      </c>
      <c r="AA20" s="507"/>
      <c r="AB20" s="510" t="str">
        <f>IF(AND('Mapa final'!$K$35="Alta",'Mapa final'!$O$35="Mayor"),CONCATENATE("R",'Mapa final'!$A$35),"")</f>
        <v/>
      </c>
      <c r="AC20" s="506"/>
      <c r="AD20" s="506" t="str">
        <f>IF(AND('Mapa final'!$K$41="Alta",'Mapa final'!$O$41="Mayor"),CONCATENATE("R",'Mapa final'!$A$41),"")</f>
        <v/>
      </c>
      <c r="AE20" s="506"/>
      <c r="AF20" s="506" t="str">
        <f>IF(AND('Mapa final'!$K$47="Alta",'Mapa final'!$O$47="Mayor"),CONCATENATE("R",'Mapa final'!$A$47),"")</f>
        <v/>
      </c>
      <c r="AG20" s="507"/>
      <c r="AH20" s="517" t="str">
        <f>IF(AND('Mapa final'!$K$35="Alta",'Mapa final'!$O$35="Catastrófico"),CONCATENATE("R",'Mapa final'!$A$35),"")</f>
        <v/>
      </c>
      <c r="AI20" s="518"/>
      <c r="AJ20" s="518" t="str">
        <f>IF(AND('Mapa final'!$K$41="Alta",'Mapa final'!$O$41="Catastrófico"),CONCATENATE("R",'Mapa final'!$A$41),"")</f>
        <v/>
      </c>
      <c r="AK20" s="518"/>
      <c r="AL20" s="518" t="str">
        <f>IF(AND('Mapa final'!$K$47="Alta",'Mapa final'!$O$47="Catastrófico"),CONCATENATE("R",'Mapa final'!$A$47),"")</f>
        <v/>
      </c>
      <c r="AM20" s="519"/>
      <c r="AN20" s="67"/>
      <c r="AO20" s="473"/>
      <c r="AP20" s="474"/>
      <c r="AQ20" s="474"/>
      <c r="AR20" s="474"/>
      <c r="AS20" s="474"/>
      <c r="AT20" s="475"/>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459"/>
      <c r="C21" s="459"/>
      <c r="D21" s="460"/>
      <c r="E21" s="503"/>
      <c r="F21" s="504"/>
      <c r="G21" s="504"/>
      <c r="H21" s="504"/>
      <c r="I21" s="504"/>
      <c r="J21" s="529"/>
      <c r="K21" s="530"/>
      <c r="L21" s="530"/>
      <c r="M21" s="530"/>
      <c r="N21" s="530"/>
      <c r="O21" s="531"/>
      <c r="P21" s="529"/>
      <c r="Q21" s="530"/>
      <c r="R21" s="530"/>
      <c r="S21" s="530"/>
      <c r="T21" s="530"/>
      <c r="U21" s="531"/>
      <c r="V21" s="514"/>
      <c r="W21" s="515"/>
      <c r="X21" s="515"/>
      <c r="Y21" s="515"/>
      <c r="Z21" s="515"/>
      <c r="AA21" s="516"/>
      <c r="AB21" s="514"/>
      <c r="AC21" s="515"/>
      <c r="AD21" s="515"/>
      <c r="AE21" s="515"/>
      <c r="AF21" s="515"/>
      <c r="AG21" s="516"/>
      <c r="AH21" s="520"/>
      <c r="AI21" s="521"/>
      <c r="AJ21" s="521"/>
      <c r="AK21" s="521"/>
      <c r="AL21" s="521"/>
      <c r="AM21" s="522"/>
      <c r="AN21" s="67"/>
      <c r="AO21" s="476"/>
      <c r="AP21" s="477"/>
      <c r="AQ21" s="477"/>
      <c r="AR21" s="477"/>
      <c r="AS21" s="477"/>
      <c r="AT21" s="478"/>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459"/>
      <c r="C22" s="459"/>
      <c r="D22" s="460"/>
      <c r="E22" s="497" t="s">
        <v>111</v>
      </c>
      <c r="F22" s="498"/>
      <c r="G22" s="498"/>
      <c r="H22" s="498"/>
      <c r="I22" s="499"/>
      <c r="J22" s="532" t="str">
        <f>IF(AND('Mapa final'!$K$10="Media",'Mapa final'!$O$10="Leve"),CONCATENATE("R",'Mapa final'!$A$10),"")</f>
        <v/>
      </c>
      <c r="K22" s="533"/>
      <c r="L22" s="533" t="e">
        <f>IF(AND('Mapa final'!#REF!="Media",'Mapa final'!#REF!="Leve"),CONCATENATE("R",'Mapa final'!#REF!),"")</f>
        <v>#REF!</v>
      </c>
      <c r="M22" s="533"/>
      <c r="N22" s="533" t="str">
        <f>IF(AND('Mapa final'!$K$16="Media",'Mapa final'!$O$16="Leve"),CONCATENATE("R",'Mapa final'!$A$16),"")</f>
        <v/>
      </c>
      <c r="O22" s="534"/>
      <c r="P22" s="532" t="str">
        <f>IF(AND('Mapa final'!$K$10="Media",'Mapa final'!$O$10="Menor"),CONCATENATE("R",'Mapa final'!$A$10),"")</f>
        <v/>
      </c>
      <c r="Q22" s="533"/>
      <c r="R22" s="533" t="e">
        <f>IF(AND('Mapa final'!#REF!="Media",'Mapa final'!#REF!="Menor"),CONCATENATE("R",'Mapa final'!#REF!),"")</f>
        <v>#REF!</v>
      </c>
      <c r="S22" s="533"/>
      <c r="T22" s="533" t="str">
        <f>IF(AND('Mapa final'!$K$16="Media",'Mapa final'!$O$16="Menor"),CONCATENATE("R",'Mapa final'!$A$16),"")</f>
        <v/>
      </c>
      <c r="U22" s="534"/>
      <c r="V22" s="532" t="str">
        <f>IF(AND('Mapa final'!$K$10="Media",'Mapa final'!$O$10="Moderado"),CONCATENATE("R",'Mapa final'!$A$10),"")</f>
        <v/>
      </c>
      <c r="W22" s="533"/>
      <c r="X22" s="533" t="e">
        <f>IF(AND('Mapa final'!#REF!="Media",'Mapa final'!#REF!="Moderado"),CONCATENATE("R",'Mapa final'!#REF!),"")</f>
        <v>#REF!</v>
      </c>
      <c r="Y22" s="533"/>
      <c r="Z22" s="533" t="str">
        <f>IF(AND('Mapa final'!$K$16="Media",'Mapa final'!$O$16="Moderado"),CONCATENATE("R",'Mapa final'!$A$16),"")</f>
        <v/>
      </c>
      <c r="AA22" s="534"/>
      <c r="AB22" s="508" t="str">
        <f>IF(AND('Mapa final'!$K$10="Media",'Mapa final'!$O$10="Mayor"),CONCATENATE("R",'Mapa final'!$A$10),"")</f>
        <v/>
      </c>
      <c r="AC22" s="509"/>
      <c r="AD22" s="509" t="e">
        <f>IF(AND('Mapa final'!#REF!="Media",'Mapa final'!#REF!="Mayor"),CONCATENATE("R",'Mapa final'!#REF!),"")</f>
        <v>#REF!</v>
      </c>
      <c r="AE22" s="509"/>
      <c r="AF22" s="509" t="str">
        <f>IF(AND('Mapa final'!$K$16="Media",'Mapa final'!$O$16="Mayor"),CONCATENATE("R",'Mapa final'!$A$16),"")</f>
        <v/>
      </c>
      <c r="AG22" s="511"/>
      <c r="AH22" s="523" t="str">
        <f>IF(AND('Mapa final'!$K$10="Media",'Mapa final'!$O$10="Catastrófico"),CONCATENATE("R",'Mapa final'!$A$10),"")</f>
        <v/>
      </c>
      <c r="AI22" s="524"/>
      <c r="AJ22" s="524" t="e">
        <f>IF(AND('Mapa final'!#REF!="Media",'Mapa final'!#REF!="Catastrófico"),CONCATENATE("R",'Mapa final'!#REF!),"")</f>
        <v>#REF!</v>
      </c>
      <c r="AK22" s="524"/>
      <c r="AL22" s="524" t="str">
        <f>IF(AND('Mapa final'!$K$16="Media",'Mapa final'!$O$16="Catastrófico"),CONCATENATE("R",'Mapa final'!$A$16),"")</f>
        <v/>
      </c>
      <c r="AM22" s="525"/>
      <c r="AN22" s="67"/>
      <c r="AO22" s="479" t="s">
        <v>79</v>
      </c>
      <c r="AP22" s="480"/>
      <c r="AQ22" s="480"/>
      <c r="AR22" s="480"/>
      <c r="AS22" s="480"/>
      <c r="AT22" s="481"/>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459"/>
      <c r="C23" s="459"/>
      <c r="D23" s="460"/>
      <c r="E23" s="500"/>
      <c r="F23" s="501"/>
      <c r="G23" s="501"/>
      <c r="H23" s="501"/>
      <c r="I23" s="502"/>
      <c r="J23" s="526"/>
      <c r="K23" s="527"/>
      <c r="L23" s="527"/>
      <c r="M23" s="527"/>
      <c r="N23" s="527"/>
      <c r="O23" s="528"/>
      <c r="P23" s="526"/>
      <c r="Q23" s="527"/>
      <c r="R23" s="527"/>
      <c r="S23" s="527"/>
      <c r="T23" s="527"/>
      <c r="U23" s="528"/>
      <c r="V23" s="526"/>
      <c r="W23" s="527"/>
      <c r="X23" s="527"/>
      <c r="Y23" s="527"/>
      <c r="Z23" s="527"/>
      <c r="AA23" s="528"/>
      <c r="AB23" s="510"/>
      <c r="AC23" s="506"/>
      <c r="AD23" s="506"/>
      <c r="AE23" s="506"/>
      <c r="AF23" s="506"/>
      <c r="AG23" s="507"/>
      <c r="AH23" s="517"/>
      <c r="AI23" s="518"/>
      <c r="AJ23" s="518"/>
      <c r="AK23" s="518"/>
      <c r="AL23" s="518"/>
      <c r="AM23" s="519"/>
      <c r="AN23" s="67"/>
      <c r="AO23" s="482"/>
      <c r="AP23" s="483"/>
      <c r="AQ23" s="483"/>
      <c r="AR23" s="483"/>
      <c r="AS23" s="483"/>
      <c r="AT23" s="484"/>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459"/>
      <c r="C24" s="459"/>
      <c r="D24" s="460"/>
      <c r="E24" s="500"/>
      <c r="F24" s="501"/>
      <c r="G24" s="501"/>
      <c r="H24" s="501"/>
      <c r="I24" s="502"/>
      <c r="J24" s="526" t="e">
        <f>IF(AND('Mapa final'!#REF!="Media",'Mapa final'!#REF!="Leve"),CONCATENATE("R",'Mapa final'!#REF!),"")</f>
        <v>#REF!</v>
      </c>
      <c r="K24" s="527"/>
      <c r="L24" s="527" t="e">
        <f>IF(AND('Mapa final'!#REF!="Media",'Mapa final'!#REF!="Leve"),CONCATENATE("R",'Mapa final'!#REF!),"")</f>
        <v>#REF!</v>
      </c>
      <c r="M24" s="527"/>
      <c r="N24" s="527" t="e">
        <f>IF(AND('Mapa final'!#REF!="Media",'Mapa final'!#REF!="Leve"),CONCATENATE("R",'Mapa final'!#REF!),"")</f>
        <v>#REF!</v>
      </c>
      <c r="O24" s="528"/>
      <c r="P24" s="526" t="e">
        <f>IF(AND('Mapa final'!#REF!="Media",'Mapa final'!#REF!="Menor"),CONCATENATE("R",'Mapa final'!#REF!),"")</f>
        <v>#REF!</v>
      </c>
      <c r="Q24" s="527"/>
      <c r="R24" s="527" t="e">
        <f>IF(AND('Mapa final'!#REF!="Media",'Mapa final'!#REF!="Menor"),CONCATENATE("R",'Mapa final'!#REF!),"")</f>
        <v>#REF!</v>
      </c>
      <c r="S24" s="527"/>
      <c r="T24" s="527" t="e">
        <f>IF(AND('Mapa final'!#REF!="Media",'Mapa final'!#REF!="Menor"),CONCATENATE("R",'Mapa final'!#REF!),"")</f>
        <v>#REF!</v>
      </c>
      <c r="U24" s="528"/>
      <c r="V24" s="526" t="e">
        <f>IF(AND('Mapa final'!#REF!="Media",'Mapa final'!#REF!="Moderado"),CONCATENATE("R",'Mapa final'!#REF!),"")</f>
        <v>#REF!</v>
      </c>
      <c r="W24" s="527"/>
      <c r="X24" s="527" t="e">
        <f>IF(AND('Mapa final'!#REF!="Media",'Mapa final'!#REF!="Moderado"),CONCATENATE("R",'Mapa final'!#REF!),"")</f>
        <v>#REF!</v>
      </c>
      <c r="Y24" s="527"/>
      <c r="Z24" s="527" t="e">
        <f>IF(AND('Mapa final'!#REF!="Media",'Mapa final'!#REF!="Moderado"),CONCATENATE("R",'Mapa final'!#REF!),"")</f>
        <v>#REF!</v>
      </c>
      <c r="AA24" s="528"/>
      <c r="AB24" s="510" t="e">
        <f>IF(AND('Mapa final'!#REF!="Media",'Mapa final'!#REF!="Mayor"),CONCATENATE("R",'Mapa final'!#REF!),"")</f>
        <v>#REF!</v>
      </c>
      <c r="AC24" s="506"/>
      <c r="AD24" s="506" t="e">
        <f>IF(AND('Mapa final'!#REF!="Media",'Mapa final'!#REF!="Mayor"),CONCATENATE("R",'Mapa final'!#REF!),"")</f>
        <v>#REF!</v>
      </c>
      <c r="AE24" s="506"/>
      <c r="AF24" s="506" t="e">
        <f>IF(AND('Mapa final'!#REF!="Media",'Mapa final'!#REF!="Mayor"),CONCATENATE("R",'Mapa final'!#REF!),"")</f>
        <v>#REF!</v>
      </c>
      <c r="AG24" s="507"/>
      <c r="AH24" s="517" t="e">
        <f>IF(AND('Mapa final'!#REF!="Media",'Mapa final'!#REF!="Catastrófico"),CONCATENATE("R",'Mapa final'!#REF!),"")</f>
        <v>#REF!</v>
      </c>
      <c r="AI24" s="518"/>
      <c r="AJ24" s="518" t="e">
        <f>IF(AND('Mapa final'!#REF!="Media",'Mapa final'!#REF!="Catastrófico"),CONCATENATE("R",'Mapa final'!#REF!),"")</f>
        <v>#REF!</v>
      </c>
      <c r="AK24" s="518"/>
      <c r="AL24" s="518" t="e">
        <f>IF(AND('Mapa final'!#REF!="Media",'Mapa final'!#REF!="Catastrófico"),CONCATENATE("R",'Mapa final'!#REF!),"")</f>
        <v>#REF!</v>
      </c>
      <c r="AM24" s="519"/>
      <c r="AN24" s="67"/>
      <c r="AO24" s="482"/>
      <c r="AP24" s="483"/>
      <c r="AQ24" s="483"/>
      <c r="AR24" s="483"/>
      <c r="AS24" s="483"/>
      <c r="AT24" s="484"/>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459"/>
      <c r="C25" s="459"/>
      <c r="D25" s="460"/>
      <c r="E25" s="500"/>
      <c r="F25" s="501"/>
      <c r="G25" s="501"/>
      <c r="H25" s="501"/>
      <c r="I25" s="502"/>
      <c r="J25" s="526"/>
      <c r="K25" s="527"/>
      <c r="L25" s="527"/>
      <c r="M25" s="527"/>
      <c r="N25" s="527"/>
      <c r="O25" s="528"/>
      <c r="P25" s="526"/>
      <c r="Q25" s="527"/>
      <c r="R25" s="527"/>
      <c r="S25" s="527"/>
      <c r="T25" s="527"/>
      <c r="U25" s="528"/>
      <c r="V25" s="526"/>
      <c r="W25" s="527"/>
      <c r="X25" s="527"/>
      <c r="Y25" s="527"/>
      <c r="Z25" s="527"/>
      <c r="AA25" s="528"/>
      <c r="AB25" s="510"/>
      <c r="AC25" s="506"/>
      <c r="AD25" s="506"/>
      <c r="AE25" s="506"/>
      <c r="AF25" s="506"/>
      <c r="AG25" s="507"/>
      <c r="AH25" s="517"/>
      <c r="AI25" s="518"/>
      <c r="AJ25" s="518"/>
      <c r="AK25" s="518"/>
      <c r="AL25" s="518"/>
      <c r="AM25" s="519"/>
      <c r="AN25" s="67"/>
      <c r="AO25" s="482"/>
      <c r="AP25" s="483"/>
      <c r="AQ25" s="483"/>
      <c r="AR25" s="483"/>
      <c r="AS25" s="483"/>
      <c r="AT25" s="484"/>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459"/>
      <c r="C26" s="459"/>
      <c r="D26" s="460"/>
      <c r="E26" s="500"/>
      <c r="F26" s="501"/>
      <c r="G26" s="501"/>
      <c r="H26" s="501"/>
      <c r="I26" s="502"/>
      <c r="J26" s="526" t="str">
        <f>IF(AND('Mapa final'!$K$17="Media",'Mapa final'!$O$17="Leve"),CONCATENATE("R",'Mapa final'!$A$17),"")</f>
        <v/>
      </c>
      <c r="K26" s="527"/>
      <c r="L26" s="527" t="str">
        <f>IF(AND('Mapa final'!$K$23="Media",'Mapa final'!$O$23="Leve"),CONCATENATE("R",'Mapa final'!$A$23),"")</f>
        <v/>
      </c>
      <c r="M26" s="527"/>
      <c r="N26" s="527" t="str">
        <f>IF(AND('Mapa final'!$K$29="Media",'Mapa final'!$O$29="Leve"),CONCATENATE("R",'Mapa final'!$A$29),"")</f>
        <v/>
      </c>
      <c r="O26" s="528"/>
      <c r="P26" s="526" t="str">
        <f>IF(AND('Mapa final'!$K$17="Media",'Mapa final'!$O$17="Menor"),CONCATENATE("R",'Mapa final'!$A$17),"")</f>
        <v/>
      </c>
      <c r="Q26" s="527"/>
      <c r="R26" s="527" t="str">
        <f>IF(AND('Mapa final'!$K$23="Media",'Mapa final'!$O$23="Menor"),CONCATENATE("R",'Mapa final'!$A$23),"")</f>
        <v/>
      </c>
      <c r="S26" s="527"/>
      <c r="T26" s="527" t="str">
        <f>IF(AND('Mapa final'!$K$29="Media",'Mapa final'!$O$29="Menor"),CONCATENATE("R",'Mapa final'!$A$29),"")</f>
        <v/>
      </c>
      <c r="U26" s="528"/>
      <c r="V26" s="526" t="str">
        <f>IF(AND('Mapa final'!$K$17="Media",'Mapa final'!$O$17="Moderado"),CONCATENATE("R",'Mapa final'!$A$17),"")</f>
        <v/>
      </c>
      <c r="W26" s="527"/>
      <c r="X26" s="527" t="str">
        <f>IF(AND('Mapa final'!$K$23="Media",'Mapa final'!$O$23="Moderado"),CONCATENATE("R",'Mapa final'!$A$23),"")</f>
        <v/>
      </c>
      <c r="Y26" s="527"/>
      <c r="Z26" s="527" t="str">
        <f>IF(AND('Mapa final'!$K$29="Media",'Mapa final'!$O$29="Moderado"),CONCATENATE("R",'Mapa final'!$A$29),"")</f>
        <v/>
      </c>
      <c r="AA26" s="528"/>
      <c r="AB26" s="510" t="str">
        <f>IF(AND('Mapa final'!$K$17="Media",'Mapa final'!$O$17="Mayor"),CONCATENATE("R",'Mapa final'!$A$17),"")</f>
        <v/>
      </c>
      <c r="AC26" s="506"/>
      <c r="AD26" s="506" t="str">
        <f>IF(AND('Mapa final'!$K$23="Media",'Mapa final'!$O$23="Mayor"),CONCATENATE("R",'Mapa final'!$A$23),"")</f>
        <v/>
      </c>
      <c r="AE26" s="506"/>
      <c r="AF26" s="506" t="str">
        <f>IF(AND('Mapa final'!$K$29="Media",'Mapa final'!$O$29="Mayor"),CONCATENATE("R",'Mapa final'!$A$29),"")</f>
        <v/>
      </c>
      <c r="AG26" s="507"/>
      <c r="AH26" s="517" t="str">
        <f>IF(AND('Mapa final'!$K$17="Media",'Mapa final'!$O$17="Catastrófico"),CONCATENATE("R",'Mapa final'!$A$17),"")</f>
        <v/>
      </c>
      <c r="AI26" s="518"/>
      <c r="AJ26" s="518" t="str">
        <f>IF(AND('Mapa final'!$K$23="Media",'Mapa final'!$O$23="Catastrófico"),CONCATENATE("R",'Mapa final'!$A$23),"")</f>
        <v/>
      </c>
      <c r="AK26" s="518"/>
      <c r="AL26" s="518" t="str">
        <f>IF(AND('Mapa final'!$K$29="Media",'Mapa final'!$O$29="Catastrófico"),CONCATENATE("R",'Mapa final'!$A$29),"")</f>
        <v/>
      </c>
      <c r="AM26" s="519"/>
      <c r="AN26" s="67"/>
      <c r="AO26" s="482"/>
      <c r="AP26" s="483"/>
      <c r="AQ26" s="483"/>
      <c r="AR26" s="483"/>
      <c r="AS26" s="483"/>
      <c r="AT26" s="484"/>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459"/>
      <c r="C27" s="459"/>
      <c r="D27" s="460"/>
      <c r="E27" s="500"/>
      <c r="F27" s="501"/>
      <c r="G27" s="501"/>
      <c r="H27" s="501"/>
      <c r="I27" s="502"/>
      <c r="J27" s="526"/>
      <c r="K27" s="527"/>
      <c r="L27" s="527"/>
      <c r="M27" s="527"/>
      <c r="N27" s="527"/>
      <c r="O27" s="528"/>
      <c r="P27" s="526"/>
      <c r="Q27" s="527"/>
      <c r="R27" s="527"/>
      <c r="S27" s="527"/>
      <c r="T27" s="527"/>
      <c r="U27" s="528"/>
      <c r="V27" s="526"/>
      <c r="W27" s="527"/>
      <c r="X27" s="527"/>
      <c r="Y27" s="527"/>
      <c r="Z27" s="527"/>
      <c r="AA27" s="528"/>
      <c r="AB27" s="510"/>
      <c r="AC27" s="506"/>
      <c r="AD27" s="506"/>
      <c r="AE27" s="506"/>
      <c r="AF27" s="506"/>
      <c r="AG27" s="507"/>
      <c r="AH27" s="517"/>
      <c r="AI27" s="518"/>
      <c r="AJ27" s="518"/>
      <c r="AK27" s="518"/>
      <c r="AL27" s="518"/>
      <c r="AM27" s="519"/>
      <c r="AN27" s="67"/>
      <c r="AO27" s="482"/>
      <c r="AP27" s="483"/>
      <c r="AQ27" s="483"/>
      <c r="AR27" s="483"/>
      <c r="AS27" s="483"/>
      <c r="AT27" s="484"/>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459"/>
      <c r="C28" s="459"/>
      <c r="D28" s="460"/>
      <c r="E28" s="500"/>
      <c r="F28" s="501"/>
      <c r="G28" s="501"/>
      <c r="H28" s="501"/>
      <c r="I28" s="502"/>
      <c r="J28" s="526" t="str">
        <f>IF(AND('Mapa final'!$K$35="Media",'Mapa final'!$O$35="Leve"),CONCATENATE("R",'Mapa final'!$A$35),"")</f>
        <v/>
      </c>
      <c r="K28" s="527"/>
      <c r="L28" s="527" t="str">
        <f>IF(AND('Mapa final'!$K$41="Media",'Mapa final'!$O$41="Leve"),CONCATENATE("R",'Mapa final'!$A$41),"")</f>
        <v/>
      </c>
      <c r="M28" s="527"/>
      <c r="N28" s="527" t="str">
        <f>IF(AND('Mapa final'!$K$47="Media",'Mapa final'!$O$47="Leve"),CONCATENATE("R",'Mapa final'!$A$47),"")</f>
        <v/>
      </c>
      <c r="O28" s="528"/>
      <c r="P28" s="526" t="str">
        <f>IF(AND('Mapa final'!$K$35="Media",'Mapa final'!$O$35="Menor"),CONCATENATE("R",'Mapa final'!$A$35),"")</f>
        <v/>
      </c>
      <c r="Q28" s="527"/>
      <c r="R28" s="527" t="str">
        <f>IF(AND('Mapa final'!$K$41="Media",'Mapa final'!$O$41="Menor"),CONCATENATE("R",'Mapa final'!$A$41),"")</f>
        <v/>
      </c>
      <c r="S28" s="527"/>
      <c r="T28" s="527" t="str">
        <f>IF(AND('Mapa final'!$K$47="Media",'Mapa final'!$O$47="Menor"),CONCATENATE("R",'Mapa final'!$A$47),"")</f>
        <v/>
      </c>
      <c r="U28" s="528"/>
      <c r="V28" s="526" t="str">
        <f>IF(AND('Mapa final'!$K$35="Media",'Mapa final'!$O$35="Moderado"),CONCATENATE("R",'Mapa final'!$A$35),"")</f>
        <v/>
      </c>
      <c r="W28" s="527"/>
      <c r="X28" s="527" t="str">
        <f>IF(AND('Mapa final'!$K$41="Media",'Mapa final'!$O$41="Moderado"),CONCATENATE("R",'Mapa final'!$A$41),"")</f>
        <v/>
      </c>
      <c r="Y28" s="527"/>
      <c r="Z28" s="527" t="str">
        <f>IF(AND('Mapa final'!$K$47="Media",'Mapa final'!$O$47="Moderado"),CONCATENATE("R",'Mapa final'!$A$47),"")</f>
        <v/>
      </c>
      <c r="AA28" s="528"/>
      <c r="AB28" s="510" t="str">
        <f>IF(AND('Mapa final'!$K$35="Media",'Mapa final'!$O$35="Mayor"),CONCATENATE("R",'Mapa final'!$A$35),"")</f>
        <v/>
      </c>
      <c r="AC28" s="506"/>
      <c r="AD28" s="506" t="str">
        <f>IF(AND('Mapa final'!$K$41="Media",'Mapa final'!$O$41="Mayor"),CONCATENATE("R",'Mapa final'!$A$41),"")</f>
        <v/>
      </c>
      <c r="AE28" s="506"/>
      <c r="AF28" s="506" t="str">
        <f>IF(AND('Mapa final'!$K$47="Media",'Mapa final'!$O$47="Mayor"),CONCATENATE("R",'Mapa final'!$A$47),"")</f>
        <v/>
      </c>
      <c r="AG28" s="507"/>
      <c r="AH28" s="517" t="str">
        <f>IF(AND('Mapa final'!$K$35="Media",'Mapa final'!$O$35="Catastrófico"),CONCATENATE("R",'Mapa final'!$A$35),"")</f>
        <v/>
      </c>
      <c r="AI28" s="518"/>
      <c r="AJ28" s="518" t="str">
        <f>IF(AND('Mapa final'!$K$41="Media",'Mapa final'!$O$41="Catastrófico"),CONCATENATE("R",'Mapa final'!$A$41),"")</f>
        <v/>
      </c>
      <c r="AK28" s="518"/>
      <c r="AL28" s="518" t="str">
        <f>IF(AND('Mapa final'!$K$47="Media",'Mapa final'!$O$47="Catastrófico"),CONCATENATE("R",'Mapa final'!$A$47),"")</f>
        <v/>
      </c>
      <c r="AM28" s="519"/>
      <c r="AN28" s="67"/>
      <c r="AO28" s="482"/>
      <c r="AP28" s="483"/>
      <c r="AQ28" s="483"/>
      <c r="AR28" s="483"/>
      <c r="AS28" s="483"/>
      <c r="AT28" s="484"/>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459"/>
      <c r="C29" s="459"/>
      <c r="D29" s="460"/>
      <c r="E29" s="503"/>
      <c r="F29" s="504"/>
      <c r="G29" s="504"/>
      <c r="H29" s="504"/>
      <c r="I29" s="505"/>
      <c r="J29" s="526"/>
      <c r="K29" s="527"/>
      <c r="L29" s="527"/>
      <c r="M29" s="527"/>
      <c r="N29" s="527"/>
      <c r="O29" s="528"/>
      <c r="P29" s="529"/>
      <c r="Q29" s="530"/>
      <c r="R29" s="530"/>
      <c r="S29" s="530"/>
      <c r="T29" s="530"/>
      <c r="U29" s="531"/>
      <c r="V29" s="529"/>
      <c r="W29" s="530"/>
      <c r="X29" s="530"/>
      <c r="Y29" s="530"/>
      <c r="Z29" s="530"/>
      <c r="AA29" s="531"/>
      <c r="AB29" s="514"/>
      <c r="AC29" s="515"/>
      <c r="AD29" s="515"/>
      <c r="AE29" s="515"/>
      <c r="AF29" s="515"/>
      <c r="AG29" s="516"/>
      <c r="AH29" s="520"/>
      <c r="AI29" s="521"/>
      <c r="AJ29" s="521"/>
      <c r="AK29" s="521"/>
      <c r="AL29" s="521"/>
      <c r="AM29" s="522"/>
      <c r="AN29" s="67"/>
      <c r="AO29" s="485"/>
      <c r="AP29" s="486"/>
      <c r="AQ29" s="486"/>
      <c r="AR29" s="486"/>
      <c r="AS29" s="486"/>
      <c r="AT29" s="48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459"/>
      <c r="C30" s="459"/>
      <c r="D30" s="460"/>
      <c r="E30" s="497" t="s">
        <v>108</v>
      </c>
      <c r="F30" s="498"/>
      <c r="G30" s="498"/>
      <c r="H30" s="498"/>
      <c r="I30" s="498"/>
      <c r="J30" s="541" t="str">
        <f>IF(AND('Mapa final'!$K$10="Baja",'Mapa final'!$O$10="Leve"),CONCATENATE("R",'Mapa final'!$A$10),"")</f>
        <v/>
      </c>
      <c r="K30" s="542"/>
      <c r="L30" s="542" t="e">
        <f>IF(AND('Mapa final'!#REF!="Baja",'Mapa final'!#REF!="Leve"),CONCATENATE("R",'Mapa final'!#REF!),"")</f>
        <v>#REF!</v>
      </c>
      <c r="M30" s="542"/>
      <c r="N30" s="542" t="str">
        <f>IF(AND('Mapa final'!$K$16="Baja",'Mapa final'!$O$16="Leve"),CONCATENATE("R",'Mapa final'!$A$16),"")</f>
        <v/>
      </c>
      <c r="O30" s="543"/>
      <c r="P30" s="533" t="str">
        <f>IF(AND('Mapa final'!$K$10="Baja",'Mapa final'!$O$10="Menor"),CONCATENATE("R",'Mapa final'!$A$10),"")</f>
        <v/>
      </c>
      <c r="Q30" s="533"/>
      <c r="R30" s="533" t="e">
        <f>IF(AND('Mapa final'!#REF!="Baja",'Mapa final'!#REF!="Menor"),CONCATENATE("R",'Mapa final'!#REF!),"")</f>
        <v>#REF!</v>
      </c>
      <c r="S30" s="533"/>
      <c r="T30" s="533" t="str">
        <f>IF(AND('Mapa final'!$K$16="Baja",'Mapa final'!$O$16="Menor"),CONCATENATE("R",'Mapa final'!$A$16),"")</f>
        <v/>
      </c>
      <c r="U30" s="534"/>
      <c r="V30" s="532" t="str">
        <f>IF(AND('Mapa final'!$K$10="Baja",'Mapa final'!$O$10="Moderado"),CONCATENATE("R",'Mapa final'!$A$10),"")</f>
        <v/>
      </c>
      <c r="W30" s="533"/>
      <c r="X30" s="533" t="e">
        <f>IF(AND('Mapa final'!#REF!="Baja",'Mapa final'!#REF!="Moderado"),CONCATENATE("R",'Mapa final'!#REF!),"")</f>
        <v>#REF!</v>
      </c>
      <c r="Y30" s="533"/>
      <c r="Z30" s="533" t="str">
        <f>IF(AND('Mapa final'!$K$16="Baja",'Mapa final'!$O$16="Moderado"),CONCATENATE("R",'Mapa final'!$A$16),"")</f>
        <v/>
      </c>
      <c r="AA30" s="534"/>
      <c r="AB30" s="508" t="str">
        <f>IF(AND('Mapa final'!$K$10="Baja",'Mapa final'!$O$10="Mayor"),CONCATENATE("R",'Mapa final'!$A$10),"")</f>
        <v/>
      </c>
      <c r="AC30" s="509"/>
      <c r="AD30" s="509" t="e">
        <f>IF(AND('Mapa final'!#REF!="Baja",'Mapa final'!#REF!="Mayor"),CONCATENATE("R",'Mapa final'!#REF!),"")</f>
        <v>#REF!</v>
      </c>
      <c r="AE30" s="509"/>
      <c r="AF30" s="509" t="str">
        <f>IF(AND('Mapa final'!$K$16="Baja",'Mapa final'!$O$16="Mayor"),CONCATENATE("R",'Mapa final'!$A$16),"")</f>
        <v/>
      </c>
      <c r="AG30" s="511"/>
      <c r="AH30" s="523" t="str">
        <f>IF(AND('Mapa final'!$K$10="Baja",'Mapa final'!$O$10="Catastrófico"),CONCATENATE("R",'Mapa final'!$A$10),"")</f>
        <v/>
      </c>
      <c r="AI30" s="524"/>
      <c r="AJ30" s="524" t="e">
        <f>IF(AND('Mapa final'!#REF!="Baja",'Mapa final'!#REF!="Catastrófico"),CONCATENATE("R",'Mapa final'!#REF!),"")</f>
        <v>#REF!</v>
      </c>
      <c r="AK30" s="524"/>
      <c r="AL30" s="524" t="str">
        <f>IF(AND('Mapa final'!$K$16="Baja",'Mapa final'!$O$16="Catastrófico"),CONCATENATE("R",'Mapa final'!$A$16),"")</f>
        <v/>
      </c>
      <c r="AM30" s="525"/>
      <c r="AN30" s="67"/>
      <c r="AO30" s="488" t="s">
        <v>80</v>
      </c>
      <c r="AP30" s="489"/>
      <c r="AQ30" s="489"/>
      <c r="AR30" s="489"/>
      <c r="AS30" s="489"/>
      <c r="AT30" s="490"/>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459"/>
      <c r="C31" s="459"/>
      <c r="D31" s="460"/>
      <c r="E31" s="500"/>
      <c r="F31" s="501"/>
      <c r="G31" s="501"/>
      <c r="H31" s="501"/>
      <c r="I31" s="501"/>
      <c r="J31" s="537"/>
      <c r="K31" s="535"/>
      <c r="L31" s="535"/>
      <c r="M31" s="535"/>
      <c r="N31" s="535"/>
      <c r="O31" s="536"/>
      <c r="P31" s="527"/>
      <c r="Q31" s="527"/>
      <c r="R31" s="527"/>
      <c r="S31" s="527"/>
      <c r="T31" s="527"/>
      <c r="U31" s="528"/>
      <c r="V31" s="526"/>
      <c r="W31" s="527"/>
      <c r="X31" s="527"/>
      <c r="Y31" s="527"/>
      <c r="Z31" s="527"/>
      <c r="AA31" s="528"/>
      <c r="AB31" s="510"/>
      <c r="AC31" s="506"/>
      <c r="AD31" s="506"/>
      <c r="AE31" s="506"/>
      <c r="AF31" s="506"/>
      <c r="AG31" s="507"/>
      <c r="AH31" s="517"/>
      <c r="AI31" s="518"/>
      <c r="AJ31" s="518"/>
      <c r="AK31" s="518"/>
      <c r="AL31" s="518"/>
      <c r="AM31" s="519"/>
      <c r="AN31" s="67"/>
      <c r="AO31" s="491"/>
      <c r="AP31" s="492"/>
      <c r="AQ31" s="492"/>
      <c r="AR31" s="492"/>
      <c r="AS31" s="492"/>
      <c r="AT31" s="493"/>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459"/>
      <c r="C32" s="459"/>
      <c r="D32" s="460"/>
      <c r="E32" s="500"/>
      <c r="F32" s="501"/>
      <c r="G32" s="501"/>
      <c r="H32" s="501"/>
      <c r="I32" s="501"/>
      <c r="J32" s="537" t="e">
        <f>IF(AND('Mapa final'!#REF!="Baja",'Mapa final'!#REF!="Leve"),CONCATENATE("R",'Mapa final'!#REF!),"")</f>
        <v>#REF!</v>
      </c>
      <c r="K32" s="535"/>
      <c r="L32" s="535" t="e">
        <f>IF(AND('Mapa final'!#REF!="Baja",'Mapa final'!#REF!="Leve"),CONCATENATE("R",'Mapa final'!#REF!),"")</f>
        <v>#REF!</v>
      </c>
      <c r="M32" s="535"/>
      <c r="N32" s="535" t="e">
        <f>IF(AND('Mapa final'!#REF!="Baja",'Mapa final'!#REF!="Leve"),CONCATENATE("R",'Mapa final'!#REF!),"")</f>
        <v>#REF!</v>
      </c>
      <c r="O32" s="536"/>
      <c r="P32" s="527" t="e">
        <f>IF(AND('Mapa final'!#REF!="Baja",'Mapa final'!#REF!="Menor"),CONCATENATE("R",'Mapa final'!#REF!),"")</f>
        <v>#REF!</v>
      </c>
      <c r="Q32" s="527"/>
      <c r="R32" s="527" t="e">
        <f>IF(AND('Mapa final'!#REF!="Baja",'Mapa final'!#REF!="Menor"),CONCATENATE("R",'Mapa final'!#REF!),"")</f>
        <v>#REF!</v>
      </c>
      <c r="S32" s="527"/>
      <c r="T32" s="527" t="e">
        <f>IF(AND('Mapa final'!#REF!="Baja",'Mapa final'!#REF!="Menor"),CONCATENATE("R",'Mapa final'!#REF!),"")</f>
        <v>#REF!</v>
      </c>
      <c r="U32" s="528"/>
      <c r="V32" s="526" t="e">
        <f>IF(AND('Mapa final'!#REF!="Baja",'Mapa final'!#REF!="Moderado"),CONCATENATE("R",'Mapa final'!#REF!),"")</f>
        <v>#REF!</v>
      </c>
      <c r="W32" s="527"/>
      <c r="X32" s="527" t="e">
        <f>IF(AND('Mapa final'!#REF!="Baja",'Mapa final'!#REF!="Moderado"),CONCATENATE("R",'Mapa final'!#REF!),"")</f>
        <v>#REF!</v>
      </c>
      <c r="Y32" s="527"/>
      <c r="Z32" s="527" t="e">
        <f>IF(AND('Mapa final'!#REF!="Baja",'Mapa final'!#REF!="Moderado"),CONCATENATE("R",'Mapa final'!#REF!),"")</f>
        <v>#REF!</v>
      </c>
      <c r="AA32" s="528"/>
      <c r="AB32" s="510" t="e">
        <f>IF(AND('Mapa final'!#REF!="Baja",'Mapa final'!#REF!="Mayor"),CONCATENATE("R",'Mapa final'!#REF!),"")</f>
        <v>#REF!</v>
      </c>
      <c r="AC32" s="506"/>
      <c r="AD32" s="506" t="e">
        <f>IF(AND('Mapa final'!#REF!="Baja",'Mapa final'!#REF!="Mayor"),CONCATENATE("R",'Mapa final'!#REF!),"")</f>
        <v>#REF!</v>
      </c>
      <c r="AE32" s="506"/>
      <c r="AF32" s="506" t="e">
        <f>IF(AND('Mapa final'!#REF!="Baja",'Mapa final'!#REF!="Mayor"),CONCATENATE("R",'Mapa final'!#REF!),"")</f>
        <v>#REF!</v>
      </c>
      <c r="AG32" s="507"/>
      <c r="AH32" s="517" t="e">
        <f>IF(AND('Mapa final'!#REF!="Baja",'Mapa final'!#REF!="Catastrófico"),CONCATENATE("R",'Mapa final'!#REF!),"")</f>
        <v>#REF!</v>
      </c>
      <c r="AI32" s="518"/>
      <c r="AJ32" s="518" t="e">
        <f>IF(AND('Mapa final'!#REF!="Baja",'Mapa final'!#REF!="Catastrófico"),CONCATENATE("R",'Mapa final'!#REF!),"")</f>
        <v>#REF!</v>
      </c>
      <c r="AK32" s="518"/>
      <c r="AL32" s="518" t="e">
        <f>IF(AND('Mapa final'!#REF!="Baja",'Mapa final'!#REF!="Catastrófico"),CONCATENATE("R",'Mapa final'!#REF!),"")</f>
        <v>#REF!</v>
      </c>
      <c r="AM32" s="519"/>
      <c r="AN32" s="67"/>
      <c r="AO32" s="491"/>
      <c r="AP32" s="492"/>
      <c r="AQ32" s="492"/>
      <c r="AR32" s="492"/>
      <c r="AS32" s="492"/>
      <c r="AT32" s="493"/>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459"/>
      <c r="C33" s="459"/>
      <c r="D33" s="460"/>
      <c r="E33" s="500"/>
      <c r="F33" s="501"/>
      <c r="G33" s="501"/>
      <c r="H33" s="501"/>
      <c r="I33" s="501"/>
      <c r="J33" s="537"/>
      <c r="K33" s="535"/>
      <c r="L33" s="535"/>
      <c r="M33" s="535"/>
      <c r="N33" s="535"/>
      <c r="O33" s="536"/>
      <c r="P33" s="527"/>
      <c r="Q33" s="527"/>
      <c r="R33" s="527"/>
      <c r="S33" s="527"/>
      <c r="T33" s="527"/>
      <c r="U33" s="528"/>
      <c r="V33" s="526"/>
      <c r="W33" s="527"/>
      <c r="X33" s="527"/>
      <c r="Y33" s="527"/>
      <c r="Z33" s="527"/>
      <c r="AA33" s="528"/>
      <c r="AB33" s="510"/>
      <c r="AC33" s="506"/>
      <c r="AD33" s="506"/>
      <c r="AE33" s="506"/>
      <c r="AF33" s="506"/>
      <c r="AG33" s="507"/>
      <c r="AH33" s="517"/>
      <c r="AI33" s="518"/>
      <c r="AJ33" s="518"/>
      <c r="AK33" s="518"/>
      <c r="AL33" s="518"/>
      <c r="AM33" s="519"/>
      <c r="AN33" s="67"/>
      <c r="AO33" s="491"/>
      <c r="AP33" s="492"/>
      <c r="AQ33" s="492"/>
      <c r="AR33" s="492"/>
      <c r="AS33" s="492"/>
      <c r="AT33" s="493"/>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459"/>
      <c r="C34" s="459"/>
      <c r="D34" s="460"/>
      <c r="E34" s="500"/>
      <c r="F34" s="501"/>
      <c r="G34" s="501"/>
      <c r="H34" s="501"/>
      <c r="I34" s="501"/>
      <c r="J34" s="537" t="str">
        <f>IF(AND('Mapa final'!$K$17="Baja",'Mapa final'!$O$17="Leve"),CONCATENATE("R",'Mapa final'!$A$17),"")</f>
        <v/>
      </c>
      <c r="K34" s="535"/>
      <c r="L34" s="535" t="str">
        <f>IF(AND('Mapa final'!$K$23="Baja",'Mapa final'!$O$23="Leve"),CONCATENATE("R",'Mapa final'!$A$23),"")</f>
        <v/>
      </c>
      <c r="M34" s="535"/>
      <c r="N34" s="535" t="str">
        <f>IF(AND('Mapa final'!$K$29="Baja",'Mapa final'!$O$29="Leve"),CONCATENATE("R",'Mapa final'!$A$29),"")</f>
        <v/>
      </c>
      <c r="O34" s="536"/>
      <c r="P34" s="527" t="str">
        <f>IF(AND('Mapa final'!$K$17="Baja",'Mapa final'!$O$17="Menor"),CONCATENATE("R",'Mapa final'!$A$17),"")</f>
        <v/>
      </c>
      <c r="Q34" s="527"/>
      <c r="R34" s="527" t="str">
        <f>IF(AND('Mapa final'!$K$23="Baja",'Mapa final'!$O$23="Menor"),CONCATENATE("R",'Mapa final'!$A$23),"")</f>
        <v/>
      </c>
      <c r="S34" s="527"/>
      <c r="T34" s="527" t="str">
        <f>IF(AND('Mapa final'!$K$29="Baja",'Mapa final'!$O$29="Menor"),CONCATENATE("R",'Mapa final'!$A$29),"")</f>
        <v/>
      </c>
      <c r="U34" s="528"/>
      <c r="V34" s="526" t="str">
        <f>IF(AND('Mapa final'!$K$17="Baja",'Mapa final'!$O$17="Moderado"),CONCATENATE("R",'Mapa final'!$A$17),"")</f>
        <v/>
      </c>
      <c r="W34" s="527"/>
      <c r="X34" s="527" t="str">
        <f>IF(AND('Mapa final'!$K$23="Baja",'Mapa final'!$O$23="Moderado"),CONCATENATE("R",'Mapa final'!$A$23),"")</f>
        <v/>
      </c>
      <c r="Y34" s="527"/>
      <c r="Z34" s="527" t="str">
        <f>IF(AND('Mapa final'!$K$29="Baja",'Mapa final'!$O$29="Moderado"),CONCATENATE("R",'Mapa final'!$A$29),"")</f>
        <v/>
      </c>
      <c r="AA34" s="528"/>
      <c r="AB34" s="510" t="str">
        <f>IF(AND('Mapa final'!$K$17="Baja",'Mapa final'!$O$17="Mayor"),CONCATENATE("R",'Mapa final'!$A$17),"")</f>
        <v/>
      </c>
      <c r="AC34" s="506"/>
      <c r="AD34" s="506" t="str">
        <f>IF(AND('Mapa final'!$K$23="Baja",'Mapa final'!$O$23="Mayor"),CONCATENATE("R",'Mapa final'!$A$23),"")</f>
        <v/>
      </c>
      <c r="AE34" s="506"/>
      <c r="AF34" s="506" t="str">
        <f>IF(AND('Mapa final'!$K$29="Baja",'Mapa final'!$O$29="Mayor"),CONCATENATE("R",'Mapa final'!$A$29),"")</f>
        <v/>
      </c>
      <c r="AG34" s="507"/>
      <c r="AH34" s="517" t="str">
        <f>IF(AND('Mapa final'!$K$17="Baja",'Mapa final'!$O$17="Catastrófico"),CONCATENATE("R",'Mapa final'!$A$17),"")</f>
        <v/>
      </c>
      <c r="AI34" s="518"/>
      <c r="AJ34" s="518" t="str">
        <f>IF(AND('Mapa final'!$K$23="Baja",'Mapa final'!$O$23="Catastrófico"),CONCATENATE("R",'Mapa final'!$A$23),"")</f>
        <v/>
      </c>
      <c r="AK34" s="518"/>
      <c r="AL34" s="518" t="str">
        <f>IF(AND('Mapa final'!$K$29="Baja",'Mapa final'!$O$29="Catastrófico"),CONCATENATE("R",'Mapa final'!$A$29),"")</f>
        <v/>
      </c>
      <c r="AM34" s="519"/>
      <c r="AN34" s="67"/>
      <c r="AO34" s="491"/>
      <c r="AP34" s="492"/>
      <c r="AQ34" s="492"/>
      <c r="AR34" s="492"/>
      <c r="AS34" s="492"/>
      <c r="AT34" s="493"/>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459"/>
      <c r="C35" s="459"/>
      <c r="D35" s="460"/>
      <c r="E35" s="500"/>
      <c r="F35" s="501"/>
      <c r="G35" s="501"/>
      <c r="H35" s="501"/>
      <c r="I35" s="501"/>
      <c r="J35" s="537"/>
      <c r="K35" s="535"/>
      <c r="L35" s="535"/>
      <c r="M35" s="535"/>
      <c r="N35" s="535"/>
      <c r="O35" s="536"/>
      <c r="P35" s="527"/>
      <c r="Q35" s="527"/>
      <c r="R35" s="527"/>
      <c r="S35" s="527"/>
      <c r="T35" s="527"/>
      <c r="U35" s="528"/>
      <c r="V35" s="526"/>
      <c r="W35" s="527"/>
      <c r="X35" s="527"/>
      <c r="Y35" s="527"/>
      <c r="Z35" s="527"/>
      <c r="AA35" s="528"/>
      <c r="AB35" s="510"/>
      <c r="AC35" s="506"/>
      <c r="AD35" s="506"/>
      <c r="AE35" s="506"/>
      <c r="AF35" s="506"/>
      <c r="AG35" s="507"/>
      <c r="AH35" s="517"/>
      <c r="AI35" s="518"/>
      <c r="AJ35" s="518"/>
      <c r="AK35" s="518"/>
      <c r="AL35" s="518"/>
      <c r="AM35" s="519"/>
      <c r="AN35" s="67"/>
      <c r="AO35" s="491"/>
      <c r="AP35" s="492"/>
      <c r="AQ35" s="492"/>
      <c r="AR35" s="492"/>
      <c r="AS35" s="492"/>
      <c r="AT35" s="493"/>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459"/>
      <c r="C36" s="459"/>
      <c r="D36" s="460"/>
      <c r="E36" s="500"/>
      <c r="F36" s="501"/>
      <c r="G36" s="501"/>
      <c r="H36" s="501"/>
      <c r="I36" s="501"/>
      <c r="J36" s="537" t="str">
        <f>IF(AND('Mapa final'!$K$35="Baja",'Mapa final'!$O$35="Leve"),CONCATENATE("R",'Mapa final'!$A$35),"")</f>
        <v/>
      </c>
      <c r="K36" s="535"/>
      <c r="L36" s="535" t="str">
        <f>IF(AND('Mapa final'!$K$41="Baja",'Mapa final'!$O$41="Leve"),CONCATENATE("R",'Mapa final'!$A$41),"")</f>
        <v/>
      </c>
      <c r="M36" s="535"/>
      <c r="N36" s="535" t="str">
        <f>IF(AND('Mapa final'!$K$47="Baja",'Mapa final'!$O$47="Leve"),CONCATENATE("R",'Mapa final'!$A$47),"")</f>
        <v/>
      </c>
      <c r="O36" s="536"/>
      <c r="P36" s="527" t="str">
        <f>IF(AND('Mapa final'!$K$35="Baja",'Mapa final'!$O$35="Menor"),CONCATENATE("R",'Mapa final'!$A$35),"")</f>
        <v/>
      </c>
      <c r="Q36" s="527"/>
      <c r="R36" s="527" t="str">
        <f>IF(AND('Mapa final'!$K$41="Baja",'Mapa final'!$O$41="Menor"),CONCATENATE("R",'Mapa final'!$A$41),"")</f>
        <v/>
      </c>
      <c r="S36" s="527"/>
      <c r="T36" s="527" t="str">
        <f>IF(AND('Mapa final'!$K$47="Baja",'Mapa final'!$O$47="Menor"),CONCATENATE("R",'Mapa final'!$A$47),"")</f>
        <v/>
      </c>
      <c r="U36" s="528"/>
      <c r="V36" s="526" t="str">
        <f>IF(AND('Mapa final'!$K$35="Baja",'Mapa final'!$O$35="Moderado"),CONCATENATE("R",'Mapa final'!$A$35),"")</f>
        <v/>
      </c>
      <c r="W36" s="527"/>
      <c r="X36" s="527" t="str">
        <f>IF(AND('Mapa final'!$K$41="Baja",'Mapa final'!$O$41="Moderado"),CONCATENATE("R",'Mapa final'!$A$41),"")</f>
        <v/>
      </c>
      <c r="Y36" s="527"/>
      <c r="Z36" s="527" t="str">
        <f>IF(AND('Mapa final'!$K$47="Baja",'Mapa final'!$O$47="Moderado"),CONCATENATE("R",'Mapa final'!$A$47),"")</f>
        <v/>
      </c>
      <c r="AA36" s="528"/>
      <c r="AB36" s="510" t="str">
        <f>IF(AND('Mapa final'!$K$35="Baja",'Mapa final'!$O$35="Mayor"),CONCATENATE("R",'Mapa final'!$A$35),"")</f>
        <v/>
      </c>
      <c r="AC36" s="506"/>
      <c r="AD36" s="506" t="str">
        <f>IF(AND('Mapa final'!$K$41="Baja",'Mapa final'!$O$41="Mayor"),CONCATENATE("R",'Mapa final'!$A$41),"")</f>
        <v/>
      </c>
      <c r="AE36" s="506"/>
      <c r="AF36" s="506" t="str">
        <f>IF(AND('Mapa final'!$K$47="Baja",'Mapa final'!$O$47="Mayor"),CONCATENATE("R",'Mapa final'!$A$47),"")</f>
        <v/>
      </c>
      <c r="AG36" s="507"/>
      <c r="AH36" s="517" t="str">
        <f>IF(AND('Mapa final'!$K$35="Baja",'Mapa final'!$O$35="Catastrófico"),CONCATENATE("R",'Mapa final'!$A$35),"")</f>
        <v/>
      </c>
      <c r="AI36" s="518"/>
      <c r="AJ36" s="518" t="str">
        <f>IF(AND('Mapa final'!$K$41="Baja",'Mapa final'!$O$41="Catastrófico"),CONCATENATE("R",'Mapa final'!$A$41),"")</f>
        <v/>
      </c>
      <c r="AK36" s="518"/>
      <c r="AL36" s="518" t="str">
        <f>IF(AND('Mapa final'!$K$47="Baja",'Mapa final'!$O$47="Catastrófico"),CONCATENATE("R",'Mapa final'!$A$47),"")</f>
        <v/>
      </c>
      <c r="AM36" s="519"/>
      <c r="AN36" s="67"/>
      <c r="AO36" s="491"/>
      <c r="AP36" s="492"/>
      <c r="AQ36" s="492"/>
      <c r="AR36" s="492"/>
      <c r="AS36" s="492"/>
      <c r="AT36" s="493"/>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459"/>
      <c r="C37" s="459"/>
      <c r="D37" s="460"/>
      <c r="E37" s="503"/>
      <c r="F37" s="504"/>
      <c r="G37" s="504"/>
      <c r="H37" s="504"/>
      <c r="I37" s="504"/>
      <c r="J37" s="538"/>
      <c r="K37" s="539"/>
      <c r="L37" s="539"/>
      <c r="M37" s="539"/>
      <c r="N37" s="539"/>
      <c r="O37" s="540"/>
      <c r="P37" s="530"/>
      <c r="Q37" s="530"/>
      <c r="R37" s="530"/>
      <c r="S37" s="530"/>
      <c r="T37" s="530"/>
      <c r="U37" s="531"/>
      <c r="V37" s="529"/>
      <c r="W37" s="530"/>
      <c r="X37" s="530"/>
      <c r="Y37" s="530"/>
      <c r="Z37" s="530"/>
      <c r="AA37" s="531"/>
      <c r="AB37" s="514"/>
      <c r="AC37" s="515"/>
      <c r="AD37" s="515"/>
      <c r="AE37" s="515"/>
      <c r="AF37" s="515"/>
      <c r="AG37" s="516"/>
      <c r="AH37" s="520"/>
      <c r="AI37" s="521"/>
      <c r="AJ37" s="521"/>
      <c r="AK37" s="521"/>
      <c r="AL37" s="521"/>
      <c r="AM37" s="522"/>
      <c r="AN37" s="67"/>
      <c r="AO37" s="494"/>
      <c r="AP37" s="495"/>
      <c r="AQ37" s="495"/>
      <c r="AR37" s="495"/>
      <c r="AS37" s="495"/>
      <c r="AT37" s="496"/>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459"/>
      <c r="C38" s="459"/>
      <c r="D38" s="460"/>
      <c r="E38" s="497" t="s">
        <v>107</v>
      </c>
      <c r="F38" s="498"/>
      <c r="G38" s="498"/>
      <c r="H38" s="498"/>
      <c r="I38" s="499"/>
      <c r="J38" s="541" t="str">
        <f>IF(AND('Mapa final'!$K$10="Muy Baja",'Mapa final'!$O$10="Leve"),CONCATENATE("R",'Mapa final'!$A$10),"")</f>
        <v/>
      </c>
      <c r="K38" s="542"/>
      <c r="L38" s="542" t="e">
        <f>IF(AND('Mapa final'!#REF!="Muy Baja",'Mapa final'!#REF!="Leve"),CONCATENATE("R",'Mapa final'!#REF!),"")</f>
        <v>#REF!</v>
      </c>
      <c r="M38" s="542"/>
      <c r="N38" s="542" t="str">
        <f>IF(AND('Mapa final'!$K$16="Muy Baja",'Mapa final'!$O$16="Leve"),CONCATENATE("R",'Mapa final'!$A$16),"")</f>
        <v/>
      </c>
      <c r="O38" s="543"/>
      <c r="P38" s="541" t="str">
        <f>IF(AND('Mapa final'!$K$10="Muy Baja",'Mapa final'!$O$10="Menor"),CONCATENATE("R",'Mapa final'!$A$10),"")</f>
        <v/>
      </c>
      <c r="Q38" s="542"/>
      <c r="R38" s="542" t="e">
        <f>IF(AND('Mapa final'!#REF!="Muy Baja",'Mapa final'!#REF!="Menor"),CONCATENATE("R",'Mapa final'!#REF!),"")</f>
        <v>#REF!</v>
      </c>
      <c r="S38" s="542"/>
      <c r="T38" s="542" t="str">
        <f>IF(AND('Mapa final'!$K$16="Muy Baja",'Mapa final'!$O$16="Menor"),CONCATENATE("R",'Mapa final'!$A$16),"")</f>
        <v/>
      </c>
      <c r="U38" s="543"/>
      <c r="V38" s="532" t="str">
        <f>IF(AND('Mapa final'!$K$10="Muy Baja",'Mapa final'!$O$10="Moderado"),CONCATENATE("R",'Mapa final'!$A$10),"")</f>
        <v/>
      </c>
      <c r="W38" s="533"/>
      <c r="X38" s="533" t="e">
        <f>IF(AND('Mapa final'!#REF!="Muy Baja",'Mapa final'!#REF!="Moderado"),CONCATENATE("R",'Mapa final'!#REF!),"")</f>
        <v>#REF!</v>
      </c>
      <c r="Y38" s="533"/>
      <c r="Z38" s="533" t="str">
        <f>IF(AND('Mapa final'!$K$16="Muy Baja",'Mapa final'!$O$16="Moderado"),CONCATENATE("R",'Mapa final'!$A$16),"")</f>
        <v/>
      </c>
      <c r="AA38" s="534"/>
      <c r="AB38" s="508" t="str">
        <f>IF(AND('Mapa final'!$K$10="Muy Baja",'Mapa final'!$O$10="Mayor"),CONCATENATE("R",'Mapa final'!$A$10),"")</f>
        <v/>
      </c>
      <c r="AC38" s="509"/>
      <c r="AD38" s="509" t="e">
        <f>IF(AND('Mapa final'!#REF!="Muy Baja",'Mapa final'!#REF!="Mayor"),CONCATENATE("R",'Mapa final'!#REF!),"")</f>
        <v>#REF!</v>
      </c>
      <c r="AE38" s="509"/>
      <c r="AF38" s="509" t="str">
        <f>IF(AND('Mapa final'!$K$16="Muy Baja",'Mapa final'!$O$16="Mayor"),CONCATENATE("R",'Mapa final'!$A$16),"")</f>
        <v/>
      </c>
      <c r="AG38" s="511"/>
      <c r="AH38" s="523" t="str">
        <f>IF(AND('Mapa final'!$K$10="Muy Baja",'Mapa final'!$O$10="Catastrófico"),CONCATENATE("R",'Mapa final'!$A$10),"")</f>
        <v/>
      </c>
      <c r="AI38" s="524"/>
      <c r="AJ38" s="524" t="e">
        <f>IF(AND('Mapa final'!#REF!="Muy Baja",'Mapa final'!#REF!="Catastrófico"),CONCATENATE("R",'Mapa final'!#REF!),"")</f>
        <v>#REF!</v>
      </c>
      <c r="AK38" s="524"/>
      <c r="AL38" s="524" t="str">
        <f>IF(AND('Mapa final'!$K$16="Muy Baja",'Mapa final'!$O$16="Catastrófico"),CONCATENATE("R",'Mapa final'!$A$16),"")</f>
        <v/>
      </c>
      <c r="AM38" s="525"/>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459"/>
      <c r="C39" s="459"/>
      <c r="D39" s="460"/>
      <c r="E39" s="500"/>
      <c r="F39" s="501"/>
      <c r="G39" s="501"/>
      <c r="H39" s="501"/>
      <c r="I39" s="502"/>
      <c r="J39" s="537"/>
      <c r="K39" s="535"/>
      <c r="L39" s="535"/>
      <c r="M39" s="535"/>
      <c r="N39" s="535"/>
      <c r="O39" s="536"/>
      <c r="P39" s="537"/>
      <c r="Q39" s="535"/>
      <c r="R39" s="535"/>
      <c r="S39" s="535"/>
      <c r="T39" s="535"/>
      <c r="U39" s="536"/>
      <c r="V39" s="526"/>
      <c r="W39" s="527"/>
      <c r="X39" s="527"/>
      <c r="Y39" s="527"/>
      <c r="Z39" s="527"/>
      <c r="AA39" s="528"/>
      <c r="AB39" s="510"/>
      <c r="AC39" s="506"/>
      <c r="AD39" s="506"/>
      <c r="AE39" s="506"/>
      <c r="AF39" s="506"/>
      <c r="AG39" s="507"/>
      <c r="AH39" s="517"/>
      <c r="AI39" s="518"/>
      <c r="AJ39" s="518"/>
      <c r="AK39" s="518"/>
      <c r="AL39" s="518"/>
      <c r="AM39" s="519"/>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459"/>
      <c r="C40" s="459"/>
      <c r="D40" s="460"/>
      <c r="E40" s="500"/>
      <c r="F40" s="501"/>
      <c r="G40" s="501"/>
      <c r="H40" s="501"/>
      <c r="I40" s="502"/>
      <c r="J40" s="537" t="e">
        <f>IF(AND('Mapa final'!#REF!="Muy Baja",'Mapa final'!#REF!="Leve"),CONCATENATE("R",'Mapa final'!#REF!),"")</f>
        <v>#REF!</v>
      </c>
      <c r="K40" s="535"/>
      <c r="L40" s="535" t="e">
        <f>IF(AND('Mapa final'!#REF!="Muy Baja",'Mapa final'!#REF!="Leve"),CONCATENATE("R",'Mapa final'!#REF!),"")</f>
        <v>#REF!</v>
      </c>
      <c r="M40" s="535"/>
      <c r="N40" s="535" t="e">
        <f>IF(AND('Mapa final'!#REF!="Muy Baja",'Mapa final'!#REF!="Leve"),CONCATENATE("R",'Mapa final'!#REF!),"")</f>
        <v>#REF!</v>
      </c>
      <c r="O40" s="536"/>
      <c r="P40" s="537" t="e">
        <f>IF(AND('Mapa final'!#REF!="Muy Baja",'Mapa final'!#REF!="Menor"),CONCATENATE("R",'Mapa final'!#REF!),"")</f>
        <v>#REF!</v>
      </c>
      <c r="Q40" s="535"/>
      <c r="R40" s="535" t="e">
        <f>IF(AND('Mapa final'!#REF!="Muy Baja",'Mapa final'!#REF!="Menor"),CONCATENATE("R",'Mapa final'!#REF!),"")</f>
        <v>#REF!</v>
      </c>
      <c r="S40" s="535"/>
      <c r="T40" s="535" t="e">
        <f>IF(AND('Mapa final'!#REF!="Muy Baja",'Mapa final'!#REF!="Menor"),CONCATENATE("R",'Mapa final'!#REF!),"")</f>
        <v>#REF!</v>
      </c>
      <c r="U40" s="536"/>
      <c r="V40" s="526" t="e">
        <f>IF(AND('Mapa final'!#REF!="Muy Baja",'Mapa final'!#REF!="Moderado"),CONCATENATE("R",'Mapa final'!#REF!),"")</f>
        <v>#REF!</v>
      </c>
      <c r="W40" s="527"/>
      <c r="X40" s="527" t="e">
        <f>IF(AND('Mapa final'!#REF!="Muy Baja",'Mapa final'!#REF!="Moderado"),CONCATENATE("R",'Mapa final'!#REF!),"")</f>
        <v>#REF!</v>
      </c>
      <c r="Y40" s="527"/>
      <c r="Z40" s="527" t="e">
        <f>IF(AND('Mapa final'!#REF!="Muy Baja",'Mapa final'!#REF!="Moderado"),CONCATENATE("R",'Mapa final'!#REF!),"")</f>
        <v>#REF!</v>
      </c>
      <c r="AA40" s="528"/>
      <c r="AB40" s="510" t="e">
        <f>IF(AND('Mapa final'!#REF!="Muy Baja",'Mapa final'!#REF!="Mayor"),CONCATENATE("R",'Mapa final'!#REF!),"")</f>
        <v>#REF!</v>
      </c>
      <c r="AC40" s="506"/>
      <c r="AD40" s="506" t="e">
        <f>IF(AND('Mapa final'!#REF!="Muy Baja",'Mapa final'!#REF!="Mayor"),CONCATENATE("R",'Mapa final'!#REF!),"")</f>
        <v>#REF!</v>
      </c>
      <c r="AE40" s="506"/>
      <c r="AF40" s="506" t="e">
        <f>IF(AND('Mapa final'!#REF!="Muy Baja",'Mapa final'!#REF!="Mayor"),CONCATENATE("R",'Mapa final'!#REF!),"")</f>
        <v>#REF!</v>
      </c>
      <c r="AG40" s="507"/>
      <c r="AH40" s="517" t="e">
        <f>IF(AND('Mapa final'!#REF!="Muy Baja",'Mapa final'!#REF!="Catastrófico"),CONCATENATE("R",'Mapa final'!#REF!),"")</f>
        <v>#REF!</v>
      </c>
      <c r="AI40" s="518"/>
      <c r="AJ40" s="518" t="e">
        <f>IF(AND('Mapa final'!#REF!="Muy Baja",'Mapa final'!#REF!="Catastrófico"),CONCATENATE("R",'Mapa final'!#REF!),"")</f>
        <v>#REF!</v>
      </c>
      <c r="AK40" s="518"/>
      <c r="AL40" s="518" t="e">
        <f>IF(AND('Mapa final'!#REF!="Muy Baja",'Mapa final'!#REF!="Catastrófico"),CONCATENATE("R",'Mapa final'!#REF!),"")</f>
        <v>#REF!</v>
      </c>
      <c r="AM40" s="519"/>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459"/>
      <c r="C41" s="459"/>
      <c r="D41" s="460"/>
      <c r="E41" s="500"/>
      <c r="F41" s="501"/>
      <c r="G41" s="501"/>
      <c r="H41" s="501"/>
      <c r="I41" s="502"/>
      <c r="J41" s="537"/>
      <c r="K41" s="535"/>
      <c r="L41" s="535"/>
      <c r="M41" s="535"/>
      <c r="N41" s="535"/>
      <c r="O41" s="536"/>
      <c r="P41" s="537"/>
      <c r="Q41" s="535"/>
      <c r="R41" s="535"/>
      <c r="S41" s="535"/>
      <c r="T41" s="535"/>
      <c r="U41" s="536"/>
      <c r="V41" s="526"/>
      <c r="W41" s="527"/>
      <c r="X41" s="527"/>
      <c r="Y41" s="527"/>
      <c r="Z41" s="527"/>
      <c r="AA41" s="528"/>
      <c r="AB41" s="510"/>
      <c r="AC41" s="506"/>
      <c r="AD41" s="506"/>
      <c r="AE41" s="506"/>
      <c r="AF41" s="506"/>
      <c r="AG41" s="507"/>
      <c r="AH41" s="517"/>
      <c r="AI41" s="518"/>
      <c r="AJ41" s="518"/>
      <c r="AK41" s="518"/>
      <c r="AL41" s="518"/>
      <c r="AM41" s="519"/>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459"/>
      <c r="C42" s="459"/>
      <c r="D42" s="460"/>
      <c r="E42" s="500"/>
      <c r="F42" s="501"/>
      <c r="G42" s="501"/>
      <c r="H42" s="501"/>
      <c r="I42" s="502"/>
      <c r="J42" s="537" t="str">
        <f>IF(AND('Mapa final'!$K$17="Muy Baja",'Mapa final'!$O$17="Leve"),CONCATENATE("R",'Mapa final'!$A$17),"")</f>
        <v/>
      </c>
      <c r="K42" s="535"/>
      <c r="L42" s="535" t="str">
        <f>IF(AND('Mapa final'!$K$23="Muy Baja",'Mapa final'!$O$23="Leve"),CONCATENATE("R",'Mapa final'!$A$23),"")</f>
        <v/>
      </c>
      <c r="M42" s="535"/>
      <c r="N42" s="535" t="str">
        <f>IF(AND('Mapa final'!$K$29="Muy Baja",'Mapa final'!$O$29="Leve"),CONCATENATE("R",'Mapa final'!$A$29),"")</f>
        <v/>
      </c>
      <c r="O42" s="536"/>
      <c r="P42" s="537" t="str">
        <f>IF(AND('Mapa final'!$K$17="Muy Baja",'Mapa final'!$O$17="Menor"),CONCATENATE("R",'Mapa final'!$A$17),"")</f>
        <v/>
      </c>
      <c r="Q42" s="535"/>
      <c r="R42" s="535" t="str">
        <f>IF(AND('Mapa final'!$K$23="Muy Baja",'Mapa final'!$O$23="Menor"),CONCATENATE("R",'Mapa final'!$A$23),"")</f>
        <v/>
      </c>
      <c r="S42" s="535"/>
      <c r="T42" s="535" t="str">
        <f>IF(AND('Mapa final'!$K$29="Muy Baja",'Mapa final'!$O$29="Menor"),CONCATENATE("R",'Mapa final'!$A$29),"")</f>
        <v/>
      </c>
      <c r="U42" s="536"/>
      <c r="V42" s="526" t="str">
        <f>IF(AND('Mapa final'!$K$17="Muy Baja",'Mapa final'!$O$17="Moderado"),CONCATENATE("R",'Mapa final'!$A$17),"")</f>
        <v/>
      </c>
      <c r="W42" s="527"/>
      <c r="X42" s="527" t="str">
        <f>IF(AND('Mapa final'!$K$23="Muy Baja",'Mapa final'!$O$23="Moderado"),CONCATENATE("R",'Mapa final'!$A$23),"")</f>
        <v/>
      </c>
      <c r="Y42" s="527"/>
      <c r="Z42" s="527" t="str">
        <f>IF(AND('Mapa final'!$K$29="Muy Baja",'Mapa final'!$O$29="Moderado"),CONCATENATE("R",'Mapa final'!$A$29),"")</f>
        <v/>
      </c>
      <c r="AA42" s="528"/>
      <c r="AB42" s="510" t="str">
        <f>IF(AND('Mapa final'!$K$17="Muy Baja",'Mapa final'!$O$17="Mayor"),CONCATENATE("R",'Mapa final'!$A$17),"")</f>
        <v/>
      </c>
      <c r="AC42" s="506"/>
      <c r="AD42" s="506" t="str">
        <f>IF(AND('Mapa final'!$K$23="Muy Baja",'Mapa final'!$O$23="Mayor"),CONCATENATE("R",'Mapa final'!$A$23),"")</f>
        <v/>
      </c>
      <c r="AE42" s="506"/>
      <c r="AF42" s="506" t="str">
        <f>IF(AND('Mapa final'!$K$29="Muy Baja",'Mapa final'!$O$29="Mayor"),CONCATENATE("R",'Mapa final'!$A$29),"")</f>
        <v/>
      </c>
      <c r="AG42" s="507"/>
      <c r="AH42" s="517" t="str">
        <f>IF(AND('Mapa final'!$K$17="Muy Baja",'Mapa final'!$O$17="Catastrófico"),CONCATENATE("R",'Mapa final'!$A$17),"")</f>
        <v/>
      </c>
      <c r="AI42" s="518"/>
      <c r="AJ42" s="518" t="str">
        <f>IF(AND('Mapa final'!$K$23="Muy Baja",'Mapa final'!$O$23="Catastrófico"),CONCATENATE("R",'Mapa final'!$A$23),"")</f>
        <v/>
      </c>
      <c r="AK42" s="518"/>
      <c r="AL42" s="518" t="str">
        <f>IF(AND('Mapa final'!$K$29="Muy Baja",'Mapa final'!$O$29="Catastrófico"),CONCATENATE("R",'Mapa final'!$A$29),"")</f>
        <v/>
      </c>
      <c r="AM42" s="519"/>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459"/>
      <c r="C43" s="459"/>
      <c r="D43" s="460"/>
      <c r="E43" s="500"/>
      <c r="F43" s="501"/>
      <c r="G43" s="501"/>
      <c r="H43" s="501"/>
      <c r="I43" s="502"/>
      <c r="J43" s="537"/>
      <c r="K43" s="535"/>
      <c r="L43" s="535"/>
      <c r="M43" s="535"/>
      <c r="N43" s="535"/>
      <c r="O43" s="536"/>
      <c r="P43" s="537"/>
      <c r="Q43" s="535"/>
      <c r="R43" s="535"/>
      <c r="S43" s="535"/>
      <c r="T43" s="535"/>
      <c r="U43" s="536"/>
      <c r="V43" s="526"/>
      <c r="W43" s="527"/>
      <c r="X43" s="527"/>
      <c r="Y43" s="527"/>
      <c r="Z43" s="527"/>
      <c r="AA43" s="528"/>
      <c r="AB43" s="510"/>
      <c r="AC43" s="506"/>
      <c r="AD43" s="506"/>
      <c r="AE43" s="506"/>
      <c r="AF43" s="506"/>
      <c r="AG43" s="507"/>
      <c r="AH43" s="517"/>
      <c r="AI43" s="518"/>
      <c r="AJ43" s="518"/>
      <c r="AK43" s="518"/>
      <c r="AL43" s="518"/>
      <c r="AM43" s="519"/>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459"/>
      <c r="C44" s="459"/>
      <c r="D44" s="460"/>
      <c r="E44" s="500"/>
      <c r="F44" s="501"/>
      <c r="G44" s="501"/>
      <c r="H44" s="501"/>
      <c r="I44" s="502"/>
      <c r="J44" s="537" t="str">
        <f>IF(AND('Mapa final'!$K$35="Muy Baja",'Mapa final'!$O$35="Leve"),CONCATENATE("R",'Mapa final'!$A$35),"")</f>
        <v/>
      </c>
      <c r="K44" s="535"/>
      <c r="L44" s="535" t="str">
        <f>IF(AND('Mapa final'!$K$41="Muy Baja",'Mapa final'!$O$41="Leve"),CONCATENATE("R",'Mapa final'!$A$41),"")</f>
        <v/>
      </c>
      <c r="M44" s="535"/>
      <c r="N44" s="535" t="str">
        <f>IF(AND('Mapa final'!$K$47="Muy Baja",'Mapa final'!$O$47="Leve"),CONCATENATE("R",'Mapa final'!$A$47),"")</f>
        <v/>
      </c>
      <c r="O44" s="536"/>
      <c r="P44" s="537" t="str">
        <f>IF(AND('Mapa final'!$K$35="Muy Baja",'Mapa final'!$O$35="Menor"),CONCATENATE("R",'Mapa final'!$A$35),"")</f>
        <v/>
      </c>
      <c r="Q44" s="535"/>
      <c r="R44" s="535" t="str">
        <f>IF(AND('Mapa final'!$K$41="Muy Baja",'Mapa final'!$O$41="Menor"),CONCATENATE("R",'Mapa final'!$A$41),"")</f>
        <v/>
      </c>
      <c r="S44" s="535"/>
      <c r="T44" s="535" t="str">
        <f>IF(AND('Mapa final'!$K$47="Muy Baja",'Mapa final'!$O$47="Menor"),CONCATENATE("R",'Mapa final'!$A$47),"")</f>
        <v/>
      </c>
      <c r="U44" s="536"/>
      <c r="V44" s="526" t="str">
        <f>IF(AND('Mapa final'!$K$35="Muy Baja",'Mapa final'!$O$35="Moderado"),CONCATENATE("R",'Mapa final'!$A$35),"")</f>
        <v/>
      </c>
      <c r="W44" s="527"/>
      <c r="X44" s="527" t="str">
        <f>IF(AND('Mapa final'!$K$41="Muy Baja",'Mapa final'!$O$41="Moderado"),CONCATENATE("R",'Mapa final'!$A$41),"")</f>
        <v/>
      </c>
      <c r="Y44" s="527"/>
      <c r="Z44" s="527" t="str">
        <f>IF(AND('Mapa final'!$K$47="Muy Baja",'Mapa final'!$O$47="Moderado"),CONCATENATE("R",'Mapa final'!$A$47),"")</f>
        <v/>
      </c>
      <c r="AA44" s="528"/>
      <c r="AB44" s="510" t="str">
        <f>IF(AND('Mapa final'!$K$35="Muy Baja",'Mapa final'!$O$35="Mayor"),CONCATENATE("R",'Mapa final'!$A$35),"")</f>
        <v/>
      </c>
      <c r="AC44" s="506"/>
      <c r="AD44" s="506" t="str">
        <f>IF(AND('Mapa final'!$K$41="Muy Baja",'Mapa final'!$O$41="Mayor"),CONCATENATE("R",'Mapa final'!$A$41),"")</f>
        <v/>
      </c>
      <c r="AE44" s="506"/>
      <c r="AF44" s="506" t="str">
        <f>IF(AND('Mapa final'!$K$47="Muy Baja",'Mapa final'!$O$47="Mayor"),CONCATENATE("R",'Mapa final'!$A$47),"")</f>
        <v/>
      </c>
      <c r="AG44" s="507"/>
      <c r="AH44" s="517" t="str">
        <f>IF(AND('Mapa final'!$K$35="Muy Baja",'Mapa final'!$O$35="Catastrófico"),CONCATENATE("R",'Mapa final'!$A$35),"")</f>
        <v/>
      </c>
      <c r="AI44" s="518"/>
      <c r="AJ44" s="518" t="str">
        <f>IF(AND('Mapa final'!$K$41="Muy Baja",'Mapa final'!$O$41="Catastrófico"),CONCATENATE("R",'Mapa final'!$A$41),"")</f>
        <v/>
      </c>
      <c r="AK44" s="518"/>
      <c r="AL44" s="518" t="str">
        <f>IF(AND('Mapa final'!$K$47="Muy Baja",'Mapa final'!$O$47="Catastrófico"),CONCATENATE("R",'Mapa final'!$A$47),"")</f>
        <v/>
      </c>
      <c r="AM44" s="519"/>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459"/>
      <c r="C45" s="459"/>
      <c r="D45" s="460"/>
      <c r="E45" s="503"/>
      <c r="F45" s="504"/>
      <c r="G45" s="504"/>
      <c r="H45" s="504"/>
      <c r="I45" s="505"/>
      <c r="J45" s="538"/>
      <c r="K45" s="539"/>
      <c r="L45" s="539"/>
      <c r="M45" s="539"/>
      <c r="N45" s="539"/>
      <c r="O45" s="540"/>
      <c r="P45" s="538"/>
      <c r="Q45" s="539"/>
      <c r="R45" s="539"/>
      <c r="S45" s="539"/>
      <c r="T45" s="539"/>
      <c r="U45" s="540"/>
      <c r="V45" s="529"/>
      <c r="W45" s="530"/>
      <c r="X45" s="530"/>
      <c r="Y45" s="530"/>
      <c r="Z45" s="530"/>
      <c r="AA45" s="531"/>
      <c r="AB45" s="514"/>
      <c r="AC45" s="515"/>
      <c r="AD45" s="515"/>
      <c r="AE45" s="515"/>
      <c r="AF45" s="515"/>
      <c r="AG45" s="516"/>
      <c r="AH45" s="520"/>
      <c r="AI45" s="521"/>
      <c r="AJ45" s="521"/>
      <c r="AK45" s="521"/>
      <c r="AL45" s="521"/>
      <c r="AM45" s="522"/>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497" t="s">
        <v>106</v>
      </c>
      <c r="K46" s="498"/>
      <c r="L46" s="498"/>
      <c r="M46" s="498"/>
      <c r="N46" s="498"/>
      <c r="O46" s="499"/>
      <c r="P46" s="497" t="s">
        <v>105</v>
      </c>
      <c r="Q46" s="498"/>
      <c r="R46" s="498"/>
      <c r="S46" s="498"/>
      <c r="T46" s="498"/>
      <c r="U46" s="499"/>
      <c r="V46" s="497" t="s">
        <v>104</v>
      </c>
      <c r="W46" s="498"/>
      <c r="X46" s="498"/>
      <c r="Y46" s="498"/>
      <c r="Z46" s="498"/>
      <c r="AA46" s="499"/>
      <c r="AB46" s="497" t="s">
        <v>103</v>
      </c>
      <c r="AC46" s="513"/>
      <c r="AD46" s="498"/>
      <c r="AE46" s="498"/>
      <c r="AF46" s="498"/>
      <c r="AG46" s="499"/>
      <c r="AH46" s="497" t="s">
        <v>102</v>
      </c>
      <c r="AI46" s="498"/>
      <c r="AJ46" s="498"/>
      <c r="AK46" s="498"/>
      <c r="AL46" s="498"/>
      <c r="AM46" s="499"/>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500"/>
      <c r="K47" s="501"/>
      <c r="L47" s="501"/>
      <c r="M47" s="501"/>
      <c r="N47" s="501"/>
      <c r="O47" s="502"/>
      <c r="P47" s="500"/>
      <c r="Q47" s="501"/>
      <c r="R47" s="501"/>
      <c r="S47" s="501"/>
      <c r="T47" s="501"/>
      <c r="U47" s="502"/>
      <c r="V47" s="500"/>
      <c r="W47" s="501"/>
      <c r="X47" s="501"/>
      <c r="Y47" s="501"/>
      <c r="Z47" s="501"/>
      <c r="AA47" s="502"/>
      <c r="AB47" s="500"/>
      <c r="AC47" s="501"/>
      <c r="AD47" s="501"/>
      <c r="AE47" s="501"/>
      <c r="AF47" s="501"/>
      <c r="AG47" s="502"/>
      <c r="AH47" s="500"/>
      <c r="AI47" s="501"/>
      <c r="AJ47" s="501"/>
      <c r="AK47" s="501"/>
      <c r="AL47" s="501"/>
      <c r="AM47" s="502"/>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500"/>
      <c r="K48" s="501"/>
      <c r="L48" s="501"/>
      <c r="M48" s="501"/>
      <c r="N48" s="501"/>
      <c r="O48" s="502"/>
      <c r="P48" s="500"/>
      <c r="Q48" s="501"/>
      <c r="R48" s="501"/>
      <c r="S48" s="501"/>
      <c r="T48" s="501"/>
      <c r="U48" s="502"/>
      <c r="V48" s="500"/>
      <c r="W48" s="501"/>
      <c r="X48" s="501"/>
      <c r="Y48" s="501"/>
      <c r="Z48" s="501"/>
      <c r="AA48" s="502"/>
      <c r="AB48" s="500"/>
      <c r="AC48" s="501"/>
      <c r="AD48" s="501"/>
      <c r="AE48" s="501"/>
      <c r="AF48" s="501"/>
      <c r="AG48" s="502"/>
      <c r="AH48" s="500"/>
      <c r="AI48" s="501"/>
      <c r="AJ48" s="501"/>
      <c r="AK48" s="501"/>
      <c r="AL48" s="501"/>
      <c r="AM48" s="502"/>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500"/>
      <c r="K49" s="501"/>
      <c r="L49" s="501"/>
      <c r="M49" s="501"/>
      <c r="N49" s="501"/>
      <c r="O49" s="502"/>
      <c r="P49" s="500"/>
      <c r="Q49" s="501"/>
      <c r="R49" s="501"/>
      <c r="S49" s="501"/>
      <c r="T49" s="501"/>
      <c r="U49" s="502"/>
      <c r="V49" s="500"/>
      <c r="W49" s="501"/>
      <c r="X49" s="501"/>
      <c r="Y49" s="501"/>
      <c r="Z49" s="501"/>
      <c r="AA49" s="502"/>
      <c r="AB49" s="500"/>
      <c r="AC49" s="501"/>
      <c r="AD49" s="501"/>
      <c r="AE49" s="501"/>
      <c r="AF49" s="501"/>
      <c r="AG49" s="502"/>
      <c r="AH49" s="500"/>
      <c r="AI49" s="501"/>
      <c r="AJ49" s="501"/>
      <c r="AK49" s="501"/>
      <c r="AL49" s="501"/>
      <c r="AM49" s="502"/>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500"/>
      <c r="K50" s="501"/>
      <c r="L50" s="501"/>
      <c r="M50" s="501"/>
      <c r="N50" s="501"/>
      <c r="O50" s="502"/>
      <c r="P50" s="500"/>
      <c r="Q50" s="501"/>
      <c r="R50" s="501"/>
      <c r="S50" s="501"/>
      <c r="T50" s="501"/>
      <c r="U50" s="502"/>
      <c r="V50" s="500"/>
      <c r="W50" s="501"/>
      <c r="X50" s="501"/>
      <c r="Y50" s="501"/>
      <c r="Z50" s="501"/>
      <c r="AA50" s="502"/>
      <c r="AB50" s="500"/>
      <c r="AC50" s="501"/>
      <c r="AD50" s="501"/>
      <c r="AE50" s="501"/>
      <c r="AF50" s="501"/>
      <c r="AG50" s="502"/>
      <c r="AH50" s="500"/>
      <c r="AI50" s="501"/>
      <c r="AJ50" s="501"/>
      <c r="AK50" s="501"/>
      <c r="AL50" s="501"/>
      <c r="AM50" s="502"/>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503"/>
      <c r="K51" s="504"/>
      <c r="L51" s="504"/>
      <c r="M51" s="504"/>
      <c r="N51" s="504"/>
      <c r="O51" s="505"/>
      <c r="P51" s="503"/>
      <c r="Q51" s="504"/>
      <c r="R51" s="504"/>
      <c r="S51" s="504"/>
      <c r="T51" s="504"/>
      <c r="U51" s="505"/>
      <c r="V51" s="503"/>
      <c r="W51" s="504"/>
      <c r="X51" s="504"/>
      <c r="Y51" s="504"/>
      <c r="Z51" s="504"/>
      <c r="AA51" s="505"/>
      <c r="AB51" s="503"/>
      <c r="AC51" s="504"/>
      <c r="AD51" s="504"/>
      <c r="AE51" s="504"/>
      <c r="AF51" s="504"/>
      <c r="AG51" s="505"/>
      <c r="AH51" s="503"/>
      <c r="AI51" s="504"/>
      <c r="AJ51" s="504"/>
      <c r="AK51" s="504"/>
      <c r="AL51" s="504"/>
      <c r="AM51" s="505"/>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5" zoomScaleNormal="55" workbookViewId="0">
      <selection activeCell="V17" sqref="V17"/>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570" t="s">
        <v>148</v>
      </c>
      <c r="C2" s="571"/>
      <c r="D2" s="571"/>
      <c r="E2" s="571"/>
      <c r="F2" s="571"/>
      <c r="G2" s="571"/>
      <c r="H2" s="571"/>
      <c r="I2" s="571"/>
      <c r="J2" s="512" t="s">
        <v>2</v>
      </c>
      <c r="K2" s="512"/>
      <c r="L2" s="512"/>
      <c r="M2" s="512"/>
      <c r="N2" s="512"/>
      <c r="O2" s="512"/>
      <c r="P2" s="512"/>
      <c r="Q2" s="512"/>
      <c r="R2" s="512"/>
      <c r="S2" s="512"/>
      <c r="T2" s="512"/>
      <c r="U2" s="512"/>
      <c r="V2" s="512"/>
      <c r="W2" s="512"/>
      <c r="X2" s="512"/>
      <c r="Y2" s="512"/>
      <c r="Z2" s="512"/>
      <c r="AA2" s="512"/>
      <c r="AB2" s="512"/>
      <c r="AC2" s="512"/>
      <c r="AD2" s="512"/>
      <c r="AE2" s="512"/>
      <c r="AF2" s="512"/>
      <c r="AG2" s="512"/>
      <c r="AH2" s="512"/>
      <c r="AI2" s="512"/>
      <c r="AJ2" s="512"/>
      <c r="AK2" s="512"/>
      <c r="AL2" s="512"/>
      <c r="AM2" s="512"/>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571"/>
      <c r="C3" s="571"/>
      <c r="D3" s="571"/>
      <c r="E3" s="571"/>
      <c r="F3" s="571"/>
      <c r="G3" s="571"/>
      <c r="H3" s="571"/>
      <c r="I3" s="571"/>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L3" s="512"/>
      <c r="AM3" s="512"/>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571"/>
      <c r="C4" s="571"/>
      <c r="D4" s="571"/>
      <c r="E4" s="571"/>
      <c r="F4" s="571"/>
      <c r="G4" s="571"/>
      <c r="H4" s="571"/>
      <c r="I4" s="571"/>
      <c r="J4" s="512"/>
      <c r="K4" s="512"/>
      <c r="L4" s="512"/>
      <c r="M4" s="512"/>
      <c r="N4" s="512"/>
      <c r="O4" s="512"/>
      <c r="P4" s="512"/>
      <c r="Q4" s="512"/>
      <c r="R4" s="512"/>
      <c r="S4" s="512"/>
      <c r="T4" s="512"/>
      <c r="U4" s="512"/>
      <c r="V4" s="512"/>
      <c r="W4" s="512"/>
      <c r="X4" s="512"/>
      <c r="Y4" s="512"/>
      <c r="Z4" s="512"/>
      <c r="AA4" s="512"/>
      <c r="AB4" s="512"/>
      <c r="AC4" s="512"/>
      <c r="AD4" s="512"/>
      <c r="AE4" s="512"/>
      <c r="AF4" s="512"/>
      <c r="AG4" s="512"/>
      <c r="AH4" s="512"/>
      <c r="AI4" s="512"/>
      <c r="AJ4" s="512"/>
      <c r="AK4" s="512"/>
      <c r="AL4" s="512"/>
      <c r="AM4" s="512"/>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459" t="s">
        <v>4</v>
      </c>
      <c r="C6" s="459"/>
      <c r="D6" s="460"/>
      <c r="E6" s="554" t="s">
        <v>110</v>
      </c>
      <c r="F6" s="555"/>
      <c r="G6" s="555"/>
      <c r="H6" s="555"/>
      <c r="I6" s="572"/>
      <c r="J6" s="30" t="str">
        <f>IF(AND('Mapa final'!$AB$10="Muy Alta",'Mapa final'!$AD$10="Leve"),CONCATENATE("R1C",'Mapa final'!$R$10),"")</f>
        <v/>
      </c>
      <c r="K6" s="31" t="str">
        <f>IF(AND('Mapa final'!$AB$11="Muy Alta",'Mapa final'!$AD$11="Leve"),CONCATENATE("R1C",'Mapa final'!$R$11),"")</f>
        <v/>
      </c>
      <c r="L6" s="31" t="str">
        <f>IF(AND('Mapa final'!$AB$12="Muy Alta",'Mapa final'!$AD$12="Leve"),CONCATENATE("R1C",'Mapa final'!$R$12),"")</f>
        <v/>
      </c>
      <c r="M6" s="31" t="str">
        <f>IF(AND('Mapa final'!$AB$13="Muy Alta",'Mapa final'!$AD$13="Leve"),CONCATENATE("R1C",'Mapa final'!$R$13),"")</f>
        <v/>
      </c>
      <c r="N6" s="31" t="str">
        <f>IF(AND('Mapa final'!$AB$14="Muy Alta",'Mapa final'!$AD$14="Leve"),CONCATENATE("R1C",'Mapa final'!$R$14),"")</f>
        <v/>
      </c>
      <c r="O6" s="32" t="str">
        <f>IF(AND('Mapa final'!$AB$15="Muy Alta",'Mapa final'!$AD$15="Leve"),CONCATENATE("R1C",'Mapa final'!$R$15),"")</f>
        <v/>
      </c>
      <c r="P6" s="30" t="str">
        <f>IF(AND('Mapa final'!$AB$10="Muy Alta",'Mapa final'!$AD$10="Menor"),CONCATENATE("R1C",'Mapa final'!$R$10),"")</f>
        <v/>
      </c>
      <c r="Q6" s="31" t="str">
        <f>IF(AND('Mapa final'!$AB$11="Muy Alta",'Mapa final'!$AD$11="Menor"),CONCATENATE("R1C",'Mapa final'!$R$11),"")</f>
        <v/>
      </c>
      <c r="R6" s="31" t="str">
        <f>IF(AND('Mapa final'!$AB$12="Muy Alta",'Mapa final'!$AD$12="Menor"),CONCATENATE("R1C",'Mapa final'!$R$12),"")</f>
        <v/>
      </c>
      <c r="S6" s="31" t="str">
        <f>IF(AND('Mapa final'!$AB$13="Muy Alta",'Mapa final'!$AD$13="Menor"),CONCATENATE("R1C",'Mapa final'!$R$13),"")</f>
        <v/>
      </c>
      <c r="T6" s="31" t="str">
        <f>IF(AND('Mapa final'!$AB$14="Muy Alta",'Mapa final'!$AD$14="Menor"),CONCATENATE("R1C",'Mapa final'!$R$14),"")</f>
        <v/>
      </c>
      <c r="U6" s="32" t="str">
        <f>IF(AND('Mapa final'!$AB$15="Muy Alta",'Mapa final'!$AD$15="Menor"),CONCATENATE("R1C",'Mapa final'!$R$15),"")</f>
        <v/>
      </c>
      <c r="V6" s="30" t="str">
        <f>IF(AND('Mapa final'!$AB$10="Muy Alta",'Mapa final'!$AD$10="Moderado"),CONCATENATE("R1C",'Mapa final'!$R$10),"")</f>
        <v/>
      </c>
      <c r="W6" s="31" t="str">
        <f>IF(AND('Mapa final'!$AB$11="Muy Alta",'Mapa final'!$AD$11="Moderado"),CONCATENATE("R1C",'Mapa final'!$R$11),"")</f>
        <v/>
      </c>
      <c r="X6" s="31" t="str">
        <f>IF(AND('Mapa final'!$AB$12="Muy Alta",'Mapa final'!$AD$12="Moderado"),CONCATENATE("R1C",'Mapa final'!$R$12),"")</f>
        <v/>
      </c>
      <c r="Y6" s="31" t="str">
        <f>IF(AND('Mapa final'!$AB$13="Muy Alta",'Mapa final'!$AD$13="Moderado"),CONCATENATE("R1C",'Mapa final'!$R$13),"")</f>
        <v/>
      </c>
      <c r="Z6" s="31" t="str">
        <f>IF(AND('Mapa final'!$AB$14="Muy Alta",'Mapa final'!$AD$14="Moderado"),CONCATENATE("R1C",'Mapa final'!$R$14),"")</f>
        <v/>
      </c>
      <c r="AA6" s="32" t="str">
        <f>IF(AND('Mapa final'!$AB$15="Muy Alta",'Mapa final'!$AD$15="Moderado"),CONCATENATE("R1C",'Mapa final'!$R$15),"")</f>
        <v/>
      </c>
      <c r="AB6" s="30" t="str">
        <f>IF(AND('Mapa final'!$AB$10="Muy Alta",'Mapa final'!$AD$10="Mayor"),CONCATENATE("R1C",'Mapa final'!$R$10),"")</f>
        <v/>
      </c>
      <c r="AC6" s="31" t="str">
        <f>IF(AND('Mapa final'!$AB$11="Muy Alta",'Mapa final'!$AD$11="Mayor"),CONCATENATE("R1C",'Mapa final'!$R$11),"")</f>
        <v/>
      </c>
      <c r="AD6" s="31" t="str">
        <f>IF(AND('Mapa final'!$AB$12="Muy Alta",'Mapa final'!$AD$12="Mayor"),CONCATENATE("R1C",'Mapa final'!$R$12),"")</f>
        <v/>
      </c>
      <c r="AE6" s="31" t="str">
        <f>IF(AND('Mapa final'!$AB$13="Muy Alta",'Mapa final'!$AD$13="Mayor"),CONCATENATE("R1C",'Mapa final'!$R$13),"")</f>
        <v/>
      </c>
      <c r="AF6" s="31" t="str">
        <f>IF(AND('Mapa final'!$AB$14="Muy Alta",'Mapa final'!$AD$14="Mayor"),CONCATENATE("R1C",'Mapa final'!$R$14),"")</f>
        <v/>
      </c>
      <c r="AG6" s="32" t="str">
        <f>IF(AND('Mapa final'!$AB$15="Muy Alta",'Mapa final'!$AD$15="Mayor"),CONCATENATE("R1C",'Mapa final'!$R$15),"")</f>
        <v/>
      </c>
      <c r="AH6" s="33" t="str">
        <f>IF(AND('Mapa final'!$AB$10="Muy Alta",'Mapa final'!$AD$10="Catastrófico"),CONCATENATE("R1C",'Mapa final'!$R$10),"")</f>
        <v/>
      </c>
      <c r="AI6" s="34" t="str">
        <f>IF(AND('Mapa final'!$AB$11="Muy Alta",'Mapa final'!$AD$11="Catastrófico"),CONCATENATE("R1C",'Mapa final'!$R$11),"")</f>
        <v/>
      </c>
      <c r="AJ6" s="34" t="str">
        <f>IF(AND('Mapa final'!$AB$12="Muy Alta",'Mapa final'!$AD$12="Catastrófico"),CONCATENATE("R1C",'Mapa final'!$R$12),"")</f>
        <v/>
      </c>
      <c r="AK6" s="34" t="str">
        <f>IF(AND('Mapa final'!$AB$13="Muy Alta",'Mapa final'!$AD$13="Catastrófico"),CONCATENATE("R1C",'Mapa final'!$R$13),"")</f>
        <v/>
      </c>
      <c r="AL6" s="34" t="str">
        <f>IF(AND('Mapa final'!$AB$14="Muy Alta",'Mapa final'!$AD$14="Catastrófico"),CONCATENATE("R1C",'Mapa final'!$R$14),"")</f>
        <v/>
      </c>
      <c r="AM6" s="35" t="str">
        <f>IF(AND('Mapa final'!$AB$15="Muy Alta",'Mapa final'!$AD$15="Catastrófico"),CONCATENATE("R1C",'Mapa final'!$R$15),"")</f>
        <v/>
      </c>
      <c r="AN6" s="67"/>
      <c r="AO6" s="561" t="s">
        <v>77</v>
      </c>
      <c r="AP6" s="562"/>
      <c r="AQ6" s="562"/>
      <c r="AR6" s="562"/>
      <c r="AS6" s="562"/>
      <c r="AT6" s="563"/>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459"/>
      <c r="C7" s="459"/>
      <c r="D7" s="460"/>
      <c r="E7" s="558"/>
      <c r="F7" s="557"/>
      <c r="G7" s="557"/>
      <c r="H7" s="557"/>
      <c r="I7" s="573"/>
      <c r="J7" s="36" t="e">
        <f>IF(AND('Mapa final'!#REF!="Muy Alta",'Mapa final'!#REF!="Leve"),CONCATENATE("R2C",'Mapa final'!#REF!),"")</f>
        <v>#REF!</v>
      </c>
      <c r="K7" s="37" t="e">
        <f>IF(AND('Mapa final'!#REF!="Muy Alta",'Mapa final'!#REF!="Leve"),CONCATENATE("R2C",'Mapa final'!#REF!),"")</f>
        <v>#REF!</v>
      </c>
      <c r="L7" s="37" t="e">
        <f>IF(AND('Mapa final'!#REF!="Muy Alta",'Mapa final'!#REF!="Leve"),CONCATENATE("R2C",'Mapa final'!#REF!),"")</f>
        <v>#REF!</v>
      </c>
      <c r="M7" s="37" t="e">
        <f>IF(AND('Mapa final'!#REF!="Muy Alta",'Mapa final'!#REF!="Leve"),CONCATENATE("R2C",'Mapa final'!#REF!),"")</f>
        <v>#REF!</v>
      </c>
      <c r="N7" s="37" t="e">
        <f>IF(AND('Mapa final'!#REF!="Muy Alta",'Mapa final'!#REF!="Leve"),CONCATENATE("R2C",'Mapa final'!#REF!),"")</f>
        <v>#REF!</v>
      </c>
      <c r="O7" s="38" t="e">
        <f>IF(AND('Mapa final'!#REF!="Muy Alta",'Mapa final'!#REF!="Leve"),CONCATENATE("R2C",'Mapa final'!#REF!),"")</f>
        <v>#REF!</v>
      </c>
      <c r="P7" s="36" t="e">
        <f>IF(AND('Mapa final'!#REF!="Muy Alta",'Mapa final'!#REF!="Menor"),CONCATENATE("R2C",'Mapa final'!#REF!),"")</f>
        <v>#REF!</v>
      </c>
      <c r="Q7" s="37" t="e">
        <f>IF(AND('Mapa final'!#REF!="Muy Alta",'Mapa final'!#REF!="Menor"),CONCATENATE("R2C",'Mapa final'!#REF!),"")</f>
        <v>#REF!</v>
      </c>
      <c r="R7" s="37" t="e">
        <f>IF(AND('Mapa final'!#REF!="Muy Alta",'Mapa final'!#REF!="Menor"),CONCATENATE("R2C",'Mapa final'!#REF!),"")</f>
        <v>#REF!</v>
      </c>
      <c r="S7" s="37" t="e">
        <f>IF(AND('Mapa final'!#REF!="Muy Alta",'Mapa final'!#REF!="Menor"),CONCATENATE("R2C",'Mapa final'!#REF!),"")</f>
        <v>#REF!</v>
      </c>
      <c r="T7" s="37" t="e">
        <f>IF(AND('Mapa final'!#REF!="Muy Alta",'Mapa final'!#REF!="Menor"),CONCATENATE("R2C",'Mapa final'!#REF!),"")</f>
        <v>#REF!</v>
      </c>
      <c r="U7" s="38" t="e">
        <f>IF(AND('Mapa final'!#REF!="Muy Alta",'Mapa final'!#REF!="Menor"),CONCATENATE("R2C",'Mapa final'!#REF!),"")</f>
        <v>#REF!</v>
      </c>
      <c r="V7" s="36" t="e">
        <f>IF(AND('Mapa final'!#REF!="Muy Alta",'Mapa final'!#REF!="Moderado"),CONCATENATE("R2C",'Mapa final'!#REF!),"")</f>
        <v>#REF!</v>
      </c>
      <c r="W7" s="37" t="e">
        <f>IF(AND('Mapa final'!#REF!="Muy Alta",'Mapa final'!#REF!="Moderado"),CONCATENATE("R2C",'Mapa final'!#REF!),"")</f>
        <v>#REF!</v>
      </c>
      <c r="X7" s="37" t="e">
        <f>IF(AND('Mapa final'!#REF!="Muy Alta",'Mapa final'!#REF!="Moderado"),CONCATENATE("R2C",'Mapa final'!#REF!),"")</f>
        <v>#REF!</v>
      </c>
      <c r="Y7" s="37" t="e">
        <f>IF(AND('Mapa final'!#REF!="Muy Alta",'Mapa final'!#REF!="Moderado"),CONCATENATE("R2C",'Mapa final'!#REF!),"")</f>
        <v>#REF!</v>
      </c>
      <c r="Z7" s="37" t="e">
        <f>IF(AND('Mapa final'!#REF!="Muy Alta",'Mapa final'!#REF!="Moderado"),CONCATENATE("R2C",'Mapa final'!#REF!),"")</f>
        <v>#REF!</v>
      </c>
      <c r="AA7" s="38" t="e">
        <f>IF(AND('Mapa final'!#REF!="Muy Alta",'Mapa final'!#REF!="Moderado"),CONCATENATE("R2C",'Mapa final'!#REF!),"")</f>
        <v>#REF!</v>
      </c>
      <c r="AB7" s="36" t="e">
        <f>IF(AND('Mapa final'!#REF!="Muy Alta",'Mapa final'!#REF!="Mayor"),CONCATENATE("R2C",'Mapa final'!#REF!),"")</f>
        <v>#REF!</v>
      </c>
      <c r="AC7" s="37" t="e">
        <f>IF(AND('Mapa final'!#REF!="Muy Alta",'Mapa final'!#REF!="Mayor"),CONCATENATE("R2C",'Mapa final'!#REF!),"")</f>
        <v>#REF!</v>
      </c>
      <c r="AD7" s="37" t="e">
        <f>IF(AND('Mapa final'!#REF!="Muy Alta",'Mapa final'!#REF!="Mayor"),CONCATENATE("R2C",'Mapa final'!#REF!),"")</f>
        <v>#REF!</v>
      </c>
      <c r="AE7" s="37" t="e">
        <f>IF(AND('Mapa final'!#REF!="Muy Alta",'Mapa final'!#REF!="Mayor"),CONCATENATE("R2C",'Mapa final'!#REF!),"")</f>
        <v>#REF!</v>
      </c>
      <c r="AF7" s="37" t="e">
        <f>IF(AND('Mapa final'!#REF!="Muy Alta",'Mapa final'!#REF!="Mayor"),CONCATENATE("R2C",'Mapa final'!#REF!),"")</f>
        <v>#REF!</v>
      </c>
      <c r="AG7" s="38" t="e">
        <f>IF(AND('Mapa final'!#REF!="Muy Alta",'Mapa final'!#REF!="Mayor"),CONCATENATE("R2C",'Mapa final'!#REF!),"")</f>
        <v>#REF!</v>
      </c>
      <c r="AH7" s="39" t="e">
        <f>IF(AND('Mapa final'!#REF!="Muy Alta",'Mapa final'!#REF!="Catastrófico"),CONCATENATE("R2C",'Mapa final'!#REF!),"")</f>
        <v>#REF!</v>
      </c>
      <c r="AI7" s="40" t="e">
        <f>IF(AND('Mapa final'!#REF!="Muy Alta",'Mapa final'!#REF!="Catastrófico"),CONCATENATE("R2C",'Mapa final'!#REF!),"")</f>
        <v>#REF!</v>
      </c>
      <c r="AJ7" s="40" t="e">
        <f>IF(AND('Mapa final'!#REF!="Muy Alta",'Mapa final'!#REF!="Catastrófico"),CONCATENATE("R2C",'Mapa final'!#REF!),"")</f>
        <v>#REF!</v>
      </c>
      <c r="AK7" s="40" t="e">
        <f>IF(AND('Mapa final'!#REF!="Muy Alta",'Mapa final'!#REF!="Catastrófico"),CONCATENATE("R2C",'Mapa final'!#REF!),"")</f>
        <v>#REF!</v>
      </c>
      <c r="AL7" s="40" t="e">
        <f>IF(AND('Mapa final'!#REF!="Muy Alta",'Mapa final'!#REF!="Catastrófico"),CONCATENATE("R2C",'Mapa final'!#REF!),"")</f>
        <v>#REF!</v>
      </c>
      <c r="AM7" s="41" t="e">
        <f>IF(AND('Mapa final'!#REF!="Muy Alta",'Mapa final'!#REF!="Catastrófico"),CONCATENATE("R2C",'Mapa final'!#REF!),"")</f>
        <v>#REF!</v>
      </c>
      <c r="AN7" s="67"/>
      <c r="AO7" s="564"/>
      <c r="AP7" s="565"/>
      <c r="AQ7" s="565"/>
      <c r="AR7" s="565"/>
      <c r="AS7" s="565"/>
      <c r="AT7" s="566"/>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459"/>
      <c r="C8" s="459"/>
      <c r="D8" s="460"/>
      <c r="E8" s="558"/>
      <c r="F8" s="557"/>
      <c r="G8" s="557"/>
      <c r="H8" s="557"/>
      <c r="I8" s="573"/>
      <c r="J8" s="36" t="str">
        <f>IF(AND('Mapa final'!$AB$16="Muy Alta",'Mapa final'!$AD$16="Leve"),CONCATENATE("R3C",'Mapa final'!$R$16),"")</f>
        <v/>
      </c>
      <c r="K8" s="37" t="e">
        <f>IF(AND('Mapa final'!#REF!="Muy Alta",'Mapa final'!#REF!="Leve"),CONCATENATE("R3C",'Mapa final'!#REF!),"")</f>
        <v>#REF!</v>
      </c>
      <c r="L8" s="37" t="e">
        <f>IF(AND('Mapa final'!#REF!="Muy Alta",'Mapa final'!#REF!="Leve"),CONCATENATE("R3C",'Mapa final'!#REF!),"")</f>
        <v>#REF!</v>
      </c>
      <c r="M8" s="37" t="e">
        <f>IF(AND('Mapa final'!#REF!="Muy Alta",'Mapa final'!#REF!="Leve"),CONCATENATE("R3C",'Mapa final'!#REF!),"")</f>
        <v>#REF!</v>
      </c>
      <c r="N8" s="37" t="e">
        <f>IF(AND('Mapa final'!#REF!="Muy Alta",'Mapa final'!#REF!="Leve"),CONCATENATE("R3C",'Mapa final'!#REF!),"")</f>
        <v>#REF!</v>
      </c>
      <c r="O8" s="38" t="e">
        <f>IF(AND('Mapa final'!#REF!="Muy Alta",'Mapa final'!#REF!="Leve"),CONCATENATE("R3C",'Mapa final'!#REF!),"")</f>
        <v>#REF!</v>
      </c>
      <c r="P8" s="36" t="str">
        <f>IF(AND('Mapa final'!$AB$16="Muy Alta",'Mapa final'!$AD$16="Menor"),CONCATENATE("R3C",'Mapa final'!$R$16),"")</f>
        <v/>
      </c>
      <c r="Q8" s="37" t="e">
        <f>IF(AND('Mapa final'!#REF!="Muy Alta",'Mapa final'!#REF!="Menor"),CONCATENATE("R3C",'Mapa final'!#REF!),"")</f>
        <v>#REF!</v>
      </c>
      <c r="R8" s="37" t="e">
        <f>IF(AND('Mapa final'!#REF!="Muy Alta",'Mapa final'!#REF!="Menor"),CONCATENATE("R3C",'Mapa final'!#REF!),"")</f>
        <v>#REF!</v>
      </c>
      <c r="S8" s="37" t="e">
        <f>IF(AND('Mapa final'!#REF!="Muy Alta",'Mapa final'!#REF!="Menor"),CONCATENATE("R3C",'Mapa final'!#REF!),"")</f>
        <v>#REF!</v>
      </c>
      <c r="T8" s="37" t="e">
        <f>IF(AND('Mapa final'!#REF!="Muy Alta",'Mapa final'!#REF!="Menor"),CONCATENATE("R3C",'Mapa final'!#REF!),"")</f>
        <v>#REF!</v>
      </c>
      <c r="U8" s="38" t="e">
        <f>IF(AND('Mapa final'!#REF!="Muy Alta",'Mapa final'!#REF!="Menor"),CONCATENATE("R3C",'Mapa final'!#REF!),"")</f>
        <v>#REF!</v>
      </c>
      <c r="V8" s="36" t="str">
        <f>IF(AND('Mapa final'!$AB$16="Muy Alta",'Mapa final'!$AD$16="Moderado"),CONCATENATE("R3C",'Mapa final'!$R$16),"")</f>
        <v/>
      </c>
      <c r="W8" s="37" t="e">
        <f>IF(AND('Mapa final'!#REF!="Muy Alta",'Mapa final'!#REF!="Moderado"),CONCATENATE("R3C",'Mapa final'!#REF!),"")</f>
        <v>#REF!</v>
      </c>
      <c r="X8" s="37" t="e">
        <f>IF(AND('Mapa final'!#REF!="Muy Alta",'Mapa final'!#REF!="Moderado"),CONCATENATE("R3C",'Mapa final'!#REF!),"")</f>
        <v>#REF!</v>
      </c>
      <c r="Y8" s="37" t="e">
        <f>IF(AND('Mapa final'!#REF!="Muy Alta",'Mapa final'!#REF!="Moderado"),CONCATENATE("R3C",'Mapa final'!#REF!),"")</f>
        <v>#REF!</v>
      </c>
      <c r="Z8" s="37" t="e">
        <f>IF(AND('Mapa final'!#REF!="Muy Alta",'Mapa final'!#REF!="Moderado"),CONCATENATE("R3C",'Mapa final'!#REF!),"")</f>
        <v>#REF!</v>
      </c>
      <c r="AA8" s="38" t="e">
        <f>IF(AND('Mapa final'!#REF!="Muy Alta",'Mapa final'!#REF!="Moderado"),CONCATENATE("R3C",'Mapa final'!#REF!),"")</f>
        <v>#REF!</v>
      </c>
      <c r="AB8" s="36" t="str">
        <f>IF(AND('Mapa final'!$AB$16="Muy Alta",'Mapa final'!$AD$16="Mayor"),CONCATENATE("R3C",'Mapa final'!$R$16),"")</f>
        <v/>
      </c>
      <c r="AC8" s="37" t="e">
        <f>IF(AND('Mapa final'!#REF!="Muy Alta",'Mapa final'!#REF!="Mayor"),CONCATENATE("R3C",'Mapa final'!#REF!),"")</f>
        <v>#REF!</v>
      </c>
      <c r="AD8" s="37" t="e">
        <f>IF(AND('Mapa final'!#REF!="Muy Alta",'Mapa final'!#REF!="Mayor"),CONCATENATE("R3C",'Mapa final'!#REF!),"")</f>
        <v>#REF!</v>
      </c>
      <c r="AE8" s="37" t="e">
        <f>IF(AND('Mapa final'!#REF!="Muy Alta",'Mapa final'!#REF!="Mayor"),CONCATENATE("R3C",'Mapa final'!#REF!),"")</f>
        <v>#REF!</v>
      </c>
      <c r="AF8" s="37" t="e">
        <f>IF(AND('Mapa final'!#REF!="Muy Alta",'Mapa final'!#REF!="Mayor"),CONCATENATE("R3C",'Mapa final'!#REF!),"")</f>
        <v>#REF!</v>
      </c>
      <c r="AG8" s="38" t="e">
        <f>IF(AND('Mapa final'!#REF!="Muy Alta",'Mapa final'!#REF!="Mayor"),CONCATENATE("R3C",'Mapa final'!#REF!),"")</f>
        <v>#REF!</v>
      </c>
      <c r="AH8" s="39" t="str">
        <f>IF(AND('Mapa final'!$AB$16="Muy Alta",'Mapa final'!$AD$16="Catastrófico"),CONCATENATE("R3C",'Mapa final'!$R$16),"")</f>
        <v/>
      </c>
      <c r="AI8" s="40" t="e">
        <f>IF(AND('Mapa final'!#REF!="Muy Alta",'Mapa final'!#REF!="Catastrófico"),CONCATENATE("R3C",'Mapa final'!#REF!),"")</f>
        <v>#REF!</v>
      </c>
      <c r="AJ8" s="40" t="e">
        <f>IF(AND('Mapa final'!#REF!="Muy Alta",'Mapa final'!#REF!="Catastrófico"),CONCATENATE("R3C",'Mapa final'!#REF!),"")</f>
        <v>#REF!</v>
      </c>
      <c r="AK8" s="40" t="e">
        <f>IF(AND('Mapa final'!#REF!="Muy Alta",'Mapa final'!#REF!="Catastrófico"),CONCATENATE("R3C",'Mapa final'!#REF!),"")</f>
        <v>#REF!</v>
      </c>
      <c r="AL8" s="40" t="e">
        <f>IF(AND('Mapa final'!#REF!="Muy Alta",'Mapa final'!#REF!="Catastrófico"),CONCATENATE("R3C",'Mapa final'!#REF!),"")</f>
        <v>#REF!</v>
      </c>
      <c r="AM8" s="41" t="e">
        <f>IF(AND('Mapa final'!#REF!="Muy Alta",'Mapa final'!#REF!="Catastrófico"),CONCATENATE("R3C",'Mapa final'!#REF!),"")</f>
        <v>#REF!</v>
      </c>
      <c r="AN8" s="67"/>
      <c r="AO8" s="564"/>
      <c r="AP8" s="565"/>
      <c r="AQ8" s="565"/>
      <c r="AR8" s="565"/>
      <c r="AS8" s="565"/>
      <c r="AT8" s="566"/>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459"/>
      <c r="C9" s="459"/>
      <c r="D9" s="460"/>
      <c r="E9" s="558"/>
      <c r="F9" s="557"/>
      <c r="G9" s="557"/>
      <c r="H9" s="557"/>
      <c r="I9" s="573"/>
      <c r="J9" s="36" t="e">
        <f>IF(AND('Mapa final'!#REF!="Muy Alta",'Mapa final'!#REF!="Leve"),CONCATENATE("R4C",'Mapa final'!#REF!),"")</f>
        <v>#REF!</v>
      </c>
      <c r="K9" s="37" t="e">
        <f>IF(AND('Mapa final'!#REF!="Muy Alta",'Mapa final'!#REF!="Leve"),CONCATENATE("R4C",'Mapa final'!#REF!),"")</f>
        <v>#REF!</v>
      </c>
      <c r="L9" s="37" t="e">
        <f>IF(AND('Mapa final'!#REF!="Muy Alta",'Mapa final'!#REF!="Leve"),CONCATENATE("R4C",'Mapa final'!#REF!),"")</f>
        <v>#REF!</v>
      </c>
      <c r="M9" s="37" t="e">
        <f>IF(AND('Mapa final'!#REF!="Muy Alta",'Mapa final'!#REF!="Leve"),CONCATENATE("R4C",'Mapa final'!#REF!),"")</f>
        <v>#REF!</v>
      </c>
      <c r="N9" s="37" t="e">
        <f>IF(AND('Mapa final'!#REF!="Muy Alta",'Mapa final'!#REF!="Leve"),CONCATENATE("R4C",'Mapa final'!#REF!),"")</f>
        <v>#REF!</v>
      </c>
      <c r="O9" s="38" t="e">
        <f>IF(AND('Mapa final'!#REF!="Muy Alta",'Mapa final'!#REF!="Leve"),CONCATENATE("R4C",'Mapa final'!#REF!),"")</f>
        <v>#REF!</v>
      </c>
      <c r="P9" s="36" t="e">
        <f>IF(AND('Mapa final'!#REF!="Muy Alta",'Mapa final'!#REF!="Menor"),CONCATENATE("R4C",'Mapa final'!#REF!),"")</f>
        <v>#REF!</v>
      </c>
      <c r="Q9" s="37" t="e">
        <f>IF(AND('Mapa final'!#REF!="Muy Alta",'Mapa final'!#REF!="Menor"),CONCATENATE("R4C",'Mapa final'!#REF!),"")</f>
        <v>#REF!</v>
      </c>
      <c r="R9" s="37" t="e">
        <f>IF(AND('Mapa final'!#REF!="Muy Alta",'Mapa final'!#REF!="Menor"),CONCATENATE("R4C",'Mapa final'!#REF!),"")</f>
        <v>#REF!</v>
      </c>
      <c r="S9" s="37" t="e">
        <f>IF(AND('Mapa final'!#REF!="Muy Alta",'Mapa final'!#REF!="Menor"),CONCATENATE("R4C",'Mapa final'!#REF!),"")</f>
        <v>#REF!</v>
      </c>
      <c r="T9" s="37" t="e">
        <f>IF(AND('Mapa final'!#REF!="Muy Alta",'Mapa final'!#REF!="Menor"),CONCATENATE("R4C",'Mapa final'!#REF!),"")</f>
        <v>#REF!</v>
      </c>
      <c r="U9" s="38" t="e">
        <f>IF(AND('Mapa final'!#REF!="Muy Alta",'Mapa final'!#REF!="Menor"),CONCATENATE("R4C",'Mapa final'!#REF!),"")</f>
        <v>#REF!</v>
      </c>
      <c r="V9" s="36" t="e">
        <f>IF(AND('Mapa final'!#REF!="Muy Alta",'Mapa final'!#REF!="Moderado"),CONCATENATE("R4C",'Mapa final'!#REF!),"")</f>
        <v>#REF!</v>
      </c>
      <c r="W9" s="37" t="e">
        <f>IF(AND('Mapa final'!#REF!="Muy Alta",'Mapa final'!#REF!="Moderado"),CONCATENATE("R4C",'Mapa final'!#REF!),"")</f>
        <v>#REF!</v>
      </c>
      <c r="X9" s="37" t="e">
        <f>IF(AND('Mapa final'!#REF!="Muy Alta",'Mapa final'!#REF!="Moderado"),CONCATENATE("R4C",'Mapa final'!#REF!),"")</f>
        <v>#REF!</v>
      </c>
      <c r="Y9" s="37" t="e">
        <f>IF(AND('Mapa final'!#REF!="Muy Alta",'Mapa final'!#REF!="Moderado"),CONCATENATE("R4C",'Mapa final'!#REF!),"")</f>
        <v>#REF!</v>
      </c>
      <c r="Z9" s="37" t="e">
        <f>IF(AND('Mapa final'!#REF!="Muy Alta",'Mapa final'!#REF!="Moderado"),CONCATENATE("R4C",'Mapa final'!#REF!),"")</f>
        <v>#REF!</v>
      </c>
      <c r="AA9" s="38" t="e">
        <f>IF(AND('Mapa final'!#REF!="Muy Alta",'Mapa final'!#REF!="Moderado"),CONCATENATE("R4C",'Mapa final'!#REF!),"")</f>
        <v>#REF!</v>
      </c>
      <c r="AB9" s="36" t="e">
        <f>IF(AND('Mapa final'!#REF!="Muy Alta",'Mapa final'!#REF!="Mayor"),CONCATENATE("R4C",'Mapa final'!#REF!),"")</f>
        <v>#REF!</v>
      </c>
      <c r="AC9" s="37" t="e">
        <f>IF(AND('Mapa final'!#REF!="Muy Alta",'Mapa final'!#REF!="Mayor"),CONCATENATE("R4C",'Mapa final'!#REF!),"")</f>
        <v>#REF!</v>
      </c>
      <c r="AD9" s="37" t="e">
        <f>IF(AND('Mapa final'!#REF!="Muy Alta",'Mapa final'!#REF!="Mayor"),CONCATENATE("R4C",'Mapa final'!#REF!),"")</f>
        <v>#REF!</v>
      </c>
      <c r="AE9" s="37" t="e">
        <f>IF(AND('Mapa final'!#REF!="Muy Alta",'Mapa final'!#REF!="Mayor"),CONCATENATE("R4C",'Mapa final'!#REF!),"")</f>
        <v>#REF!</v>
      </c>
      <c r="AF9" s="37" t="e">
        <f>IF(AND('Mapa final'!#REF!="Muy Alta",'Mapa final'!#REF!="Mayor"),CONCATENATE("R4C",'Mapa final'!#REF!),"")</f>
        <v>#REF!</v>
      </c>
      <c r="AG9" s="38" t="e">
        <f>IF(AND('Mapa final'!#REF!="Muy Alta",'Mapa final'!#REF!="Mayor"),CONCATENATE("R4C",'Mapa final'!#REF!),"")</f>
        <v>#REF!</v>
      </c>
      <c r="AH9" s="39" t="e">
        <f>IF(AND('Mapa final'!#REF!="Muy Alta",'Mapa final'!#REF!="Catastrófico"),CONCATENATE("R4C",'Mapa final'!#REF!),"")</f>
        <v>#REF!</v>
      </c>
      <c r="AI9" s="40" t="e">
        <f>IF(AND('Mapa final'!#REF!="Muy Alta",'Mapa final'!#REF!="Catastrófico"),CONCATENATE("R4C",'Mapa final'!#REF!),"")</f>
        <v>#REF!</v>
      </c>
      <c r="AJ9" s="40" t="e">
        <f>IF(AND('Mapa final'!#REF!="Muy Alta",'Mapa final'!#REF!="Catastrófico"),CONCATENATE("R4C",'Mapa final'!#REF!),"")</f>
        <v>#REF!</v>
      </c>
      <c r="AK9" s="40" t="e">
        <f>IF(AND('Mapa final'!#REF!="Muy Alta",'Mapa final'!#REF!="Catastrófico"),CONCATENATE("R4C",'Mapa final'!#REF!),"")</f>
        <v>#REF!</v>
      </c>
      <c r="AL9" s="40" t="e">
        <f>IF(AND('Mapa final'!#REF!="Muy Alta",'Mapa final'!#REF!="Catastrófico"),CONCATENATE("R4C",'Mapa final'!#REF!),"")</f>
        <v>#REF!</v>
      </c>
      <c r="AM9" s="41" t="e">
        <f>IF(AND('Mapa final'!#REF!="Muy Alta",'Mapa final'!#REF!="Catastrófico"),CONCATENATE("R4C",'Mapa final'!#REF!),"")</f>
        <v>#REF!</v>
      </c>
      <c r="AN9" s="67"/>
      <c r="AO9" s="564"/>
      <c r="AP9" s="565"/>
      <c r="AQ9" s="565"/>
      <c r="AR9" s="565"/>
      <c r="AS9" s="565"/>
      <c r="AT9" s="566"/>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459"/>
      <c r="C10" s="459"/>
      <c r="D10" s="460"/>
      <c r="E10" s="558"/>
      <c r="F10" s="557"/>
      <c r="G10" s="557"/>
      <c r="H10" s="557"/>
      <c r="I10" s="573"/>
      <c r="J10" s="36" t="e">
        <f>IF(AND('Mapa final'!#REF!="Muy Alta",'Mapa final'!#REF!="Leve"),CONCATENATE("R5C",'Mapa final'!#REF!),"")</f>
        <v>#REF!</v>
      </c>
      <c r="K10" s="37" t="e">
        <f>IF(AND('Mapa final'!#REF!="Muy Alta",'Mapa final'!#REF!="Leve"),CONCATENATE("R5C",'Mapa final'!#REF!),"")</f>
        <v>#REF!</v>
      </c>
      <c r="L10" s="37" t="e">
        <f>IF(AND('Mapa final'!#REF!="Muy Alta",'Mapa final'!#REF!="Leve"),CONCATENATE("R5C",'Mapa final'!#REF!),"")</f>
        <v>#REF!</v>
      </c>
      <c r="M10" s="37" t="e">
        <f>IF(AND('Mapa final'!#REF!="Muy Alta",'Mapa final'!#REF!="Leve"),CONCATENATE("R5C",'Mapa final'!#REF!),"")</f>
        <v>#REF!</v>
      </c>
      <c r="N10" s="37" t="e">
        <f>IF(AND('Mapa final'!#REF!="Muy Alta",'Mapa final'!#REF!="Leve"),CONCATENATE("R5C",'Mapa final'!#REF!),"")</f>
        <v>#REF!</v>
      </c>
      <c r="O10" s="38" t="e">
        <f>IF(AND('Mapa final'!#REF!="Muy Alta",'Mapa final'!#REF!="Leve"),CONCATENATE("R5C",'Mapa final'!#REF!),"")</f>
        <v>#REF!</v>
      </c>
      <c r="P10" s="36" t="e">
        <f>IF(AND('Mapa final'!#REF!="Muy Alta",'Mapa final'!#REF!="Menor"),CONCATENATE("R5C",'Mapa final'!#REF!),"")</f>
        <v>#REF!</v>
      </c>
      <c r="Q10" s="37" t="e">
        <f>IF(AND('Mapa final'!#REF!="Muy Alta",'Mapa final'!#REF!="Menor"),CONCATENATE("R5C",'Mapa final'!#REF!),"")</f>
        <v>#REF!</v>
      </c>
      <c r="R10" s="37" t="e">
        <f>IF(AND('Mapa final'!#REF!="Muy Alta",'Mapa final'!#REF!="Menor"),CONCATENATE("R5C",'Mapa final'!#REF!),"")</f>
        <v>#REF!</v>
      </c>
      <c r="S10" s="37" t="e">
        <f>IF(AND('Mapa final'!#REF!="Muy Alta",'Mapa final'!#REF!="Menor"),CONCATENATE("R5C",'Mapa final'!#REF!),"")</f>
        <v>#REF!</v>
      </c>
      <c r="T10" s="37" t="e">
        <f>IF(AND('Mapa final'!#REF!="Muy Alta",'Mapa final'!#REF!="Menor"),CONCATENATE("R5C",'Mapa final'!#REF!),"")</f>
        <v>#REF!</v>
      </c>
      <c r="U10" s="38" t="e">
        <f>IF(AND('Mapa final'!#REF!="Muy Alta",'Mapa final'!#REF!="Menor"),CONCATENATE("R5C",'Mapa final'!#REF!),"")</f>
        <v>#REF!</v>
      </c>
      <c r="V10" s="36" t="e">
        <f>IF(AND('Mapa final'!#REF!="Muy Alta",'Mapa final'!#REF!="Moderado"),CONCATENATE("R5C",'Mapa final'!#REF!),"")</f>
        <v>#REF!</v>
      </c>
      <c r="W10" s="37" t="e">
        <f>IF(AND('Mapa final'!#REF!="Muy Alta",'Mapa final'!#REF!="Moderado"),CONCATENATE("R5C",'Mapa final'!#REF!),"")</f>
        <v>#REF!</v>
      </c>
      <c r="X10" s="37" t="e">
        <f>IF(AND('Mapa final'!#REF!="Muy Alta",'Mapa final'!#REF!="Moderado"),CONCATENATE("R5C",'Mapa final'!#REF!),"")</f>
        <v>#REF!</v>
      </c>
      <c r="Y10" s="37" t="e">
        <f>IF(AND('Mapa final'!#REF!="Muy Alta",'Mapa final'!#REF!="Moderado"),CONCATENATE("R5C",'Mapa final'!#REF!),"")</f>
        <v>#REF!</v>
      </c>
      <c r="Z10" s="37" t="e">
        <f>IF(AND('Mapa final'!#REF!="Muy Alta",'Mapa final'!#REF!="Moderado"),CONCATENATE("R5C",'Mapa final'!#REF!),"")</f>
        <v>#REF!</v>
      </c>
      <c r="AA10" s="38" t="e">
        <f>IF(AND('Mapa final'!#REF!="Muy Alta",'Mapa final'!#REF!="Moderado"),CONCATENATE("R5C",'Mapa final'!#REF!),"")</f>
        <v>#REF!</v>
      </c>
      <c r="AB10" s="36" t="e">
        <f>IF(AND('Mapa final'!#REF!="Muy Alta",'Mapa final'!#REF!="Mayor"),CONCATENATE("R5C",'Mapa final'!#REF!),"")</f>
        <v>#REF!</v>
      </c>
      <c r="AC10" s="37" t="e">
        <f>IF(AND('Mapa final'!#REF!="Muy Alta",'Mapa final'!#REF!="Mayor"),CONCATENATE("R5C",'Mapa final'!#REF!),"")</f>
        <v>#REF!</v>
      </c>
      <c r="AD10" s="37" t="e">
        <f>IF(AND('Mapa final'!#REF!="Muy Alta",'Mapa final'!#REF!="Mayor"),CONCATENATE("R5C",'Mapa final'!#REF!),"")</f>
        <v>#REF!</v>
      </c>
      <c r="AE10" s="37" t="e">
        <f>IF(AND('Mapa final'!#REF!="Muy Alta",'Mapa final'!#REF!="Mayor"),CONCATENATE("R5C",'Mapa final'!#REF!),"")</f>
        <v>#REF!</v>
      </c>
      <c r="AF10" s="37" t="e">
        <f>IF(AND('Mapa final'!#REF!="Muy Alta",'Mapa final'!#REF!="Mayor"),CONCATENATE("R5C",'Mapa final'!#REF!),"")</f>
        <v>#REF!</v>
      </c>
      <c r="AG10" s="38" t="e">
        <f>IF(AND('Mapa final'!#REF!="Muy Alta",'Mapa final'!#REF!="Mayor"),CONCATENATE("R5C",'Mapa final'!#REF!),"")</f>
        <v>#REF!</v>
      </c>
      <c r="AH10" s="39" t="e">
        <f>IF(AND('Mapa final'!#REF!="Muy Alta",'Mapa final'!#REF!="Catastrófico"),CONCATENATE("R5C",'Mapa final'!#REF!),"")</f>
        <v>#REF!</v>
      </c>
      <c r="AI10" s="40" t="e">
        <f>IF(AND('Mapa final'!#REF!="Muy Alta",'Mapa final'!#REF!="Catastrófico"),CONCATENATE("R5C",'Mapa final'!#REF!),"")</f>
        <v>#REF!</v>
      </c>
      <c r="AJ10" s="40" t="e">
        <f>IF(AND('Mapa final'!#REF!="Muy Alta",'Mapa final'!#REF!="Catastrófico"),CONCATENATE("R5C",'Mapa final'!#REF!),"")</f>
        <v>#REF!</v>
      </c>
      <c r="AK10" s="40" t="e">
        <f>IF(AND('Mapa final'!#REF!="Muy Alta",'Mapa final'!#REF!="Catastrófico"),CONCATENATE("R5C",'Mapa final'!#REF!),"")</f>
        <v>#REF!</v>
      </c>
      <c r="AL10" s="40" t="e">
        <f>IF(AND('Mapa final'!#REF!="Muy Alta",'Mapa final'!#REF!="Catastrófico"),CONCATENATE("R5C",'Mapa final'!#REF!),"")</f>
        <v>#REF!</v>
      </c>
      <c r="AM10" s="41" t="e">
        <f>IF(AND('Mapa final'!#REF!="Muy Alta",'Mapa final'!#REF!="Catastrófico"),CONCATENATE("R5C",'Mapa final'!#REF!),"")</f>
        <v>#REF!</v>
      </c>
      <c r="AN10" s="67"/>
      <c r="AO10" s="564"/>
      <c r="AP10" s="565"/>
      <c r="AQ10" s="565"/>
      <c r="AR10" s="565"/>
      <c r="AS10" s="565"/>
      <c r="AT10" s="566"/>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459"/>
      <c r="C11" s="459"/>
      <c r="D11" s="460"/>
      <c r="E11" s="558"/>
      <c r="F11" s="557"/>
      <c r="G11" s="557"/>
      <c r="H11" s="557"/>
      <c r="I11" s="573"/>
      <c r="J11" s="36" t="e">
        <f>IF(AND('Mapa final'!#REF!="Muy Alta",'Mapa final'!#REF!="Leve"),CONCATENATE("R6C",'Mapa final'!#REF!),"")</f>
        <v>#REF!</v>
      </c>
      <c r="K11" s="37" t="e">
        <f>IF(AND('Mapa final'!#REF!="Muy Alta",'Mapa final'!#REF!="Leve"),CONCATENATE("R6C",'Mapa final'!#REF!),"")</f>
        <v>#REF!</v>
      </c>
      <c r="L11" s="37" t="e">
        <f>IF(AND('Mapa final'!#REF!="Muy Alta",'Mapa final'!#REF!="Leve"),CONCATENATE("R6C",'Mapa final'!#REF!),"")</f>
        <v>#REF!</v>
      </c>
      <c r="M11" s="37" t="e">
        <f>IF(AND('Mapa final'!#REF!="Muy Alta",'Mapa final'!#REF!="Leve"),CONCATENATE("R6C",'Mapa final'!#REF!),"")</f>
        <v>#REF!</v>
      </c>
      <c r="N11" s="37" t="e">
        <f>IF(AND('Mapa final'!#REF!="Muy Alta",'Mapa final'!#REF!="Leve"),CONCATENATE("R6C",'Mapa final'!#REF!),"")</f>
        <v>#REF!</v>
      </c>
      <c r="O11" s="38" t="e">
        <f>IF(AND('Mapa final'!#REF!="Muy Alta",'Mapa final'!#REF!="Leve"),CONCATENATE("R6C",'Mapa final'!#REF!),"")</f>
        <v>#REF!</v>
      </c>
      <c r="P11" s="36" t="e">
        <f>IF(AND('Mapa final'!#REF!="Muy Alta",'Mapa final'!#REF!="Menor"),CONCATENATE("R6C",'Mapa final'!#REF!),"")</f>
        <v>#REF!</v>
      </c>
      <c r="Q11" s="37" t="e">
        <f>IF(AND('Mapa final'!#REF!="Muy Alta",'Mapa final'!#REF!="Menor"),CONCATENATE("R6C",'Mapa final'!#REF!),"")</f>
        <v>#REF!</v>
      </c>
      <c r="R11" s="37" t="e">
        <f>IF(AND('Mapa final'!#REF!="Muy Alta",'Mapa final'!#REF!="Menor"),CONCATENATE("R6C",'Mapa final'!#REF!),"")</f>
        <v>#REF!</v>
      </c>
      <c r="S11" s="37" t="e">
        <f>IF(AND('Mapa final'!#REF!="Muy Alta",'Mapa final'!#REF!="Menor"),CONCATENATE("R6C",'Mapa final'!#REF!),"")</f>
        <v>#REF!</v>
      </c>
      <c r="T11" s="37" t="e">
        <f>IF(AND('Mapa final'!#REF!="Muy Alta",'Mapa final'!#REF!="Menor"),CONCATENATE("R6C",'Mapa final'!#REF!),"")</f>
        <v>#REF!</v>
      </c>
      <c r="U11" s="38" t="e">
        <f>IF(AND('Mapa final'!#REF!="Muy Alta",'Mapa final'!#REF!="Menor"),CONCATENATE("R6C",'Mapa final'!#REF!),"")</f>
        <v>#REF!</v>
      </c>
      <c r="V11" s="36" t="e">
        <f>IF(AND('Mapa final'!#REF!="Muy Alta",'Mapa final'!#REF!="Moderado"),CONCATENATE("R6C",'Mapa final'!#REF!),"")</f>
        <v>#REF!</v>
      </c>
      <c r="W11" s="37" t="e">
        <f>IF(AND('Mapa final'!#REF!="Muy Alta",'Mapa final'!#REF!="Moderado"),CONCATENATE("R6C",'Mapa final'!#REF!),"")</f>
        <v>#REF!</v>
      </c>
      <c r="X11" s="37" t="e">
        <f>IF(AND('Mapa final'!#REF!="Muy Alta",'Mapa final'!#REF!="Moderado"),CONCATENATE("R6C",'Mapa final'!#REF!),"")</f>
        <v>#REF!</v>
      </c>
      <c r="Y11" s="37" t="e">
        <f>IF(AND('Mapa final'!#REF!="Muy Alta",'Mapa final'!#REF!="Moderado"),CONCATENATE("R6C",'Mapa final'!#REF!),"")</f>
        <v>#REF!</v>
      </c>
      <c r="Z11" s="37" t="e">
        <f>IF(AND('Mapa final'!#REF!="Muy Alta",'Mapa final'!#REF!="Moderado"),CONCATENATE("R6C",'Mapa final'!#REF!),"")</f>
        <v>#REF!</v>
      </c>
      <c r="AA11" s="38" t="e">
        <f>IF(AND('Mapa final'!#REF!="Muy Alta",'Mapa final'!#REF!="Moderado"),CONCATENATE("R6C",'Mapa final'!#REF!),"")</f>
        <v>#REF!</v>
      </c>
      <c r="AB11" s="36" t="e">
        <f>IF(AND('Mapa final'!#REF!="Muy Alta",'Mapa final'!#REF!="Mayor"),CONCATENATE("R6C",'Mapa final'!#REF!),"")</f>
        <v>#REF!</v>
      </c>
      <c r="AC11" s="37" t="e">
        <f>IF(AND('Mapa final'!#REF!="Muy Alta",'Mapa final'!#REF!="Mayor"),CONCATENATE("R6C",'Mapa final'!#REF!),"")</f>
        <v>#REF!</v>
      </c>
      <c r="AD11" s="37" t="e">
        <f>IF(AND('Mapa final'!#REF!="Muy Alta",'Mapa final'!#REF!="Mayor"),CONCATENATE("R6C",'Mapa final'!#REF!),"")</f>
        <v>#REF!</v>
      </c>
      <c r="AE11" s="37" t="e">
        <f>IF(AND('Mapa final'!#REF!="Muy Alta",'Mapa final'!#REF!="Mayor"),CONCATENATE("R6C",'Mapa final'!#REF!),"")</f>
        <v>#REF!</v>
      </c>
      <c r="AF11" s="37" t="e">
        <f>IF(AND('Mapa final'!#REF!="Muy Alta",'Mapa final'!#REF!="Mayor"),CONCATENATE("R6C",'Mapa final'!#REF!),"")</f>
        <v>#REF!</v>
      </c>
      <c r="AG11" s="38" t="e">
        <f>IF(AND('Mapa final'!#REF!="Muy Alta",'Mapa final'!#REF!="Mayor"),CONCATENATE("R6C",'Mapa final'!#REF!),"")</f>
        <v>#REF!</v>
      </c>
      <c r="AH11" s="39" t="e">
        <f>IF(AND('Mapa final'!#REF!="Muy Alta",'Mapa final'!#REF!="Catastrófico"),CONCATENATE("R6C",'Mapa final'!#REF!),"")</f>
        <v>#REF!</v>
      </c>
      <c r="AI11" s="40" t="e">
        <f>IF(AND('Mapa final'!#REF!="Muy Alta",'Mapa final'!#REF!="Catastrófico"),CONCATENATE("R6C",'Mapa final'!#REF!),"")</f>
        <v>#REF!</v>
      </c>
      <c r="AJ11" s="40" t="e">
        <f>IF(AND('Mapa final'!#REF!="Muy Alta",'Mapa final'!#REF!="Catastrófico"),CONCATENATE("R6C",'Mapa final'!#REF!),"")</f>
        <v>#REF!</v>
      </c>
      <c r="AK11" s="40" t="e">
        <f>IF(AND('Mapa final'!#REF!="Muy Alta",'Mapa final'!#REF!="Catastrófico"),CONCATENATE("R6C",'Mapa final'!#REF!),"")</f>
        <v>#REF!</v>
      </c>
      <c r="AL11" s="40" t="e">
        <f>IF(AND('Mapa final'!#REF!="Muy Alta",'Mapa final'!#REF!="Catastrófico"),CONCATENATE("R6C",'Mapa final'!#REF!),"")</f>
        <v>#REF!</v>
      </c>
      <c r="AM11" s="41" t="e">
        <f>IF(AND('Mapa final'!#REF!="Muy Alta",'Mapa final'!#REF!="Catastrófico"),CONCATENATE("R6C",'Mapa final'!#REF!),"")</f>
        <v>#REF!</v>
      </c>
      <c r="AN11" s="67"/>
      <c r="AO11" s="564"/>
      <c r="AP11" s="565"/>
      <c r="AQ11" s="565"/>
      <c r="AR11" s="565"/>
      <c r="AS11" s="565"/>
      <c r="AT11" s="566"/>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459"/>
      <c r="C12" s="459"/>
      <c r="D12" s="460"/>
      <c r="E12" s="558"/>
      <c r="F12" s="557"/>
      <c r="G12" s="557"/>
      <c r="H12" s="557"/>
      <c r="I12" s="573"/>
      <c r="J12" s="36" t="str">
        <f>IF(AND('Mapa final'!$AB$17="Muy Alta",'Mapa final'!$AD$17="Leve"),CONCATENATE("R7C",'Mapa final'!$R$17),"")</f>
        <v/>
      </c>
      <c r="K12" s="37" t="str">
        <f>IF(AND('Mapa final'!$AB$18="Muy Alta",'Mapa final'!$AD$18="Leve"),CONCATENATE("R7C",'Mapa final'!$R$18),"")</f>
        <v/>
      </c>
      <c r="L12" s="37" t="str">
        <f>IF(AND('Mapa final'!$AB$19="Muy Alta",'Mapa final'!$AD$19="Leve"),CONCATENATE("R7C",'Mapa final'!$R$19),"")</f>
        <v/>
      </c>
      <c r="M12" s="37" t="str">
        <f>IF(AND('Mapa final'!$AB$20="Muy Alta",'Mapa final'!$AD$20="Leve"),CONCATENATE("R7C",'Mapa final'!$R$20),"")</f>
        <v/>
      </c>
      <c r="N12" s="37" t="str">
        <f>IF(AND('Mapa final'!$AB$21="Muy Alta",'Mapa final'!$AD$21="Leve"),CONCATENATE("R7C",'Mapa final'!$R$21),"")</f>
        <v/>
      </c>
      <c r="O12" s="38" t="str">
        <f>IF(AND('Mapa final'!$AB$22="Muy Alta",'Mapa final'!$AD$22="Leve"),CONCATENATE("R7C",'Mapa final'!$R$22),"")</f>
        <v/>
      </c>
      <c r="P12" s="36" t="str">
        <f>IF(AND('Mapa final'!$AB$17="Muy Alta",'Mapa final'!$AD$17="Menor"),CONCATENATE("R7C",'Mapa final'!$R$17),"")</f>
        <v/>
      </c>
      <c r="Q12" s="37" t="str">
        <f>IF(AND('Mapa final'!$AB$18="Muy Alta",'Mapa final'!$AD$18="Menor"),CONCATENATE("R7C",'Mapa final'!$R$18),"")</f>
        <v/>
      </c>
      <c r="R12" s="37" t="str">
        <f>IF(AND('Mapa final'!$AB$19="Muy Alta",'Mapa final'!$AD$19="Menor"),CONCATENATE("R7C",'Mapa final'!$R$19),"")</f>
        <v/>
      </c>
      <c r="S12" s="37" t="str">
        <f>IF(AND('Mapa final'!$AB$20="Muy Alta",'Mapa final'!$AD$20="Menor"),CONCATENATE("R7C",'Mapa final'!$R$20),"")</f>
        <v/>
      </c>
      <c r="T12" s="37" t="str">
        <f>IF(AND('Mapa final'!$AB$21="Muy Alta",'Mapa final'!$AD$21="Menor"),CONCATENATE("R7C",'Mapa final'!$R$21),"")</f>
        <v/>
      </c>
      <c r="U12" s="38" t="str">
        <f>IF(AND('Mapa final'!$AB$22="Muy Alta",'Mapa final'!$AD$22="Menor"),CONCATENATE("R7C",'Mapa final'!$R$22),"")</f>
        <v/>
      </c>
      <c r="V12" s="36" t="str">
        <f>IF(AND('Mapa final'!$AB$17="Muy Alta",'Mapa final'!$AD$17="Moderado"),CONCATENATE("R7C",'Mapa final'!$R$17),"")</f>
        <v/>
      </c>
      <c r="W12" s="37" t="str">
        <f>IF(AND('Mapa final'!$AB$18="Muy Alta",'Mapa final'!$AD$18="Moderado"),CONCATENATE("R7C",'Mapa final'!$R$18),"")</f>
        <v/>
      </c>
      <c r="X12" s="37" t="str">
        <f>IF(AND('Mapa final'!$AB$19="Muy Alta",'Mapa final'!$AD$19="Moderado"),CONCATENATE("R7C",'Mapa final'!$R$19),"")</f>
        <v/>
      </c>
      <c r="Y12" s="37" t="str">
        <f>IF(AND('Mapa final'!$AB$20="Muy Alta",'Mapa final'!$AD$20="Moderado"),CONCATENATE("R7C",'Mapa final'!$R$20),"")</f>
        <v/>
      </c>
      <c r="Z12" s="37" t="str">
        <f>IF(AND('Mapa final'!$AB$21="Muy Alta",'Mapa final'!$AD$21="Moderado"),CONCATENATE("R7C",'Mapa final'!$R$21),"")</f>
        <v/>
      </c>
      <c r="AA12" s="38" t="str">
        <f>IF(AND('Mapa final'!$AB$22="Muy Alta",'Mapa final'!$AD$22="Moderado"),CONCATENATE("R7C",'Mapa final'!$R$22),"")</f>
        <v/>
      </c>
      <c r="AB12" s="36" t="str">
        <f>IF(AND('Mapa final'!$AB$17="Muy Alta",'Mapa final'!$AD$17="Mayor"),CONCATENATE("R7C",'Mapa final'!$R$17),"")</f>
        <v/>
      </c>
      <c r="AC12" s="37" t="str">
        <f>IF(AND('Mapa final'!$AB$18="Muy Alta",'Mapa final'!$AD$18="Mayor"),CONCATENATE("R7C",'Mapa final'!$R$18),"")</f>
        <v/>
      </c>
      <c r="AD12" s="37" t="str">
        <f>IF(AND('Mapa final'!$AB$19="Muy Alta",'Mapa final'!$AD$19="Mayor"),CONCATENATE("R7C",'Mapa final'!$R$19),"")</f>
        <v/>
      </c>
      <c r="AE12" s="37" t="str">
        <f>IF(AND('Mapa final'!$AB$20="Muy Alta",'Mapa final'!$AD$20="Mayor"),CONCATENATE("R7C",'Mapa final'!$R$20),"")</f>
        <v/>
      </c>
      <c r="AF12" s="37" t="str">
        <f>IF(AND('Mapa final'!$AB$21="Muy Alta",'Mapa final'!$AD$21="Mayor"),CONCATENATE("R7C",'Mapa final'!$R$21),"")</f>
        <v/>
      </c>
      <c r="AG12" s="38" t="str">
        <f>IF(AND('Mapa final'!$AB$22="Muy Alta",'Mapa final'!$AD$22="Mayor"),CONCATENATE("R7C",'Mapa final'!$R$22),"")</f>
        <v/>
      </c>
      <c r="AH12" s="39" t="str">
        <f>IF(AND('Mapa final'!$AB$17="Muy Alta",'Mapa final'!$AD$17="Catastrófico"),CONCATENATE("R7C",'Mapa final'!$R$17),"")</f>
        <v/>
      </c>
      <c r="AI12" s="40" t="str">
        <f>IF(AND('Mapa final'!$AB$18="Muy Alta",'Mapa final'!$AD$18="Catastrófico"),CONCATENATE("R7C",'Mapa final'!$R$18),"")</f>
        <v/>
      </c>
      <c r="AJ12" s="40" t="str">
        <f>IF(AND('Mapa final'!$AB$19="Muy Alta",'Mapa final'!$AD$19="Catastrófico"),CONCATENATE("R7C",'Mapa final'!$R$19),"")</f>
        <v/>
      </c>
      <c r="AK12" s="40" t="str">
        <f>IF(AND('Mapa final'!$AB$20="Muy Alta",'Mapa final'!$AD$20="Catastrófico"),CONCATENATE("R7C",'Mapa final'!$R$20),"")</f>
        <v/>
      </c>
      <c r="AL12" s="40" t="str">
        <f>IF(AND('Mapa final'!$AB$21="Muy Alta",'Mapa final'!$AD$21="Catastrófico"),CONCATENATE("R7C",'Mapa final'!$R$21),"")</f>
        <v/>
      </c>
      <c r="AM12" s="41" t="str">
        <f>IF(AND('Mapa final'!$AB$22="Muy Alta",'Mapa final'!$AD$22="Catastrófico"),CONCATENATE("R7C",'Mapa final'!$R$22),"")</f>
        <v/>
      </c>
      <c r="AN12" s="67"/>
      <c r="AO12" s="564"/>
      <c r="AP12" s="565"/>
      <c r="AQ12" s="565"/>
      <c r="AR12" s="565"/>
      <c r="AS12" s="565"/>
      <c r="AT12" s="566"/>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459"/>
      <c r="C13" s="459"/>
      <c r="D13" s="460"/>
      <c r="E13" s="558"/>
      <c r="F13" s="557"/>
      <c r="G13" s="557"/>
      <c r="H13" s="557"/>
      <c r="I13" s="573"/>
      <c r="J13" s="36" t="str">
        <f>IF(AND('Mapa final'!$AB$23="Muy Alta",'Mapa final'!$AD$23="Leve"),CONCATENATE("R8C",'Mapa final'!$R$23),"")</f>
        <v/>
      </c>
      <c r="K13" s="37" t="str">
        <f>IF(AND('Mapa final'!$AB$24="Muy Alta",'Mapa final'!$AD$24="Leve"),CONCATENATE("R8C",'Mapa final'!$R$24),"")</f>
        <v/>
      </c>
      <c r="L13" s="37" t="str">
        <f>IF(AND('Mapa final'!$AB$25="Muy Alta",'Mapa final'!$AD$25="Leve"),CONCATENATE("R8C",'Mapa final'!$R$25),"")</f>
        <v/>
      </c>
      <c r="M13" s="37" t="str">
        <f>IF(AND('Mapa final'!$AB$26="Muy Alta",'Mapa final'!$AD$26="Leve"),CONCATENATE("R8C",'Mapa final'!$R$26),"")</f>
        <v/>
      </c>
      <c r="N13" s="37" t="str">
        <f>IF(AND('Mapa final'!$AB$27="Muy Alta",'Mapa final'!$AD$27="Leve"),CONCATENATE("R8C",'Mapa final'!$R$27),"")</f>
        <v/>
      </c>
      <c r="O13" s="38" t="str">
        <f>IF(AND('Mapa final'!$AB$28="Muy Alta",'Mapa final'!$AD$28="Leve"),CONCATENATE("R8C",'Mapa final'!$R$28),"")</f>
        <v/>
      </c>
      <c r="P13" s="36" t="str">
        <f>IF(AND('Mapa final'!$AB$23="Muy Alta",'Mapa final'!$AD$23="Menor"),CONCATENATE("R8C",'Mapa final'!$R$23),"")</f>
        <v/>
      </c>
      <c r="Q13" s="37" t="str">
        <f>IF(AND('Mapa final'!$AB$24="Muy Alta",'Mapa final'!$AD$24="Menor"),CONCATENATE("R8C",'Mapa final'!$R$24),"")</f>
        <v/>
      </c>
      <c r="R13" s="37" t="str">
        <f>IF(AND('Mapa final'!$AB$25="Muy Alta",'Mapa final'!$AD$25="Menor"),CONCATENATE("R8C",'Mapa final'!$R$25),"")</f>
        <v/>
      </c>
      <c r="S13" s="37" t="str">
        <f>IF(AND('Mapa final'!$AB$26="Muy Alta",'Mapa final'!$AD$26="Menor"),CONCATENATE("R8C",'Mapa final'!$R$26),"")</f>
        <v/>
      </c>
      <c r="T13" s="37" t="str">
        <f>IF(AND('Mapa final'!$AB$27="Muy Alta",'Mapa final'!$AD$27="Menor"),CONCATENATE("R8C",'Mapa final'!$R$27),"")</f>
        <v/>
      </c>
      <c r="U13" s="38" t="str">
        <f>IF(AND('Mapa final'!$AB$28="Muy Alta",'Mapa final'!$AD$28="Menor"),CONCATENATE("R8C",'Mapa final'!$R$28),"")</f>
        <v/>
      </c>
      <c r="V13" s="36" t="str">
        <f>IF(AND('Mapa final'!$AB$23="Muy Alta",'Mapa final'!$AD$23="Moderado"),CONCATENATE("R8C",'Mapa final'!$R$23),"")</f>
        <v/>
      </c>
      <c r="W13" s="37" t="str">
        <f>IF(AND('Mapa final'!$AB$24="Muy Alta",'Mapa final'!$AD$24="Moderado"),CONCATENATE("R8C",'Mapa final'!$R$24),"")</f>
        <v/>
      </c>
      <c r="X13" s="37" t="str">
        <f>IF(AND('Mapa final'!$AB$25="Muy Alta",'Mapa final'!$AD$25="Moderado"),CONCATENATE("R8C",'Mapa final'!$R$25),"")</f>
        <v/>
      </c>
      <c r="Y13" s="37" t="str">
        <f>IF(AND('Mapa final'!$AB$26="Muy Alta",'Mapa final'!$AD$26="Moderado"),CONCATENATE("R8C",'Mapa final'!$R$26),"")</f>
        <v/>
      </c>
      <c r="Z13" s="37" t="str">
        <f>IF(AND('Mapa final'!$AB$27="Muy Alta",'Mapa final'!$AD$27="Moderado"),CONCATENATE("R8C",'Mapa final'!$R$27),"")</f>
        <v/>
      </c>
      <c r="AA13" s="38" t="str">
        <f>IF(AND('Mapa final'!$AB$28="Muy Alta",'Mapa final'!$AD$28="Moderado"),CONCATENATE("R8C",'Mapa final'!$R$28),"")</f>
        <v/>
      </c>
      <c r="AB13" s="36" t="str">
        <f>IF(AND('Mapa final'!$AB$23="Muy Alta",'Mapa final'!$AD$23="Mayor"),CONCATENATE("R8C",'Mapa final'!$R$23),"")</f>
        <v/>
      </c>
      <c r="AC13" s="37" t="str">
        <f>IF(AND('Mapa final'!$AB$24="Muy Alta",'Mapa final'!$AD$24="Mayor"),CONCATENATE("R8C",'Mapa final'!$R$24),"")</f>
        <v/>
      </c>
      <c r="AD13" s="37" t="str">
        <f>IF(AND('Mapa final'!$AB$25="Muy Alta",'Mapa final'!$AD$25="Mayor"),CONCATENATE("R8C",'Mapa final'!$R$25),"")</f>
        <v/>
      </c>
      <c r="AE13" s="37" t="str">
        <f>IF(AND('Mapa final'!$AB$26="Muy Alta",'Mapa final'!$AD$26="Mayor"),CONCATENATE("R8C",'Mapa final'!$R$26),"")</f>
        <v/>
      </c>
      <c r="AF13" s="37" t="str">
        <f>IF(AND('Mapa final'!$AB$27="Muy Alta",'Mapa final'!$AD$27="Mayor"),CONCATENATE("R8C",'Mapa final'!$R$27),"")</f>
        <v/>
      </c>
      <c r="AG13" s="38" t="str">
        <f>IF(AND('Mapa final'!$AB$28="Muy Alta",'Mapa final'!$AD$28="Mayor"),CONCATENATE("R8C",'Mapa final'!$R$28),"")</f>
        <v/>
      </c>
      <c r="AH13" s="39" t="str">
        <f>IF(AND('Mapa final'!$AB$23="Muy Alta",'Mapa final'!$AD$23="Catastrófico"),CONCATENATE("R8C",'Mapa final'!$R$23),"")</f>
        <v/>
      </c>
      <c r="AI13" s="40" t="str">
        <f>IF(AND('Mapa final'!$AB$24="Muy Alta",'Mapa final'!$AD$24="Catastrófico"),CONCATENATE("R8C",'Mapa final'!$R$24),"")</f>
        <v/>
      </c>
      <c r="AJ13" s="40" t="str">
        <f>IF(AND('Mapa final'!$AB$25="Muy Alta",'Mapa final'!$AD$25="Catastrófico"),CONCATENATE("R8C",'Mapa final'!$R$25),"")</f>
        <v/>
      </c>
      <c r="AK13" s="40" t="str">
        <f>IF(AND('Mapa final'!$AB$26="Muy Alta",'Mapa final'!$AD$26="Catastrófico"),CONCATENATE("R8C",'Mapa final'!$R$26),"")</f>
        <v/>
      </c>
      <c r="AL13" s="40" t="str">
        <f>IF(AND('Mapa final'!$AB$27="Muy Alta",'Mapa final'!$AD$27="Catastrófico"),CONCATENATE("R8C",'Mapa final'!$R$27),"")</f>
        <v/>
      </c>
      <c r="AM13" s="41" t="str">
        <f>IF(AND('Mapa final'!$AB$28="Muy Alta",'Mapa final'!$AD$28="Catastrófico"),CONCATENATE("R8C",'Mapa final'!$R$28),"")</f>
        <v/>
      </c>
      <c r="AN13" s="67"/>
      <c r="AO13" s="564"/>
      <c r="AP13" s="565"/>
      <c r="AQ13" s="565"/>
      <c r="AR13" s="565"/>
      <c r="AS13" s="565"/>
      <c r="AT13" s="566"/>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459"/>
      <c r="C14" s="459"/>
      <c r="D14" s="460"/>
      <c r="E14" s="558"/>
      <c r="F14" s="557"/>
      <c r="G14" s="557"/>
      <c r="H14" s="557"/>
      <c r="I14" s="573"/>
      <c r="J14" s="36" t="str">
        <f>IF(AND('Mapa final'!$AB$29="Muy Alta",'Mapa final'!$AD$29="Leve"),CONCATENATE("R9C",'Mapa final'!$R$29),"")</f>
        <v/>
      </c>
      <c r="K14" s="37" t="str">
        <f>IF(AND('Mapa final'!$AB$30="Muy Alta",'Mapa final'!$AD$30="Leve"),CONCATENATE("R9C",'Mapa final'!$R$30),"")</f>
        <v/>
      </c>
      <c r="L14" s="37" t="str">
        <f>IF(AND('Mapa final'!$AB$31="Muy Alta",'Mapa final'!$AD$31="Leve"),CONCATENATE("R9C",'Mapa final'!$R$31),"")</f>
        <v/>
      </c>
      <c r="M14" s="37" t="str">
        <f>IF(AND('Mapa final'!$AB$32="Muy Alta",'Mapa final'!$AD$32="Leve"),CONCATENATE("R9C",'Mapa final'!$R$32),"")</f>
        <v/>
      </c>
      <c r="N14" s="37" t="str">
        <f>IF(AND('Mapa final'!$AB$33="Muy Alta",'Mapa final'!$AD$33="Leve"),CONCATENATE("R9C",'Mapa final'!$R$33),"")</f>
        <v/>
      </c>
      <c r="O14" s="38" t="str">
        <f>IF(AND('Mapa final'!$AB$34="Muy Alta",'Mapa final'!$AD$34="Leve"),CONCATENATE("R9C",'Mapa final'!$R$34),"")</f>
        <v/>
      </c>
      <c r="P14" s="36" t="str">
        <f>IF(AND('Mapa final'!$AB$29="Muy Alta",'Mapa final'!$AD$29="Menor"),CONCATENATE("R9C",'Mapa final'!$R$29),"")</f>
        <v/>
      </c>
      <c r="Q14" s="37" t="str">
        <f>IF(AND('Mapa final'!$AB$30="Muy Alta",'Mapa final'!$AD$30="Menor"),CONCATENATE("R9C",'Mapa final'!$R$30),"")</f>
        <v/>
      </c>
      <c r="R14" s="37" t="str">
        <f>IF(AND('Mapa final'!$AB$31="Muy Alta",'Mapa final'!$AD$31="Menor"),CONCATENATE("R9C",'Mapa final'!$R$31),"")</f>
        <v/>
      </c>
      <c r="S14" s="37" t="str">
        <f>IF(AND('Mapa final'!$AB$32="Muy Alta",'Mapa final'!$AD$32="Menor"),CONCATENATE("R9C",'Mapa final'!$R$32),"")</f>
        <v/>
      </c>
      <c r="T14" s="37" t="str">
        <f>IF(AND('Mapa final'!$AB$33="Muy Alta",'Mapa final'!$AD$33="Menor"),CONCATENATE("R9C",'Mapa final'!$R$33),"")</f>
        <v/>
      </c>
      <c r="U14" s="38" t="str">
        <f>IF(AND('Mapa final'!$AB$34="Muy Alta",'Mapa final'!$AD$34="Menor"),CONCATENATE("R9C",'Mapa final'!$R$34),"")</f>
        <v/>
      </c>
      <c r="V14" s="36" t="str">
        <f>IF(AND('Mapa final'!$AB$29="Muy Alta",'Mapa final'!$AD$29="Moderado"),CONCATENATE("R9C",'Mapa final'!$R$29),"")</f>
        <v/>
      </c>
      <c r="W14" s="37" t="str">
        <f>IF(AND('Mapa final'!$AB$30="Muy Alta",'Mapa final'!$AD$30="Moderado"),CONCATENATE("R9C",'Mapa final'!$R$30),"")</f>
        <v/>
      </c>
      <c r="X14" s="37" t="str">
        <f>IF(AND('Mapa final'!$AB$31="Muy Alta",'Mapa final'!$AD$31="Moderado"),CONCATENATE("R9C",'Mapa final'!$R$31),"")</f>
        <v/>
      </c>
      <c r="Y14" s="37" t="str">
        <f>IF(AND('Mapa final'!$AB$32="Muy Alta",'Mapa final'!$AD$32="Moderado"),CONCATENATE("R9C",'Mapa final'!$R$32),"")</f>
        <v/>
      </c>
      <c r="Z14" s="37" t="str">
        <f>IF(AND('Mapa final'!$AB$33="Muy Alta",'Mapa final'!$AD$33="Moderado"),CONCATENATE("R9C",'Mapa final'!$R$33),"")</f>
        <v/>
      </c>
      <c r="AA14" s="38" t="str">
        <f>IF(AND('Mapa final'!$AB$34="Muy Alta",'Mapa final'!$AD$34="Moderado"),CONCATENATE("R9C",'Mapa final'!$R$34),"")</f>
        <v/>
      </c>
      <c r="AB14" s="36" t="str">
        <f>IF(AND('Mapa final'!$AB$29="Muy Alta",'Mapa final'!$AD$29="Mayor"),CONCATENATE("R9C",'Mapa final'!$R$29),"")</f>
        <v/>
      </c>
      <c r="AC14" s="37" t="str">
        <f>IF(AND('Mapa final'!$AB$30="Muy Alta",'Mapa final'!$AD$30="Mayor"),CONCATENATE("R9C",'Mapa final'!$R$30),"")</f>
        <v/>
      </c>
      <c r="AD14" s="37" t="str">
        <f>IF(AND('Mapa final'!$AB$31="Muy Alta",'Mapa final'!$AD$31="Mayor"),CONCATENATE("R9C",'Mapa final'!$R$31),"")</f>
        <v/>
      </c>
      <c r="AE14" s="37" t="str">
        <f>IF(AND('Mapa final'!$AB$32="Muy Alta",'Mapa final'!$AD$32="Mayor"),CONCATENATE("R9C",'Mapa final'!$R$32),"")</f>
        <v/>
      </c>
      <c r="AF14" s="37" t="str">
        <f>IF(AND('Mapa final'!$AB$33="Muy Alta",'Mapa final'!$AD$33="Mayor"),CONCATENATE("R9C",'Mapa final'!$R$33),"")</f>
        <v/>
      </c>
      <c r="AG14" s="38" t="str">
        <f>IF(AND('Mapa final'!$AB$34="Muy Alta",'Mapa final'!$AD$34="Mayor"),CONCATENATE("R9C",'Mapa final'!$R$34),"")</f>
        <v/>
      </c>
      <c r="AH14" s="39" t="str">
        <f>IF(AND('Mapa final'!$AB$29="Muy Alta",'Mapa final'!$AD$29="Catastrófico"),CONCATENATE("R9C",'Mapa final'!$R$29),"")</f>
        <v/>
      </c>
      <c r="AI14" s="40" t="str">
        <f>IF(AND('Mapa final'!$AB$30="Muy Alta",'Mapa final'!$AD$30="Catastrófico"),CONCATENATE("R9C",'Mapa final'!$R$30),"")</f>
        <v/>
      </c>
      <c r="AJ14" s="40" t="str">
        <f>IF(AND('Mapa final'!$AB$31="Muy Alta",'Mapa final'!$AD$31="Catastrófico"),CONCATENATE("R9C",'Mapa final'!$R$31),"")</f>
        <v/>
      </c>
      <c r="AK14" s="40" t="str">
        <f>IF(AND('Mapa final'!$AB$32="Muy Alta",'Mapa final'!$AD$32="Catastrófico"),CONCATENATE("R9C",'Mapa final'!$R$32),"")</f>
        <v/>
      </c>
      <c r="AL14" s="40" t="str">
        <f>IF(AND('Mapa final'!$AB$33="Muy Alta",'Mapa final'!$AD$33="Catastrófico"),CONCATENATE("R9C",'Mapa final'!$R$33),"")</f>
        <v/>
      </c>
      <c r="AM14" s="41" t="str">
        <f>IF(AND('Mapa final'!$AB$34="Muy Alta",'Mapa final'!$AD$34="Catastrófico"),CONCATENATE("R9C",'Mapa final'!$R$34),"")</f>
        <v/>
      </c>
      <c r="AN14" s="67"/>
      <c r="AO14" s="564"/>
      <c r="AP14" s="565"/>
      <c r="AQ14" s="565"/>
      <c r="AR14" s="565"/>
      <c r="AS14" s="565"/>
      <c r="AT14" s="566"/>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459"/>
      <c r="C15" s="459"/>
      <c r="D15" s="460"/>
      <c r="E15" s="559"/>
      <c r="F15" s="560"/>
      <c r="G15" s="560"/>
      <c r="H15" s="560"/>
      <c r="I15" s="574"/>
      <c r="J15" s="42" t="str">
        <f>IF(AND('Mapa final'!$AB$35="Muy Alta",'Mapa final'!$AD$35="Leve"),CONCATENATE("R10C",'Mapa final'!$R$35),"")</f>
        <v/>
      </c>
      <c r="K15" s="43" t="str">
        <f>IF(AND('Mapa final'!$AB$36="Muy Alta",'Mapa final'!$AD$36="Leve"),CONCATENATE("R10C",'Mapa final'!$R$36),"")</f>
        <v/>
      </c>
      <c r="L15" s="43" t="str">
        <f>IF(AND('Mapa final'!$AB$37="Muy Alta",'Mapa final'!$AD$37="Leve"),CONCATENATE("R10C",'Mapa final'!$R$37),"")</f>
        <v/>
      </c>
      <c r="M15" s="43" t="str">
        <f>IF(AND('Mapa final'!$AB$38="Muy Alta",'Mapa final'!$AD$38="Leve"),CONCATENATE("R10C",'Mapa final'!$R$38),"")</f>
        <v/>
      </c>
      <c r="N15" s="43" t="str">
        <f>IF(AND('Mapa final'!$AB$39="Muy Alta",'Mapa final'!$AD$39="Leve"),CONCATENATE("R10C",'Mapa final'!$R$39),"")</f>
        <v/>
      </c>
      <c r="O15" s="44" t="str">
        <f>IF(AND('Mapa final'!$AB$40="Muy Alta",'Mapa final'!$AD$40="Leve"),CONCATENATE("R10C",'Mapa final'!$R$40),"")</f>
        <v/>
      </c>
      <c r="P15" s="36" t="str">
        <f>IF(AND('Mapa final'!$AB$35="Muy Alta",'Mapa final'!$AD$35="Menor"),CONCATENATE("R10C",'Mapa final'!$R$35),"")</f>
        <v/>
      </c>
      <c r="Q15" s="37" t="str">
        <f>IF(AND('Mapa final'!$AB$36="Muy Alta",'Mapa final'!$AD$36="Menor"),CONCATENATE("R10C",'Mapa final'!$R$36),"")</f>
        <v/>
      </c>
      <c r="R15" s="37" t="str">
        <f>IF(AND('Mapa final'!$AB$37="Muy Alta",'Mapa final'!$AD$37="Menor"),CONCATENATE("R10C",'Mapa final'!$R$37),"")</f>
        <v/>
      </c>
      <c r="S15" s="37" t="str">
        <f>IF(AND('Mapa final'!$AB$38="Muy Alta",'Mapa final'!$AD$38="Menor"),CONCATENATE("R10C",'Mapa final'!$R$38),"")</f>
        <v/>
      </c>
      <c r="T15" s="37" t="str">
        <f>IF(AND('Mapa final'!$AB$39="Muy Alta",'Mapa final'!$AD$39="Menor"),CONCATENATE("R10C",'Mapa final'!$R$39),"")</f>
        <v/>
      </c>
      <c r="U15" s="38" t="str">
        <f>IF(AND('Mapa final'!$AB$40="Muy Alta",'Mapa final'!$AD$40="Menor"),CONCATENATE("R10C",'Mapa final'!$R$40),"")</f>
        <v/>
      </c>
      <c r="V15" s="42" t="str">
        <f>IF(AND('Mapa final'!$AB$35="Muy Alta",'Mapa final'!$AD$35="Moderado"),CONCATENATE("R10C",'Mapa final'!$R$35),"")</f>
        <v/>
      </c>
      <c r="W15" s="43" t="str">
        <f>IF(AND('Mapa final'!$AB$36="Muy Alta",'Mapa final'!$AD$36="Moderado"),CONCATENATE("R10C",'Mapa final'!$R$36),"")</f>
        <v/>
      </c>
      <c r="X15" s="43" t="str">
        <f>IF(AND('Mapa final'!$AB$37="Muy Alta",'Mapa final'!$AD$37="Moderado"),CONCATENATE("R10C",'Mapa final'!$R$37),"")</f>
        <v/>
      </c>
      <c r="Y15" s="43" t="str">
        <f>IF(AND('Mapa final'!$AB$38="Muy Alta",'Mapa final'!$AD$38="Moderado"),CONCATENATE("R10C",'Mapa final'!$R$38),"")</f>
        <v/>
      </c>
      <c r="Z15" s="43" t="str">
        <f>IF(AND('Mapa final'!$AB$39="Muy Alta",'Mapa final'!$AD$39="Moderado"),CONCATENATE("R10C",'Mapa final'!$R$39),"")</f>
        <v/>
      </c>
      <c r="AA15" s="44" t="str">
        <f>IF(AND('Mapa final'!$AB$40="Muy Alta",'Mapa final'!$AD$40="Moderado"),CONCATENATE("R10C",'Mapa final'!$R$40),"")</f>
        <v/>
      </c>
      <c r="AB15" s="36" t="str">
        <f>IF(AND('Mapa final'!$AB$35="Muy Alta",'Mapa final'!$AD$35="Mayor"),CONCATENATE("R10C",'Mapa final'!$R$35),"")</f>
        <v/>
      </c>
      <c r="AC15" s="37" t="str">
        <f>IF(AND('Mapa final'!$AB$36="Muy Alta",'Mapa final'!$AD$36="Mayor"),CONCATENATE("R10C",'Mapa final'!$R$36),"")</f>
        <v/>
      </c>
      <c r="AD15" s="37" t="str">
        <f>IF(AND('Mapa final'!$AB$37="Muy Alta",'Mapa final'!$AD$37="Mayor"),CONCATENATE("R10C",'Mapa final'!$R$37),"")</f>
        <v/>
      </c>
      <c r="AE15" s="37" t="str">
        <f>IF(AND('Mapa final'!$AB$38="Muy Alta",'Mapa final'!$AD$38="Mayor"),CONCATENATE("R10C",'Mapa final'!$R$38),"")</f>
        <v/>
      </c>
      <c r="AF15" s="37" t="str">
        <f>IF(AND('Mapa final'!$AB$39="Muy Alta",'Mapa final'!$AD$39="Mayor"),CONCATENATE("R10C",'Mapa final'!$R$39),"")</f>
        <v/>
      </c>
      <c r="AG15" s="38" t="str">
        <f>IF(AND('Mapa final'!$AB$40="Muy Alta",'Mapa final'!$AD$40="Mayor"),CONCATENATE("R10C",'Mapa final'!$R$40),"")</f>
        <v/>
      </c>
      <c r="AH15" s="45" t="str">
        <f>IF(AND('Mapa final'!$AB$35="Muy Alta",'Mapa final'!$AD$35="Catastrófico"),CONCATENATE("R10C",'Mapa final'!$R$35),"")</f>
        <v/>
      </c>
      <c r="AI15" s="46" t="str">
        <f>IF(AND('Mapa final'!$AB$36="Muy Alta",'Mapa final'!$AD$36="Catastrófico"),CONCATENATE("R10C",'Mapa final'!$R$36),"")</f>
        <v/>
      </c>
      <c r="AJ15" s="46" t="str">
        <f>IF(AND('Mapa final'!$AB$37="Muy Alta",'Mapa final'!$AD$37="Catastrófico"),CONCATENATE("R10C",'Mapa final'!$R$37),"")</f>
        <v/>
      </c>
      <c r="AK15" s="46" t="str">
        <f>IF(AND('Mapa final'!$AB$38="Muy Alta",'Mapa final'!$AD$38="Catastrófico"),CONCATENATE("R10C",'Mapa final'!$R$38),"")</f>
        <v/>
      </c>
      <c r="AL15" s="46" t="str">
        <f>IF(AND('Mapa final'!$AB$39="Muy Alta",'Mapa final'!$AD$39="Catastrófico"),CONCATENATE("R10C",'Mapa final'!$R$39),"")</f>
        <v/>
      </c>
      <c r="AM15" s="47" t="str">
        <f>IF(AND('Mapa final'!$AB$40="Muy Alta",'Mapa final'!$AD$40="Catastrófico"),CONCATENATE("R10C",'Mapa final'!$R$40),"")</f>
        <v/>
      </c>
      <c r="AN15" s="67"/>
      <c r="AO15" s="567"/>
      <c r="AP15" s="568"/>
      <c r="AQ15" s="568"/>
      <c r="AR15" s="568"/>
      <c r="AS15" s="568"/>
      <c r="AT15" s="569"/>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459"/>
      <c r="C16" s="459"/>
      <c r="D16" s="460"/>
      <c r="E16" s="554" t="s">
        <v>109</v>
      </c>
      <c r="F16" s="555"/>
      <c r="G16" s="555"/>
      <c r="H16" s="555"/>
      <c r="I16" s="555"/>
      <c r="J16" s="48" t="str">
        <f>IF(AND('Mapa final'!$AB$10="Alta",'Mapa final'!$AD$10="Leve"),CONCATENATE("R1C",'Mapa final'!$R$10),"")</f>
        <v/>
      </c>
      <c r="K16" s="49" t="str">
        <f>IF(AND('Mapa final'!$AB$11="Alta",'Mapa final'!$AD$11="Leve"),CONCATENATE("R1C",'Mapa final'!$R$11),"")</f>
        <v/>
      </c>
      <c r="L16" s="49" t="str">
        <f>IF(AND('Mapa final'!$AB$12="Alta",'Mapa final'!$AD$12="Leve"),CONCATENATE("R1C",'Mapa final'!$R$12),"")</f>
        <v/>
      </c>
      <c r="M16" s="49" t="str">
        <f>IF(AND('Mapa final'!$AB$13="Alta",'Mapa final'!$AD$13="Leve"),CONCATENATE("R1C",'Mapa final'!$R$13),"")</f>
        <v/>
      </c>
      <c r="N16" s="49" t="str">
        <f>IF(AND('Mapa final'!$AB$14="Alta",'Mapa final'!$AD$14="Leve"),CONCATENATE("R1C",'Mapa final'!$R$14),"")</f>
        <v/>
      </c>
      <c r="O16" s="50" t="str">
        <f>IF(AND('Mapa final'!$AB$15="Alta",'Mapa final'!$AD$15="Leve"),CONCATENATE("R1C",'Mapa final'!$R$15),"")</f>
        <v/>
      </c>
      <c r="P16" s="48" t="str">
        <f>IF(AND('Mapa final'!$AB$10="Alta",'Mapa final'!$AD$10="Menor"),CONCATENATE("R1C",'Mapa final'!$R$10),"")</f>
        <v/>
      </c>
      <c r="Q16" s="49" t="str">
        <f>IF(AND('Mapa final'!$AB$11="Alta",'Mapa final'!$AD$11="Menor"),CONCATENATE("R1C",'Mapa final'!$R$11),"")</f>
        <v/>
      </c>
      <c r="R16" s="49" t="str">
        <f>IF(AND('Mapa final'!$AB$12="Alta",'Mapa final'!$AD$12="Menor"),CONCATENATE("R1C",'Mapa final'!$R$12),"")</f>
        <v/>
      </c>
      <c r="S16" s="49" t="str">
        <f>IF(AND('Mapa final'!$AB$13="Alta",'Mapa final'!$AD$13="Menor"),CONCATENATE("R1C",'Mapa final'!$R$13),"")</f>
        <v/>
      </c>
      <c r="T16" s="49" t="str">
        <f>IF(AND('Mapa final'!$AB$14="Alta",'Mapa final'!$AD$14="Menor"),CONCATENATE("R1C",'Mapa final'!$R$14),"")</f>
        <v/>
      </c>
      <c r="U16" s="50" t="str">
        <f>IF(AND('Mapa final'!$AB$15="Alta",'Mapa final'!$AD$15="Menor"),CONCATENATE("R1C",'Mapa final'!$R$15),"")</f>
        <v/>
      </c>
      <c r="V16" s="30" t="str">
        <f>IF(AND('Mapa final'!$AB$10="Alta",'Mapa final'!$AD$10="Moderado"),CONCATENATE("R1C",'Mapa final'!$R$10),"")</f>
        <v/>
      </c>
      <c r="W16" s="31" t="str">
        <f>IF(AND('Mapa final'!$AB$11="Alta",'Mapa final'!$AD$11="Moderado"),CONCATENATE("R1C",'Mapa final'!$R$11),"")</f>
        <v/>
      </c>
      <c r="X16" s="31" t="str">
        <f>IF(AND('Mapa final'!$AB$12="Alta",'Mapa final'!$AD$12="Moderado"),CONCATENATE("R1C",'Mapa final'!$R$12),"")</f>
        <v/>
      </c>
      <c r="Y16" s="31" t="str">
        <f>IF(AND('Mapa final'!$AB$13="Alta",'Mapa final'!$AD$13="Moderado"),CONCATENATE("R1C",'Mapa final'!$R$13),"")</f>
        <v/>
      </c>
      <c r="Z16" s="31" t="str">
        <f>IF(AND('Mapa final'!$AB$14="Alta",'Mapa final'!$AD$14="Moderado"),CONCATENATE("R1C",'Mapa final'!$R$14),"")</f>
        <v/>
      </c>
      <c r="AA16" s="32" t="str">
        <f>IF(AND('Mapa final'!$AB$15="Alta",'Mapa final'!$AD$15="Moderado"),CONCATENATE("R1C",'Mapa final'!$R$15),"")</f>
        <v/>
      </c>
      <c r="AB16" s="30" t="str">
        <f>IF(AND('Mapa final'!$AB$10="Alta",'Mapa final'!$AD$10="Mayor"),CONCATENATE("R1C",'Mapa final'!$R$10),"")</f>
        <v/>
      </c>
      <c r="AC16" s="31" t="str">
        <f>IF(AND('Mapa final'!$AB$11="Alta",'Mapa final'!$AD$11="Mayor"),CONCATENATE("R1C",'Mapa final'!$R$11),"")</f>
        <v/>
      </c>
      <c r="AD16" s="31" t="str">
        <f>IF(AND('Mapa final'!$AB$12="Alta",'Mapa final'!$AD$12="Mayor"),CONCATENATE("R1C",'Mapa final'!$R$12),"")</f>
        <v/>
      </c>
      <c r="AE16" s="31" t="str">
        <f>IF(AND('Mapa final'!$AB$13="Alta",'Mapa final'!$AD$13="Mayor"),CONCATENATE("R1C",'Mapa final'!$R$13),"")</f>
        <v/>
      </c>
      <c r="AF16" s="31" t="str">
        <f>IF(AND('Mapa final'!$AB$14="Alta",'Mapa final'!$AD$14="Mayor"),CONCATENATE("R1C",'Mapa final'!$R$14),"")</f>
        <v/>
      </c>
      <c r="AG16" s="32" t="str">
        <f>IF(AND('Mapa final'!$AB$15="Alta",'Mapa final'!$AD$15="Mayor"),CONCATENATE("R1C",'Mapa final'!$R$15),"")</f>
        <v/>
      </c>
      <c r="AH16" s="33" t="str">
        <f>IF(AND('Mapa final'!$AB$10="Alta",'Mapa final'!$AD$10="Catastrófico"),CONCATENATE("R1C",'Mapa final'!$R$10),"")</f>
        <v>R1C1</v>
      </c>
      <c r="AI16" s="34" t="str">
        <f>IF(AND('Mapa final'!$AB$11="Alta",'Mapa final'!$AD$11="Catastrófico"),CONCATENATE("R1C",'Mapa final'!$R$11),"")</f>
        <v/>
      </c>
      <c r="AJ16" s="34" t="str">
        <f>IF(AND('Mapa final'!$AB$12="Alta",'Mapa final'!$AD$12="Catastrófico"),CONCATENATE("R1C",'Mapa final'!$R$12),"")</f>
        <v/>
      </c>
      <c r="AK16" s="34" t="str">
        <f>IF(AND('Mapa final'!$AB$13="Alta",'Mapa final'!$AD$13="Catastrófico"),CONCATENATE("R1C",'Mapa final'!$R$13),"")</f>
        <v/>
      </c>
      <c r="AL16" s="34" t="str">
        <f>IF(AND('Mapa final'!$AB$14="Alta",'Mapa final'!$AD$14="Catastrófico"),CONCATENATE("R1C",'Mapa final'!$R$14),"")</f>
        <v/>
      </c>
      <c r="AM16" s="35" t="str">
        <f>IF(AND('Mapa final'!$AB$15="Alta",'Mapa final'!$AD$15="Catastrófico"),CONCATENATE("R1C",'Mapa final'!$R$15),"")</f>
        <v/>
      </c>
      <c r="AN16" s="67"/>
      <c r="AO16" s="545" t="s">
        <v>78</v>
      </c>
      <c r="AP16" s="546"/>
      <c r="AQ16" s="546"/>
      <c r="AR16" s="546"/>
      <c r="AS16" s="546"/>
      <c r="AT16" s="54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459"/>
      <c r="C17" s="459"/>
      <c r="D17" s="460"/>
      <c r="E17" s="556"/>
      <c r="F17" s="557"/>
      <c r="G17" s="557"/>
      <c r="H17" s="557"/>
      <c r="I17" s="557"/>
      <c r="J17" s="51" t="e">
        <f>IF(AND('Mapa final'!#REF!="Alta",'Mapa final'!#REF!="Leve"),CONCATENATE("R2C",'Mapa final'!#REF!),"")</f>
        <v>#REF!</v>
      </c>
      <c r="K17" s="52" t="e">
        <f>IF(AND('Mapa final'!#REF!="Alta",'Mapa final'!#REF!="Leve"),CONCATENATE("R2C",'Mapa final'!#REF!),"")</f>
        <v>#REF!</v>
      </c>
      <c r="L17" s="52" t="e">
        <f>IF(AND('Mapa final'!#REF!="Alta",'Mapa final'!#REF!="Leve"),CONCATENATE("R2C",'Mapa final'!#REF!),"")</f>
        <v>#REF!</v>
      </c>
      <c r="M17" s="52" t="e">
        <f>IF(AND('Mapa final'!#REF!="Alta",'Mapa final'!#REF!="Leve"),CONCATENATE("R2C",'Mapa final'!#REF!),"")</f>
        <v>#REF!</v>
      </c>
      <c r="N17" s="52" t="e">
        <f>IF(AND('Mapa final'!#REF!="Alta",'Mapa final'!#REF!="Leve"),CONCATENATE("R2C",'Mapa final'!#REF!),"")</f>
        <v>#REF!</v>
      </c>
      <c r="O17" s="53" t="e">
        <f>IF(AND('Mapa final'!#REF!="Alta",'Mapa final'!#REF!="Leve"),CONCATENATE("R2C",'Mapa final'!#REF!),"")</f>
        <v>#REF!</v>
      </c>
      <c r="P17" s="51" t="e">
        <f>IF(AND('Mapa final'!#REF!="Alta",'Mapa final'!#REF!="Menor"),CONCATENATE("R2C",'Mapa final'!#REF!),"")</f>
        <v>#REF!</v>
      </c>
      <c r="Q17" s="52" t="e">
        <f>IF(AND('Mapa final'!#REF!="Alta",'Mapa final'!#REF!="Menor"),CONCATENATE("R2C",'Mapa final'!#REF!),"")</f>
        <v>#REF!</v>
      </c>
      <c r="R17" s="52" t="e">
        <f>IF(AND('Mapa final'!#REF!="Alta",'Mapa final'!#REF!="Menor"),CONCATENATE("R2C",'Mapa final'!#REF!),"")</f>
        <v>#REF!</v>
      </c>
      <c r="S17" s="52" t="e">
        <f>IF(AND('Mapa final'!#REF!="Alta",'Mapa final'!#REF!="Menor"),CONCATENATE("R2C",'Mapa final'!#REF!),"")</f>
        <v>#REF!</v>
      </c>
      <c r="T17" s="52" t="e">
        <f>IF(AND('Mapa final'!#REF!="Alta",'Mapa final'!#REF!="Menor"),CONCATENATE("R2C",'Mapa final'!#REF!),"")</f>
        <v>#REF!</v>
      </c>
      <c r="U17" s="53" t="e">
        <f>IF(AND('Mapa final'!#REF!="Alta",'Mapa final'!#REF!="Menor"),CONCATENATE("R2C",'Mapa final'!#REF!),"")</f>
        <v>#REF!</v>
      </c>
      <c r="V17" s="36" t="e">
        <f>IF(AND('Mapa final'!#REF!="Alta",'Mapa final'!#REF!="Moderado"),CONCATENATE("R2C",'Mapa final'!#REF!),"")</f>
        <v>#REF!</v>
      </c>
      <c r="W17" s="37" t="e">
        <f>IF(AND('Mapa final'!#REF!="Alta",'Mapa final'!#REF!="Moderado"),CONCATENATE("R2C",'Mapa final'!#REF!),"")</f>
        <v>#REF!</v>
      </c>
      <c r="X17" s="37" t="e">
        <f>IF(AND('Mapa final'!#REF!="Alta",'Mapa final'!#REF!="Moderado"),CONCATENATE("R2C",'Mapa final'!#REF!),"")</f>
        <v>#REF!</v>
      </c>
      <c r="Y17" s="37" t="e">
        <f>IF(AND('Mapa final'!#REF!="Alta",'Mapa final'!#REF!="Moderado"),CONCATENATE("R2C",'Mapa final'!#REF!),"")</f>
        <v>#REF!</v>
      </c>
      <c r="Z17" s="37" t="e">
        <f>IF(AND('Mapa final'!#REF!="Alta",'Mapa final'!#REF!="Moderado"),CONCATENATE("R2C",'Mapa final'!#REF!),"")</f>
        <v>#REF!</v>
      </c>
      <c r="AA17" s="38" t="e">
        <f>IF(AND('Mapa final'!#REF!="Alta",'Mapa final'!#REF!="Moderado"),CONCATENATE("R2C",'Mapa final'!#REF!),"")</f>
        <v>#REF!</v>
      </c>
      <c r="AB17" s="36" t="e">
        <f>IF(AND('Mapa final'!#REF!="Alta",'Mapa final'!#REF!="Mayor"),CONCATENATE("R2C",'Mapa final'!#REF!),"")</f>
        <v>#REF!</v>
      </c>
      <c r="AC17" s="37" t="e">
        <f>IF(AND('Mapa final'!#REF!="Alta",'Mapa final'!#REF!="Mayor"),CONCATENATE("R2C",'Mapa final'!#REF!),"")</f>
        <v>#REF!</v>
      </c>
      <c r="AD17" s="37" t="e">
        <f>IF(AND('Mapa final'!#REF!="Alta",'Mapa final'!#REF!="Mayor"),CONCATENATE("R2C",'Mapa final'!#REF!),"")</f>
        <v>#REF!</v>
      </c>
      <c r="AE17" s="37" t="e">
        <f>IF(AND('Mapa final'!#REF!="Alta",'Mapa final'!#REF!="Mayor"),CONCATENATE("R2C",'Mapa final'!#REF!),"")</f>
        <v>#REF!</v>
      </c>
      <c r="AF17" s="37" t="e">
        <f>IF(AND('Mapa final'!#REF!="Alta",'Mapa final'!#REF!="Mayor"),CONCATENATE("R2C",'Mapa final'!#REF!),"")</f>
        <v>#REF!</v>
      </c>
      <c r="AG17" s="38" t="e">
        <f>IF(AND('Mapa final'!#REF!="Alta",'Mapa final'!#REF!="Mayor"),CONCATENATE("R2C",'Mapa final'!#REF!),"")</f>
        <v>#REF!</v>
      </c>
      <c r="AH17" s="39" t="e">
        <f>IF(AND('Mapa final'!#REF!="Alta",'Mapa final'!#REF!="Catastrófico"),CONCATENATE("R2C",'Mapa final'!#REF!),"")</f>
        <v>#REF!</v>
      </c>
      <c r="AI17" s="40" t="e">
        <f>IF(AND('Mapa final'!#REF!="Alta",'Mapa final'!#REF!="Catastrófico"),CONCATENATE("R2C",'Mapa final'!#REF!),"")</f>
        <v>#REF!</v>
      </c>
      <c r="AJ17" s="40" t="e">
        <f>IF(AND('Mapa final'!#REF!="Alta",'Mapa final'!#REF!="Catastrófico"),CONCATENATE("R2C",'Mapa final'!#REF!),"")</f>
        <v>#REF!</v>
      </c>
      <c r="AK17" s="40" t="e">
        <f>IF(AND('Mapa final'!#REF!="Alta",'Mapa final'!#REF!="Catastrófico"),CONCATENATE("R2C",'Mapa final'!#REF!),"")</f>
        <v>#REF!</v>
      </c>
      <c r="AL17" s="40" t="e">
        <f>IF(AND('Mapa final'!#REF!="Alta",'Mapa final'!#REF!="Catastrófico"),CONCATENATE("R2C",'Mapa final'!#REF!),"")</f>
        <v>#REF!</v>
      </c>
      <c r="AM17" s="41" t="e">
        <f>IF(AND('Mapa final'!#REF!="Alta",'Mapa final'!#REF!="Catastrófico"),CONCATENATE("R2C",'Mapa final'!#REF!),"")</f>
        <v>#REF!</v>
      </c>
      <c r="AN17" s="67"/>
      <c r="AO17" s="548"/>
      <c r="AP17" s="549"/>
      <c r="AQ17" s="549"/>
      <c r="AR17" s="549"/>
      <c r="AS17" s="549"/>
      <c r="AT17" s="550"/>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459"/>
      <c r="C18" s="459"/>
      <c r="D18" s="460"/>
      <c r="E18" s="558"/>
      <c r="F18" s="557"/>
      <c r="G18" s="557"/>
      <c r="H18" s="557"/>
      <c r="I18" s="557"/>
      <c r="J18" s="51" t="str">
        <f>IF(AND('Mapa final'!$AB$16="Alta",'Mapa final'!$AD$16="Leve"),CONCATENATE("R3C",'Mapa final'!$R$16),"")</f>
        <v/>
      </c>
      <c r="K18" s="52" t="e">
        <f>IF(AND('Mapa final'!#REF!="Alta",'Mapa final'!#REF!="Leve"),CONCATENATE("R3C",'Mapa final'!#REF!),"")</f>
        <v>#REF!</v>
      </c>
      <c r="L18" s="52" t="e">
        <f>IF(AND('Mapa final'!#REF!="Alta",'Mapa final'!#REF!="Leve"),CONCATENATE("R3C",'Mapa final'!#REF!),"")</f>
        <v>#REF!</v>
      </c>
      <c r="M18" s="52" t="e">
        <f>IF(AND('Mapa final'!#REF!="Alta",'Mapa final'!#REF!="Leve"),CONCATENATE("R3C",'Mapa final'!#REF!),"")</f>
        <v>#REF!</v>
      </c>
      <c r="N18" s="52" t="e">
        <f>IF(AND('Mapa final'!#REF!="Alta",'Mapa final'!#REF!="Leve"),CONCATENATE("R3C",'Mapa final'!#REF!),"")</f>
        <v>#REF!</v>
      </c>
      <c r="O18" s="53" t="e">
        <f>IF(AND('Mapa final'!#REF!="Alta",'Mapa final'!#REF!="Leve"),CONCATENATE("R3C",'Mapa final'!#REF!),"")</f>
        <v>#REF!</v>
      </c>
      <c r="P18" s="51" t="str">
        <f>IF(AND('Mapa final'!$AB$16="Alta",'Mapa final'!$AD$16="Menor"),CONCATENATE("R3C",'Mapa final'!$R$16),"")</f>
        <v/>
      </c>
      <c r="Q18" s="52" t="e">
        <f>IF(AND('Mapa final'!#REF!="Alta",'Mapa final'!#REF!="Menor"),CONCATENATE("R3C",'Mapa final'!#REF!),"")</f>
        <v>#REF!</v>
      </c>
      <c r="R18" s="52" t="e">
        <f>IF(AND('Mapa final'!#REF!="Alta",'Mapa final'!#REF!="Menor"),CONCATENATE("R3C",'Mapa final'!#REF!),"")</f>
        <v>#REF!</v>
      </c>
      <c r="S18" s="52" t="e">
        <f>IF(AND('Mapa final'!#REF!="Alta",'Mapa final'!#REF!="Menor"),CONCATENATE("R3C",'Mapa final'!#REF!),"")</f>
        <v>#REF!</v>
      </c>
      <c r="T18" s="52" t="e">
        <f>IF(AND('Mapa final'!#REF!="Alta",'Mapa final'!#REF!="Menor"),CONCATENATE("R3C",'Mapa final'!#REF!),"")</f>
        <v>#REF!</v>
      </c>
      <c r="U18" s="53" t="e">
        <f>IF(AND('Mapa final'!#REF!="Alta",'Mapa final'!#REF!="Menor"),CONCATENATE("R3C",'Mapa final'!#REF!),"")</f>
        <v>#REF!</v>
      </c>
      <c r="V18" s="36" t="str">
        <f>IF(AND('Mapa final'!$AB$16="Alta",'Mapa final'!$AD$16="Moderado"),CONCATENATE("R3C",'Mapa final'!$R$16),"")</f>
        <v/>
      </c>
      <c r="W18" s="37" t="e">
        <f>IF(AND('Mapa final'!#REF!="Alta",'Mapa final'!#REF!="Moderado"),CONCATENATE("R3C",'Mapa final'!#REF!),"")</f>
        <v>#REF!</v>
      </c>
      <c r="X18" s="37" t="e">
        <f>IF(AND('Mapa final'!#REF!="Alta",'Mapa final'!#REF!="Moderado"),CONCATENATE("R3C",'Mapa final'!#REF!),"")</f>
        <v>#REF!</v>
      </c>
      <c r="Y18" s="37" t="e">
        <f>IF(AND('Mapa final'!#REF!="Alta",'Mapa final'!#REF!="Moderado"),CONCATENATE("R3C",'Mapa final'!#REF!),"")</f>
        <v>#REF!</v>
      </c>
      <c r="Z18" s="37" t="e">
        <f>IF(AND('Mapa final'!#REF!="Alta",'Mapa final'!#REF!="Moderado"),CONCATENATE("R3C",'Mapa final'!#REF!),"")</f>
        <v>#REF!</v>
      </c>
      <c r="AA18" s="38" t="e">
        <f>IF(AND('Mapa final'!#REF!="Alta",'Mapa final'!#REF!="Moderado"),CONCATENATE("R3C",'Mapa final'!#REF!),"")</f>
        <v>#REF!</v>
      </c>
      <c r="AB18" s="36" t="str">
        <f>IF(AND('Mapa final'!$AB$16="Alta",'Mapa final'!$AD$16="Mayor"),CONCATENATE("R3C",'Mapa final'!$R$16),"")</f>
        <v/>
      </c>
      <c r="AC18" s="37" t="e">
        <f>IF(AND('Mapa final'!#REF!="Alta",'Mapa final'!#REF!="Mayor"),CONCATENATE("R3C",'Mapa final'!#REF!),"")</f>
        <v>#REF!</v>
      </c>
      <c r="AD18" s="37" t="e">
        <f>IF(AND('Mapa final'!#REF!="Alta",'Mapa final'!#REF!="Mayor"),CONCATENATE("R3C",'Mapa final'!#REF!),"")</f>
        <v>#REF!</v>
      </c>
      <c r="AE18" s="37" t="e">
        <f>IF(AND('Mapa final'!#REF!="Alta",'Mapa final'!#REF!="Mayor"),CONCATENATE("R3C",'Mapa final'!#REF!),"")</f>
        <v>#REF!</v>
      </c>
      <c r="AF18" s="37" t="e">
        <f>IF(AND('Mapa final'!#REF!="Alta",'Mapa final'!#REF!="Mayor"),CONCATENATE("R3C",'Mapa final'!#REF!),"")</f>
        <v>#REF!</v>
      </c>
      <c r="AG18" s="38" t="e">
        <f>IF(AND('Mapa final'!#REF!="Alta",'Mapa final'!#REF!="Mayor"),CONCATENATE("R3C",'Mapa final'!#REF!),"")</f>
        <v>#REF!</v>
      </c>
      <c r="AH18" s="39" t="str">
        <f>IF(AND('Mapa final'!$AB$16="Alta",'Mapa final'!$AD$16="Catastrófico"),CONCATENATE("R3C",'Mapa final'!$R$16),"")</f>
        <v>R3C</v>
      </c>
      <c r="AI18" s="40" t="e">
        <f>IF(AND('Mapa final'!#REF!="Alta",'Mapa final'!#REF!="Catastrófico"),CONCATENATE("R3C",'Mapa final'!#REF!),"")</f>
        <v>#REF!</v>
      </c>
      <c r="AJ18" s="40" t="e">
        <f>IF(AND('Mapa final'!#REF!="Alta",'Mapa final'!#REF!="Catastrófico"),CONCATENATE("R3C",'Mapa final'!#REF!),"")</f>
        <v>#REF!</v>
      </c>
      <c r="AK18" s="40" t="e">
        <f>IF(AND('Mapa final'!#REF!="Alta",'Mapa final'!#REF!="Catastrófico"),CONCATENATE("R3C",'Mapa final'!#REF!),"")</f>
        <v>#REF!</v>
      </c>
      <c r="AL18" s="40" t="e">
        <f>IF(AND('Mapa final'!#REF!="Alta",'Mapa final'!#REF!="Catastrófico"),CONCATENATE("R3C",'Mapa final'!#REF!),"")</f>
        <v>#REF!</v>
      </c>
      <c r="AM18" s="41" t="e">
        <f>IF(AND('Mapa final'!#REF!="Alta",'Mapa final'!#REF!="Catastrófico"),CONCATENATE("R3C",'Mapa final'!#REF!),"")</f>
        <v>#REF!</v>
      </c>
      <c r="AN18" s="67"/>
      <c r="AO18" s="548"/>
      <c r="AP18" s="549"/>
      <c r="AQ18" s="549"/>
      <c r="AR18" s="549"/>
      <c r="AS18" s="549"/>
      <c r="AT18" s="550"/>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459"/>
      <c r="C19" s="459"/>
      <c r="D19" s="460"/>
      <c r="E19" s="558"/>
      <c r="F19" s="557"/>
      <c r="G19" s="557"/>
      <c r="H19" s="557"/>
      <c r="I19" s="557"/>
      <c r="J19" s="51" t="e">
        <f>IF(AND('Mapa final'!#REF!="Alta",'Mapa final'!#REF!="Leve"),CONCATENATE("R4C",'Mapa final'!#REF!),"")</f>
        <v>#REF!</v>
      </c>
      <c r="K19" s="52" t="e">
        <f>IF(AND('Mapa final'!#REF!="Alta",'Mapa final'!#REF!="Leve"),CONCATENATE("R4C",'Mapa final'!#REF!),"")</f>
        <v>#REF!</v>
      </c>
      <c r="L19" s="52" t="e">
        <f>IF(AND('Mapa final'!#REF!="Alta",'Mapa final'!#REF!="Leve"),CONCATENATE("R4C",'Mapa final'!#REF!),"")</f>
        <v>#REF!</v>
      </c>
      <c r="M19" s="52" t="e">
        <f>IF(AND('Mapa final'!#REF!="Alta",'Mapa final'!#REF!="Leve"),CONCATENATE("R4C",'Mapa final'!#REF!),"")</f>
        <v>#REF!</v>
      </c>
      <c r="N19" s="52" t="e">
        <f>IF(AND('Mapa final'!#REF!="Alta",'Mapa final'!#REF!="Leve"),CONCATENATE("R4C",'Mapa final'!#REF!),"")</f>
        <v>#REF!</v>
      </c>
      <c r="O19" s="53" t="e">
        <f>IF(AND('Mapa final'!#REF!="Alta",'Mapa final'!#REF!="Leve"),CONCATENATE("R4C",'Mapa final'!#REF!),"")</f>
        <v>#REF!</v>
      </c>
      <c r="P19" s="51" t="e">
        <f>IF(AND('Mapa final'!#REF!="Alta",'Mapa final'!#REF!="Menor"),CONCATENATE("R4C",'Mapa final'!#REF!),"")</f>
        <v>#REF!</v>
      </c>
      <c r="Q19" s="52" t="e">
        <f>IF(AND('Mapa final'!#REF!="Alta",'Mapa final'!#REF!="Menor"),CONCATENATE("R4C",'Mapa final'!#REF!),"")</f>
        <v>#REF!</v>
      </c>
      <c r="R19" s="52" t="e">
        <f>IF(AND('Mapa final'!#REF!="Alta",'Mapa final'!#REF!="Menor"),CONCATENATE("R4C",'Mapa final'!#REF!),"")</f>
        <v>#REF!</v>
      </c>
      <c r="S19" s="52" t="e">
        <f>IF(AND('Mapa final'!#REF!="Alta",'Mapa final'!#REF!="Menor"),CONCATENATE("R4C",'Mapa final'!#REF!),"")</f>
        <v>#REF!</v>
      </c>
      <c r="T19" s="52" t="e">
        <f>IF(AND('Mapa final'!#REF!="Alta",'Mapa final'!#REF!="Menor"),CONCATENATE("R4C",'Mapa final'!#REF!),"")</f>
        <v>#REF!</v>
      </c>
      <c r="U19" s="53" t="e">
        <f>IF(AND('Mapa final'!#REF!="Alta",'Mapa final'!#REF!="Menor"),CONCATENATE("R4C",'Mapa final'!#REF!),"")</f>
        <v>#REF!</v>
      </c>
      <c r="V19" s="36" t="e">
        <f>IF(AND('Mapa final'!#REF!="Alta",'Mapa final'!#REF!="Moderado"),CONCATENATE("R4C",'Mapa final'!#REF!),"")</f>
        <v>#REF!</v>
      </c>
      <c r="W19" s="37" t="e">
        <f>IF(AND('Mapa final'!#REF!="Alta",'Mapa final'!#REF!="Moderado"),CONCATENATE("R4C",'Mapa final'!#REF!),"")</f>
        <v>#REF!</v>
      </c>
      <c r="X19" s="37" t="e">
        <f>IF(AND('Mapa final'!#REF!="Alta",'Mapa final'!#REF!="Moderado"),CONCATENATE("R4C",'Mapa final'!#REF!),"")</f>
        <v>#REF!</v>
      </c>
      <c r="Y19" s="37" t="e">
        <f>IF(AND('Mapa final'!#REF!="Alta",'Mapa final'!#REF!="Moderado"),CONCATENATE("R4C",'Mapa final'!#REF!),"")</f>
        <v>#REF!</v>
      </c>
      <c r="Z19" s="37" t="e">
        <f>IF(AND('Mapa final'!#REF!="Alta",'Mapa final'!#REF!="Moderado"),CONCATENATE("R4C",'Mapa final'!#REF!),"")</f>
        <v>#REF!</v>
      </c>
      <c r="AA19" s="38" t="e">
        <f>IF(AND('Mapa final'!#REF!="Alta",'Mapa final'!#REF!="Moderado"),CONCATENATE("R4C",'Mapa final'!#REF!),"")</f>
        <v>#REF!</v>
      </c>
      <c r="AB19" s="36" t="e">
        <f>IF(AND('Mapa final'!#REF!="Alta",'Mapa final'!#REF!="Mayor"),CONCATENATE("R4C",'Mapa final'!#REF!),"")</f>
        <v>#REF!</v>
      </c>
      <c r="AC19" s="37" t="e">
        <f>IF(AND('Mapa final'!#REF!="Alta",'Mapa final'!#REF!="Mayor"),CONCATENATE("R4C",'Mapa final'!#REF!),"")</f>
        <v>#REF!</v>
      </c>
      <c r="AD19" s="37" t="e">
        <f>IF(AND('Mapa final'!#REF!="Alta",'Mapa final'!#REF!="Mayor"),CONCATENATE("R4C",'Mapa final'!#REF!),"")</f>
        <v>#REF!</v>
      </c>
      <c r="AE19" s="37" t="e">
        <f>IF(AND('Mapa final'!#REF!="Alta",'Mapa final'!#REF!="Mayor"),CONCATENATE("R4C",'Mapa final'!#REF!),"")</f>
        <v>#REF!</v>
      </c>
      <c r="AF19" s="37" t="e">
        <f>IF(AND('Mapa final'!#REF!="Alta",'Mapa final'!#REF!="Mayor"),CONCATENATE("R4C",'Mapa final'!#REF!),"")</f>
        <v>#REF!</v>
      </c>
      <c r="AG19" s="38" t="e">
        <f>IF(AND('Mapa final'!#REF!="Alta",'Mapa final'!#REF!="Mayor"),CONCATENATE("R4C",'Mapa final'!#REF!),"")</f>
        <v>#REF!</v>
      </c>
      <c r="AH19" s="39" t="e">
        <f>IF(AND('Mapa final'!#REF!="Alta",'Mapa final'!#REF!="Catastrófico"),CONCATENATE("R4C",'Mapa final'!#REF!),"")</f>
        <v>#REF!</v>
      </c>
      <c r="AI19" s="40" t="e">
        <f>IF(AND('Mapa final'!#REF!="Alta",'Mapa final'!#REF!="Catastrófico"),CONCATENATE("R4C",'Mapa final'!#REF!),"")</f>
        <v>#REF!</v>
      </c>
      <c r="AJ19" s="40" t="e">
        <f>IF(AND('Mapa final'!#REF!="Alta",'Mapa final'!#REF!="Catastrófico"),CONCATENATE("R4C",'Mapa final'!#REF!),"")</f>
        <v>#REF!</v>
      </c>
      <c r="AK19" s="40" t="e">
        <f>IF(AND('Mapa final'!#REF!="Alta",'Mapa final'!#REF!="Catastrófico"),CONCATENATE("R4C",'Mapa final'!#REF!),"")</f>
        <v>#REF!</v>
      </c>
      <c r="AL19" s="40" t="e">
        <f>IF(AND('Mapa final'!#REF!="Alta",'Mapa final'!#REF!="Catastrófico"),CONCATENATE("R4C",'Mapa final'!#REF!),"")</f>
        <v>#REF!</v>
      </c>
      <c r="AM19" s="41" t="e">
        <f>IF(AND('Mapa final'!#REF!="Alta",'Mapa final'!#REF!="Catastrófico"),CONCATENATE("R4C",'Mapa final'!#REF!),"")</f>
        <v>#REF!</v>
      </c>
      <c r="AN19" s="67"/>
      <c r="AO19" s="548"/>
      <c r="AP19" s="549"/>
      <c r="AQ19" s="549"/>
      <c r="AR19" s="549"/>
      <c r="AS19" s="549"/>
      <c r="AT19" s="550"/>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459"/>
      <c r="C20" s="459"/>
      <c r="D20" s="460"/>
      <c r="E20" s="558"/>
      <c r="F20" s="557"/>
      <c r="G20" s="557"/>
      <c r="H20" s="557"/>
      <c r="I20" s="557"/>
      <c r="J20" s="51" t="e">
        <f>IF(AND('Mapa final'!#REF!="Alta",'Mapa final'!#REF!="Leve"),CONCATENATE("R5C",'Mapa final'!#REF!),"")</f>
        <v>#REF!</v>
      </c>
      <c r="K20" s="52" t="e">
        <f>IF(AND('Mapa final'!#REF!="Alta",'Mapa final'!#REF!="Leve"),CONCATENATE("R5C",'Mapa final'!#REF!),"")</f>
        <v>#REF!</v>
      </c>
      <c r="L20" s="52" t="e">
        <f>IF(AND('Mapa final'!#REF!="Alta",'Mapa final'!#REF!="Leve"),CONCATENATE("R5C",'Mapa final'!#REF!),"")</f>
        <v>#REF!</v>
      </c>
      <c r="M20" s="52" t="e">
        <f>IF(AND('Mapa final'!#REF!="Alta",'Mapa final'!#REF!="Leve"),CONCATENATE("R5C",'Mapa final'!#REF!),"")</f>
        <v>#REF!</v>
      </c>
      <c r="N20" s="52" t="e">
        <f>IF(AND('Mapa final'!#REF!="Alta",'Mapa final'!#REF!="Leve"),CONCATENATE("R5C",'Mapa final'!#REF!),"")</f>
        <v>#REF!</v>
      </c>
      <c r="O20" s="53" t="e">
        <f>IF(AND('Mapa final'!#REF!="Alta",'Mapa final'!#REF!="Leve"),CONCATENATE("R5C",'Mapa final'!#REF!),"")</f>
        <v>#REF!</v>
      </c>
      <c r="P20" s="51" t="e">
        <f>IF(AND('Mapa final'!#REF!="Alta",'Mapa final'!#REF!="Menor"),CONCATENATE("R5C",'Mapa final'!#REF!),"")</f>
        <v>#REF!</v>
      </c>
      <c r="Q20" s="52" t="e">
        <f>IF(AND('Mapa final'!#REF!="Alta",'Mapa final'!#REF!="Menor"),CONCATENATE("R5C",'Mapa final'!#REF!),"")</f>
        <v>#REF!</v>
      </c>
      <c r="R20" s="52" t="e">
        <f>IF(AND('Mapa final'!#REF!="Alta",'Mapa final'!#REF!="Menor"),CONCATENATE("R5C",'Mapa final'!#REF!),"")</f>
        <v>#REF!</v>
      </c>
      <c r="S20" s="52" t="e">
        <f>IF(AND('Mapa final'!#REF!="Alta",'Mapa final'!#REF!="Menor"),CONCATENATE("R5C",'Mapa final'!#REF!),"")</f>
        <v>#REF!</v>
      </c>
      <c r="T20" s="52" t="e">
        <f>IF(AND('Mapa final'!#REF!="Alta",'Mapa final'!#REF!="Menor"),CONCATENATE("R5C",'Mapa final'!#REF!),"")</f>
        <v>#REF!</v>
      </c>
      <c r="U20" s="53" t="e">
        <f>IF(AND('Mapa final'!#REF!="Alta",'Mapa final'!#REF!="Menor"),CONCATENATE("R5C",'Mapa final'!#REF!),"")</f>
        <v>#REF!</v>
      </c>
      <c r="V20" s="36" t="e">
        <f>IF(AND('Mapa final'!#REF!="Alta",'Mapa final'!#REF!="Moderado"),CONCATENATE("R5C",'Mapa final'!#REF!),"")</f>
        <v>#REF!</v>
      </c>
      <c r="W20" s="37" t="e">
        <f>IF(AND('Mapa final'!#REF!="Alta",'Mapa final'!#REF!="Moderado"),CONCATENATE("R5C",'Mapa final'!#REF!),"")</f>
        <v>#REF!</v>
      </c>
      <c r="X20" s="37" t="e">
        <f>IF(AND('Mapa final'!#REF!="Alta",'Mapa final'!#REF!="Moderado"),CONCATENATE("R5C",'Mapa final'!#REF!),"")</f>
        <v>#REF!</v>
      </c>
      <c r="Y20" s="37" t="e">
        <f>IF(AND('Mapa final'!#REF!="Alta",'Mapa final'!#REF!="Moderado"),CONCATENATE("R5C",'Mapa final'!#REF!),"")</f>
        <v>#REF!</v>
      </c>
      <c r="Z20" s="37" t="e">
        <f>IF(AND('Mapa final'!#REF!="Alta",'Mapa final'!#REF!="Moderado"),CONCATENATE("R5C",'Mapa final'!#REF!),"")</f>
        <v>#REF!</v>
      </c>
      <c r="AA20" s="38" t="e">
        <f>IF(AND('Mapa final'!#REF!="Alta",'Mapa final'!#REF!="Moderado"),CONCATENATE("R5C",'Mapa final'!#REF!),"")</f>
        <v>#REF!</v>
      </c>
      <c r="AB20" s="36" t="e">
        <f>IF(AND('Mapa final'!#REF!="Alta",'Mapa final'!#REF!="Mayor"),CONCATENATE("R5C",'Mapa final'!#REF!),"")</f>
        <v>#REF!</v>
      </c>
      <c r="AC20" s="37" t="e">
        <f>IF(AND('Mapa final'!#REF!="Alta",'Mapa final'!#REF!="Mayor"),CONCATENATE("R5C",'Mapa final'!#REF!),"")</f>
        <v>#REF!</v>
      </c>
      <c r="AD20" s="37" t="e">
        <f>IF(AND('Mapa final'!#REF!="Alta",'Mapa final'!#REF!="Mayor"),CONCATENATE("R5C",'Mapa final'!#REF!),"")</f>
        <v>#REF!</v>
      </c>
      <c r="AE20" s="37" t="e">
        <f>IF(AND('Mapa final'!#REF!="Alta",'Mapa final'!#REF!="Mayor"),CONCATENATE("R5C",'Mapa final'!#REF!),"")</f>
        <v>#REF!</v>
      </c>
      <c r="AF20" s="37" t="e">
        <f>IF(AND('Mapa final'!#REF!="Alta",'Mapa final'!#REF!="Mayor"),CONCATENATE("R5C",'Mapa final'!#REF!),"")</f>
        <v>#REF!</v>
      </c>
      <c r="AG20" s="38" t="e">
        <f>IF(AND('Mapa final'!#REF!="Alta",'Mapa final'!#REF!="Mayor"),CONCATENATE("R5C",'Mapa final'!#REF!),"")</f>
        <v>#REF!</v>
      </c>
      <c r="AH20" s="39" t="e">
        <f>IF(AND('Mapa final'!#REF!="Alta",'Mapa final'!#REF!="Catastrófico"),CONCATENATE("R5C",'Mapa final'!#REF!),"")</f>
        <v>#REF!</v>
      </c>
      <c r="AI20" s="40" t="e">
        <f>IF(AND('Mapa final'!#REF!="Alta",'Mapa final'!#REF!="Catastrófico"),CONCATENATE("R5C",'Mapa final'!#REF!),"")</f>
        <v>#REF!</v>
      </c>
      <c r="AJ20" s="40" t="e">
        <f>IF(AND('Mapa final'!#REF!="Alta",'Mapa final'!#REF!="Catastrófico"),CONCATENATE("R5C",'Mapa final'!#REF!),"")</f>
        <v>#REF!</v>
      </c>
      <c r="AK20" s="40" t="e">
        <f>IF(AND('Mapa final'!#REF!="Alta",'Mapa final'!#REF!="Catastrófico"),CONCATENATE("R5C",'Mapa final'!#REF!),"")</f>
        <v>#REF!</v>
      </c>
      <c r="AL20" s="40" t="e">
        <f>IF(AND('Mapa final'!#REF!="Alta",'Mapa final'!#REF!="Catastrófico"),CONCATENATE("R5C",'Mapa final'!#REF!),"")</f>
        <v>#REF!</v>
      </c>
      <c r="AM20" s="41" t="e">
        <f>IF(AND('Mapa final'!#REF!="Alta",'Mapa final'!#REF!="Catastrófico"),CONCATENATE("R5C",'Mapa final'!#REF!),"")</f>
        <v>#REF!</v>
      </c>
      <c r="AN20" s="67"/>
      <c r="AO20" s="548"/>
      <c r="AP20" s="549"/>
      <c r="AQ20" s="549"/>
      <c r="AR20" s="549"/>
      <c r="AS20" s="549"/>
      <c r="AT20" s="550"/>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459"/>
      <c r="C21" s="459"/>
      <c r="D21" s="460"/>
      <c r="E21" s="558"/>
      <c r="F21" s="557"/>
      <c r="G21" s="557"/>
      <c r="H21" s="557"/>
      <c r="I21" s="557"/>
      <c r="J21" s="51" t="e">
        <f>IF(AND('Mapa final'!#REF!="Alta",'Mapa final'!#REF!="Leve"),CONCATENATE("R6C",'Mapa final'!#REF!),"")</f>
        <v>#REF!</v>
      </c>
      <c r="K21" s="52" t="e">
        <f>IF(AND('Mapa final'!#REF!="Alta",'Mapa final'!#REF!="Leve"),CONCATENATE("R6C",'Mapa final'!#REF!),"")</f>
        <v>#REF!</v>
      </c>
      <c r="L21" s="52" t="e">
        <f>IF(AND('Mapa final'!#REF!="Alta",'Mapa final'!#REF!="Leve"),CONCATENATE("R6C",'Mapa final'!#REF!),"")</f>
        <v>#REF!</v>
      </c>
      <c r="M21" s="52" t="e">
        <f>IF(AND('Mapa final'!#REF!="Alta",'Mapa final'!#REF!="Leve"),CONCATENATE("R6C",'Mapa final'!#REF!),"")</f>
        <v>#REF!</v>
      </c>
      <c r="N21" s="52" t="e">
        <f>IF(AND('Mapa final'!#REF!="Alta",'Mapa final'!#REF!="Leve"),CONCATENATE("R6C",'Mapa final'!#REF!),"")</f>
        <v>#REF!</v>
      </c>
      <c r="O21" s="53" t="e">
        <f>IF(AND('Mapa final'!#REF!="Alta",'Mapa final'!#REF!="Leve"),CONCATENATE("R6C",'Mapa final'!#REF!),"")</f>
        <v>#REF!</v>
      </c>
      <c r="P21" s="51" t="e">
        <f>IF(AND('Mapa final'!#REF!="Alta",'Mapa final'!#REF!="Menor"),CONCATENATE("R6C",'Mapa final'!#REF!),"")</f>
        <v>#REF!</v>
      </c>
      <c r="Q21" s="52" t="e">
        <f>IF(AND('Mapa final'!#REF!="Alta",'Mapa final'!#REF!="Menor"),CONCATENATE("R6C",'Mapa final'!#REF!),"")</f>
        <v>#REF!</v>
      </c>
      <c r="R21" s="52" t="e">
        <f>IF(AND('Mapa final'!#REF!="Alta",'Mapa final'!#REF!="Menor"),CONCATENATE("R6C",'Mapa final'!#REF!),"")</f>
        <v>#REF!</v>
      </c>
      <c r="S21" s="52" t="e">
        <f>IF(AND('Mapa final'!#REF!="Alta",'Mapa final'!#REF!="Menor"),CONCATENATE("R6C",'Mapa final'!#REF!),"")</f>
        <v>#REF!</v>
      </c>
      <c r="T21" s="52" t="e">
        <f>IF(AND('Mapa final'!#REF!="Alta",'Mapa final'!#REF!="Menor"),CONCATENATE("R6C",'Mapa final'!#REF!),"")</f>
        <v>#REF!</v>
      </c>
      <c r="U21" s="53" t="e">
        <f>IF(AND('Mapa final'!#REF!="Alta",'Mapa final'!#REF!="Menor"),CONCATENATE("R6C",'Mapa final'!#REF!),"")</f>
        <v>#REF!</v>
      </c>
      <c r="V21" s="36" t="e">
        <f>IF(AND('Mapa final'!#REF!="Alta",'Mapa final'!#REF!="Moderado"),CONCATENATE("R6C",'Mapa final'!#REF!),"")</f>
        <v>#REF!</v>
      </c>
      <c r="W21" s="37" t="e">
        <f>IF(AND('Mapa final'!#REF!="Alta",'Mapa final'!#REF!="Moderado"),CONCATENATE("R6C",'Mapa final'!#REF!),"")</f>
        <v>#REF!</v>
      </c>
      <c r="X21" s="37" t="e">
        <f>IF(AND('Mapa final'!#REF!="Alta",'Mapa final'!#REF!="Moderado"),CONCATENATE("R6C",'Mapa final'!#REF!),"")</f>
        <v>#REF!</v>
      </c>
      <c r="Y21" s="37" t="e">
        <f>IF(AND('Mapa final'!#REF!="Alta",'Mapa final'!#REF!="Moderado"),CONCATENATE("R6C",'Mapa final'!#REF!),"")</f>
        <v>#REF!</v>
      </c>
      <c r="Z21" s="37" t="e">
        <f>IF(AND('Mapa final'!#REF!="Alta",'Mapa final'!#REF!="Moderado"),CONCATENATE("R6C",'Mapa final'!#REF!),"")</f>
        <v>#REF!</v>
      </c>
      <c r="AA21" s="38" t="e">
        <f>IF(AND('Mapa final'!#REF!="Alta",'Mapa final'!#REF!="Moderado"),CONCATENATE("R6C",'Mapa final'!#REF!),"")</f>
        <v>#REF!</v>
      </c>
      <c r="AB21" s="36" t="e">
        <f>IF(AND('Mapa final'!#REF!="Alta",'Mapa final'!#REF!="Mayor"),CONCATENATE("R6C",'Mapa final'!#REF!),"")</f>
        <v>#REF!</v>
      </c>
      <c r="AC21" s="37" t="e">
        <f>IF(AND('Mapa final'!#REF!="Alta",'Mapa final'!#REF!="Mayor"),CONCATENATE("R6C",'Mapa final'!#REF!),"")</f>
        <v>#REF!</v>
      </c>
      <c r="AD21" s="37" t="e">
        <f>IF(AND('Mapa final'!#REF!="Alta",'Mapa final'!#REF!="Mayor"),CONCATENATE("R6C",'Mapa final'!#REF!),"")</f>
        <v>#REF!</v>
      </c>
      <c r="AE21" s="37" t="e">
        <f>IF(AND('Mapa final'!#REF!="Alta",'Mapa final'!#REF!="Mayor"),CONCATENATE("R6C",'Mapa final'!#REF!),"")</f>
        <v>#REF!</v>
      </c>
      <c r="AF21" s="37" t="e">
        <f>IF(AND('Mapa final'!#REF!="Alta",'Mapa final'!#REF!="Mayor"),CONCATENATE("R6C",'Mapa final'!#REF!),"")</f>
        <v>#REF!</v>
      </c>
      <c r="AG21" s="38" t="e">
        <f>IF(AND('Mapa final'!#REF!="Alta",'Mapa final'!#REF!="Mayor"),CONCATENATE("R6C",'Mapa final'!#REF!),"")</f>
        <v>#REF!</v>
      </c>
      <c r="AH21" s="39" t="e">
        <f>IF(AND('Mapa final'!#REF!="Alta",'Mapa final'!#REF!="Catastrófico"),CONCATENATE("R6C",'Mapa final'!#REF!),"")</f>
        <v>#REF!</v>
      </c>
      <c r="AI21" s="40" t="e">
        <f>IF(AND('Mapa final'!#REF!="Alta",'Mapa final'!#REF!="Catastrófico"),CONCATENATE("R6C",'Mapa final'!#REF!),"")</f>
        <v>#REF!</v>
      </c>
      <c r="AJ21" s="40" t="e">
        <f>IF(AND('Mapa final'!#REF!="Alta",'Mapa final'!#REF!="Catastrófico"),CONCATENATE("R6C",'Mapa final'!#REF!),"")</f>
        <v>#REF!</v>
      </c>
      <c r="AK21" s="40" t="e">
        <f>IF(AND('Mapa final'!#REF!="Alta",'Mapa final'!#REF!="Catastrófico"),CONCATENATE("R6C",'Mapa final'!#REF!),"")</f>
        <v>#REF!</v>
      </c>
      <c r="AL21" s="40" t="e">
        <f>IF(AND('Mapa final'!#REF!="Alta",'Mapa final'!#REF!="Catastrófico"),CONCATENATE("R6C",'Mapa final'!#REF!),"")</f>
        <v>#REF!</v>
      </c>
      <c r="AM21" s="41" t="e">
        <f>IF(AND('Mapa final'!#REF!="Alta",'Mapa final'!#REF!="Catastrófico"),CONCATENATE("R6C",'Mapa final'!#REF!),"")</f>
        <v>#REF!</v>
      </c>
      <c r="AN21" s="67"/>
      <c r="AO21" s="548"/>
      <c r="AP21" s="549"/>
      <c r="AQ21" s="549"/>
      <c r="AR21" s="549"/>
      <c r="AS21" s="549"/>
      <c r="AT21" s="550"/>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459"/>
      <c r="C22" s="459"/>
      <c r="D22" s="460"/>
      <c r="E22" s="558"/>
      <c r="F22" s="557"/>
      <c r="G22" s="557"/>
      <c r="H22" s="557"/>
      <c r="I22" s="557"/>
      <c r="J22" s="51" t="str">
        <f>IF(AND('Mapa final'!$AB$17="Alta",'Mapa final'!$AD$17="Leve"),CONCATENATE("R7C",'Mapa final'!$R$17),"")</f>
        <v/>
      </c>
      <c r="K22" s="52" t="str">
        <f>IF(AND('Mapa final'!$AB$18="Alta",'Mapa final'!$AD$18="Leve"),CONCATENATE("R7C",'Mapa final'!$R$18),"")</f>
        <v/>
      </c>
      <c r="L22" s="52" t="str">
        <f>IF(AND('Mapa final'!$AB$19="Alta",'Mapa final'!$AD$19="Leve"),CONCATENATE("R7C",'Mapa final'!$R$19),"")</f>
        <v/>
      </c>
      <c r="M22" s="52" t="str">
        <f>IF(AND('Mapa final'!$AB$20="Alta",'Mapa final'!$AD$20="Leve"),CONCATENATE("R7C",'Mapa final'!$R$20),"")</f>
        <v/>
      </c>
      <c r="N22" s="52" t="str">
        <f>IF(AND('Mapa final'!$AB$21="Alta",'Mapa final'!$AD$21="Leve"),CONCATENATE("R7C",'Mapa final'!$R$21),"")</f>
        <v/>
      </c>
      <c r="O22" s="53" t="str">
        <f>IF(AND('Mapa final'!$AB$22="Alta",'Mapa final'!$AD$22="Leve"),CONCATENATE("R7C",'Mapa final'!$R$22),"")</f>
        <v/>
      </c>
      <c r="P22" s="51" t="str">
        <f>IF(AND('Mapa final'!$AB$17="Alta",'Mapa final'!$AD$17="Menor"),CONCATENATE("R7C",'Mapa final'!$R$17),"")</f>
        <v/>
      </c>
      <c r="Q22" s="52" t="str">
        <f>IF(AND('Mapa final'!$AB$18="Alta",'Mapa final'!$AD$18="Menor"),CONCATENATE("R7C",'Mapa final'!$R$18),"")</f>
        <v/>
      </c>
      <c r="R22" s="52" t="str">
        <f>IF(AND('Mapa final'!$AB$19="Alta",'Mapa final'!$AD$19="Menor"),CONCATENATE("R7C",'Mapa final'!$R$19),"")</f>
        <v/>
      </c>
      <c r="S22" s="52" t="str">
        <f>IF(AND('Mapa final'!$AB$20="Alta",'Mapa final'!$AD$20="Menor"),CONCATENATE("R7C",'Mapa final'!$R$20),"")</f>
        <v/>
      </c>
      <c r="T22" s="52" t="str">
        <f>IF(AND('Mapa final'!$AB$21="Alta",'Mapa final'!$AD$21="Menor"),CONCATENATE("R7C",'Mapa final'!$R$21),"")</f>
        <v/>
      </c>
      <c r="U22" s="53" t="str">
        <f>IF(AND('Mapa final'!$AB$22="Alta",'Mapa final'!$AD$22="Menor"),CONCATENATE("R7C",'Mapa final'!$R$22),"")</f>
        <v/>
      </c>
      <c r="V22" s="36" t="str">
        <f>IF(AND('Mapa final'!$AB$17="Alta",'Mapa final'!$AD$17="Moderado"),CONCATENATE("R7C",'Mapa final'!$R$17),"")</f>
        <v/>
      </c>
      <c r="W22" s="37" t="str">
        <f>IF(AND('Mapa final'!$AB$18="Alta",'Mapa final'!$AD$18="Moderado"),CONCATENATE("R7C",'Mapa final'!$R$18),"")</f>
        <v/>
      </c>
      <c r="X22" s="37" t="str">
        <f>IF(AND('Mapa final'!$AB$19="Alta",'Mapa final'!$AD$19="Moderado"),CONCATENATE("R7C",'Mapa final'!$R$19),"")</f>
        <v/>
      </c>
      <c r="Y22" s="37" t="str">
        <f>IF(AND('Mapa final'!$AB$20="Alta",'Mapa final'!$AD$20="Moderado"),CONCATENATE("R7C",'Mapa final'!$R$20),"")</f>
        <v/>
      </c>
      <c r="Z22" s="37" t="str">
        <f>IF(AND('Mapa final'!$AB$21="Alta",'Mapa final'!$AD$21="Moderado"),CONCATENATE("R7C",'Mapa final'!$R$21),"")</f>
        <v/>
      </c>
      <c r="AA22" s="38" t="str">
        <f>IF(AND('Mapa final'!$AB$22="Alta",'Mapa final'!$AD$22="Moderado"),CONCATENATE("R7C",'Mapa final'!$R$22),"")</f>
        <v/>
      </c>
      <c r="AB22" s="36" t="str">
        <f>IF(AND('Mapa final'!$AB$17="Alta",'Mapa final'!$AD$17="Mayor"),CONCATENATE("R7C",'Mapa final'!$R$17),"")</f>
        <v/>
      </c>
      <c r="AC22" s="37" t="str">
        <f>IF(AND('Mapa final'!$AB$18="Alta",'Mapa final'!$AD$18="Mayor"),CONCATENATE("R7C",'Mapa final'!$R$18),"")</f>
        <v/>
      </c>
      <c r="AD22" s="37" t="str">
        <f>IF(AND('Mapa final'!$AB$19="Alta",'Mapa final'!$AD$19="Mayor"),CONCATENATE("R7C",'Mapa final'!$R$19),"")</f>
        <v/>
      </c>
      <c r="AE22" s="37" t="str">
        <f>IF(AND('Mapa final'!$AB$20="Alta",'Mapa final'!$AD$20="Mayor"),CONCATENATE("R7C",'Mapa final'!$R$20),"")</f>
        <v/>
      </c>
      <c r="AF22" s="37" t="str">
        <f>IF(AND('Mapa final'!$AB$21="Alta",'Mapa final'!$AD$21="Mayor"),CONCATENATE("R7C",'Mapa final'!$R$21),"")</f>
        <v/>
      </c>
      <c r="AG22" s="38" t="str">
        <f>IF(AND('Mapa final'!$AB$22="Alta",'Mapa final'!$AD$22="Mayor"),CONCATENATE("R7C",'Mapa final'!$R$22),"")</f>
        <v/>
      </c>
      <c r="AH22" s="39" t="str">
        <f>IF(AND('Mapa final'!$AB$17="Alta",'Mapa final'!$AD$17="Catastrófico"),CONCATENATE("R7C",'Mapa final'!$R$17),"")</f>
        <v/>
      </c>
      <c r="AI22" s="40" t="str">
        <f>IF(AND('Mapa final'!$AB$18="Alta",'Mapa final'!$AD$18="Catastrófico"),CONCATENATE("R7C",'Mapa final'!$R$18),"")</f>
        <v/>
      </c>
      <c r="AJ22" s="40" t="str">
        <f>IF(AND('Mapa final'!$AB$19="Alta",'Mapa final'!$AD$19="Catastrófico"),CONCATENATE("R7C",'Mapa final'!$R$19),"")</f>
        <v/>
      </c>
      <c r="AK22" s="40" t="str">
        <f>IF(AND('Mapa final'!$AB$20="Alta",'Mapa final'!$AD$20="Catastrófico"),CONCATENATE("R7C",'Mapa final'!$R$20),"")</f>
        <v/>
      </c>
      <c r="AL22" s="40" t="str">
        <f>IF(AND('Mapa final'!$AB$21="Alta",'Mapa final'!$AD$21="Catastrófico"),CONCATENATE("R7C",'Mapa final'!$R$21),"")</f>
        <v/>
      </c>
      <c r="AM22" s="41" t="str">
        <f>IF(AND('Mapa final'!$AB$22="Alta",'Mapa final'!$AD$22="Catastrófico"),CONCATENATE("R7C",'Mapa final'!$R$22),"")</f>
        <v/>
      </c>
      <c r="AN22" s="67"/>
      <c r="AO22" s="548"/>
      <c r="AP22" s="549"/>
      <c r="AQ22" s="549"/>
      <c r="AR22" s="549"/>
      <c r="AS22" s="549"/>
      <c r="AT22" s="550"/>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459"/>
      <c r="C23" s="459"/>
      <c r="D23" s="460"/>
      <c r="E23" s="558"/>
      <c r="F23" s="557"/>
      <c r="G23" s="557"/>
      <c r="H23" s="557"/>
      <c r="I23" s="557"/>
      <c r="J23" s="51" t="str">
        <f>IF(AND('Mapa final'!$AB$23="Alta",'Mapa final'!$AD$23="Leve"),CONCATENATE("R8C",'Mapa final'!$R$23),"")</f>
        <v/>
      </c>
      <c r="K23" s="52" t="str">
        <f>IF(AND('Mapa final'!$AB$24="Alta",'Mapa final'!$AD$24="Leve"),CONCATENATE("R8C",'Mapa final'!$R$24),"")</f>
        <v/>
      </c>
      <c r="L23" s="52" t="str">
        <f>IF(AND('Mapa final'!$AB$25="Alta",'Mapa final'!$AD$25="Leve"),CONCATENATE("R8C",'Mapa final'!$R$25),"")</f>
        <v/>
      </c>
      <c r="M23" s="52" t="str">
        <f>IF(AND('Mapa final'!$AB$26="Alta",'Mapa final'!$AD$26="Leve"),CONCATENATE("R8C",'Mapa final'!$R$26),"")</f>
        <v/>
      </c>
      <c r="N23" s="52" t="str">
        <f>IF(AND('Mapa final'!$AB$27="Alta",'Mapa final'!$AD$27="Leve"),CONCATENATE("R8C",'Mapa final'!$R$27),"")</f>
        <v/>
      </c>
      <c r="O23" s="53" t="str">
        <f>IF(AND('Mapa final'!$AB$28="Alta",'Mapa final'!$AD$28="Leve"),CONCATENATE("R8C",'Mapa final'!$R$28),"")</f>
        <v/>
      </c>
      <c r="P23" s="51" t="str">
        <f>IF(AND('Mapa final'!$AB$23="Alta",'Mapa final'!$AD$23="Menor"),CONCATENATE("R8C",'Mapa final'!$R$23),"")</f>
        <v/>
      </c>
      <c r="Q23" s="52" t="str">
        <f>IF(AND('Mapa final'!$AB$24="Alta",'Mapa final'!$AD$24="Menor"),CONCATENATE("R8C",'Mapa final'!$R$24),"")</f>
        <v/>
      </c>
      <c r="R23" s="52" t="str">
        <f>IF(AND('Mapa final'!$AB$25="Alta",'Mapa final'!$AD$25="Menor"),CONCATENATE("R8C",'Mapa final'!$R$25),"")</f>
        <v/>
      </c>
      <c r="S23" s="52" t="str">
        <f>IF(AND('Mapa final'!$AB$26="Alta",'Mapa final'!$AD$26="Menor"),CONCATENATE("R8C",'Mapa final'!$R$26),"")</f>
        <v/>
      </c>
      <c r="T23" s="52" t="str">
        <f>IF(AND('Mapa final'!$AB$27="Alta",'Mapa final'!$AD$27="Menor"),CONCATENATE("R8C",'Mapa final'!$R$27),"")</f>
        <v/>
      </c>
      <c r="U23" s="53" t="str">
        <f>IF(AND('Mapa final'!$AB$28="Alta",'Mapa final'!$AD$28="Menor"),CONCATENATE("R8C",'Mapa final'!$R$28),"")</f>
        <v/>
      </c>
      <c r="V23" s="36" t="str">
        <f>IF(AND('Mapa final'!$AB$23="Alta",'Mapa final'!$AD$23="Moderado"),CONCATENATE("R8C",'Mapa final'!$R$23),"")</f>
        <v/>
      </c>
      <c r="W23" s="37" t="str">
        <f>IF(AND('Mapa final'!$AB$24="Alta",'Mapa final'!$AD$24="Moderado"),CONCATENATE("R8C",'Mapa final'!$R$24),"")</f>
        <v/>
      </c>
      <c r="X23" s="37" t="str">
        <f>IF(AND('Mapa final'!$AB$25="Alta",'Mapa final'!$AD$25="Moderado"),CONCATENATE("R8C",'Mapa final'!$R$25),"")</f>
        <v/>
      </c>
      <c r="Y23" s="37" t="str">
        <f>IF(AND('Mapa final'!$AB$26="Alta",'Mapa final'!$AD$26="Moderado"),CONCATENATE("R8C",'Mapa final'!$R$26),"")</f>
        <v/>
      </c>
      <c r="Z23" s="37" t="str">
        <f>IF(AND('Mapa final'!$AB$27="Alta",'Mapa final'!$AD$27="Moderado"),CONCATENATE("R8C",'Mapa final'!$R$27),"")</f>
        <v/>
      </c>
      <c r="AA23" s="38" t="str">
        <f>IF(AND('Mapa final'!$AB$28="Alta",'Mapa final'!$AD$28="Moderado"),CONCATENATE("R8C",'Mapa final'!$R$28),"")</f>
        <v/>
      </c>
      <c r="AB23" s="36" t="str">
        <f>IF(AND('Mapa final'!$AB$23="Alta",'Mapa final'!$AD$23="Mayor"),CONCATENATE("R8C",'Mapa final'!$R$23),"")</f>
        <v/>
      </c>
      <c r="AC23" s="37" t="str">
        <f>IF(AND('Mapa final'!$AB$24="Alta",'Mapa final'!$AD$24="Mayor"),CONCATENATE("R8C",'Mapa final'!$R$24),"")</f>
        <v/>
      </c>
      <c r="AD23" s="37" t="str">
        <f>IF(AND('Mapa final'!$AB$25="Alta",'Mapa final'!$AD$25="Mayor"),CONCATENATE("R8C",'Mapa final'!$R$25),"")</f>
        <v/>
      </c>
      <c r="AE23" s="37" t="str">
        <f>IF(AND('Mapa final'!$AB$26="Alta",'Mapa final'!$AD$26="Mayor"),CONCATENATE("R8C",'Mapa final'!$R$26),"")</f>
        <v/>
      </c>
      <c r="AF23" s="37" t="str">
        <f>IF(AND('Mapa final'!$AB$27="Alta",'Mapa final'!$AD$27="Mayor"),CONCATENATE("R8C",'Mapa final'!$R$27),"")</f>
        <v/>
      </c>
      <c r="AG23" s="38" t="str">
        <f>IF(AND('Mapa final'!$AB$28="Alta",'Mapa final'!$AD$28="Mayor"),CONCATENATE("R8C",'Mapa final'!$R$28),"")</f>
        <v/>
      </c>
      <c r="AH23" s="39" t="str">
        <f>IF(AND('Mapa final'!$AB$23="Alta",'Mapa final'!$AD$23="Catastrófico"),CONCATENATE("R8C",'Mapa final'!$R$23),"")</f>
        <v>R8C1</v>
      </c>
      <c r="AI23" s="40" t="str">
        <f>IF(AND('Mapa final'!$AB$24="Alta",'Mapa final'!$AD$24="Catastrófico"),CONCATENATE("R8C",'Mapa final'!$R$24),"")</f>
        <v/>
      </c>
      <c r="AJ23" s="40" t="str">
        <f>IF(AND('Mapa final'!$AB$25="Alta",'Mapa final'!$AD$25="Catastrófico"),CONCATENATE("R8C",'Mapa final'!$R$25),"")</f>
        <v/>
      </c>
      <c r="AK23" s="40" t="str">
        <f>IF(AND('Mapa final'!$AB$26="Alta",'Mapa final'!$AD$26="Catastrófico"),CONCATENATE("R8C",'Mapa final'!$R$26),"")</f>
        <v/>
      </c>
      <c r="AL23" s="40" t="str">
        <f>IF(AND('Mapa final'!$AB$27="Alta",'Mapa final'!$AD$27="Catastrófico"),CONCATENATE("R8C",'Mapa final'!$R$27),"")</f>
        <v/>
      </c>
      <c r="AM23" s="41" t="str">
        <f>IF(AND('Mapa final'!$AB$28="Alta",'Mapa final'!$AD$28="Catastrófico"),CONCATENATE("R8C",'Mapa final'!$R$28),"")</f>
        <v/>
      </c>
      <c r="AN23" s="67"/>
      <c r="AO23" s="548"/>
      <c r="AP23" s="549"/>
      <c r="AQ23" s="549"/>
      <c r="AR23" s="549"/>
      <c r="AS23" s="549"/>
      <c r="AT23" s="550"/>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459"/>
      <c r="C24" s="459"/>
      <c r="D24" s="460"/>
      <c r="E24" s="558"/>
      <c r="F24" s="557"/>
      <c r="G24" s="557"/>
      <c r="H24" s="557"/>
      <c r="I24" s="557"/>
      <c r="J24" s="51" t="str">
        <f>IF(AND('Mapa final'!$AB$29="Alta",'Mapa final'!$AD$29="Leve"),CONCATENATE("R9C",'Mapa final'!$R$29),"")</f>
        <v/>
      </c>
      <c r="K24" s="52" t="str">
        <f>IF(AND('Mapa final'!$AB$30="Alta",'Mapa final'!$AD$30="Leve"),CONCATENATE("R9C",'Mapa final'!$R$30),"")</f>
        <v/>
      </c>
      <c r="L24" s="52" t="str">
        <f>IF(AND('Mapa final'!$AB$31="Alta",'Mapa final'!$AD$31="Leve"),CONCATENATE("R9C",'Mapa final'!$R$31),"")</f>
        <v/>
      </c>
      <c r="M24" s="52" t="str">
        <f>IF(AND('Mapa final'!$AB$32="Alta",'Mapa final'!$AD$32="Leve"),CONCATENATE("R9C",'Mapa final'!$R$32),"")</f>
        <v/>
      </c>
      <c r="N24" s="52" t="str">
        <f>IF(AND('Mapa final'!$AB$33="Alta",'Mapa final'!$AD$33="Leve"),CONCATENATE("R9C",'Mapa final'!$R$33),"")</f>
        <v/>
      </c>
      <c r="O24" s="53" t="str">
        <f>IF(AND('Mapa final'!$AB$34="Alta",'Mapa final'!$AD$34="Leve"),CONCATENATE("R9C",'Mapa final'!$R$34),"")</f>
        <v/>
      </c>
      <c r="P24" s="51" t="str">
        <f>IF(AND('Mapa final'!$AB$29="Alta",'Mapa final'!$AD$29="Menor"),CONCATENATE("R9C",'Mapa final'!$R$29),"")</f>
        <v/>
      </c>
      <c r="Q24" s="52" t="str">
        <f>IF(AND('Mapa final'!$AB$30="Alta",'Mapa final'!$AD$30="Menor"),CONCATENATE("R9C",'Mapa final'!$R$30),"")</f>
        <v/>
      </c>
      <c r="R24" s="52" t="str">
        <f>IF(AND('Mapa final'!$AB$31="Alta",'Mapa final'!$AD$31="Menor"),CONCATENATE("R9C",'Mapa final'!$R$31),"")</f>
        <v/>
      </c>
      <c r="S24" s="52" t="str">
        <f>IF(AND('Mapa final'!$AB$32="Alta",'Mapa final'!$AD$32="Menor"),CONCATENATE("R9C",'Mapa final'!$R$32),"")</f>
        <v/>
      </c>
      <c r="T24" s="52" t="str">
        <f>IF(AND('Mapa final'!$AB$33="Alta",'Mapa final'!$AD$33="Menor"),CONCATENATE("R9C",'Mapa final'!$R$33),"")</f>
        <v/>
      </c>
      <c r="U24" s="53" t="str">
        <f>IF(AND('Mapa final'!$AB$34="Alta",'Mapa final'!$AD$34="Menor"),CONCATENATE("R9C",'Mapa final'!$R$34),"")</f>
        <v/>
      </c>
      <c r="V24" s="36" t="str">
        <f>IF(AND('Mapa final'!$AB$29="Alta",'Mapa final'!$AD$29="Moderado"),CONCATENATE("R9C",'Mapa final'!$R$29),"")</f>
        <v/>
      </c>
      <c r="W24" s="37" t="str">
        <f>IF(AND('Mapa final'!$AB$30="Alta",'Mapa final'!$AD$30="Moderado"),CONCATENATE("R9C",'Mapa final'!$R$30),"")</f>
        <v/>
      </c>
      <c r="X24" s="37" t="str">
        <f>IF(AND('Mapa final'!$AB$31="Alta",'Mapa final'!$AD$31="Moderado"),CONCATENATE("R9C",'Mapa final'!$R$31),"")</f>
        <v/>
      </c>
      <c r="Y24" s="37" t="str">
        <f>IF(AND('Mapa final'!$AB$32="Alta",'Mapa final'!$AD$32="Moderado"),CONCATENATE("R9C",'Mapa final'!$R$32),"")</f>
        <v/>
      </c>
      <c r="Z24" s="37" t="str">
        <f>IF(AND('Mapa final'!$AB$33="Alta",'Mapa final'!$AD$33="Moderado"),CONCATENATE("R9C",'Mapa final'!$R$33),"")</f>
        <v/>
      </c>
      <c r="AA24" s="38" t="str">
        <f>IF(AND('Mapa final'!$AB$34="Alta",'Mapa final'!$AD$34="Moderado"),CONCATENATE("R9C",'Mapa final'!$R$34),"")</f>
        <v/>
      </c>
      <c r="AB24" s="36" t="str">
        <f>IF(AND('Mapa final'!$AB$29="Alta",'Mapa final'!$AD$29="Mayor"),CONCATENATE("R9C",'Mapa final'!$R$29),"")</f>
        <v/>
      </c>
      <c r="AC24" s="37" t="str">
        <f>IF(AND('Mapa final'!$AB$30="Alta",'Mapa final'!$AD$30="Mayor"),CONCATENATE("R9C",'Mapa final'!$R$30),"")</f>
        <v/>
      </c>
      <c r="AD24" s="37" t="str">
        <f>IF(AND('Mapa final'!$AB$31="Alta",'Mapa final'!$AD$31="Mayor"),CONCATENATE("R9C",'Mapa final'!$R$31),"")</f>
        <v/>
      </c>
      <c r="AE24" s="37" t="str">
        <f>IF(AND('Mapa final'!$AB$32="Alta",'Mapa final'!$AD$32="Mayor"),CONCATENATE("R9C",'Mapa final'!$R$32),"")</f>
        <v/>
      </c>
      <c r="AF24" s="37" t="str">
        <f>IF(AND('Mapa final'!$AB$33="Alta",'Mapa final'!$AD$33="Mayor"),CONCATENATE("R9C",'Mapa final'!$R$33),"")</f>
        <v/>
      </c>
      <c r="AG24" s="38" t="str">
        <f>IF(AND('Mapa final'!$AB$34="Alta",'Mapa final'!$AD$34="Mayor"),CONCATENATE("R9C",'Mapa final'!$R$34),"")</f>
        <v/>
      </c>
      <c r="AH24" s="39" t="str">
        <f>IF(AND('Mapa final'!$AB$29="Alta",'Mapa final'!$AD$29="Catastrófico"),CONCATENATE("R9C",'Mapa final'!$R$29),"")</f>
        <v/>
      </c>
      <c r="AI24" s="40" t="str">
        <f>IF(AND('Mapa final'!$AB$30="Alta",'Mapa final'!$AD$30="Catastrófico"),CONCATENATE("R9C",'Mapa final'!$R$30),"")</f>
        <v/>
      </c>
      <c r="AJ24" s="40" t="str">
        <f>IF(AND('Mapa final'!$AB$31="Alta",'Mapa final'!$AD$31="Catastrófico"),CONCATENATE("R9C",'Mapa final'!$R$31),"")</f>
        <v/>
      </c>
      <c r="AK24" s="40" t="str">
        <f>IF(AND('Mapa final'!$AB$32="Alta",'Mapa final'!$AD$32="Catastrófico"),CONCATENATE("R9C",'Mapa final'!$R$32),"")</f>
        <v/>
      </c>
      <c r="AL24" s="40" t="str">
        <f>IF(AND('Mapa final'!$AB$33="Alta",'Mapa final'!$AD$33="Catastrófico"),CONCATENATE("R9C",'Mapa final'!$R$33),"")</f>
        <v/>
      </c>
      <c r="AM24" s="41" t="str">
        <f>IF(AND('Mapa final'!$AB$34="Alta",'Mapa final'!$AD$34="Catastrófico"),CONCATENATE("R9C",'Mapa final'!$R$34),"")</f>
        <v/>
      </c>
      <c r="AN24" s="67"/>
      <c r="AO24" s="548"/>
      <c r="AP24" s="549"/>
      <c r="AQ24" s="549"/>
      <c r="AR24" s="549"/>
      <c r="AS24" s="549"/>
      <c r="AT24" s="550"/>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459"/>
      <c r="C25" s="459"/>
      <c r="D25" s="460"/>
      <c r="E25" s="559"/>
      <c r="F25" s="560"/>
      <c r="G25" s="560"/>
      <c r="H25" s="560"/>
      <c r="I25" s="560"/>
      <c r="J25" s="54" t="str">
        <f>IF(AND('Mapa final'!$AB$35="Alta",'Mapa final'!$AD$35="Leve"),CONCATENATE("R10C",'Mapa final'!$R$35),"")</f>
        <v/>
      </c>
      <c r="K25" s="55" t="str">
        <f>IF(AND('Mapa final'!$AB$36="Alta",'Mapa final'!$AD$36="Leve"),CONCATENATE("R10C",'Mapa final'!$R$36),"")</f>
        <v/>
      </c>
      <c r="L25" s="55" t="str">
        <f>IF(AND('Mapa final'!$AB$37="Alta",'Mapa final'!$AD$37="Leve"),CONCATENATE("R10C",'Mapa final'!$R$37),"")</f>
        <v/>
      </c>
      <c r="M25" s="55" t="str">
        <f>IF(AND('Mapa final'!$AB$38="Alta",'Mapa final'!$AD$38="Leve"),CONCATENATE("R10C",'Mapa final'!$R$38),"")</f>
        <v/>
      </c>
      <c r="N25" s="55" t="str">
        <f>IF(AND('Mapa final'!$AB$39="Alta",'Mapa final'!$AD$39="Leve"),CONCATENATE("R10C",'Mapa final'!$R$39),"")</f>
        <v/>
      </c>
      <c r="O25" s="56" t="str">
        <f>IF(AND('Mapa final'!$AB$40="Alta",'Mapa final'!$AD$40="Leve"),CONCATENATE("R10C",'Mapa final'!$R$40),"")</f>
        <v/>
      </c>
      <c r="P25" s="54" t="str">
        <f>IF(AND('Mapa final'!$AB$35="Alta",'Mapa final'!$AD$35="Menor"),CONCATENATE("R10C",'Mapa final'!$R$35),"")</f>
        <v/>
      </c>
      <c r="Q25" s="55" t="str">
        <f>IF(AND('Mapa final'!$AB$36="Alta",'Mapa final'!$AD$36="Menor"),CONCATENATE("R10C",'Mapa final'!$R$36),"")</f>
        <v/>
      </c>
      <c r="R25" s="55" t="str">
        <f>IF(AND('Mapa final'!$AB$37="Alta",'Mapa final'!$AD$37="Menor"),CONCATENATE("R10C",'Mapa final'!$R$37),"")</f>
        <v/>
      </c>
      <c r="S25" s="55" t="str">
        <f>IF(AND('Mapa final'!$AB$38="Alta",'Mapa final'!$AD$38="Menor"),CONCATENATE("R10C",'Mapa final'!$R$38),"")</f>
        <v/>
      </c>
      <c r="T25" s="55" t="str">
        <f>IF(AND('Mapa final'!$AB$39="Alta",'Mapa final'!$AD$39="Menor"),CONCATENATE("R10C",'Mapa final'!$R$39),"")</f>
        <v/>
      </c>
      <c r="U25" s="56" t="str">
        <f>IF(AND('Mapa final'!$AB$40="Alta",'Mapa final'!$AD$40="Menor"),CONCATENATE("R10C",'Mapa final'!$R$40),"")</f>
        <v/>
      </c>
      <c r="V25" s="42" t="str">
        <f>IF(AND('Mapa final'!$AB$35="Alta",'Mapa final'!$AD$35="Moderado"),CONCATENATE("R10C",'Mapa final'!$R$35),"")</f>
        <v/>
      </c>
      <c r="W25" s="43" t="str">
        <f>IF(AND('Mapa final'!$AB$36="Alta",'Mapa final'!$AD$36="Moderado"),CONCATENATE("R10C",'Mapa final'!$R$36),"")</f>
        <v/>
      </c>
      <c r="X25" s="43" t="str">
        <f>IF(AND('Mapa final'!$AB$37="Alta",'Mapa final'!$AD$37="Moderado"),CONCATENATE("R10C",'Mapa final'!$R$37),"")</f>
        <v/>
      </c>
      <c r="Y25" s="43" t="str">
        <f>IF(AND('Mapa final'!$AB$38="Alta",'Mapa final'!$AD$38="Moderado"),CONCATENATE("R10C",'Mapa final'!$R$38),"")</f>
        <v/>
      </c>
      <c r="Z25" s="43" t="str">
        <f>IF(AND('Mapa final'!$AB$39="Alta",'Mapa final'!$AD$39="Moderado"),CONCATENATE("R10C",'Mapa final'!$R$39),"")</f>
        <v/>
      </c>
      <c r="AA25" s="44" t="str">
        <f>IF(AND('Mapa final'!$AB$40="Alta",'Mapa final'!$AD$40="Moderado"),CONCATENATE("R10C",'Mapa final'!$R$40),"")</f>
        <v/>
      </c>
      <c r="AB25" s="42" t="str">
        <f>IF(AND('Mapa final'!$AB$35="Alta",'Mapa final'!$AD$35="Mayor"),CONCATENATE("R10C",'Mapa final'!$R$35),"")</f>
        <v/>
      </c>
      <c r="AC25" s="43" t="str">
        <f>IF(AND('Mapa final'!$AB$36="Alta",'Mapa final'!$AD$36="Mayor"),CONCATENATE("R10C",'Mapa final'!$R$36),"")</f>
        <v/>
      </c>
      <c r="AD25" s="43" t="str">
        <f>IF(AND('Mapa final'!$AB$37="Alta",'Mapa final'!$AD$37="Mayor"),CONCATENATE("R10C",'Mapa final'!$R$37),"")</f>
        <v/>
      </c>
      <c r="AE25" s="43" t="str">
        <f>IF(AND('Mapa final'!$AB$38="Alta",'Mapa final'!$AD$38="Mayor"),CONCATENATE("R10C",'Mapa final'!$R$38),"")</f>
        <v/>
      </c>
      <c r="AF25" s="43" t="str">
        <f>IF(AND('Mapa final'!$AB$39="Alta",'Mapa final'!$AD$39="Mayor"),CONCATENATE("R10C",'Mapa final'!$R$39),"")</f>
        <v/>
      </c>
      <c r="AG25" s="44" t="str">
        <f>IF(AND('Mapa final'!$AB$40="Alta",'Mapa final'!$AD$40="Mayor"),CONCATENATE("R10C",'Mapa final'!$R$40),"")</f>
        <v/>
      </c>
      <c r="AH25" s="45" t="str">
        <f>IF(AND('Mapa final'!$AB$35="Alta",'Mapa final'!$AD$35="Catastrófico"),CONCATENATE("R10C",'Mapa final'!$R$35),"")</f>
        <v/>
      </c>
      <c r="AI25" s="46" t="str">
        <f>IF(AND('Mapa final'!$AB$36="Alta",'Mapa final'!$AD$36="Catastrófico"),CONCATENATE("R10C",'Mapa final'!$R$36),"")</f>
        <v/>
      </c>
      <c r="AJ25" s="46" t="str">
        <f>IF(AND('Mapa final'!$AB$37="Alta",'Mapa final'!$AD$37="Catastrófico"),CONCATENATE("R10C",'Mapa final'!$R$37),"")</f>
        <v/>
      </c>
      <c r="AK25" s="46" t="str">
        <f>IF(AND('Mapa final'!$AB$38="Alta",'Mapa final'!$AD$38="Catastrófico"),CONCATENATE("R10C",'Mapa final'!$R$38),"")</f>
        <v/>
      </c>
      <c r="AL25" s="46" t="str">
        <f>IF(AND('Mapa final'!$AB$39="Alta",'Mapa final'!$AD$39="Catastrófico"),CONCATENATE("R10C",'Mapa final'!$R$39),"")</f>
        <v/>
      </c>
      <c r="AM25" s="47" t="str">
        <f>IF(AND('Mapa final'!$AB$40="Alta",'Mapa final'!$AD$40="Catastrófico"),CONCATENATE("R10C",'Mapa final'!$R$40),"")</f>
        <v/>
      </c>
      <c r="AN25" s="67"/>
      <c r="AO25" s="551"/>
      <c r="AP25" s="552"/>
      <c r="AQ25" s="552"/>
      <c r="AR25" s="552"/>
      <c r="AS25" s="552"/>
      <c r="AT25" s="553"/>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459"/>
      <c r="C26" s="459"/>
      <c r="D26" s="460"/>
      <c r="E26" s="554" t="s">
        <v>111</v>
      </c>
      <c r="F26" s="555"/>
      <c r="G26" s="555"/>
      <c r="H26" s="555"/>
      <c r="I26" s="572"/>
      <c r="J26" s="48" t="str">
        <f>IF(AND('Mapa final'!$AB$10="Media",'Mapa final'!$AD$10="Leve"),CONCATENATE("R1C",'Mapa final'!$R$10),"")</f>
        <v/>
      </c>
      <c r="K26" s="49" t="str">
        <f>IF(AND('Mapa final'!$AB$11="Media",'Mapa final'!$AD$11="Leve"),CONCATENATE("R1C",'Mapa final'!$R$11),"")</f>
        <v/>
      </c>
      <c r="L26" s="49" t="str">
        <f>IF(AND('Mapa final'!$AB$12="Media",'Mapa final'!$AD$12="Leve"),CONCATENATE("R1C",'Mapa final'!$R$12),"")</f>
        <v/>
      </c>
      <c r="M26" s="49" t="str">
        <f>IF(AND('Mapa final'!$AB$13="Media",'Mapa final'!$AD$13="Leve"),CONCATENATE("R1C",'Mapa final'!$R$13),"")</f>
        <v/>
      </c>
      <c r="N26" s="49" t="str">
        <f>IF(AND('Mapa final'!$AB$14="Media",'Mapa final'!$AD$14="Leve"),CONCATENATE("R1C",'Mapa final'!$R$14),"")</f>
        <v/>
      </c>
      <c r="O26" s="50" t="str">
        <f>IF(AND('Mapa final'!$AB$15="Media",'Mapa final'!$AD$15="Leve"),CONCATENATE("R1C",'Mapa final'!$R$15),"")</f>
        <v/>
      </c>
      <c r="P26" s="48" t="str">
        <f>IF(AND('Mapa final'!$AB$10="Media",'Mapa final'!$AD$10="Menor"),CONCATENATE("R1C",'Mapa final'!$R$10),"")</f>
        <v/>
      </c>
      <c r="Q26" s="49" t="str">
        <f>IF(AND('Mapa final'!$AB$11="Media",'Mapa final'!$AD$11="Menor"),CONCATENATE("R1C",'Mapa final'!$R$11),"")</f>
        <v/>
      </c>
      <c r="R26" s="49" t="str">
        <f>IF(AND('Mapa final'!$AB$12="Media",'Mapa final'!$AD$12="Menor"),CONCATENATE("R1C",'Mapa final'!$R$12),"")</f>
        <v/>
      </c>
      <c r="S26" s="49" t="str">
        <f>IF(AND('Mapa final'!$AB$13="Media",'Mapa final'!$AD$13="Menor"),CONCATENATE("R1C",'Mapa final'!$R$13),"")</f>
        <v/>
      </c>
      <c r="T26" s="49" t="str">
        <f>IF(AND('Mapa final'!$AB$14="Media",'Mapa final'!$AD$14="Menor"),CONCATENATE("R1C",'Mapa final'!$R$14),"")</f>
        <v/>
      </c>
      <c r="U26" s="50" t="str">
        <f>IF(AND('Mapa final'!$AB$15="Media",'Mapa final'!$AD$15="Menor"),CONCATENATE("R1C",'Mapa final'!$R$15),"")</f>
        <v/>
      </c>
      <c r="V26" s="48" t="str">
        <f>IF(AND('Mapa final'!$AB$10="Media",'Mapa final'!$AD$10="Moderado"),CONCATENATE("R1C",'Mapa final'!$R$10),"")</f>
        <v/>
      </c>
      <c r="W26" s="49" t="str">
        <f>IF(AND('Mapa final'!$AB$11="Media",'Mapa final'!$AD$11="Moderado"),CONCATENATE("R1C",'Mapa final'!$R$11),"")</f>
        <v/>
      </c>
      <c r="X26" s="49" t="str">
        <f>IF(AND('Mapa final'!$AB$12="Media",'Mapa final'!$AD$12="Moderado"),CONCATENATE("R1C",'Mapa final'!$R$12),"")</f>
        <v/>
      </c>
      <c r="Y26" s="49" t="str">
        <f>IF(AND('Mapa final'!$AB$13="Media",'Mapa final'!$AD$13="Moderado"),CONCATENATE("R1C",'Mapa final'!$R$13),"")</f>
        <v/>
      </c>
      <c r="Z26" s="49" t="str">
        <f>IF(AND('Mapa final'!$AB$14="Media",'Mapa final'!$AD$14="Moderado"),CONCATENATE("R1C",'Mapa final'!$R$14),"")</f>
        <v/>
      </c>
      <c r="AA26" s="50" t="str">
        <f>IF(AND('Mapa final'!$AB$15="Media",'Mapa final'!$AD$15="Moderado"),CONCATENATE("R1C",'Mapa final'!$R$15),"")</f>
        <v/>
      </c>
      <c r="AB26" s="30" t="str">
        <f>IF(AND('Mapa final'!$AB$10="Media",'Mapa final'!$AD$10="Mayor"),CONCATENATE("R1C",'Mapa final'!$R$10),"")</f>
        <v/>
      </c>
      <c r="AC26" s="31" t="str">
        <f>IF(AND('Mapa final'!$AB$11="Media",'Mapa final'!$AD$11="Mayor"),CONCATENATE("R1C",'Mapa final'!$R$11),"")</f>
        <v/>
      </c>
      <c r="AD26" s="31" t="str">
        <f>IF(AND('Mapa final'!$AB$12="Media",'Mapa final'!$AD$12="Mayor"),CONCATENATE("R1C",'Mapa final'!$R$12),"")</f>
        <v/>
      </c>
      <c r="AE26" s="31" t="str">
        <f>IF(AND('Mapa final'!$AB$13="Media",'Mapa final'!$AD$13="Mayor"),CONCATENATE("R1C",'Mapa final'!$R$13),"")</f>
        <v/>
      </c>
      <c r="AF26" s="31" t="str">
        <f>IF(AND('Mapa final'!$AB$14="Media",'Mapa final'!$AD$14="Mayor"),CONCATENATE("R1C",'Mapa final'!$R$14),"")</f>
        <v/>
      </c>
      <c r="AG26" s="32" t="str">
        <f>IF(AND('Mapa final'!$AB$15="Media",'Mapa final'!$AD$15="Mayor"),CONCATENATE("R1C",'Mapa final'!$R$15),"")</f>
        <v/>
      </c>
      <c r="AH26" s="33" t="str">
        <f>IF(AND('Mapa final'!$AB$10="Media",'Mapa final'!$AD$10="Catastrófico"),CONCATENATE("R1C",'Mapa final'!$R$10),"")</f>
        <v/>
      </c>
      <c r="AI26" s="34" t="str">
        <f>IF(AND('Mapa final'!$AB$11="Media",'Mapa final'!$AD$11="Catastrófico"),CONCATENATE("R1C",'Mapa final'!$R$11),"")</f>
        <v/>
      </c>
      <c r="AJ26" s="34" t="str">
        <f>IF(AND('Mapa final'!$AB$12="Media",'Mapa final'!$AD$12="Catastrófico"),CONCATENATE("R1C",'Mapa final'!$R$12),"")</f>
        <v/>
      </c>
      <c r="AK26" s="34" t="str">
        <f>IF(AND('Mapa final'!$AB$13="Media",'Mapa final'!$AD$13="Catastrófico"),CONCATENATE("R1C",'Mapa final'!$R$13),"")</f>
        <v/>
      </c>
      <c r="AL26" s="34" t="str">
        <f>IF(AND('Mapa final'!$AB$14="Media",'Mapa final'!$AD$14="Catastrófico"),CONCATENATE("R1C",'Mapa final'!$R$14),"")</f>
        <v/>
      </c>
      <c r="AM26" s="35" t="str">
        <f>IF(AND('Mapa final'!$AB$15="Media",'Mapa final'!$AD$15="Catastrófico"),CONCATENATE("R1C",'Mapa final'!$R$15),"")</f>
        <v/>
      </c>
      <c r="AN26" s="67"/>
      <c r="AO26" s="584" t="s">
        <v>79</v>
      </c>
      <c r="AP26" s="585"/>
      <c r="AQ26" s="585"/>
      <c r="AR26" s="585"/>
      <c r="AS26" s="585"/>
      <c r="AT26" s="586"/>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459"/>
      <c r="C27" s="459"/>
      <c r="D27" s="460"/>
      <c r="E27" s="556"/>
      <c r="F27" s="557"/>
      <c r="G27" s="557"/>
      <c r="H27" s="557"/>
      <c r="I27" s="573"/>
      <c r="J27" s="51" t="e">
        <f>IF(AND('Mapa final'!#REF!="Media",'Mapa final'!#REF!="Leve"),CONCATENATE("R2C",'Mapa final'!#REF!),"")</f>
        <v>#REF!</v>
      </c>
      <c r="K27" s="52" t="e">
        <f>IF(AND('Mapa final'!#REF!="Media",'Mapa final'!#REF!="Leve"),CONCATENATE("R2C",'Mapa final'!#REF!),"")</f>
        <v>#REF!</v>
      </c>
      <c r="L27" s="52" t="e">
        <f>IF(AND('Mapa final'!#REF!="Media",'Mapa final'!#REF!="Leve"),CONCATENATE("R2C",'Mapa final'!#REF!),"")</f>
        <v>#REF!</v>
      </c>
      <c r="M27" s="52" t="e">
        <f>IF(AND('Mapa final'!#REF!="Media",'Mapa final'!#REF!="Leve"),CONCATENATE("R2C",'Mapa final'!#REF!),"")</f>
        <v>#REF!</v>
      </c>
      <c r="N27" s="52" t="e">
        <f>IF(AND('Mapa final'!#REF!="Media",'Mapa final'!#REF!="Leve"),CONCATENATE("R2C",'Mapa final'!#REF!),"")</f>
        <v>#REF!</v>
      </c>
      <c r="O27" s="53" t="e">
        <f>IF(AND('Mapa final'!#REF!="Media",'Mapa final'!#REF!="Leve"),CONCATENATE("R2C",'Mapa final'!#REF!),"")</f>
        <v>#REF!</v>
      </c>
      <c r="P27" s="51" t="e">
        <f>IF(AND('Mapa final'!#REF!="Media",'Mapa final'!#REF!="Menor"),CONCATENATE("R2C",'Mapa final'!#REF!),"")</f>
        <v>#REF!</v>
      </c>
      <c r="Q27" s="52" t="e">
        <f>IF(AND('Mapa final'!#REF!="Media",'Mapa final'!#REF!="Menor"),CONCATENATE("R2C",'Mapa final'!#REF!),"")</f>
        <v>#REF!</v>
      </c>
      <c r="R27" s="52" t="e">
        <f>IF(AND('Mapa final'!#REF!="Media",'Mapa final'!#REF!="Menor"),CONCATENATE("R2C",'Mapa final'!#REF!),"")</f>
        <v>#REF!</v>
      </c>
      <c r="S27" s="52" t="e">
        <f>IF(AND('Mapa final'!#REF!="Media",'Mapa final'!#REF!="Menor"),CONCATENATE("R2C",'Mapa final'!#REF!),"")</f>
        <v>#REF!</v>
      </c>
      <c r="T27" s="52" t="e">
        <f>IF(AND('Mapa final'!#REF!="Media",'Mapa final'!#REF!="Menor"),CONCATENATE("R2C",'Mapa final'!#REF!),"")</f>
        <v>#REF!</v>
      </c>
      <c r="U27" s="53" t="e">
        <f>IF(AND('Mapa final'!#REF!="Media",'Mapa final'!#REF!="Menor"),CONCATENATE("R2C",'Mapa final'!#REF!),"")</f>
        <v>#REF!</v>
      </c>
      <c r="V27" s="51" t="e">
        <f>IF(AND('Mapa final'!#REF!="Media",'Mapa final'!#REF!="Moderado"),CONCATENATE("R2C",'Mapa final'!#REF!),"")</f>
        <v>#REF!</v>
      </c>
      <c r="W27" s="52" t="e">
        <f>IF(AND('Mapa final'!#REF!="Media",'Mapa final'!#REF!="Moderado"),CONCATENATE("R2C",'Mapa final'!#REF!),"")</f>
        <v>#REF!</v>
      </c>
      <c r="X27" s="52" t="e">
        <f>IF(AND('Mapa final'!#REF!="Media",'Mapa final'!#REF!="Moderado"),CONCATENATE("R2C",'Mapa final'!#REF!),"")</f>
        <v>#REF!</v>
      </c>
      <c r="Y27" s="52" t="e">
        <f>IF(AND('Mapa final'!#REF!="Media",'Mapa final'!#REF!="Moderado"),CONCATENATE("R2C",'Mapa final'!#REF!),"")</f>
        <v>#REF!</v>
      </c>
      <c r="Z27" s="52" t="e">
        <f>IF(AND('Mapa final'!#REF!="Media",'Mapa final'!#REF!="Moderado"),CONCATENATE("R2C",'Mapa final'!#REF!),"")</f>
        <v>#REF!</v>
      </c>
      <c r="AA27" s="53" t="e">
        <f>IF(AND('Mapa final'!#REF!="Media",'Mapa final'!#REF!="Moderado"),CONCATENATE("R2C",'Mapa final'!#REF!),"")</f>
        <v>#REF!</v>
      </c>
      <c r="AB27" s="36" t="e">
        <f>IF(AND('Mapa final'!#REF!="Media",'Mapa final'!#REF!="Mayor"),CONCATENATE("R2C",'Mapa final'!#REF!),"")</f>
        <v>#REF!</v>
      </c>
      <c r="AC27" s="37" t="e">
        <f>IF(AND('Mapa final'!#REF!="Media",'Mapa final'!#REF!="Mayor"),CONCATENATE("R2C",'Mapa final'!#REF!),"")</f>
        <v>#REF!</v>
      </c>
      <c r="AD27" s="37" t="e">
        <f>IF(AND('Mapa final'!#REF!="Media",'Mapa final'!#REF!="Mayor"),CONCATENATE("R2C",'Mapa final'!#REF!),"")</f>
        <v>#REF!</v>
      </c>
      <c r="AE27" s="37" t="e">
        <f>IF(AND('Mapa final'!#REF!="Media",'Mapa final'!#REF!="Mayor"),CONCATENATE("R2C",'Mapa final'!#REF!),"")</f>
        <v>#REF!</v>
      </c>
      <c r="AF27" s="37" t="e">
        <f>IF(AND('Mapa final'!#REF!="Media",'Mapa final'!#REF!="Mayor"),CONCATENATE("R2C",'Mapa final'!#REF!),"")</f>
        <v>#REF!</v>
      </c>
      <c r="AG27" s="38" t="e">
        <f>IF(AND('Mapa final'!#REF!="Media",'Mapa final'!#REF!="Mayor"),CONCATENATE("R2C",'Mapa final'!#REF!),"")</f>
        <v>#REF!</v>
      </c>
      <c r="AH27" s="39" t="e">
        <f>IF(AND('Mapa final'!#REF!="Media",'Mapa final'!#REF!="Catastrófico"),CONCATENATE("R2C",'Mapa final'!#REF!),"")</f>
        <v>#REF!</v>
      </c>
      <c r="AI27" s="40" t="e">
        <f>IF(AND('Mapa final'!#REF!="Media",'Mapa final'!#REF!="Catastrófico"),CONCATENATE("R2C",'Mapa final'!#REF!),"")</f>
        <v>#REF!</v>
      </c>
      <c r="AJ27" s="40" t="e">
        <f>IF(AND('Mapa final'!#REF!="Media",'Mapa final'!#REF!="Catastrófico"),CONCATENATE("R2C",'Mapa final'!#REF!),"")</f>
        <v>#REF!</v>
      </c>
      <c r="AK27" s="40" t="e">
        <f>IF(AND('Mapa final'!#REF!="Media",'Mapa final'!#REF!="Catastrófico"),CONCATENATE("R2C",'Mapa final'!#REF!),"")</f>
        <v>#REF!</v>
      </c>
      <c r="AL27" s="40" t="e">
        <f>IF(AND('Mapa final'!#REF!="Media",'Mapa final'!#REF!="Catastrófico"),CONCATENATE("R2C",'Mapa final'!#REF!),"")</f>
        <v>#REF!</v>
      </c>
      <c r="AM27" s="41" t="e">
        <f>IF(AND('Mapa final'!#REF!="Media",'Mapa final'!#REF!="Catastrófico"),CONCATENATE("R2C",'Mapa final'!#REF!),"")</f>
        <v>#REF!</v>
      </c>
      <c r="AN27" s="67"/>
      <c r="AO27" s="587"/>
      <c r="AP27" s="588"/>
      <c r="AQ27" s="588"/>
      <c r="AR27" s="588"/>
      <c r="AS27" s="588"/>
      <c r="AT27" s="589"/>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459"/>
      <c r="C28" s="459"/>
      <c r="D28" s="460"/>
      <c r="E28" s="558"/>
      <c r="F28" s="557"/>
      <c r="G28" s="557"/>
      <c r="H28" s="557"/>
      <c r="I28" s="573"/>
      <c r="J28" s="51" t="str">
        <f>IF(AND('Mapa final'!$AB$16="Media",'Mapa final'!$AD$16="Leve"),CONCATENATE("R3C",'Mapa final'!$R$16),"")</f>
        <v/>
      </c>
      <c r="K28" s="52" t="e">
        <f>IF(AND('Mapa final'!#REF!="Media",'Mapa final'!#REF!="Leve"),CONCATENATE("R3C",'Mapa final'!#REF!),"")</f>
        <v>#REF!</v>
      </c>
      <c r="L28" s="52" t="e">
        <f>IF(AND('Mapa final'!#REF!="Media",'Mapa final'!#REF!="Leve"),CONCATENATE("R3C",'Mapa final'!#REF!),"")</f>
        <v>#REF!</v>
      </c>
      <c r="M28" s="52" t="e">
        <f>IF(AND('Mapa final'!#REF!="Media",'Mapa final'!#REF!="Leve"),CONCATENATE("R3C",'Mapa final'!#REF!),"")</f>
        <v>#REF!</v>
      </c>
      <c r="N28" s="52" t="e">
        <f>IF(AND('Mapa final'!#REF!="Media",'Mapa final'!#REF!="Leve"),CONCATENATE("R3C",'Mapa final'!#REF!),"")</f>
        <v>#REF!</v>
      </c>
      <c r="O28" s="53" t="e">
        <f>IF(AND('Mapa final'!#REF!="Media",'Mapa final'!#REF!="Leve"),CONCATENATE("R3C",'Mapa final'!#REF!),"")</f>
        <v>#REF!</v>
      </c>
      <c r="P28" s="51" t="str">
        <f>IF(AND('Mapa final'!$AB$16="Media",'Mapa final'!$AD$16="Menor"),CONCATENATE("R3C",'Mapa final'!$R$16),"")</f>
        <v/>
      </c>
      <c r="Q28" s="52" t="e">
        <f>IF(AND('Mapa final'!#REF!="Media",'Mapa final'!#REF!="Menor"),CONCATENATE("R3C",'Mapa final'!#REF!),"")</f>
        <v>#REF!</v>
      </c>
      <c r="R28" s="52" t="e">
        <f>IF(AND('Mapa final'!#REF!="Media",'Mapa final'!#REF!="Menor"),CONCATENATE("R3C",'Mapa final'!#REF!),"")</f>
        <v>#REF!</v>
      </c>
      <c r="S28" s="52" t="e">
        <f>IF(AND('Mapa final'!#REF!="Media",'Mapa final'!#REF!="Menor"),CONCATENATE("R3C",'Mapa final'!#REF!),"")</f>
        <v>#REF!</v>
      </c>
      <c r="T28" s="52" t="e">
        <f>IF(AND('Mapa final'!#REF!="Media",'Mapa final'!#REF!="Menor"),CONCATENATE("R3C",'Mapa final'!#REF!),"")</f>
        <v>#REF!</v>
      </c>
      <c r="U28" s="53" t="e">
        <f>IF(AND('Mapa final'!#REF!="Media",'Mapa final'!#REF!="Menor"),CONCATENATE("R3C",'Mapa final'!#REF!),"")</f>
        <v>#REF!</v>
      </c>
      <c r="V28" s="51" t="str">
        <f>IF(AND('Mapa final'!$AB$16="Media",'Mapa final'!$AD$16="Moderado"),CONCATENATE("R3C",'Mapa final'!$R$16),"")</f>
        <v/>
      </c>
      <c r="W28" s="52" t="e">
        <f>IF(AND('Mapa final'!#REF!="Media",'Mapa final'!#REF!="Moderado"),CONCATENATE("R3C",'Mapa final'!#REF!),"")</f>
        <v>#REF!</v>
      </c>
      <c r="X28" s="52" t="e">
        <f>IF(AND('Mapa final'!#REF!="Media",'Mapa final'!#REF!="Moderado"),CONCATENATE("R3C",'Mapa final'!#REF!),"")</f>
        <v>#REF!</v>
      </c>
      <c r="Y28" s="52" t="e">
        <f>IF(AND('Mapa final'!#REF!="Media",'Mapa final'!#REF!="Moderado"),CONCATENATE("R3C",'Mapa final'!#REF!),"")</f>
        <v>#REF!</v>
      </c>
      <c r="Z28" s="52" t="e">
        <f>IF(AND('Mapa final'!#REF!="Media",'Mapa final'!#REF!="Moderado"),CONCATENATE("R3C",'Mapa final'!#REF!),"")</f>
        <v>#REF!</v>
      </c>
      <c r="AA28" s="53" t="e">
        <f>IF(AND('Mapa final'!#REF!="Media",'Mapa final'!#REF!="Moderado"),CONCATENATE("R3C",'Mapa final'!#REF!),"")</f>
        <v>#REF!</v>
      </c>
      <c r="AB28" s="36" t="str">
        <f>IF(AND('Mapa final'!$AB$16="Media",'Mapa final'!$AD$16="Mayor"),CONCATENATE("R3C",'Mapa final'!$R$16),"")</f>
        <v/>
      </c>
      <c r="AC28" s="37" t="e">
        <f>IF(AND('Mapa final'!#REF!="Media",'Mapa final'!#REF!="Mayor"),CONCATENATE("R3C",'Mapa final'!#REF!),"")</f>
        <v>#REF!</v>
      </c>
      <c r="AD28" s="37" t="e">
        <f>IF(AND('Mapa final'!#REF!="Media",'Mapa final'!#REF!="Mayor"),CONCATENATE("R3C",'Mapa final'!#REF!),"")</f>
        <v>#REF!</v>
      </c>
      <c r="AE28" s="37" t="e">
        <f>IF(AND('Mapa final'!#REF!="Media",'Mapa final'!#REF!="Mayor"),CONCATENATE("R3C",'Mapa final'!#REF!),"")</f>
        <v>#REF!</v>
      </c>
      <c r="AF28" s="37" t="e">
        <f>IF(AND('Mapa final'!#REF!="Media",'Mapa final'!#REF!="Mayor"),CONCATENATE("R3C",'Mapa final'!#REF!),"")</f>
        <v>#REF!</v>
      </c>
      <c r="AG28" s="38" t="e">
        <f>IF(AND('Mapa final'!#REF!="Media",'Mapa final'!#REF!="Mayor"),CONCATENATE("R3C",'Mapa final'!#REF!),"")</f>
        <v>#REF!</v>
      </c>
      <c r="AH28" s="39" t="str">
        <f>IF(AND('Mapa final'!$AB$16="Media",'Mapa final'!$AD$16="Catastrófico"),CONCATENATE("R3C",'Mapa final'!$R$16),"")</f>
        <v/>
      </c>
      <c r="AI28" s="40" t="e">
        <f>IF(AND('Mapa final'!#REF!="Media",'Mapa final'!#REF!="Catastrófico"),CONCATENATE("R3C",'Mapa final'!#REF!),"")</f>
        <v>#REF!</v>
      </c>
      <c r="AJ28" s="40" t="e">
        <f>IF(AND('Mapa final'!#REF!="Media",'Mapa final'!#REF!="Catastrófico"),CONCATENATE("R3C",'Mapa final'!#REF!),"")</f>
        <v>#REF!</v>
      </c>
      <c r="AK28" s="40" t="e">
        <f>IF(AND('Mapa final'!#REF!="Media",'Mapa final'!#REF!="Catastrófico"),CONCATENATE("R3C",'Mapa final'!#REF!),"")</f>
        <v>#REF!</v>
      </c>
      <c r="AL28" s="40" t="e">
        <f>IF(AND('Mapa final'!#REF!="Media",'Mapa final'!#REF!="Catastrófico"),CONCATENATE("R3C",'Mapa final'!#REF!),"")</f>
        <v>#REF!</v>
      </c>
      <c r="AM28" s="41" t="e">
        <f>IF(AND('Mapa final'!#REF!="Media",'Mapa final'!#REF!="Catastrófico"),CONCATENATE("R3C",'Mapa final'!#REF!),"")</f>
        <v>#REF!</v>
      </c>
      <c r="AN28" s="67"/>
      <c r="AO28" s="587"/>
      <c r="AP28" s="588"/>
      <c r="AQ28" s="588"/>
      <c r="AR28" s="588"/>
      <c r="AS28" s="588"/>
      <c r="AT28" s="589"/>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459"/>
      <c r="C29" s="459"/>
      <c r="D29" s="460"/>
      <c r="E29" s="558"/>
      <c r="F29" s="557"/>
      <c r="G29" s="557"/>
      <c r="H29" s="557"/>
      <c r="I29" s="573"/>
      <c r="J29" s="51" t="e">
        <f>IF(AND('Mapa final'!#REF!="Media",'Mapa final'!#REF!="Leve"),CONCATENATE("R4C",'Mapa final'!#REF!),"")</f>
        <v>#REF!</v>
      </c>
      <c r="K29" s="52" t="e">
        <f>IF(AND('Mapa final'!#REF!="Media",'Mapa final'!#REF!="Leve"),CONCATENATE("R4C",'Mapa final'!#REF!),"")</f>
        <v>#REF!</v>
      </c>
      <c r="L29" s="52" t="e">
        <f>IF(AND('Mapa final'!#REF!="Media",'Mapa final'!#REF!="Leve"),CONCATENATE("R4C",'Mapa final'!#REF!),"")</f>
        <v>#REF!</v>
      </c>
      <c r="M29" s="52" t="e">
        <f>IF(AND('Mapa final'!#REF!="Media",'Mapa final'!#REF!="Leve"),CONCATENATE("R4C",'Mapa final'!#REF!),"")</f>
        <v>#REF!</v>
      </c>
      <c r="N29" s="52" t="e">
        <f>IF(AND('Mapa final'!#REF!="Media",'Mapa final'!#REF!="Leve"),CONCATENATE("R4C",'Mapa final'!#REF!),"")</f>
        <v>#REF!</v>
      </c>
      <c r="O29" s="53" t="e">
        <f>IF(AND('Mapa final'!#REF!="Media",'Mapa final'!#REF!="Leve"),CONCATENATE("R4C",'Mapa final'!#REF!),"")</f>
        <v>#REF!</v>
      </c>
      <c r="P29" s="51" t="e">
        <f>IF(AND('Mapa final'!#REF!="Media",'Mapa final'!#REF!="Menor"),CONCATENATE("R4C",'Mapa final'!#REF!),"")</f>
        <v>#REF!</v>
      </c>
      <c r="Q29" s="52" t="e">
        <f>IF(AND('Mapa final'!#REF!="Media",'Mapa final'!#REF!="Menor"),CONCATENATE("R4C",'Mapa final'!#REF!),"")</f>
        <v>#REF!</v>
      </c>
      <c r="R29" s="52" t="e">
        <f>IF(AND('Mapa final'!#REF!="Media",'Mapa final'!#REF!="Menor"),CONCATENATE("R4C",'Mapa final'!#REF!),"")</f>
        <v>#REF!</v>
      </c>
      <c r="S29" s="52" t="e">
        <f>IF(AND('Mapa final'!#REF!="Media",'Mapa final'!#REF!="Menor"),CONCATENATE("R4C",'Mapa final'!#REF!),"")</f>
        <v>#REF!</v>
      </c>
      <c r="T29" s="52" t="e">
        <f>IF(AND('Mapa final'!#REF!="Media",'Mapa final'!#REF!="Menor"),CONCATENATE("R4C",'Mapa final'!#REF!),"")</f>
        <v>#REF!</v>
      </c>
      <c r="U29" s="53" t="e">
        <f>IF(AND('Mapa final'!#REF!="Media",'Mapa final'!#REF!="Menor"),CONCATENATE("R4C",'Mapa final'!#REF!),"")</f>
        <v>#REF!</v>
      </c>
      <c r="V29" s="51" t="e">
        <f>IF(AND('Mapa final'!#REF!="Media",'Mapa final'!#REF!="Moderado"),CONCATENATE("R4C",'Mapa final'!#REF!),"")</f>
        <v>#REF!</v>
      </c>
      <c r="W29" s="52" t="e">
        <f>IF(AND('Mapa final'!#REF!="Media",'Mapa final'!#REF!="Moderado"),CONCATENATE("R4C",'Mapa final'!#REF!),"")</f>
        <v>#REF!</v>
      </c>
      <c r="X29" s="52" t="e">
        <f>IF(AND('Mapa final'!#REF!="Media",'Mapa final'!#REF!="Moderado"),CONCATENATE("R4C",'Mapa final'!#REF!),"")</f>
        <v>#REF!</v>
      </c>
      <c r="Y29" s="52" t="e">
        <f>IF(AND('Mapa final'!#REF!="Media",'Mapa final'!#REF!="Moderado"),CONCATENATE("R4C",'Mapa final'!#REF!),"")</f>
        <v>#REF!</v>
      </c>
      <c r="Z29" s="52" t="e">
        <f>IF(AND('Mapa final'!#REF!="Media",'Mapa final'!#REF!="Moderado"),CONCATENATE("R4C",'Mapa final'!#REF!),"")</f>
        <v>#REF!</v>
      </c>
      <c r="AA29" s="53" t="e">
        <f>IF(AND('Mapa final'!#REF!="Media",'Mapa final'!#REF!="Moderado"),CONCATENATE("R4C",'Mapa final'!#REF!),"")</f>
        <v>#REF!</v>
      </c>
      <c r="AB29" s="36" t="e">
        <f>IF(AND('Mapa final'!#REF!="Media",'Mapa final'!#REF!="Mayor"),CONCATENATE("R4C",'Mapa final'!#REF!),"")</f>
        <v>#REF!</v>
      </c>
      <c r="AC29" s="37" t="e">
        <f>IF(AND('Mapa final'!#REF!="Media",'Mapa final'!#REF!="Mayor"),CONCATENATE("R4C",'Mapa final'!#REF!),"")</f>
        <v>#REF!</v>
      </c>
      <c r="AD29" s="37" t="e">
        <f>IF(AND('Mapa final'!#REF!="Media",'Mapa final'!#REF!="Mayor"),CONCATENATE("R4C",'Mapa final'!#REF!),"")</f>
        <v>#REF!</v>
      </c>
      <c r="AE29" s="37" t="e">
        <f>IF(AND('Mapa final'!#REF!="Media",'Mapa final'!#REF!="Mayor"),CONCATENATE("R4C",'Mapa final'!#REF!),"")</f>
        <v>#REF!</v>
      </c>
      <c r="AF29" s="37" t="e">
        <f>IF(AND('Mapa final'!#REF!="Media",'Mapa final'!#REF!="Mayor"),CONCATENATE("R4C",'Mapa final'!#REF!),"")</f>
        <v>#REF!</v>
      </c>
      <c r="AG29" s="38" t="e">
        <f>IF(AND('Mapa final'!#REF!="Media",'Mapa final'!#REF!="Mayor"),CONCATENATE("R4C",'Mapa final'!#REF!),"")</f>
        <v>#REF!</v>
      </c>
      <c r="AH29" s="39" t="e">
        <f>IF(AND('Mapa final'!#REF!="Media",'Mapa final'!#REF!="Catastrófico"),CONCATENATE("R4C",'Mapa final'!#REF!),"")</f>
        <v>#REF!</v>
      </c>
      <c r="AI29" s="40" t="e">
        <f>IF(AND('Mapa final'!#REF!="Media",'Mapa final'!#REF!="Catastrófico"),CONCATENATE("R4C",'Mapa final'!#REF!),"")</f>
        <v>#REF!</v>
      </c>
      <c r="AJ29" s="40" t="e">
        <f>IF(AND('Mapa final'!#REF!="Media",'Mapa final'!#REF!="Catastrófico"),CONCATENATE("R4C",'Mapa final'!#REF!),"")</f>
        <v>#REF!</v>
      </c>
      <c r="AK29" s="40" t="e">
        <f>IF(AND('Mapa final'!#REF!="Media",'Mapa final'!#REF!="Catastrófico"),CONCATENATE("R4C",'Mapa final'!#REF!),"")</f>
        <v>#REF!</v>
      </c>
      <c r="AL29" s="40" t="e">
        <f>IF(AND('Mapa final'!#REF!="Media",'Mapa final'!#REF!="Catastrófico"),CONCATENATE("R4C",'Mapa final'!#REF!),"")</f>
        <v>#REF!</v>
      </c>
      <c r="AM29" s="41" t="e">
        <f>IF(AND('Mapa final'!#REF!="Media",'Mapa final'!#REF!="Catastrófico"),CONCATENATE("R4C",'Mapa final'!#REF!),"")</f>
        <v>#REF!</v>
      </c>
      <c r="AN29" s="67"/>
      <c r="AO29" s="587"/>
      <c r="AP29" s="588"/>
      <c r="AQ29" s="588"/>
      <c r="AR29" s="588"/>
      <c r="AS29" s="588"/>
      <c r="AT29" s="589"/>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459"/>
      <c r="C30" s="459"/>
      <c r="D30" s="460"/>
      <c r="E30" s="558"/>
      <c r="F30" s="557"/>
      <c r="G30" s="557"/>
      <c r="H30" s="557"/>
      <c r="I30" s="573"/>
      <c r="J30" s="51" t="e">
        <f>IF(AND('Mapa final'!#REF!="Media",'Mapa final'!#REF!="Leve"),CONCATENATE("R5C",'Mapa final'!#REF!),"")</f>
        <v>#REF!</v>
      </c>
      <c r="K30" s="52" t="e">
        <f>IF(AND('Mapa final'!#REF!="Media",'Mapa final'!#REF!="Leve"),CONCATENATE("R5C",'Mapa final'!#REF!),"")</f>
        <v>#REF!</v>
      </c>
      <c r="L30" s="52" t="e">
        <f>IF(AND('Mapa final'!#REF!="Media",'Mapa final'!#REF!="Leve"),CONCATENATE("R5C",'Mapa final'!#REF!),"")</f>
        <v>#REF!</v>
      </c>
      <c r="M30" s="52" t="e">
        <f>IF(AND('Mapa final'!#REF!="Media",'Mapa final'!#REF!="Leve"),CONCATENATE("R5C",'Mapa final'!#REF!),"")</f>
        <v>#REF!</v>
      </c>
      <c r="N30" s="52" t="e">
        <f>IF(AND('Mapa final'!#REF!="Media",'Mapa final'!#REF!="Leve"),CONCATENATE("R5C",'Mapa final'!#REF!),"")</f>
        <v>#REF!</v>
      </c>
      <c r="O30" s="53" t="e">
        <f>IF(AND('Mapa final'!#REF!="Media",'Mapa final'!#REF!="Leve"),CONCATENATE("R5C",'Mapa final'!#REF!),"")</f>
        <v>#REF!</v>
      </c>
      <c r="P30" s="51" t="e">
        <f>IF(AND('Mapa final'!#REF!="Media",'Mapa final'!#REF!="Menor"),CONCATENATE("R5C",'Mapa final'!#REF!),"")</f>
        <v>#REF!</v>
      </c>
      <c r="Q30" s="52" t="e">
        <f>IF(AND('Mapa final'!#REF!="Media",'Mapa final'!#REF!="Menor"),CONCATENATE("R5C",'Mapa final'!#REF!),"")</f>
        <v>#REF!</v>
      </c>
      <c r="R30" s="52" t="e">
        <f>IF(AND('Mapa final'!#REF!="Media",'Mapa final'!#REF!="Menor"),CONCATENATE("R5C",'Mapa final'!#REF!),"")</f>
        <v>#REF!</v>
      </c>
      <c r="S30" s="52" t="e">
        <f>IF(AND('Mapa final'!#REF!="Media",'Mapa final'!#REF!="Menor"),CONCATENATE("R5C",'Mapa final'!#REF!),"")</f>
        <v>#REF!</v>
      </c>
      <c r="T30" s="52" t="e">
        <f>IF(AND('Mapa final'!#REF!="Media",'Mapa final'!#REF!="Menor"),CONCATENATE("R5C",'Mapa final'!#REF!),"")</f>
        <v>#REF!</v>
      </c>
      <c r="U30" s="53" t="e">
        <f>IF(AND('Mapa final'!#REF!="Media",'Mapa final'!#REF!="Menor"),CONCATENATE("R5C",'Mapa final'!#REF!),"")</f>
        <v>#REF!</v>
      </c>
      <c r="V30" s="51" t="e">
        <f>IF(AND('Mapa final'!#REF!="Media",'Mapa final'!#REF!="Moderado"),CONCATENATE("R5C",'Mapa final'!#REF!),"")</f>
        <v>#REF!</v>
      </c>
      <c r="W30" s="52" t="e">
        <f>IF(AND('Mapa final'!#REF!="Media",'Mapa final'!#REF!="Moderado"),CONCATENATE("R5C",'Mapa final'!#REF!),"")</f>
        <v>#REF!</v>
      </c>
      <c r="X30" s="52" t="e">
        <f>IF(AND('Mapa final'!#REF!="Media",'Mapa final'!#REF!="Moderado"),CONCATENATE("R5C",'Mapa final'!#REF!),"")</f>
        <v>#REF!</v>
      </c>
      <c r="Y30" s="52" t="e">
        <f>IF(AND('Mapa final'!#REF!="Media",'Mapa final'!#REF!="Moderado"),CONCATENATE("R5C",'Mapa final'!#REF!),"")</f>
        <v>#REF!</v>
      </c>
      <c r="Z30" s="52" t="e">
        <f>IF(AND('Mapa final'!#REF!="Media",'Mapa final'!#REF!="Moderado"),CONCATENATE("R5C",'Mapa final'!#REF!),"")</f>
        <v>#REF!</v>
      </c>
      <c r="AA30" s="53" t="e">
        <f>IF(AND('Mapa final'!#REF!="Media",'Mapa final'!#REF!="Moderado"),CONCATENATE("R5C",'Mapa final'!#REF!),"")</f>
        <v>#REF!</v>
      </c>
      <c r="AB30" s="36" t="e">
        <f>IF(AND('Mapa final'!#REF!="Media",'Mapa final'!#REF!="Mayor"),CONCATENATE("R5C",'Mapa final'!#REF!),"")</f>
        <v>#REF!</v>
      </c>
      <c r="AC30" s="37" t="e">
        <f>IF(AND('Mapa final'!#REF!="Media",'Mapa final'!#REF!="Mayor"),CONCATENATE("R5C",'Mapa final'!#REF!),"")</f>
        <v>#REF!</v>
      </c>
      <c r="AD30" s="37" t="e">
        <f>IF(AND('Mapa final'!#REF!="Media",'Mapa final'!#REF!="Mayor"),CONCATENATE("R5C",'Mapa final'!#REF!),"")</f>
        <v>#REF!</v>
      </c>
      <c r="AE30" s="37" t="e">
        <f>IF(AND('Mapa final'!#REF!="Media",'Mapa final'!#REF!="Mayor"),CONCATENATE("R5C",'Mapa final'!#REF!),"")</f>
        <v>#REF!</v>
      </c>
      <c r="AF30" s="37" t="e">
        <f>IF(AND('Mapa final'!#REF!="Media",'Mapa final'!#REF!="Mayor"),CONCATENATE("R5C",'Mapa final'!#REF!),"")</f>
        <v>#REF!</v>
      </c>
      <c r="AG30" s="38" t="e">
        <f>IF(AND('Mapa final'!#REF!="Media",'Mapa final'!#REF!="Mayor"),CONCATENATE("R5C",'Mapa final'!#REF!),"")</f>
        <v>#REF!</v>
      </c>
      <c r="AH30" s="39" t="e">
        <f>IF(AND('Mapa final'!#REF!="Media",'Mapa final'!#REF!="Catastrófico"),CONCATENATE("R5C",'Mapa final'!#REF!),"")</f>
        <v>#REF!</v>
      </c>
      <c r="AI30" s="40" t="e">
        <f>IF(AND('Mapa final'!#REF!="Media",'Mapa final'!#REF!="Catastrófico"),CONCATENATE("R5C",'Mapa final'!#REF!),"")</f>
        <v>#REF!</v>
      </c>
      <c r="AJ30" s="40" t="e">
        <f>IF(AND('Mapa final'!#REF!="Media",'Mapa final'!#REF!="Catastrófico"),CONCATENATE("R5C",'Mapa final'!#REF!),"")</f>
        <v>#REF!</v>
      </c>
      <c r="AK30" s="40" t="e">
        <f>IF(AND('Mapa final'!#REF!="Media",'Mapa final'!#REF!="Catastrófico"),CONCATENATE("R5C",'Mapa final'!#REF!),"")</f>
        <v>#REF!</v>
      </c>
      <c r="AL30" s="40" t="e">
        <f>IF(AND('Mapa final'!#REF!="Media",'Mapa final'!#REF!="Catastrófico"),CONCATENATE("R5C",'Mapa final'!#REF!),"")</f>
        <v>#REF!</v>
      </c>
      <c r="AM30" s="41" t="e">
        <f>IF(AND('Mapa final'!#REF!="Media",'Mapa final'!#REF!="Catastrófico"),CONCATENATE("R5C",'Mapa final'!#REF!),"")</f>
        <v>#REF!</v>
      </c>
      <c r="AN30" s="67"/>
      <c r="AO30" s="587"/>
      <c r="AP30" s="588"/>
      <c r="AQ30" s="588"/>
      <c r="AR30" s="588"/>
      <c r="AS30" s="588"/>
      <c r="AT30" s="589"/>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459"/>
      <c r="C31" s="459"/>
      <c r="D31" s="460"/>
      <c r="E31" s="558"/>
      <c r="F31" s="557"/>
      <c r="G31" s="557"/>
      <c r="H31" s="557"/>
      <c r="I31" s="573"/>
      <c r="J31" s="51" t="e">
        <f>IF(AND('Mapa final'!#REF!="Media",'Mapa final'!#REF!="Leve"),CONCATENATE("R6C",'Mapa final'!#REF!),"")</f>
        <v>#REF!</v>
      </c>
      <c r="K31" s="52" t="e">
        <f>IF(AND('Mapa final'!#REF!="Media",'Mapa final'!#REF!="Leve"),CONCATENATE("R6C",'Mapa final'!#REF!),"")</f>
        <v>#REF!</v>
      </c>
      <c r="L31" s="52" t="e">
        <f>IF(AND('Mapa final'!#REF!="Media",'Mapa final'!#REF!="Leve"),CONCATENATE("R6C",'Mapa final'!#REF!),"")</f>
        <v>#REF!</v>
      </c>
      <c r="M31" s="52" t="e">
        <f>IF(AND('Mapa final'!#REF!="Media",'Mapa final'!#REF!="Leve"),CONCATENATE("R6C",'Mapa final'!#REF!),"")</f>
        <v>#REF!</v>
      </c>
      <c r="N31" s="52" t="e">
        <f>IF(AND('Mapa final'!#REF!="Media",'Mapa final'!#REF!="Leve"),CONCATENATE("R6C",'Mapa final'!#REF!),"")</f>
        <v>#REF!</v>
      </c>
      <c r="O31" s="53" t="e">
        <f>IF(AND('Mapa final'!#REF!="Media",'Mapa final'!#REF!="Leve"),CONCATENATE("R6C",'Mapa final'!#REF!),"")</f>
        <v>#REF!</v>
      </c>
      <c r="P31" s="51" t="e">
        <f>IF(AND('Mapa final'!#REF!="Media",'Mapa final'!#REF!="Menor"),CONCATENATE("R6C",'Mapa final'!#REF!),"")</f>
        <v>#REF!</v>
      </c>
      <c r="Q31" s="52" t="e">
        <f>IF(AND('Mapa final'!#REF!="Media",'Mapa final'!#REF!="Menor"),CONCATENATE("R6C",'Mapa final'!#REF!),"")</f>
        <v>#REF!</v>
      </c>
      <c r="R31" s="52" t="e">
        <f>IF(AND('Mapa final'!#REF!="Media",'Mapa final'!#REF!="Menor"),CONCATENATE("R6C",'Mapa final'!#REF!),"")</f>
        <v>#REF!</v>
      </c>
      <c r="S31" s="52" t="e">
        <f>IF(AND('Mapa final'!#REF!="Media",'Mapa final'!#REF!="Menor"),CONCATENATE("R6C",'Mapa final'!#REF!),"")</f>
        <v>#REF!</v>
      </c>
      <c r="T31" s="52" t="e">
        <f>IF(AND('Mapa final'!#REF!="Media",'Mapa final'!#REF!="Menor"),CONCATENATE("R6C",'Mapa final'!#REF!),"")</f>
        <v>#REF!</v>
      </c>
      <c r="U31" s="53" t="e">
        <f>IF(AND('Mapa final'!#REF!="Media",'Mapa final'!#REF!="Menor"),CONCATENATE("R6C",'Mapa final'!#REF!),"")</f>
        <v>#REF!</v>
      </c>
      <c r="V31" s="51" t="e">
        <f>IF(AND('Mapa final'!#REF!="Media",'Mapa final'!#REF!="Moderado"),CONCATENATE("R6C",'Mapa final'!#REF!),"")</f>
        <v>#REF!</v>
      </c>
      <c r="W31" s="52" t="e">
        <f>IF(AND('Mapa final'!#REF!="Media",'Mapa final'!#REF!="Moderado"),CONCATENATE("R6C",'Mapa final'!#REF!),"")</f>
        <v>#REF!</v>
      </c>
      <c r="X31" s="52" t="e">
        <f>IF(AND('Mapa final'!#REF!="Media",'Mapa final'!#REF!="Moderado"),CONCATENATE("R6C",'Mapa final'!#REF!),"")</f>
        <v>#REF!</v>
      </c>
      <c r="Y31" s="52" t="e">
        <f>IF(AND('Mapa final'!#REF!="Media",'Mapa final'!#REF!="Moderado"),CONCATENATE("R6C",'Mapa final'!#REF!),"")</f>
        <v>#REF!</v>
      </c>
      <c r="Z31" s="52" t="e">
        <f>IF(AND('Mapa final'!#REF!="Media",'Mapa final'!#REF!="Moderado"),CONCATENATE("R6C",'Mapa final'!#REF!),"")</f>
        <v>#REF!</v>
      </c>
      <c r="AA31" s="53" t="e">
        <f>IF(AND('Mapa final'!#REF!="Media",'Mapa final'!#REF!="Moderado"),CONCATENATE("R6C",'Mapa final'!#REF!),"")</f>
        <v>#REF!</v>
      </c>
      <c r="AB31" s="36" t="e">
        <f>IF(AND('Mapa final'!#REF!="Media",'Mapa final'!#REF!="Mayor"),CONCATENATE("R6C",'Mapa final'!#REF!),"")</f>
        <v>#REF!</v>
      </c>
      <c r="AC31" s="37" t="e">
        <f>IF(AND('Mapa final'!#REF!="Media",'Mapa final'!#REF!="Mayor"),CONCATENATE("R6C",'Mapa final'!#REF!),"")</f>
        <v>#REF!</v>
      </c>
      <c r="AD31" s="37" t="e">
        <f>IF(AND('Mapa final'!#REF!="Media",'Mapa final'!#REF!="Mayor"),CONCATENATE("R6C",'Mapa final'!#REF!),"")</f>
        <v>#REF!</v>
      </c>
      <c r="AE31" s="37" t="e">
        <f>IF(AND('Mapa final'!#REF!="Media",'Mapa final'!#REF!="Mayor"),CONCATENATE("R6C",'Mapa final'!#REF!),"")</f>
        <v>#REF!</v>
      </c>
      <c r="AF31" s="37" t="e">
        <f>IF(AND('Mapa final'!#REF!="Media",'Mapa final'!#REF!="Mayor"),CONCATENATE("R6C",'Mapa final'!#REF!),"")</f>
        <v>#REF!</v>
      </c>
      <c r="AG31" s="38" t="e">
        <f>IF(AND('Mapa final'!#REF!="Media",'Mapa final'!#REF!="Mayor"),CONCATENATE("R6C",'Mapa final'!#REF!),"")</f>
        <v>#REF!</v>
      </c>
      <c r="AH31" s="39" t="e">
        <f>IF(AND('Mapa final'!#REF!="Media",'Mapa final'!#REF!="Catastrófico"),CONCATENATE("R6C",'Mapa final'!#REF!),"")</f>
        <v>#REF!</v>
      </c>
      <c r="AI31" s="40" t="e">
        <f>IF(AND('Mapa final'!#REF!="Media",'Mapa final'!#REF!="Catastrófico"),CONCATENATE("R6C",'Mapa final'!#REF!),"")</f>
        <v>#REF!</v>
      </c>
      <c r="AJ31" s="40" t="e">
        <f>IF(AND('Mapa final'!#REF!="Media",'Mapa final'!#REF!="Catastrófico"),CONCATENATE("R6C",'Mapa final'!#REF!),"")</f>
        <v>#REF!</v>
      </c>
      <c r="AK31" s="40" t="e">
        <f>IF(AND('Mapa final'!#REF!="Media",'Mapa final'!#REF!="Catastrófico"),CONCATENATE("R6C",'Mapa final'!#REF!),"")</f>
        <v>#REF!</v>
      </c>
      <c r="AL31" s="40" t="e">
        <f>IF(AND('Mapa final'!#REF!="Media",'Mapa final'!#REF!="Catastrófico"),CONCATENATE("R6C",'Mapa final'!#REF!),"")</f>
        <v>#REF!</v>
      </c>
      <c r="AM31" s="41" t="e">
        <f>IF(AND('Mapa final'!#REF!="Media",'Mapa final'!#REF!="Catastrófico"),CONCATENATE("R6C",'Mapa final'!#REF!),"")</f>
        <v>#REF!</v>
      </c>
      <c r="AN31" s="67"/>
      <c r="AO31" s="587"/>
      <c r="AP31" s="588"/>
      <c r="AQ31" s="588"/>
      <c r="AR31" s="588"/>
      <c r="AS31" s="588"/>
      <c r="AT31" s="589"/>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459"/>
      <c r="C32" s="459"/>
      <c r="D32" s="460"/>
      <c r="E32" s="558"/>
      <c r="F32" s="557"/>
      <c r="G32" s="557"/>
      <c r="H32" s="557"/>
      <c r="I32" s="573"/>
      <c r="J32" s="51" t="str">
        <f>IF(AND('Mapa final'!$AB$17="Media",'Mapa final'!$AD$17="Leve"),CONCATENATE("R7C",'Mapa final'!$R$17),"")</f>
        <v/>
      </c>
      <c r="K32" s="52" t="str">
        <f>IF(AND('Mapa final'!$AB$18="Media",'Mapa final'!$AD$18="Leve"),CONCATENATE("R7C",'Mapa final'!$R$18),"")</f>
        <v/>
      </c>
      <c r="L32" s="52" t="str">
        <f>IF(AND('Mapa final'!$AB$19="Media",'Mapa final'!$AD$19="Leve"),CONCATENATE("R7C",'Mapa final'!$R$19),"")</f>
        <v/>
      </c>
      <c r="M32" s="52" t="str">
        <f>IF(AND('Mapa final'!$AB$20="Media",'Mapa final'!$AD$20="Leve"),CONCATENATE("R7C",'Mapa final'!$R$20),"")</f>
        <v/>
      </c>
      <c r="N32" s="52" t="str">
        <f>IF(AND('Mapa final'!$AB$21="Media",'Mapa final'!$AD$21="Leve"),CONCATENATE("R7C",'Mapa final'!$R$21),"")</f>
        <v/>
      </c>
      <c r="O32" s="53" t="str">
        <f>IF(AND('Mapa final'!$AB$22="Media",'Mapa final'!$AD$22="Leve"),CONCATENATE("R7C",'Mapa final'!$R$22),"")</f>
        <v/>
      </c>
      <c r="P32" s="51" t="str">
        <f>IF(AND('Mapa final'!$AB$17="Media",'Mapa final'!$AD$17="Menor"),CONCATENATE("R7C",'Mapa final'!$R$17),"")</f>
        <v/>
      </c>
      <c r="Q32" s="52" t="str">
        <f>IF(AND('Mapa final'!$AB$18="Media",'Mapa final'!$AD$18="Menor"),CONCATENATE("R7C",'Mapa final'!$R$18),"")</f>
        <v/>
      </c>
      <c r="R32" s="52" t="str">
        <f>IF(AND('Mapa final'!$AB$19="Media",'Mapa final'!$AD$19="Menor"),CONCATENATE("R7C",'Mapa final'!$R$19),"")</f>
        <v/>
      </c>
      <c r="S32" s="52" t="str">
        <f>IF(AND('Mapa final'!$AB$20="Media",'Mapa final'!$AD$20="Menor"),CONCATENATE("R7C",'Mapa final'!$R$20),"")</f>
        <v/>
      </c>
      <c r="T32" s="52" t="str">
        <f>IF(AND('Mapa final'!$AB$21="Media",'Mapa final'!$AD$21="Menor"),CONCATENATE("R7C",'Mapa final'!$R$21),"")</f>
        <v/>
      </c>
      <c r="U32" s="53" t="str">
        <f>IF(AND('Mapa final'!$AB$22="Media",'Mapa final'!$AD$22="Menor"),CONCATENATE("R7C",'Mapa final'!$R$22),"")</f>
        <v/>
      </c>
      <c r="V32" s="51" t="str">
        <f>IF(AND('Mapa final'!$AB$17="Media",'Mapa final'!$AD$17="Moderado"),CONCATENATE("R7C",'Mapa final'!$R$17),"")</f>
        <v/>
      </c>
      <c r="W32" s="52" t="str">
        <f>IF(AND('Mapa final'!$AB$18="Media",'Mapa final'!$AD$18="Moderado"),CONCATENATE("R7C",'Mapa final'!$R$18),"")</f>
        <v/>
      </c>
      <c r="X32" s="52" t="str">
        <f>IF(AND('Mapa final'!$AB$19="Media",'Mapa final'!$AD$19="Moderado"),CONCATENATE("R7C",'Mapa final'!$R$19),"")</f>
        <v/>
      </c>
      <c r="Y32" s="52" t="str">
        <f>IF(AND('Mapa final'!$AB$20="Media",'Mapa final'!$AD$20="Moderado"),CONCATENATE("R7C",'Mapa final'!$R$20),"")</f>
        <v/>
      </c>
      <c r="Z32" s="52" t="str">
        <f>IF(AND('Mapa final'!$AB$21="Media",'Mapa final'!$AD$21="Moderado"),CONCATENATE("R7C",'Mapa final'!$R$21),"")</f>
        <v/>
      </c>
      <c r="AA32" s="53" t="str">
        <f>IF(AND('Mapa final'!$AB$22="Media",'Mapa final'!$AD$22="Moderado"),CONCATENATE("R7C",'Mapa final'!$R$22),"")</f>
        <v/>
      </c>
      <c r="AB32" s="36" t="str">
        <f>IF(AND('Mapa final'!$AB$17="Media",'Mapa final'!$AD$17="Mayor"),CONCATENATE("R7C",'Mapa final'!$R$17),"")</f>
        <v/>
      </c>
      <c r="AC32" s="37" t="str">
        <f>IF(AND('Mapa final'!$AB$18="Media",'Mapa final'!$AD$18="Mayor"),CONCATENATE("R7C",'Mapa final'!$R$18),"")</f>
        <v/>
      </c>
      <c r="AD32" s="37" t="str">
        <f>IF(AND('Mapa final'!$AB$19="Media",'Mapa final'!$AD$19="Mayor"),CONCATENATE("R7C",'Mapa final'!$R$19),"")</f>
        <v/>
      </c>
      <c r="AE32" s="37" t="str">
        <f>IF(AND('Mapa final'!$AB$20="Media",'Mapa final'!$AD$20="Mayor"),CONCATENATE("R7C",'Mapa final'!$R$20),"")</f>
        <v/>
      </c>
      <c r="AF32" s="37" t="str">
        <f>IF(AND('Mapa final'!$AB$21="Media",'Mapa final'!$AD$21="Mayor"),CONCATENATE("R7C",'Mapa final'!$R$21),"")</f>
        <v/>
      </c>
      <c r="AG32" s="38" t="str">
        <f>IF(AND('Mapa final'!$AB$22="Media",'Mapa final'!$AD$22="Mayor"),CONCATENATE("R7C",'Mapa final'!$R$22),"")</f>
        <v/>
      </c>
      <c r="AH32" s="39" t="str">
        <f>IF(AND('Mapa final'!$AB$17="Media",'Mapa final'!$AD$17="Catastrófico"),CONCATENATE("R7C",'Mapa final'!$R$17),"")</f>
        <v/>
      </c>
      <c r="AI32" s="40" t="str">
        <f>IF(AND('Mapa final'!$AB$18="Media",'Mapa final'!$AD$18="Catastrófico"),CONCATENATE("R7C",'Mapa final'!$R$18),"")</f>
        <v/>
      </c>
      <c r="AJ32" s="40" t="str">
        <f>IF(AND('Mapa final'!$AB$19="Media",'Mapa final'!$AD$19="Catastrófico"),CONCATENATE("R7C",'Mapa final'!$R$19),"")</f>
        <v/>
      </c>
      <c r="AK32" s="40" t="str">
        <f>IF(AND('Mapa final'!$AB$20="Media",'Mapa final'!$AD$20="Catastrófico"),CONCATENATE("R7C",'Mapa final'!$R$20),"")</f>
        <v/>
      </c>
      <c r="AL32" s="40" t="str">
        <f>IF(AND('Mapa final'!$AB$21="Media",'Mapa final'!$AD$21="Catastrófico"),CONCATENATE("R7C",'Mapa final'!$R$21),"")</f>
        <v/>
      </c>
      <c r="AM32" s="41" t="str">
        <f>IF(AND('Mapa final'!$AB$22="Media",'Mapa final'!$AD$22="Catastrófico"),CONCATENATE("R7C",'Mapa final'!$R$22),"")</f>
        <v/>
      </c>
      <c r="AN32" s="67"/>
      <c r="AO32" s="587"/>
      <c r="AP32" s="588"/>
      <c r="AQ32" s="588"/>
      <c r="AR32" s="588"/>
      <c r="AS32" s="588"/>
      <c r="AT32" s="589"/>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459"/>
      <c r="C33" s="459"/>
      <c r="D33" s="460"/>
      <c r="E33" s="558"/>
      <c r="F33" s="557"/>
      <c r="G33" s="557"/>
      <c r="H33" s="557"/>
      <c r="I33" s="573"/>
      <c r="J33" s="51" t="str">
        <f>IF(AND('Mapa final'!$AB$23="Media",'Mapa final'!$AD$23="Leve"),CONCATENATE("R8C",'Mapa final'!$R$23),"")</f>
        <v/>
      </c>
      <c r="K33" s="52" t="str">
        <f>IF(AND('Mapa final'!$AB$24="Media",'Mapa final'!$AD$24="Leve"),CONCATENATE("R8C",'Mapa final'!$R$24),"")</f>
        <v/>
      </c>
      <c r="L33" s="52" t="str">
        <f>IF(AND('Mapa final'!$AB$25="Media",'Mapa final'!$AD$25="Leve"),CONCATENATE("R8C",'Mapa final'!$R$25),"")</f>
        <v/>
      </c>
      <c r="M33" s="52" t="str">
        <f>IF(AND('Mapa final'!$AB$26="Media",'Mapa final'!$AD$26="Leve"),CONCATENATE("R8C",'Mapa final'!$R$26),"")</f>
        <v/>
      </c>
      <c r="N33" s="52" t="str">
        <f>IF(AND('Mapa final'!$AB$27="Media",'Mapa final'!$AD$27="Leve"),CONCATENATE("R8C",'Mapa final'!$R$27),"")</f>
        <v/>
      </c>
      <c r="O33" s="53" t="str">
        <f>IF(AND('Mapa final'!$AB$28="Media",'Mapa final'!$AD$28="Leve"),CONCATENATE("R8C",'Mapa final'!$R$28),"")</f>
        <v/>
      </c>
      <c r="P33" s="51" t="str">
        <f>IF(AND('Mapa final'!$AB$23="Media",'Mapa final'!$AD$23="Menor"),CONCATENATE("R8C",'Mapa final'!$R$23),"")</f>
        <v/>
      </c>
      <c r="Q33" s="52" t="str">
        <f>IF(AND('Mapa final'!$AB$24="Media",'Mapa final'!$AD$24="Menor"),CONCATENATE("R8C",'Mapa final'!$R$24),"")</f>
        <v/>
      </c>
      <c r="R33" s="52" t="str">
        <f>IF(AND('Mapa final'!$AB$25="Media",'Mapa final'!$AD$25="Menor"),CONCATENATE("R8C",'Mapa final'!$R$25),"")</f>
        <v/>
      </c>
      <c r="S33" s="52" t="str">
        <f>IF(AND('Mapa final'!$AB$26="Media",'Mapa final'!$AD$26="Menor"),CONCATENATE("R8C",'Mapa final'!$R$26),"")</f>
        <v/>
      </c>
      <c r="T33" s="52" t="str">
        <f>IF(AND('Mapa final'!$AB$27="Media",'Mapa final'!$AD$27="Menor"),CONCATENATE("R8C",'Mapa final'!$R$27),"")</f>
        <v/>
      </c>
      <c r="U33" s="53" t="str">
        <f>IF(AND('Mapa final'!$AB$28="Media",'Mapa final'!$AD$28="Menor"),CONCATENATE("R8C",'Mapa final'!$R$28),"")</f>
        <v/>
      </c>
      <c r="V33" s="51" t="str">
        <f>IF(AND('Mapa final'!$AB$23="Media",'Mapa final'!$AD$23="Moderado"),CONCATENATE("R8C",'Mapa final'!$R$23),"")</f>
        <v/>
      </c>
      <c r="W33" s="52" t="str">
        <f>IF(AND('Mapa final'!$AB$24="Media",'Mapa final'!$AD$24="Moderado"),CONCATENATE("R8C",'Mapa final'!$R$24),"")</f>
        <v/>
      </c>
      <c r="X33" s="52" t="str">
        <f>IF(AND('Mapa final'!$AB$25="Media",'Mapa final'!$AD$25="Moderado"),CONCATENATE("R8C",'Mapa final'!$R$25),"")</f>
        <v/>
      </c>
      <c r="Y33" s="52" t="str">
        <f>IF(AND('Mapa final'!$AB$26="Media",'Mapa final'!$AD$26="Moderado"),CONCATENATE("R8C",'Mapa final'!$R$26),"")</f>
        <v/>
      </c>
      <c r="Z33" s="52" t="str">
        <f>IF(AND('Mapa final'!$AB$27="Media",'Mapa final'!$AD$27="Moderado"),CONCATENATE("R8C",'Mapa final'!$R$27),"")</f>
        <v/>
      </c>
      <c r="AA33" s="53" t="str">
        <f>IF(AND('Mapa final'!$AB$28="Media",'Mapa final'!$AD$28="Moderado"),CONCATENATE("R8C",'Mapa final'!$R$28),"")</f>
        <v/>
      </c>
      <c r="AB33" s="36" t="str">
        <f>IF(AND('Mapa final'!$AB$23="Media",'Mapa final'!$AD$23="Mayor"),CONCATENATE("R8C",'Mapa final'!$R$23),"")</f>
        <v/>
      </c>
      <c r="AC33" s="37" t="str">
        <f>IF(AND('Mapa final'!$AB$24="Media",'Mapa final'!$AD$24="Mayor"),CONCATENATE("R8C",'Mapa final'!$R$24),"")</f>
        <v/>
      </c>
      <c r="AD33" s="37" t="str">
        <f>IF(AND('Mapa final'!$AB$25="Media",'Mapa final'!$AD$25="Mayor"),CONCATENATE("R8C",'Mapa final'!$R$25),"")</f>
        <v/>
      </c>
      <c r="AE33" s="37" t="str">
        <f>IF(AND('Mapa final'!$AB$26="Media",'Mapa final'!$AD$26="Mayor"),CONCATENATE("R8C",'Mapa final'!$R$26),"")</f>
        <v/>
      </c>
      <c r="AF33" s="37" t="str">
        <f>IF(AND('Mapa final'!$AB$27="Media",'Mapa final'!$AD$27="Mayor"),CONCATENATE("R8C",'Mapa final'!$R$27),"")</f>
        <v/>
      </c>
      <c r="AG33" s="38" t="str">
        <f>IF(AND('Mapa final'!$AB$28="Media",'Mapa final'!$AD$28="Mayor"),CONCATENATE("R8C",'Mapa final'!$R$28),"")</f>
        <v/>
      </c>
      <c r="AH33" s="39" t="str">
        <f>IF(AND('Mapa final'!$AB$23="Media",'Mapa final'!$AD$23="Catastrófico"),CONCATENATE("R8C",'Mapa final'!$R$23),"")</f>
        <v/>
      </c>
      <c r="AI33" s="40" t="str">
        <f>IF(AND('Mapa final'!$AB$24="Media",'Mapa final'!$AD$24="Catastrófico"),CONCATENATE("R8C",'Mapa final'!$R$24),"")</f>
        <v/>
      </c>
      <c r="AJ33" s="40" t="str">
        <f>IF(AND('Mapa final'!$AB$25="Media",'Mapa final'!$AD$25="Catastrófico"),CONCATENATE("R8C",'Mapa final'!$R$25),"")</f>
        <v/>
      </c>
      <c r="AK33" s="40" t="str">
        <f>IF(AND('Mapa final'!$AB$26="Media",'Mapa final'!$AD$26="Catastrófico"),CONCATENATE("R8C",'Mapa final'!$R$26),"")</f>
        <v/>
      </c>
      <c r="AL33" s="40" t="str">
        <f>IF(AND('Mapa final'!$AB$27="Media",'Mapa final'!$AD$27="Catastrófico"),CONCATENATE("R8C",'Mapa final'!$R$27),"")</f>
        <v/>
      </c>
      <c r="AM33" s="41" t="str">
        <f>IF(AND('Mapa final'!$AB$28="Media",'Mapa final'!$AD$28="Catastrófico"),CONCATENATE("R8C",'Mapa final'!$R$28),"")</f>
        <v/>
      </c>
      <c r="AN33" s="67"/>
      <c r="AO33" s="587"/>
      <c r="AP33" s="588"/>
      <c r="AQ33" s="588"/>
      <c r="AR33" s="588"/>
      <c r="AS33" s="588"/>
      <c r="AT33" s="589"/>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459"/>
      <c r="C34" s="459"/>
      <c r="D34" s="460"/>
      <c r="E34" s="558"/>
      <c r="F34" s="557"/>
      <c r="G34" s="557"/>
      <c r="H34" s="557"/>
      <c r="I34" s="573"/>
      <c r="J34" s="51" t="str">
        <f>IF(AND('Mapa final'!$AB$29="Media",'Mapa final'!$AD$29="Leve"),CONCATENATE("R9C",'Mapa final'!$R$29),"")</f>
        <v/>
      </c>
      <c r="K34" s="52" t="str">
        <f>IF(AND('Mapa final'!$AB$30="Media",'Mapa final'!$AD$30="Leve"),CONCATENATE("R9C",'Mapa final'!$R$30),"")</f>
        <v/>
      </c>
      <c r="L34" s="52" t="str">
        <f>IF(AND('Mapa final'!$AB$31="Media",'Mapa final'!$AD$31="Leve"),CONCATENATE("R9C",'Mapa final'!$R$31),"")</f>
        <v/>
      </c>
      <c r="M34" s="52" t="str">
        <f>IF(AND('Mapa final'!$AB$32="Media",'Mapa final'!$AD$32="Leve"),CONCATENATE("R9C",'Mapa final'!$R$32),"")</f>
        <v/>
      </c>
      <c r="N34" s="52" t="str">
        <f>IF(AND('Mapa final'!$AB$33="Media",'Mapa final'!$AD$33="Leve"),CONCATENATE("R9C",'Mapa final'!$R$33),"")</f>
        <v/>
      </c>
      <c r="O34" s="53" t="str">
        <f>IF(AND('Mapa final'!$AB$34="Media",'Mapa final'!$AD$34="Leve"),CONCATENATE("R9C",'Mapa final'!$R$34),"")</f>
        <v/>
      </c>
      <c r="P34" s="51" t="str">
        <f>IF(AND('Mapa final'!$AB$29="Media",'Mapa final'!$AD$29="Menor"),CONCATENATE("R9C",'Mapa final'!$R$29),"")</f>
        <v/>
      </c>
      <c r="Q34" s="52" t="str">
        <f>IF(AND('Mapa final'!$AB$30="Media",'Mapa final'!$AD$30="Menor"),CONCATENATE("R9C",'Mapa final'!$R$30),"")</f>
        <v/>
      </c>
      <c r="R34" s="52" t="str">
        <f>IF(AND('Mapa final'!$AB$31="Media",'Mapa final'!$AD$31="Menor"),CONCATENATE("R9C",'Mapa final'!$R$31),"")</f>
        <v/>
      </c>
      <c r="S34" s="52" t="str">
        <f>IF(AND('Mapa final'!$AB$32="Media",'Mapa final'!$AD$32="Menor"),CONCATENATE("R9C",'Mapa final'!$R$32),"")</f>
        <v/>
      </c>
      <c r="T34" s="52" t="str">
        <f>IF(AND('Mapa final'!$AB$33="Media",'Mapa final'!$AD$33="Menor"),CONCATENATE("R9C",'Mapa final'!$R$33),"")</f>
        <v/>
      </c>
      <c r="U34" s="53" t="str">
        <f>IF(AND('Mapa final'!$AB$34="Media",'Mapa final'!$AD$34="Menor"),CONCATENATE("R9C",'Mapa final'!$R$34),"")</f>
        <v/>
      </c>
      <c r="V34" s="51" t="str">
        <f>IF(AND('Mapa final'!$AB$29="Media",'Mapa final'!$AD$29="Moderado"),CONCATENATE("R9C",'Mapa final'!$R$29),"")</f>
        <v/>
      </c>
      <c r="W34" s="52" t="str">
        <f>IF(AND('Mapa final'!$AB$30="Media",'Mapa final'!$AD$30="Moderado"),CONCATENATE("R9C",'Mapa final'!$R$30),"")</f>
        <v/>
      </c>
      <c r="X34" s="52" t="str">
        <f>IF(AND('Mapa final'!$AB$31="Media",'Mapa final'!$AD$31="Moderado"),CONCATENATE("R9C",'Mapa final'!$R$31),"")</f>
        <v/>
      </c>
      <c r="Y34" s="52" t="str">
        <f>IF(AND('Mapa final'!$AB$32="Media",'Mapa final'!$AD$32="Moderado"),CONCATENATE("R9C",'Mapa final'!$R$32),"")</f>
        <v/>
      </c>
      <c r="Z34" s="52" t="str">
        <f>IF(AND('Mapa final'!$AB$33="Media",'Mapa final'!$AD$33="Moderado"),CONCATENATE("R9C",'Mapa final'!$R$33),"")</f>
        <v/>
      </c>
      <c r="AA34" s="53" t="str">
        <f>IF(AND('Mapa final'!$AB$34="Media",'Mapa final'!$AD$34="Moderado"),CONCATENATE("R9C",'Mapa final'!$R$34),"")</f>
        <v/>
      </c>
      <c r="AB34" s="36" t="str">
        <f>IF(AND('Mapa final'!$AB$29="Media",'Mapa final'!$AD$29="Mayor"),CONCATENATE("R9C",'Mapa final'!$R$29),"")</f>
        <v/>
      </c>
      <c r="AC34" s="37" t="str">
        <f>IF(AND('Mapa final'!$AB$30="Media",'Mapa final'!$AD$30="Mayor"),CONCATENATE("R9C",'Mapa final'!$R$30),"")</f>
        <v/>
      </c>
      <c r="AD34" s="37" t="str">
        <f>IF(AND('Mapa final'!$AB$31="Media",'Mapa final'!$AD$31="Mayor"),CONCATENATE("R9C",'Mapa final'!$R$31),"")</f>
        <v/>
      </c>
      <c r="AE34" s="37" t="str">
        <f>IF(AND('Mapa final'!$AB$32="Media",'Mapa final'!$AD$32="Mayor"),CONCATENATE("R9C",'Mapa final'!$R$32),"")</f>
        <v/>
      </c>
      <c r="AF34" s="37" t="str">
        <f>IF(AND('Mapa final'!$AB$33="Media",'Mapa final'!$AD$33="Mayor"),CONCATENATE("R9C",'Mapa final'!$R$33),"")</f>
        <v/>
      </c>
      <c r="AG34" s="38" t="str">
        <f>IF(AND('Mapa final'!$AB$34="Media",'Mapa final'!$AD$34="Mayor"),CONCATENATE("R9C",'Mapa final'!$R$34),"")</f>
        <v/>
      </c>
      <c r="AH34" s="39" t="str">
        <f>IF(AND('Mapa final'!$AB$29="Media",'Mapa final'!$AD$29="Catastrófico"),CONCATENATE("R9C",'Mapa final'!$R$29),"")</f>
        <v/>
      </c>
      <c r="AI34" s="40" t="str">
        <f>IF(AND('Mapa final'!$AB$30="Media",'Mapa final'!$AD$30="Catastrófico"),CONCATENATE("R9C",'Mapa final'!$R$30),"")</f>
        <v/>
      </c>
      <c r="AJ34" s="40" t="str">
        <f>IF(AND('Mapa final'!$AB$31="Media",'Mapa final'!$AD$31="Catastrófico"),CONCATENATE("R9C",'Mapa final'!$R$31),"")</f>
        <v/>
      </c>
      <c r="AK34" s="40" t="str">
        <f>IF(AND('Mapa final'!$AB$32="Media",'Mapa final'!$AD$32="Catastrófico"),CONCATENATE("R9C",'Mapa final'!$R$32),"")</f>
        <v/>
      </c>
      <c r="AL34" s="40" t="str">
        <f>IF(AND('Mapa final'!$AB$33="Media",'Mapa final'!$AD$33="Catastrófico"),CONCATENATE("R9C",'Mapa final'!$R$33),"")</f>
        <v/>
      </c>
      <c r="AM34" s="41" t="str">
        <f>IF(AND('Mapa final'!$AB$34="Media",'Mapa final'!$AD$34="Catastrófico"),CONCATENATE("R9C",'Mapa final'!$R$34),"")</f>
        <v/>
      </c>
      <c r="AN34" s="67"/>
      <c r="AO34" s="587"/>
      <c r="AP34" s="588"/>
      <c r="AQ34" s="588"/>
      <c r="AR34" s="588"/>
      <c r="AS34" s="588"/>
      <c r="AT34" s="589"/>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459"/>
      <c r="C35" s="459"/>
      <c r="D35" s="460"/>
      <c r="E35" s="559"/>
      <c r="F35" s="560"/>
      <c r="G35" s="560"/>
      <c r="H35" s="560"/>
      <c r="I35" s="574"/>
      <c r="J35" s="51" t="str">
        <f>IF(AND('Mapa final'!$AB$35="Media",'Mapa final'!$AD$35="Leve"),CONCATENATE("R10C",'Mapa final'!$R$35),"")</f>
        <v/>
      </c>
      <c r="K35" s="52" t="str">
        <f>IF(AND('Mapa final'!$AB$36="Media",'Mapa final'!$AD$36="Leve"),CONCATENATE("R10C",'Mapa final'!$R$36),"")</f>
        <v/>
      </c>
      <c r="L35" s="52" t="str">
        <f>IF(AND('Mapa final'!$AB$37="Media",'Mapa final'!$AD$37="Leve"),CONCATENATE("R10C",'Mapa final'!$R$37),"")</f>
        <v/>
      </c>
      <c r="M35" s="52" t="str">
        <f>IF(AND('Mapa final'!$AB$38="Media",'Mapa final'!$AD$38="Leve"),CONCATENATE("R10C",'Mapa final'!$R$38),"")</f>
        <v/>
      </c>
      <c r="N35" s="52" t="str">
        <f>IF(AND('Mapa final'!$AB$39="Media",'Mapa final'!$AD$39="Leve"),CONCATENATE("R10C",'Mapa final'!$R$39),"")</f>
        <v/>
      </c>
      <c r="O35" s="53" t="str">
        <f>IF(AND('Mapa final'!$AB$40="Media",'Mapa final'!$AD$40="Leve"),CONCATENATE("R10C",'Mapa final'!$R$40),"")</f>
        <v/>
      </c>
      <c r="P35" s="51" t="str">
        <f>IF(AND('Mapa final'!$AB$35="Media",'Mapa final'!$AD$35="Menor"),CONCATENATE("R10C",'Mapa final'!$R$35),"")</f>
        <v/>
      </c>
      <c r="Q35" s="52" t="str">
        <f>IF(AND('Mapa final'!$AB$36="Media",'Mapa final'!$AD$36="Menor"),CONCATENATE("R10C",'Mapa final'!$R$36),"")</f>
        <v/>
      </c>
      <c r="R35" s="52" t="str">
        <f>IF(AND('Mapa final'!$AB$37="Media",'Mapa final'!$AD$37="Menor"),CONCATENATE("R10C",'Mapa final'!$R$37),"")</f>
        <v/>
      </c>
      <c r="S35" s="52" t="str">
        <f>IF(AND('Mapa final'!$AB$38="Media",'Mapa final'!$AD$38="Menor"),CONCATENATE("R10C",'Mapa final'!$R$38),"")</f>
        <v/>
      </c>
      <c r="T35" s="52" t="str">
        <f>IF(AND('Mapa final'!$AB$39="Media",'Mapa final'!$AD$39="Menor"),CONCATENATE("R10C",'Mapa final'!$R$39),"")</f>
        <v/>
      </c>
      <c r="U35" s="53" t="str">
        <f>IF(AND('Mapa final'!$AB$40="Media",'Mapa final'!$AD$40="Menor"),CONCATENATE("R10C",'Mapa final'!$R$40),"")</f>
        <v/>
      </c>
      <c r="V35" s="51" t="str">
        <f>IF(AND('Mapa final'!$AB$35="Media",'Mapa final'!$AD$35="Moderado"),CONCATENATE("R10C",'Mapa final'!$R$35),"")</f>
        <v/>
      </c>
      <c r="W35" s="52" t="str">
        <f>IF(AND('Mapa final'!$AB$36="Media",'Mapa final'!$AD$36="Moderado"),CONCATENATE("R10C",'Mapa final'!$R$36),"")</f>
        <v/>
      </c>
      <c r="X35" s="52" t="str">
        <f>IF(AND('Mapa final'!$AB$37="Media",'Mapa final'!$AD$37="Moderado"),CONCATENATE("R10C",'Mapa final'!$R$37),"")</f>
        <v/>
      </c>
      <c r="Y35" s="52" t="str">
        <f>IF(AND('Mapa final'!$AB$38="Media",'Mapa final'!$AD$38="Moderado"),CONCATENATE("R10C",'Mapa final'!$R$38),"")</f>
        <v/>
      </c>
      <c r="Z35" s="52" t="str">
        <f>IF(AND('Mapa final'!$AB$39="Media",'Mapa final'!$AD$39="Moderado"),CONCATENATE("R10C",'Mapa final'!$R$39),"")</f>
        <v/>
      </c>
      <c r="AA35" s="53" t="str">
        <f>IF(AND('Mapa final'!$AB$40="Media",'Mapa final'!$AD$40="Moderado"),CONCATENATE("R10C",'Mapa final'!$R$40),"")</f>
        <v/>
      </c>
      <c r="AB35" s="42" t="str">
        <f>IF(AND('Mapa final'!$AB$35="Media",'Mapa final'!$AD$35="Mayor"),CONCATENATE("R10C",'Mapa final'!$R$35),"")</f>
        <v/>
      </c>
      <c r="AC35" s="43" t="str">
        <f>IF(AND('Mapa final'!$AB$36="Media",'Mapa final'!$AD$36="Mayor"),CONCATENATE("R10C",'Mapa final'!$R$36),"")</f>
        <v/>
      </c>
      <c r="AD35" s="43" t="str">
        <f>IF(AND('Mapa final'!$AB$37="Media",'Mapa final'!$AD$37="Mayor"),CONCATENATE("R10C",'Mapa final'!$R$37),"")</f>
        <v/>
      </c>
      <c r="AE35" s="43" t="str">
        <f>IF(AND('Mapa final'!$AB$38="Media",'Mapa final'!$AD$38="Mayor"),CONCATENATE("R10C",'Mapa final'!$R$38),"")</f>
        <v/>
      </c>
      <c r="AF35" s="43" t="str">
        <f>IF(AND('Mapa final'!$AB$39="Media",'Mapa final'!$AD$39="Mayor"),CONCATENATE("R10C",'Mapa final'!$R$39),"")</f>
        <v/>
      </c>
      <c r="AG35" s="44" t="str">
        <f>IF(AND('Mapa final'!$AB$40="Media",'Mapa final'!$AD$40="Mayor"),CONCATENATE("R10C",'Mapa final'!$R$40),"")</f>
        <v/>
      </c>
      <c r="AH35" s="45" t="str">
        <f>IF(AND('Mapa final'!$AB$35="Media",'Mapa final'!$AD$35="Catastrófico"),CONCATENATE("R10C",'Mapa final'!$R$35),"")</f>
        <v/>
      </c>
      <c r="AI35" s="46" t="str">
        <f>IF(AND('Mapa final'!$AB$36="Media",'Mapa final'!$AD$36="Catastrófico"),CONCATENATE("R10C",'Mapa final'!$R$36),"")</f>
        <v/>
      </c>
      <c r="AJ35" s="46" t="str">
        <f>IF(AND('Mapa final'!$AB$37="Media",'Mapa final'!$AD$37="Catastrófico"),CONCATENATE("R10C",'Mapa final'!$R$37),"")</f>
        <v/>
      </c>
      <c r="AK35" s="46" t="str">
        <f>IF(AND('Mapa final'!$AB$38="Media",'Mapa final'!$AD$38="Catastrófico"),CONCATENATE("R10C",'Mapa final'!$R$38),"")</f>
        <v/>
      </c>
      <c r="AL35" s="46" t="str">
        <f>IF(AND('Mapa final'!$AB$39="Media",'Mapa final'!$AD$39="Catastrófico"),CONCATENATE("R10C",'Mapa final'!$R$39),"")</f>
        <v/>
      </c>
      <c r="AM35" s="47" t="str">
        <f>IF(AND('Mapa final'!$AB$40="Media",'Mapa final'!$AD$40="Catastrófico"),CONCATENATE("R10C",'Mapa final'!$R$40),"")</f>
        <v/>
      </c>
      <c r="AN35" s="67"/>
      <c r="AO35" s="590"/>
      <c r="AP35" s="591"/>
      <c r="AQ35" s="591"/>
      <c r="AR35" s="591"/>
      <c r="AS35" s="591"/>
      <c r="AT35" s="592"/>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459"/>
      <c r="C36" s="459"/>
      <c r="D36" s="460"/>
      <c r="E36" s="554" t="s">
        <v>108</v>
      </c>
      <c r="F36" s="555"/>
      <c r="G36" s="555"/>
      <c r="H36" s="555"/>
      <c r="I36" s="555"/>
      <c r="J36" s="57" t="str">
        <f>IF(AND('Mapa final'!$AB$10="Baja",'Mapa final'!$AD$10="Leve"),CONCATENATE("R1C",'Mapa final'!$R$10),"")</f>
        <v/>
      </c>
      <c r="K36" s="58" t="str">
        <f>IF(AND('Mapa final'!$AB$11="Baja",'Mapa final'!$AD$11="Leve"),CONCATENATE("R1C",'Mapa final'!$R$11),"")</f>
        <v/>
      </c>
      <c r="L36" s="58" t="str">
        <f>IF(AND('Mapa final'!$AB$12="Baja",'Mapa final'!$AD$12="Leve"),CONCATENATE("R1C",'Mapa final'!$R$12),"")</f>
        <v/>
      </c>
      <c r="M36" s="58" t="str">
        <f>IF(AND('Mapa final'!$AB$13="Baja",'Mapa final'!$AD$13="Leve"),CONCATENATE("R1C",'Mapa final'!$R$13),"")</f>
        <v/>
      </c>
      <c r="N36" s="58" t="str">
        <f>IF(AND('Mapa final'!$AB$14="Baja",'Mapa final'!$AD$14="Leve"),CONCATENATE("R1C",'Mapa final'!$R$14),"")</f>
        <v/>
      </c>
      <c r="O36" s="59" t="str">
        <f>IF(AND('Mapa final'!$AB$15="Baja",'Mapa final'!$AD$15="Leve"),CONCATENATE("R1C",'Mapa final'!$R$15),"")</f>
        <v/>
      </c>
      <c r="P36" s="48" t="str">
        <f>IF(AND('Mapa final'!$AB$10="Baja",'Mapa final'!$AD$10="Menor"),CONCATENATE("R1C",'Mapa final'!$R$10),"")</f>
        <v/>
      </c>
      <c r="Q36" s="49" t="str">
        <f>IF(AND('Mapa final'!$AB$11="Baja",'Mapa final'!$AD$11="Menor"),CONCATENATE("R1C",'Mapa final'!$R$11),"")</f>
        <v/>
      </c>
      <c r="R36" s="49" t="str">
        <f>IF(AND('Mapa final'!$AB$12="Baja",'Mapa final'!$AD$12="Menor"),CONCATENATE("R1C",'Mapa final'!$R$12),"")</f>
        <v/>
      </c>
      <c r="S36" s="49" t="str">
        <f>IF(AND('Mapa final'!$AB$13="Baja",'Mapa final'!$AD$13="Menor"),CONCATENATE("R1C",'Mapa final'!$R$13),"")</f>
        <v/>
      </c>
      <c r="T36" s="49" t="str">
        <f>IF(AND('Mapa final'!$AB$14="Baja",'Mapa final'!$AD$14="Menor"),CONCATENATE("R1C",'Mapa final'!$R$14),"")</f>
        <v/>
      </c>
      <c r="U36" s="50" t="str">
        <f>IF(AND('Mapa final'!$AB$15="Baja",'Mapa final'!$AD$15="Menor"),CONCATENATE("R1C",'Mapa final'!$R$15),"")</f>
        <v/>
      </c>
      <c r="V36" s="48" t="str">
        <f>IF(AND('Mapa final'!$AB$10="Baja",'Mapa final'!$AD$10="Moderado"),CONCATENATE("R1C",'Mapa final'!$R$10),"")</f>
        <v/>
      </c>
      <c r="W36" s="49" t="str">
        <f>IF(AND('Mapa final'!$AB$11="Baja",'Mapa final'!$AD$11="Moderado"),CONCATENATE("R1C",'Mapa final'!$R$11),"")</f>
        <v/>
      </c>
      <c r="X36" s="49" t="str">
        <f>IF(AND('Mapa final'!$AB$12="Baja",'Mapa final'!$AD$12="Moderado"),CONCATENATE("R1C",'Mapa final'!$R$12),"")</f>
        <v/>
      </c>
      <c r="Y36" s="49" t="str">
        <f>IF(AND('Mapa final'!$AB$13="Baja",'Mapa final'!$AD$13="Moderado"),CONCATENATE("R1C",'Mapa final'!$R$13),"")</f>
        <v/>
      </c>
      <c r="Z36" s="49" t="str">
        <f>IF(AND('Mapa final'!$AB$14="Baja",'Mapa final'!$AD$14="Moderado"),CONCATENATE("R1C",'Mapa final'!$R$14),"")</f>
        <v/>
      </c>
      <c r="AA36" s="50" t="str">
        <f>IF(AND('Mapa final'!$AB$15="Baja",'Mapa final'!$AD$15="Moderado"),CONCATENATE("R1C",'Mapa final'!$R$15),"")</f>
        <v/>
      </c>
      <c r="AB36" s="30" t="str">
        <f>IF(AND('Mapa final'!$AB$10="Baja",'Mapa final'!$AD$10="Mayor"),CONCATENATE("R1C",'Mapa final'!$R$10),"")</f>
        <v/>
      </c>
      <c r="AC36" s="31" t="str">
        <f>IF(AND('Mapa final'!$AB$11="Baja",'Mapa final'!$AD$11="Mayor"),CONCATENATE("R1C",'Mapa final'!$R$11),"")</f>
        <v/>
      </c>
      <c r="AD36" s="31" t="str">
        <f>IF(AND('Mapa final'!$AB$12="Baja",'Mapa final'!$AD$12="Mayor"),CONCATENATE("R1C",'Mapa final'!$R$12),"")</f>
        <v/>
      </c>
      <c r="AE36" s="31" t="str">
        <f>IF(AND('Mapa final'!$AB$13="Baja",'Mapa final'!$AD$13="Mayor"),CONCATENATE("R1C",'Mapa final'!$R$13),"")</f>
        <v/>
      </c>
      <c r="AF36" s="31" t="str">
        <f>IF(AND('Mapa final'!$AB$14="Baja",'Mapa final'!$AD$14="Mayor"),CONCATENATE("R1C",'Mapa final'!$R$14),"")</f>
        <v/>
      </c>
      <c r="AG36" s="32" t="str">
        <f>IF(AND('Mapa final'!$AB$15="Baja",'Mapa final'!$AD$15="Mayor"),CONCATENATE("R1C",'Mapa final'!$R$15),"")</f>
        <v/>
      </c>
      <c r="AH36" s="33" t="str">
        <f>IF(AND('Mapa final'!$AB$10="Baja",'Mapa final'!$AD$10="Catastrófico"),CONCATENATE("R1C",'Mapa final'!$R$10),"")</f>
        <v/>
      </c>
      <c r="AI36" s="34" t="str">
        <f>IF(AND('Mapa final'!$AB$11="Baja",'Mapa final'!$AD$11="Catastrófico"),CONCATENATE("R1C",'Mapa final'!$R$11),"")</f>
        <v/>
      </c>
      <c r="AJ36" s="34" t="str">
        <f>IF(AND('Mapa final'!$AB$12="Baja",'Mapa final'!$AD$12="Catastrófico"),CONCATENATE("R1C",'Mapa final'!$R$12),"")</f>
        <v/>
      </c>
      <c r="AK36" s="34" t="str">
        <f>IF(AND('Mapa final'!$AB$13="Baja",'Mapa final'!$AD$13="Catastrófico"),CONCATENATE("R1C",'Mapa final'!$R$13),"")</f>
        <v/>
      </c>
      <c r="AL36" s="34" t="str">
        <f>IF(AND('Mapa final'!$AB$14="Baja",'Mapa final'!$AD$14="Catastrófico"),CONCATENATE("R1C",'Mapa final'!$R$14),"")</f>
        <v/>
      </c>
      <c r="AM36" s="35" t="str">
        <f>IF(AND('Mapa final'!$AB$15="Baja",'Mapa final'!$AD$15="Catastrófico"),CONCATENATE("R1C",'Mapa final'!$R$15),"")</f>
        <v/>
      </c>
      <c r="AN36" s="67"/>
      <c r="AO36" s="575" t="s">
        <v>80</v>
      </c>
      <c r="AP36" s="576"/>
      <c r="AQ36" s="576"/>
      <c r="AR36" s="576"/>
      <c r="AS36" s="576"/>
      <c r="AT36" s="57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459"/>
      <c r="C37" s="459"/>
      <c r="D37" s="460"/>
      <c r="E37" s="556"/>
      <c r="F37" s="557"/>
      <c r="G37" s="557"/>
      <c r="H37" s="557"/>
      <c r="I37" s="557"/>
      <c r="J37" s="60" t="e">
        <f>IF(AND('Mapa final'!#REF!="Baja",'Mapa final'!#REF!="Leve"),CONCATENATE("R2C",'Mapa final'!#REF!),"")</f>
        <v>#REF!</v>
      </c>
      <c r="K37" s="61" t="e">
        <f>IF(AND('Mapa final'!#REF!="Baja",'Mapa final'!#REF!="Leve"),CONCATENATE("R2C",'Mapa final'!#REF!),"")</f>
        <v>#REF!</v>
      </c>
      <c r="L37" s="61" t="e">
        <f>IF(AND('Mapa final'!#REF!="Baja",'Mapa final'!#REF!="Leve"),CONCATENATE("R2C",'Mapa final'!#REF!),"")</f>
        <v>#REF!</v>
      </c>
      <c r="M37" s="61" t="e">
        <f>IF(AND('Mapa final'!#REF!="Baja",'Mapa final'!#REF!="Leve"),CONCATENATE("R2C",'Mapa final'!#REF!),"")</f>
        <v>#REF!</v>
      </c>
      <c r="N37" s="61" t="e">
        <f>IF(AND('Mapa final'!#REF!="Baja",'Mapa final'!#REF!="Leve"),CONCATENATE("R2C",'Mapa final'!#REF!),"")</f>
        <v>#REF!</v>
      </c>
      <c r="O37" s="62" t="e">
        <f>IF(AND('Mapa final'!#REF!="Baja",'Mapa final'!#REF!="Leve"),CONCATENATE("R2C",'Mapa final'!#REF!),"")</f>
        <v>#REF!</v>
      </c>
      <c r="P37" s="51" t="e">
        <f>IF(AND('Mapa final'!#REF!="Baja",'Mapa final'!#REF!="Menor"),CONCATENATE("R2C",'Mapa final'!#REF!),"")</f>
        <v>#REF!</v>
      </c>
      <c r="Q37" s="52" t="e">
        <f>IF(AND('Mapa final'!#REF!="Baja",'Mapa final'!#REF!="Menor"),CONCATENATE("R2C",'Mapa final'!#REF!),"")</f>
        <v>#REF!</v>
      </c>
      <c r="R37" s="52" t="e">
        <f>IF(AND('Mapa final'!#REF!="Baja",'Mapa final'!#REF!="Menor"),CONCATENATE("R2C",'Mapa final'!#REF!),"")</f>
        <v>#REF!</v>
      </c>
      <c r="S37" s="52" t="e">
        <f>IF(AND('Mapa final'!#REF!="Baja",'Mapa final'!#REF!="Menor"),CONCATENATE("R2C",'Mapa final'!#REF!),"")</f>
        <v>#REF!</v>
      </c>
      <c r="T37" s="52" t="e">
        <f>IF(AND('Mapa final'!#REF!="Baja",'Mapa final'!#REF!="Menor"),CONCATENATE("R2C",'Mapa final'!#REF!),"")</f>
        <v>#REF!</v>
      </c>
      <c r="U37" s="53" t="e">
        <f>IF(AND('Mapa final'!#REF!="Baja",'Mapa final'!#REF!="Menor"),CONCATENATE("R2C",'Mapa final'!#REF!),"")</f>
        <v>#REF!</v>
      </c>
      <c r="V37" s="51" t="e">
        <f>IF(AND('Mapa final'!#REF!="Baja",'Mapa final'!#REF!="Moderado"),CONCATENATE("R2C",'Mapa final'!#REF!),"")</f>
        <v>#REF!</v>
      </c>
      <c r="W37" s="52" t="e">
        <f>IF(AND('Mapa final'!#REF!="Baja",'Mapa final'!#REF!="Moderado"),CONCATENATE("R2C",'Mapa final'!#REF!),"")</f>
        <v>#REF!</v>
      </c>
      <c r="X37" s="52" t="e">
        <f>IF(AND('Mapa final'!#REF!="Baja",'Mapa final'!#REF!="Moderado"),CONCATENATE("R2C",'Mapa final'!#REF!),"")</f>
        <v>#REF!</v>
      </c>
      <c r="Y37" s="52" t="e">
        <f>IF(AND('Mapa final'!#REF!="Baja",'Mapa final'!#REF!="Moderado"),CONCATENATE("R2C",'Mapa final'!#REF!),"")</f>
        <v>#REF!</v>
      </c>
      <c r="Z37" s="52" t="e">
        <f>IF(AND('Mapa final'!#REF!="Baja",'Mapa final'!#REF!="Moderado"),CONCATENATE("R2C",'Mapa final'!#REF!),"")</f>
        <v>#REF!</v>
      </c>
      <c r="AA37" s="53" t="e">
        <f>IF(AND('Mapa final'!#REF!="Baja",'Mapa final'!#REF!="Moderado"),CONCATENATE("R2C",'Mapa final'!#REF!),"")</f>
        <v>#REF!</v>
      </c>
      <c r="AB37" s="36" t="e">
        <f>IF(AND('Mapa final'!#REF!="Baja",'Mapa final'!#REF!="Mayor"),CONCATENATE("R2C",'Mapa final'!#REF!),"")</f>
        <v>#REF!</v>
      </c>
      <c r="AC37" s="37" t="e">
        <f>IF(AND('Mapa final'!#REF!="Baja",'Mapa final'!#REF!="Mayor"),CONCATENATE("R2C",'Mapa final'!#REF!),"")</f>
        <v>#REF!</v>
      </c>
      <c r="AD37" s="37" t="e">
        <f>IF(AND('Mapa final'!#REF!="Baja",'Mapa final'!#REF!="Mayor"),CONCATENATE("R2C",'Mapa final'!#REF!),"")</f>
        <v>#REF!</v>
      </c>
      <c r="AE37" s="37" t="e">
        <f>IF(AND('Mapa final'!#REF!="Baja",'Mapa final'!#REF!="Mayor"),CONCATENATE("R2C",'Mapa final'!#REF!),"")</f>
        <v>#REF!</v>
      </c>
      <c r="AF37" s="37" t="e">
        <f>IF(AND('Mapa final'!#REF!="Baja",'Mapa final'!#REF!="Mayor"),CONCATENATE("R2C",'Mapa final'!#REF!),"")</f>
        <v>#REF!</v>
      </c>
      <c r="AG37" s="38" t="e">
        <f>IF(AND('Mapa final'!#REF!="Baja",'Mapa final'!#REF!="Mayor"),CONCATENATE("R2C",'Mapa final'!#REF!),"")</f>
        <v>#REF!</v>
      </c>
      <c r="AH37" s="39" t="e">
        <f>IF(AND('Mapa final'!#REF!="Baja",'Mapa final'!#REF!="Catastrófico"),CONCATENATE("R2C",'Mapa final'!#REF!),"")</f>
        <v>#REF!</v>
      </c>
      <c r="AI37" s="40" t="e">
        <f>IF(AND('Mapa final'!#REF!="Baja",'Mapa final'!#REF!="Catastrófico"),CONCATENATE("R2C",'Mapa final'!#REF!),"")</f>
        <v>#REF!</v>
      </c>
      <c r="AJ37" s="40" t="e">
        <f>IF(AND('Mapa final'!#REF!="Baja",'Mapa final'!#REF!="Catastrófico"),CONCATENATE("R2C",'Mapa final'!#REF!),"")</f>
        <v>#REF!</v>
      </c>
      <c r="AK37" s="40" t="e">
        <f>IF(AND('Mapa final'!#REF!="Baja",'Mapa final'!#REF!="Catastrófico"),CONCATENATE("R2C",'Mapa final'!#REF!),"")</f>
        <v>#REF!</v>
      </c>
      <c r="AL37" s="40" t="e">
        <f>IF(AND('Mapa final'!#REF!="Baja",'Mapa final'!#REF!="Catastrófico"),CONCATENATE("R2C",'Mapa final'!#REF!),"")</f>
        <v>#REF!</v>
      </c>
      <c r="AM37" s="41" t="e">
        <f>IF(AND('Mapa final'!#REF!="Baja",'Mapa final'!#REF!="Catastrófico"),CONCATENATE("R2C",'Mapa final'!#REF!),"")</f>
        <v>#REF!</v>
      </c>
      <c r="AN37" s="67"/>
      <c r="AO37" s="578"/>
      <c r="AP37" s="579"/>
      <c r="AQ37" s="579"/>
      <c r="AR37" s="579"/>
      <c r="AS37" s="579"/>
      <c r="AT37" s="580"/>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459"/>
      <c r="C38" s="459"/>
      <c r="D38" s="460"/>
      <c r="E38" s="558"/>
      <c r="F38" s="557"/>
      <c r="G38" s="557"/>
      <c r="H38" s="557"/>
      <c r="I38" s="557"/>
      <c r="J38" s="60" t="str">
        <f>IF(AND('Mapa final'!$AB$16="Baja",'Mapa final'!$AD$16="Leve"),CONCATENATE("R3C",'Mapa final'!$R$16),"")</f>
        <v/>
      </c>
      <c r="K38" s="61" t="e">
        <f>IF(AND('Mapa final'!#REF!="Baja",'Mapa final'!#REF!="Leve"),CONCATENATE("R3C",'Mapa final'!#REF!),"")</f>
        <v>#REF!</v>
      </c>
      <c r="L38" s="61" t="e">
        <f>IF(AND('Mapa final'!#REF!="Baja",'Mapa final'!#REF!="Leve"),CONCATENATE("R3C",'Mapa final'!#REF!),"")</f>
        <v>#REF!</v>
      </c>
      <c r="M38" s="61" t="e">
        <f>IF(AND('Mapa final'!#REF!="Baja",'Mapa final'!#REF!="Leve"),CONCATENATE("R3C",'Mapa final'!#REF!),"")</f>
        <v>#REF!</v>
      </c>
      <c r="N38" s="61" t="e">
        <f>IF(AND('Mapa final'!#REF!="Baja",'Mapa final'!#REF!="Leve"),CONCATENATE("R3C",'Mapa final'!#REF!),"")</f>
        <v>#REF!</v>
      </c>
      <c r="O38" s="62" t="e">
        <f>IF(AND('Mapa final'!#REF!="Baja",'Mapa final'!#REF!="Leve"),CONCATENATE("R3C",'Mapa final'!#REF!),"")</f>
        <v>#REF!</v>
      </c>
      <c r="P38" s="51" t="str">
        <f>IF(AND('Mapa final'!$AB$16="Baja",'Mapa final'!$AD$16="Menor"),CONCATENATE("R3C",'Mapa final'!$R$16),"")</f>
        <v/>
      </c>
      <c r="Q38" s="52" t="e">
        <f>IF(AND('Mapa final'!#REF!="Baja",'Mapa final'!#REF!="Menor"),CONCATENATE("R3C",'Mapa final'!#REF!),"")</f>
        <v>#REF!</v>
      </c>
      <c r="R38" s="52" t="e">
        <f>IF(AND('Mapa final'!#REF!="Baja",'Mapa final'!#REF!="Menor"),CONCATENATE("R3C",'Mapa final'!#REF!),"")</f>
        <v>#REF!</v>
      </c>
      <c r="S38" s="52" t="e">
        <f>IF(AND('Mapa final'!#REF!="Baja",'Mapa final'!#REF!="Menor"),CONCATENATE("R3C",'Mapa final'!#REF!),"")</f>
        <v>#REF!</v>
      </c>
      <c r="T38" s="52" t="e">
        <f>IF(AND('Mapa final'!#REF!="Baja",'Mapa final'!#REF!="Menor"),CONCATENATE("R3C",'Mapa final'!#REF!),"")</f>
        <v>#REF!</v>
      </c>
      <c r="U38" s="53" t="e">
        <f>IF(AND('Mapa final'!#REF!="Baja",'Mapa final'!#REF!="Menor"),CONCATENATE("R3C",'Mapa final'!#REF!),"")</f>
        <v>#REF!</v>
      </c>
      <c r="V38" s="51" t="str">
        <f>IF(AND('Mapa final'!$AB$16="Baja",'Mapa final'!$AD$16="Moderado"),CONCATENATE("R3C",'Mapa final'!$R$16),"")</f>
        <v/>
      </c>
      <c r="W38" s="52" t="e">
        <f>IF(AND('Mapa final'!#REF!="Baja",'Mapa final'!#REF!="Moderado"),CONCATENATE("R3C",'Mapa final'!#REF!),"")</f>
        <v>#REF!</v>
      </c>
      <c r="X38" s="52" t="e">
        <f>IF(AND('Mapa final'!#REF!="Baja",'Mapa final'!#REF!="Moderado"),CONCATENATE("R3C",'Mapa final'!#REF!),"")</f>
        <v>#REF!</v>
      </c>
      <c r="Y38" s="52" t="e">
        <f>IF(AND('Mapa final'!#REF!="Baja",'Mapa final'!#REF!="Moderado"),CONCATENATE("R3C",'Mapa final'!#REF!),"")</f>
        <v>#REF!</v>
      </c>
      <c r="Z38" s="52" t="e">
        <f>IF(AND('Mapa final'!#REF!="Baja",'Mapa final'!#REF!="Moderado"),CONCATENATE("R3C",'Mapa final'!#REF!),"")</f>
        <v>#REF!</v>
      </c>
      <c r="AA38" s="53" t="e">
        <f>IF(AND('Mapa final'!#REF!="Baja",'Mapa final'!#REF!="Moderado"),CONCATENATE("R3C",'Mapa final'!#REF!),"")</f>
        <v>#REF!</v>
      </c>
      <c r="AB38" s="36" t="str">
        <f>IF(AND('Mapa final'!$AB$16="Baja",'Mapa final'!$AD$16="Mayor"),CONCATENATE("R3C",'Mapa final'!$R$16),"")</f>
        <v/>
      </c>
      <c r="AC38" s="37" t="e">
        <f>IF(AND('Mapa final'!#REF!="Baja",'Mapa final'!#REF!="Mayor"),CONCATENATE("R3C",'Mapa final'!#REF!),"")</f>
        <v>#REF!</v>
      </c>
      <c r="AD38" s="37" t="e">
        <f>IF(AND('Mapa final'!#REF!="Baja",'Mapa final'!#REF!="Mayor"),CONCATENATE("R3C",'Mapa final'!#REF!),"")</f>
        <v>#REF!</v>
      </c>
      <c r="AE38" s="37" t="e">
        <f>IF(AND('Mapa final'!#REF!="Baja",'Mapa final'!#REF!="Mayor"),CONCATENATE("R3C",'Mapa final'!#REF!),"")</f>
        <v>#REF!</v>
      </c>
      <c r="AF38" s="37" t="e">
        <f>IF(AND('Mapa final'!#REF!="Baja",'Mapa final'!#REF!="Mayor"),CONCATENATE("R3C",'Mapa final'!#REF!),"")</f>
        <v>#REF!</v>
      </c>
      <c r="AG38" s="38" t="e">
        <f>IF(AND('Mapa final'!#REF!="Baja",'Mapa final'!#REF!="Mayor"),CONCATENATE("R3C",'Mapa final'!#REF!),"")</f>
        <v>#REF!</v>
      </c>
      <c r="AH38" s="39" t="str">
        <f>IF(AND('Mapa final'!$AB$16="Baja",'Mapa final'!$AD$16="Catastrófico"),CONCATENATE("R3C",'Mapa final'!$R$16),"")</f>
        <v/>
      </c>
      <c r="AI38" s="40" t="e">
        <f>IF(AND('Mapa final'!#REF!="Baja",'Mapa final'!#REF!="Catastrófico"),CONCATENATE("R3C",'Mapa final'!#REF!),"")</f>
        <v>#REF!</v>
      </c>
      <c r="AJ38" s="40" t="e">
        <f>IF(AND('Mapa final'!#REF!="Baja",'Mapa final'!#REF!="Catastrófico"),CONCATENATE("R3C",'Mapa final'!#REF!),"")</f>
        <v>#REF!</v>
      </c>
      <c r="AK38" s="40" t="e">
        <f>IF(AND('Mapa final'!#REF!="Baja",'Mapa final'!#REF!="Catastrófico"),CONCATENATE("R3C",'Mapa final'!#REF!),"")</f>
        <v>#REF!</v>
      </c>
      <c r="AL38" s="40" t="e">
        <f>IF(AND('Mapa final'!#REF!="Baja",'Mapa final'!#REF!="Catastrófico"),CONCATENATE("R3C",'Mapa final'!#REF!),"")</f>
        <v>#REF!</v>
      </c>
      <c r="AM38" s="41" t="e">
        <f>IF(AND('Mapa final'!#REF!="Baja",'Mapa final'!#REF!="Catastrófico"),CONCATENATE("R3C",'Mapa final'!#REF!),"")</f>
        <v>#REF!</v>
      </c>
      <c r="AN38" s="67"/>
      <c r="AO38" s="578"/>
      <c r="AP38" s="579"/>
      <c r="AQ38" s="579"/>
      <c r="AR38" s="579"/>
      <c r="AS38" s="579"/>
      <c r="AT38" s="580"/>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459"/>
      <c r="C39" s="459"/>
      <c r="D39" s="460"/>
      <c r="E39" s="558"/>
      <c r="F39" s="557"/>
      <c r="G39" s="557"/>
      <c r="H39" s="557"/>
      <c r="I39" s="557"/>
      <c r="J39" s="60" t="e">
        <f>IF(AND('Mapa final'!#REF!="Baja",'Mapa final'!#REF!="Leve"),CONCATENATE("R4C",'Mapa final'!#REF!),"")</f>
        <v>#REF!</v>
      </c>
      <c r="K39" s="61" t="e">
        <f>IF(AND('Mapa final'!#REF!="Baja",'Mapa final'!#REF!="Leve"),CONCATENATE("R4C",'Mapa final'!#REF!),"")</f>
        <v>#REF!</v>
      </c>
      <c r="L39" s="61" t="e">
        <f>IF(AND('Mapa final'!#REF!="Baja",'Mapa final'!#REF!="Leve"),CONCATENATE("R4C",'Mapa final'!#REF!),"")</f>
        <v>#REF!</v>
      </c>
      <c r="M39" s="61" t="e">
        <f>IF(AND('Mapa final'!#REF!="Baja",'Mapa final'!#REF!="Leve"),CONCATENATE("R4C",'Mapa final'!#REF!),"")</f>
        <v>#REF!</v>
      </c>
      <c r="N39" s="61" t="e">
        <f>IF(AND('Mapa final'!#REF!="Baja",'Mapa final'!#REF!="Leve"),CONCATENATE("R4C",'Mapa final'!#REF!),"")</f>
        <v>#REF!</v>
      </c>
      <c r="O39" s="62" t="e">
        <f>IF(AND('Mapa final'!#REF!="Baja",'Mapa final'!#REF!="Leve"),CONCATENATE("R4C",'Mapa final'!#REF!),"")</f>
        <v>#REF!</v>
      </c>
      <c r="P39" s="51" t="e">
        <f>IF(AND('Mapa final'!#REF!="Baja",'Mapa final'!#REF!="Menor"),CONCATENATE("R4C",'Mapa final'!#REF!),"")</f>
        <v>#REF!</v>
      </c>
      <c r="Q39" s="52" t="e">
        <f>IF(AND('Mapa final'!#REF!="Baja",'Mapa final'!#REF!="Menor"),CONCATENATE("R4C",'Mapa final'!#REF!),"")</f>
        <v>#REF!</v>
      </c>
      <c r="R39" s="52" t="e">
        <f>IF(AND('Mapa final'!#REF!="Baja",'Mapa final'!#REF!="Menor"),CONCATENATE("R4C",'Mapa final'!#REF!),"")</f>
        <v>#REF!</v>
      </c>
      <c r="S39" s="52" t="e">
        <f>IF(AND('Mapa final'!#REF!="Baja",'Mapa final'!#REF!="Menor"),CONCATENATE("R4C",'Mapa final'!#REF!),"")</f>
        <v>#REF!</v>
      </c>
      <c r="T39" s="52" t="e">
        <f>IF(AND('Mapa final'!#REF!="Baja",'Mapa final'!#REF!="Menor"),CONCATENATE("R4C",'Mapa final'!#REF!),"")</f>
        <v>#REF!</v>
      </c>
      <c r="U39" s="53" t="e">
        <f>IF(AND('Mapa final'!#REF!="Baja",'Mapa final'!#REF!="Menor"),CONCATENATE("R4C",'Mapa final'!#REF!),"")</f>
        <v>#REF!</v>
      </c>
      <c r="V39" s="51" t="e">
        <f>IF(AND('Mapa final'!#REF!="Baja",'Mapa final'!#REF!="Moderado"),CONCATENATE("R4C",'Mapa final'!#REF!),"")</f>
        <v>#REF!</v>
      </c>
      <c r="W39" s="52" t="e">
        <f>IF(AND('Mapa final'!#REF!="Baja",'Mapa final'!#REF!="Moderado"),CONCATENATE("R4C",'Mapa final'!#REF!),"")</f>
        <v>#REF!</v>
      </c>
      <c r="X39" s="52" t="e">
        <f>IF(AND('Mapa final'!#REF!="Baja",'Mapa final'!#REF!="Moderado"),CONCATENATE("R4C",'Mapa final'!#REF!),"")</f>
        <v>#REF!</v>
      </c>
      <c r="Y39" s="52" t="e">
        <f>IF(AND('Mapa final'!#REF!="Baja",'Mapa final'!#REF!="Moderado"),CONCATENATE("R4C",'Mapa final'!#REF!),"")</f>
        <v>#REF!</v>
      </c>
      <c r="Z39" s="52" t="e">
        <f>IF(AND('Mapa final'!#REF!="Baja",'Mapa final'!#REF!="Moderado"),CONCATENATE("R4C",'Mapa final'!#REF!),"")</f>
        <v>#REF!</v>
      </c>
      <c r="AA39" s="53" t="e">
        <f>IF(AND('Mapa final'!#REF!="Baja",'Mapa final'!#REF!="Moderado"),CONCATENATE("R4C",'Mapa final'!#REF!),"")</f>
        <v>#REF!</v>
      </c>
      <c r="AB39" s="36" t="e">
        <f>IF(AND('Mapa final'!#REF!="Baja",'Mapa final'!#REF!="Mayor"),CONCATENATE("R4C",'Mapa final'!#REF!),"")</f>
        <v>#REF!</v>
      </c>
      <c r="AC39" s="37" t="e">
        <f>IF(AND('Mapa final'!#REF!="Baja",'Mapa final'!#REF!="Mayor"),CONCATENATE("R4C",'Mapa final'!#REF!),"")</f>
        <v>#REF!</v>
      </c>
      <c r="AD39" s="37" t="e">
        <f>IF(AND('Mapa final'!#REF!="Baja",'Mapa final'!#REF!="Mayor"),CONCATENATE("R4C",'Mapa final'!#REF!),"")</f>
        <v>#REF!</v>
      </c>
      <c r="AE39" s="37" t="e">
        <f>IF(AND('Mapa final'!#REF!="Baja",'Mapa final'!#REF!="Mayor"),CONCATENATE("R4C",'Mapa final'!#REF!),"")</f>
        <v>#REF!</v>
      </c>
      <c r="AF39" s="37" t="e">
        <f>IF(AND('Mapa final'!#REF!="Baja",'Mapa final'!#REF!="Mayor"),CONCATENATE("R4C",'Mapa final'!#REF!),"")</f>
        <v>#REF!</v>
      </c>
      <c r="AG39" s="38" t="e">
        <f>IF(AND('Mapa final'!#REF!="Baja",'Mapa final'!#REF!="Mayor"),CONCATENATE("R4C",'Mapa final'!#REF!),"")</f>
        <v>#REF!</v>
      </c>
      <c r="AH39" s="39" t="e">
        <f>IF(AND('Mapa final'!#REF!="Baja",'Mapa final'!#REF!="Catastrófico"),CONCATENATE("R4C",'Mapa final'!#REF!),"")</f>
        <v>#REF!</v>
      </c>
      <c r="AI39" s="40" t="e">
        <f>IF(AND('Mapa final'!#REF!="Baja",'Mapa final'!#REF!="Catastrófico"),CONCATENATE("R4C",'Mapa final'!#REF!),"")</f>
        <v>#REF!</v>
      </c>
      <c r="AJ39" s="40" t="e">
        <f>IF(AND('Mapa final'!#REF!="Baja",'Mapa final'!#REF!="Catastrófico"),CONCATENATE("R4C",'Mapa final'!#REF!),"")</f>
        <v>#REF!</v>
      </c>
      <c r="AK39" s="40" t="e">
        <f>IF(AND('Mapa final'!#REF!="Baja",'Mapa final'!#REF!="Catastrófico"),CONCATENATE("R4C",'Mapa final'!#REF!),"")</f>
        <v>#REF!</v>
      </c>
      <c r="AL39" s="40" t="e">
        <f>IF(AND('Mapa final'!#REF!="Baja",'Mapa final'!#REF!="Catastrófico"),CONCATENATE("R4C",'Mapa final'!#REF!),"")</f>
        <v>#REF!</v>
      </c>
      <c r="AM39" s="41" t="e">
        <f>IF(AND('Mapa final'!#REF!="Baja",'Mapa final'!#REF!="Catastrófico"),CONCATENATE("R4C",'Mapa final'!#REF!),"")</f>
        <v>#REF!</v>
      </c>
      <c r="AN39" s="67"/>
      <c r="AO39" s="578"/>
      <c r="AP39" s="579"/>
      <c r="AQ39" s="579"/>
      <c r="AR39" s="579"/>
      <c r="AS39" s="579"/>
      <c r="AT39" s="580"/>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459"/>
      <c r="C40" s="459"/>
      <c r="D40" s="460"/>
      <c r="E40" s="558"/>
      <c r="F40" s="557"/>
      <c r="G40" s="557"/>
      <c r="H40" s="557"/>
      <c r="I40" s="557"/>
      <c r="J40" s="60" t="e">
        <f>IF(AND('Mapa final'!#REF!="Baja",'Mapa final'!#REF!="Leve"),CONCATENATE("R5C",'Mapa final'!#REF!),"")</f>
        <v>#REF!</v>
      </c>
      <c r="K40" s="61" t="e">
        <f>IF(AND('Mapa final'!#REF!="Baja",'Mapa final'!#REF!="Leve"),CONCATENATE("R5C",'Mapa final'!#REF!),"")</f>
        <v>#REF!</v>
      </c>
      <c r="L40" s="61" t="e">
        <f>IF(AND('Mapa final'!#REF!="Baja",'Mapa final'!#REF!="Leve"),CONCATENATE("R5C",'Mapa final'!#REF!),"")</f>
        <v>#REF!</v>
      </c>
      <c r="M40" s="61" t="e">
        <f>IF(AND('Mapa final'!#REF!="Baja",'Mapa final'!#REF!="Leve"),CONCATENATE("R5C",'Mapa final'!#REF!),"")</f>
        <v>#REF!</v>
      </c>
      <c r="N40" s="61" t="e">
        <f>IF(AND('Mapa final'!#REF!="Baja",'Mapa final'!#REF!="Leve"),CONCATENATE("R5C",'Mapa final'!#REF!),"")</f>
        <v>#REF!</v>
      </c>
      <c r="O40" s="62" t="e">
        <f>IF(AND('Mapa final'!#REF!="Baja",'Mapa final'!#REF!="Leve"),CONCATENATE("R5C",'Mapa final'!#REF!),"")</f>
        <v>#REF!</v>
      </c>
      <c r="P40" s="51" t="e">
        <f>IF(AND('Mapa final'!#REF!="Baja",'Mapa final'!#REF!="Menor"),CONCATENATE("R5C",'Mapa final'!#REF!),"")</f>
        <v>#REF!</v>
      </c>
      <c r="Q40" s="52" t="e">
        <f>IF(AND('Mapa final'!#REF!="Baja",'Mapa final'!#REF!="Menor"),CONCATENATE("R5C",'Mapa final'!#REF!),"")</f>
        <v>#REF!</v>
      </c>
      <c r="R40" s="52" t="e">
        <f>IF(AND('Mapa final'!#REF!="Baja",'Mapa final'!#REF!="Menor"),CONCATENATE("R5C",'Mapa final'!#REF!),"")</f>
        <v>#REF!</v>
      </c>
      <c r="S40" s="52" t="e">
        <f>IF(AND('Mapa final'!#REF!="Baja",'Mapa final'!#REF!="Menor"),CONCATENATE("R5C",'Mapa final'!#REF!),"")</f>
        <v>#REF!</v>
      </c>
      <c r="T40" s="52" t="e">
        <f>IF(AND('Mapa final'!#REF!="Baja",'Mapa final'!#REF!="Menor"),CONCATENATE("R5C",'Mapa final'!#REF!),"")</f>
        <v>#REF!</v>
      </c>
      <c r="U40" s="53" t="e">
        <f>IF(AND('Mapa final'!#REF!="Baja",'Mapa final'!#REF!="Menor"),CONCATENATE("R5C",'Mapa final'!#REF!),"")</f>
        <v>#REF!</v>
      </c>
      <c r="V40" s="51" t="e">
        <f>IF(AND('Mapa final'!#REF!="Baja",'Mapa final'!#REF!="Moderado"),CONCATENATE("R5C",'Mapa final'!#REF!),"")</f>
        <v>#REF!</v>
      </c>
      <c r="W40" s="52" t="e">
        <f>IF(AND('Mapa final'!#REF!="Baja",'Mapa final'!#REF!="Moderado"),CONCATENATE("R5C",'Mapa final'!#REF!),"")</f>
        <v>#REF!</v>
      </c>
      <c r="X40" s="52" t="e">
        <f>IF(AND('Mapa final'!#REF!="Baja",'Mapa final'!#REF!="Moderado"),CONCATENATE("R5C",'Mapa final'!#REF!),"")</f>
        <v>#REF!</v>
      </c>
      <c r="Y40" s="52" t="e">
        <f>IF(AND('Mapa final'!#REF!="Baja",'Mapa final'!#REF!="Moderado"),CONCATENATE("R5C",'Mapa final'!#REF!),"")</f>
        <v>#REF!</v>
      </c>
      <c r="Z40" s="52" t="e">
        <f>IF(AND('Mapa final'!#REF!="Baja",'Mapa final'!#REF!="Moderado"),CONCATENATE("R5C",'Mapa final'!#REF!),"")</f>
        <v>#REF!</v>
      </c>
      <c r="AA40" s="53" t="e">
        <f>IF(AND('Mapa final'!#REF!="Baja",'Mapa final'!#REF!="Moderado"),CONCATENATE("R5C",'Mapa final'!#REF!),"")</f>
        <v>#REF!</v>
      </c>
      <c r="AB40" s="36" t="e">
        <f>IF(AND('Mapa final'!#REF!="Baja",'Mapa final'!#REF!="Mayor"),CONCATENATE("R5C",'Mapa final'!#REF!),"")</f>
        <v>#REF!</v>
      </c>
      <c r="AC40" s="37" t="e">
        <f>IF(AND('Mapa final'!#REF!="Baja",'Mapa final'!#REF!="Mayor"),CONCATENATE("R5C",'Mapa final'!#REF!),"")</f>
        <v>#REF!</v>
      </c>
      <c r="AD40" s="37" t="e">
        <f>IF(AND('Mapa final'!#REF!="Baja",'Mapa final'!#REF!="Mayor"),CONCATENATE("R5C",'Mapa final'!#REF!),"")</f>
        <v>#REF!</v>
      </c>
      <c r="AE40" s="37" t="e">
        <f>IF(AND('Mapa final'!#REF!="Baja",'Mapa final'!#REF!="Mayor"),CONCATENATE("R5C",'Mapa final'!#REF!),"")</f>
        <v>#REF!</v>
      </c>
      <c r="AF40" s="37" t="e">
        <f>IF(AND('Mapa final'!#REF!="Baja",'Mapa final'!#REF!="Mayor"),CONCATENATE("R5C",'Mapa final'!#REF!),"")</f>
        <v>#REF!</v>
      </c>
      <c r="AG40" s="38" t="e">
        <f>IF(AND('Mapa final'!#REF!="Baja",'Mapa final'!#REF!="Mayor"),CONCATENATE("R5C",'Mapa final'!#REF!),"")</f>
        <v>#REF!</v>
      </c>
      <c r="AH40" s="39" t="e">
        <f>IF(AND('Mapa final'!#REF!="Baja",'Mapa final'!#REF!="Catastrófico"),CONCATENATE("R5C",'Mapa final'!#REF!),"")</f>
        <v>#REF!</v>
      </c>
      <c r="AI40" s="40" t="e">
        <f>IF(AND('Mapa final'!#REF!="Baja",'Mapa final'!#REF!="Catastrófico"),CONCATENATE("R5C",'Mapa final'!#REF!),"")</f>
        <v>#REF!</v>
      </c>
      <c r="AJ40" s="40" t="e">
        <f>IF(AND('Mapa final'!#REF!="Baja",'Mapa final'!#REF!="Catastrófico"),CONCATENATE("R5C",'Mapa final'!#REF!),"")</f>
        <v>#REF!</v>
      </c>
      <c r="AK40" s="40" t="e">
        <f>IF(AND('Mapa final'!#REF!="Baja",'Mapa final'!#REF!="Catastrófico"),CONCATENATE("R5C",'Mapa final'!#REF!),"")</f>
        <v>#REF!</v>
      </c>
      <c r="AL40" s="40" t="e">
        <f>IF(AND('Mapa final'!#REF!="Baja",'Mapa final'!#REF!="Catastrófico"),CONCATENATE("R5C",'Mapa final'!#REF!),"")</f>
        <v>#REF!</v>
      </c>
      <c r="AM40" s="41" t="e">
        <f>IF(AND('Mapa final'!#REF!="Baja",'Mapa final'!#REF!="Catastrófico"),CONCATENATE("R5C",'Mapa final'!#REF!),"")</f>
        <v>#REF!</v>
      </c>
      <c r="AN40" s="67"/>
      <c r="AO40" s="578"/>
      <c r="AP40" s="579"/>
      <c r="AQ40" s="579"/>
      <c r="AR40" s="579"/>
      <c r="AS40" s="579"/>
      <c r="AT40" s="580"/>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459"/>
      <c r="C41" s="459"/>
      <c r="D41" s="460"/>
      <c r="E41" s="558"/>
      <c r="F41" s="557"/>
      <c r="G41" s="557"/>
      <c r="H41" s="557"/>
      <c r="I41" s="557"/>
      <c r="J41" s="60" t="e">
        <f>IF(AND('Mapa final'!#REF!="Baja",'Mapa final'!#REF!="Leve"),CONCATENATE("R6C",'Mapa final'!#REF!),"")</f>
        <v>#REF!</v>
      </c>
      <c r="K41" s="61" t="e">
        <f>IF(AND('Mapa final'!#REF!="Baja",'Mapa final'!#REF!="Leve"),CONCATENATE("R6C",'Mapa final'!#REF!),"")</f>
        <v>#REF!</v>
      </c>
      <c r="L41" s="61" t="e">
        <f>IF(AND('Mapa final'!#REF!="Baja",'Mapa final'!#REF!="Leve"),CONCATENATE("R6C",'Mapa final'!#REF!),"")</f>
        <v>#REF!</v>
      </c>
      <c r="M41" s="61" t="e">
        <f>IF(AND('Mapa final'!#REF!="Baja",'Mapa final'!#REF!="Leve"),CONCATENATE("R6C",'Mapa final'!#REF!),"")</f>
        <v>#REF!</v>
      </c>
      <c r="N41" s="61" t="e">
        <f>IF(AND('Mapa final'!#REF!="Baja",'Mapa final'!#REF!="Leve"),CONCATENATE("R6C",'Mapa final'!#REF!),"")</f>
        <v>#REF!</v>
      </c>
      <c r="O41" s="62" t="e">
        <f>IF(AND('Mapa final'!#REF!="Baja",'Mapa final'!#REF!="Leve"),CONCATENATE("R6C",'Mapa final'!#REF!),"")</f>
        <v>#REF!</v>
      </c>
      <c r="P41" s="51" t="e">
        <f>IF(AND('Mapa final'!#REF!="Baja",'Mapa final'!#REF!="Menor"),CONCATENATE("R6C",'Mapa final'!#REF!),"")</f>
        <v>#REF!</v>
      </c>
      <c r="Q41" s="52" t="e">
        <f>IF(AND('Mapa final'!#REF!="Baja",'Mapa final'!#REF!="Menor"),CONCATENATE("R6C",'Mapa final'!#REF!),"")</f>
        <v>#REF!</v>
      </c>
      <c r="R41" s="52" t="e">
        <f>IF(AND('Mapa final'!#REF!="Baja",'Mapa final'!#REF!="Menor"),CONCATENATE("R6C",'Mapa final'!#REF!),"")</f>
        <v>#REF!</v>
      </c>
      <c r="S41" s="52" t="e">
        <f>IF(AND('Mapa final'!#REF!="Baja",'Mapa final'!#REF!="Menor"),CONCATENATE("R6C",'Mapa final'!#REF!),"")</f>
        <v>#REF!</v>
      </c>
      <c r="T41" s="52" t="e">
        <f>IF(AND('Mapa final'!#REF!="Baja",'Mapa final'!#REF!="Menor"),CONCATENATE("R6C",'Mapa final'!#REF!),"")</f>
        <v>#REF!</v>
      </c>
      <c r="U41" s="53" t="e">
        <f>IF(AND('Mapa final'!#REF!="Baja",'Mapa final'!#REF!="Menor"),CONCATENATE("R6C",'Mapa final'!#REF!),"")</f>
        <v>#REF!</v>
      </c>
      <c r="V41" s="51" t="e">
        <f>IF(AND('Mapa final'!#REF!="Baja",'Mapa final'!#REF!="Moderado"),CONCATENATE("R6C",'Mapa final'!#REF!),"")</f>
        <v>#REF!</v>
      </c>
      <c r="W41" s="52" t="e">
        <f>IF(AND('Mapa final'!#REF!="Baja",'Mapa final'!#REF!="Moderado"),CONCATENATE("R6C",'Mapa final'!#REF!),"")</f>
        <v>#REF!</v>
      </c>
      <c r="X41" s="52" t="e">
        <f>IF(AND('Mapa final'!#REF!="Baja",'Mapa final'!#REF!="Moderado"),CONCATENATE("R6C",'Mapa final'!#REF!),"")</f>
        <v>#REF!</v>
      </c>
      <c r="Y41" s="52" t="e">
        <f>IF(AND('Mapa final'!#REF!="Baja",'Mapa final'!#REF!="Moderado"),CONCATENATE("R6C",'Mapa final'!#REF!),"")</f>
        <v>#REF!</v>
      </c>
      <c r="Z41" s="52" t="e">
        <f>IF(AND('Mapa final'!#REF!="Baja",'Mapa final'!#REF!="Moderado"),CONCATENATE("R6C",'Mapa final'!#REF!),"")</f>
        <v>#REF!</v>
      </c>
      <c r="AA41" s="53" t="e">
        <f>IF(AND('Mapa final'!#REF!="Baja",'Mapa final'!#REF!="Moderado"),CONCATENATE("R6C",'Mapa final'!#REF!),"")</f>
        <v>#REF!</v>
      </c>
      <c r="AB41" s="36" t="e">
        <f>IF(AND('Mapa final'!#REF!="Baja",'Mapa final'!#REF!="Mayor"),CONCATENATE("R6C",'Mapa final'!#REF!),"")</f>
        <v>#REF!</v>
      </c>
      <c r="AC41" s="37" t="e">
        <f>IF(AND('Mapa final'!#REF!="Baja",'Mapa final'!#REF!="Mayor"),CONCATENATE("R6C",'Mapa final'!#REF!),"")</f>
        <v>#REF!</v>
      </c>
      <c r="AD41" s="37" t="e">
        <f>IF(AND('Mapa final'!#REF!="Baja",'Mapa final'!#REF!="Mayor"),CONCATENATE("R6C",'Mapa final'!#REF!),"")</f>
        <v>#REF!</v>
      </c>
      <c r="AE41" s="37" t="e">
        <f>IF(AND('Mapa final'!#REF!="Baja",'Mapa final'!#REF!="Mayor"),CONCATENATE("R6C",'Mapa final'!#REF!),"")</f>
        <v>#REF!</v>
      </c>
      <c r="AF41" s="37" t="e">
        <f>IF(AND('Mapa final'!#REF!="Baja",'Mapa final'!#REF!="Mayor"),CONCATENATE("R6C",'Mapa final'!#REF!),"")</f>
        <v>#REF!</v>
      </c>
      <c r="AG41" s="38" t="e">
        <f>IF(AND('Mapa final'!#REF!="Baja",'Mapa final'!#REF!="Mayor"),CONCATENATE("R6C",'Mapa final'!#REF!),"")</f>
        <v>#REF!</v>
      </c>
      <c r="AH41" s="39" t="e">
        <f>IF(AND('Mapa final'!#REF!="Baja",'Mapa final'!#REF!="Catastrófico"),CONCATENATE("R6C",'Mapa final'!#REF!),"")</f>
        <v>#REF!</v>
      </c>
      <c r="AI41" s="40" t="e">
        <f>IF(AND('Mapa final'!#REF!="Baja",'Mapa final'!#REF!="Catastrófico"),CONCATENATE("R6C",'Mapa final'!#REF!),"")</f>
        <v>#REF!</v>
      </c>
      <c r="AJ41" s="40" t="e">
        <f>IF(AND('Mapa final'!#REF!="Baja",'Mapa final'!#REF!="Catastrófico"),CONCATENATE("R6C",'Mapa final'!#REF!),"")</f>
        <v>#REF!</v>
      </c>
      <c r="AK41" s="40" t="e">
        <f>IF(AND('Mapa final'!#REF!="Baja",'Mapa final'!#REF!="Catastrófico"),CONCATENATE("R6C",'Mapa final'!#REF!),"")</f>
        <v>#REF!</v>
      </c>
      <c r="AL41" s="40" t="e">
        <f>IF(AND('Mapa final'!#REF!="Baja",'Mapa final'!#REF!="Catastrófico"),CONCATENATE("R6C",'Mapa final'!#REF!),"")</f>
        <v>#REF!</v>
      </c>
      <c r="AM41" s="41" t="e">
        <f>IF(AND('Mapa final'!#REF!="Baja",'Mapa final'!#REF!="Catastrófico"),CONCATENATE("R6C",'Mapa final'!#REF!),"")</f>
        <v>#REF!</v>
      </c>
      <c r="AN41" s="67"/>
      <c r="AO41" s="578"/>
      <c r="AP41" s="579"/>
      <c r="AQ41" s="579"/>
      <c r="AR41" s="579"/>
      <c r="AS41" s="579"/>
      <c r="AT41" s="580"/>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459"/>
      <c r="C42" s="459"/>
      <c r="D42" s="460"/>
      <c r="E42" s="558"/>
      <c r="F42" s="557"/>
      <c r="G42" s="557"/>
      <c r="H42" s="557"/>
      <c r="I42" s="557"/>
      <c r="J42" s="60" t="str">
        <f>IF(AND('Mapa final'!$AB$17="Baja",'Mapa final'!$AD$17="Leve"),CONCATENATE("R7C",'Mapa final'!$R$17),"")</f>
        <v/>
      </c>
      <c r="K42" s="61" t="str">
        <f>IF(AND('Mapa final'!$AB$18="Baja",'Mapa final'!$AD$18="Leve"),CONCATENATE("R7C",'Mapa final'!$R$18),"")</f>
        <v/>
      </c>
      <c r="L42" s="61" t="str">
        <f>IF(AND('Mapa final'!$AB$19="Baja",'Mapa final'!$AD$19="Leve"),CONCATENATE("R7C",'Mapa final'!$R$19),"")</f>
        <v/>
      </c>
      <c r="M42" s="61" t="str">
        <f>IF(AND('Mapa final'!$AB$20="Baja",'Mapa final'!$AD$20="Leve"),CONCATENATE("R7C",'Mapa final'!$R$20),"")</f>
        <v/>
      </c>
      <c r="N42" s="61" t="str">
        <f>IF(AND('Mapa final'!$AB$21="Baja",'Mapa final'!$AD$21="Leve"),CONCATENATE("R7C",'Mapa final'!$R$21),"")</f>
        <v/>
      </c>
      <c r="O42" s="62" t="str">
        <f>IF(AND('Mapa final'!$AB$22="Baja",'Mapa final'!$AD$22="Leve"),CONCATENATE("R7C",'Mapa final'!$R$22),"")</f>
        <v/>
      </c>
      <c r="P42" s="51" t="str">
        <f>IF(AND('Mapa final'!$AB$17="Baja",'Mapa final'!$AD$17="Menor"),CONCATENATE("R7C",'Mapa final'!$R$17),"")</f>
        <v/>
      </c>
      <c r="Q42" s="52" t="str">
        <f>IF(AND('Mapa final'!$AB$18="Baja",'Mapa final'!$AD$18="Menor"),CONCATENATE("R7C",'Mapa final'!$R$18),"")</f>
        <v/>
      </c>
      <c r="R42" s="52" t="str">
        <f>IF(AND('Mapa final'!$AB$19="Baja",'Mapa final'!$AD$19="Menor"),CONCATENATE("R7C",'Mapa final'!$R$19),"")</f>
        <v/>
      </c>
      <c r="S42" s="52" t="str">
        <f>IF(AND('Mapa final'!$AB$20="Baja",'Mapa final'!$AD$20="Menor"),CONCATENATE("R7C",'Mapa final'!$R$20),"")</f>
        <v/>
      </c>
      <c r="T42" s="52" t="str">
        <f>IF(AND('Mapa final'!$AB$21="Baja",'Mapa final'!$AD$21="Menor"),CONCATENATE("R7C",'Mapa final'!$R$21),"")</f>
        <v/>
      </c>
      <c r="U42" s="53" t="str">
        <f>IF(AND('Mapa final'!$AB$22="Baja",'Mapa final'!$AD$22="Menor"),CONCATENATE("R7C",'Mapa final'!$R$22),"")</f>
        <v/>
      </c>
      <c r="V42" s="51" t="str">
        <f>IF(AND('Mapa final'!$AB$17="Baja",'Mapa final'!$AD$17="Moderado"),CONCATENATE("R7C",'Mapa final'!$R$17),"")</f>
        <v/>
      </c>
      <c r="W42" s="52" t="str">
        <f>IF(AND('Mapa final'!$AB$18="Baja",'Mapa final'!$AD$18="Moderado"),CONCATENATE("R7C",'Mapa final'!$R$18),"")</f>
        <v/>
      </c>
      <c r="X42" s="52" t="str">
        <f>IF(AND('Mapa final'!$AB$19="Baja",'Mapa final'!$AD$19="Moderado"),CONCATENATE("R7C",'Mapa final'!$R$19),"")</f>
        <v/>
      </c>
      <c r="Y42" s="52" t="str">
        <f>IF(AND('Mapa final'!$AB$20="Baja",'Mapa final'!$AD$20="Moderado"),CONCATENATE("R7C",'Mapa final'!$R$20),"")</f>
        <v/>
      </c>
      <c r="Z42" s="52" t="str">
        <f>IF(AND('Mapa final'!$AB$21="Baja",'Mapa final'!$AD$21="Moderado"),CONCATENATE("R7C",'Mapa final'!$R$21),"")</f>
        <v/>
      </c>
      <c r="AA42" s="53" t="str">
        <f>IF(AND('Mapa final'!$AB$22="Baja",'Mapa final'!$AD$22="Moderado"),CONCATENATE("R7C",'Mapa final'!$R$22),"")</f>
        <v/>
      </c>
      <c r="AB42" s="36" t="str">
        <f>IF(AND('Mapa final'!$AB$17="Baja",'Mapa final'!$AD$17="Mayor"),CONCATENATE("R7C",'Mapa final'!$R$17),"")</f>
        <v/>
      </c>
      <c r="AC42" s="37" t="str">
        <f>IF(AND('Mapa final'!$AB$18="Baja",'Mapa final'!$AD$18="Mayor"),CONCATENATE("R7C",'Mapa final'!$R$18),"")</f>
        <v/>
      </c>
      <c r="AD42" s="37" t="str">
        <f>IF(AND('Mapa final'!$AB$19="Baja",'Mapa final'!$AD$19="Mayor"),CONCATENATE("R7C",'Mapa final'!$R$19),"")</f>
        <v/>
      </c>
      <c r="AE42" s="37" t="str">
        <f>IF(AND('Mapa final'!$AB$20="Baja",'Mapa final'!$AD$20="Mayor"),CONCATENATE("R7C",'Mapa final'!$R$20),"")</f>
        <v/>
      </c>
      <c r="AF42" s="37" t="str">
        <f>IF(AND('Mapa final'!$AB$21="Baja",'Mapa final'!$AD$21="Mayor"),CONCATENATE("R7C",'Mapa final'!$R$21),"")</f>
        <v/>
      </c>
      <c r="AG42" s="38" t="str">
        <f>IF(AND('Mapa final'!$AB$22="Baja",'Mapa final'!$AD$22="Mayor"),CONCATENATE("R7C",'Mapa final'!$R$22),"")</f>
        <v/>
      </c>
      <c r="AH42" s="39" t="str">
        <f>IF(AND('Mapa final'!$AB$17="Baja",'Mapa final'!$AD$17="Catastrófico"),CONCATENATE("R7C",'Mapa final'!$R$17),"")</f>
        <v/>
      </c>
      <c r="AI42" s="40" t="str">
        <f>IF(AND('Mapa final'!$AB$18="Baja",'Mapa final'!$AD$18="Catastrófico"),CONCATENATE("R7C",'Mapa final'!$R$18),"")</f>
        <v/>
      </c>
      <c r="AJ42" s="40" t="str">
        <f>IF(AND('Mapa final'!$AB$19="Baja",'Mapa final'!$AD$19="Catastrófico"),CONCATENATE("R7C",'Mapa final'!$R$19),"")</f>
        <v/>
      </c>
      <c r="AK42" s="40" t="str">
        <f>IF(AND('Mapa final'!$AB$20="Baja",'Mapa final'!$AD$20="Catastrófico"),CONCATENATE("R7C",'Mapa final'!$R$20),"")</f>
        <v/>
      </c>
      <c r="AL42" s="40" t="str">
        <f>IF(AND('Mapa final'!$AB$21="Baja",'Mapa final'!$AD$21="Catastrófico"),CONCATENATE("R7C",'Mapa final'!$R$21),"")</f>
        <v/>
      </c>
      <c r="AM42" s="41" t="str">
        <f>IF(AND('Mapa final'!$AB$22="Baja",'Mapa final'!$AD$22="Catastrófico"),CONCATENATE("R7C",'Mapa final'!$R$22),"")</f>
        <v/>
      </c>
      <c r="AN42" s="67"/>
      <c r="AO42" s="578"/>
      <c r="AP42" s="579"/>
      <c r="AQ42" s="579"/>
      <c r="AR42" s="579"/>
      <c r="AS42" s="579"/>
      <c r="AT42" s="580"/>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459"/>
      <c r="C43" s="459"/>
      <c r="D43" s="460"/>
      <c r="E43" s="558"/>
      <c r="F43" s="557"/>
      <c r="G43" s="557"/>
      <c r="H43" s="557"/>
      <c r="I43" s="557"/>
      <c r="J43" s="60" t="str">
        <f>IF(AND('Mapa final'!$AB$23="Baja",'Mapa final'!$AD$23="Leve"),CONCATENATE("R8C",'Mapa final'!$R$23),"")</f>
        <v/>
      </c>
      <c r="K43" s="61" t="str">
        <f>IF(AND('Mapa final'!$AB$24="Baja",'Mapa final'!$AD$24="Leve"),CONCATENATE("R8C",'Mapa final'!$R$24),"")</f>
        <v/>
      </c>
      <c r="L43" s="61" t="str">
        <f>IF(AND('Mapa final'!$AB$25="Baja",'Mapa final'!$AD$25="Leve"),CONCATENATE("R8C",'Mapa final'!$R$25),"")</f>
        <v/>
      </c>
      <c r="M43" s="61" t="str">
        <f>IF(AND('Mapa final'!$AB$26="Baja",'Mapa final'!$AD$26="Leve"),CONCATENATE("R8C",'Mapa final'!$R$26),"")</f>
        <v/>
      </c>
      <c r="N43" s="61" t="str">
        <f>IF(AND('Mapa final'!$AB$27="Baja",'Mapa final'!$AD$27="Leve"),CONCATENATE("R8C",'Mapa final'!$R$27),"")</f>
        <v/>
      </c>
      <c r="O43" s="62" t="str">
        <f>IF(AND('Mapa final'!$AB$28="Baja",'Mapa final'!$AD$28="Leve"),CONCATENATE("R8C",'Mapa final'!$R$28),"")</f>
        <v/>
      </c>
      <c r="P43" s="51" t="str">
        <f>IF(AND('Mapa final'!$AB$23="Baja",'Mapa final'!$AD$23="Menor"),CONCATENATE("R8C",'Mapa final'!$R$23),"")</f>
        <v/>
      </c>
      <c r="Q43" s="52" t="str">
        <f>IF(AND('Mapa final'!$AB$24="Baja",'Mapa final'!$AD$24="Menor"),CONCATENATE("R8C",'Mapa final'!$R$24),"")</f>
        <v/>
      </c>
      <c r="R43" s="52" t="str">
        <f>IF(AND('Mapa final'!$AB$25="Baja",'Mapa final'!$AD$25="Menor"),CONCATENATE("R8C",'Mapa final'!$R$25),"")</f>
        <v/>
      </c>
      <c r="S43" s="52" t="str">
        <f>IF(AND('Mapa final'!$AB$26="Baja",'Mapa final'!$AD$26="Menor"),CONCATENATE("R8C",'Mapa final'!$R$26),"")</f>
        <v/>
      </c>
      <c r="T43" s="52" t="str">
        <f>IF(AND('Mapa final'!$AB$27="Baja",'Mapa final'!$AD$27="Menor"),CONCATENATE("R8C",'Mapa final'!$R$27),"")</f>
        <v/>
      </c>
      <c r="U43" s="53" t="str">
        <f>IF(AND('Mapa final'!$AB$28="Baja",'Mapa final'!$AD$28="Menor"),CONCATENATE("R8C",'Mapa final'!$R$28),"")</f>
        <v/>
      </c>
      <c r="V43" s="51" t="str">
        <f>IF(AND('Mapa final'!$AB$23="Baja",'Mapa final'!$AD$23="Moderado"),CONCATENATE("R8C",'Mapa final'!$R$23),"")</f>
        <v/>
      </c>
      <c r="W43" s="52" t="str">
        <f>IF(AND('Mapa final'!$AB$24="Baja",'Mapa final'!$AD$24="Moderado"),CONCATENATE("R8C",'Mapa final'!$R$24),"")</f>
        <v/>
      </c>
      <c r="X43" s="52" t="str">
        <f>IF(AND('Mapa final'!$AB$25="Baja",'Mapa final'!$AD$25="Moderado"),CONCATENATE("R8C",'Mapa final'!$R$25),"")</f>
        <v/>
      </c>
      <c r="Y43" s="52" t="str">
        <f>IF(AND('Mapa final'!$AB$26="Baja",'Mapa final'!$AD$26="Moderado"),CONCATENATE("R8C",'Mapa final'!$R$26),"")</f>
        <v/>
      </c>
      <c r="Z43" s="52" t="str">
        <f>IF(AND('Mapa final'!$AB$27="Baja",'Mapa final'!$AD$27="Moderado"),CONCATENATE("R8C",'Mapa final'!$R$27),"")</f>
        <v/>
      </c>
      <c r="AA43" s="53" t="str">
        <f>IF(AND('Mapa final'!$AB$28="Baja",'Mapa final'!$AD$28="Moderado"),CONCATENATE("R8C",'Mapa final'!$R$28),"")</f>
        <v/>
      </c>
      <c r="AB43" s="36" t="str">
        <f>IF(AND('Mapa final'!$AB$23="Baja",'Mapa final'!$AD$23="Mayor"),CONCATENATE("R8C",'Mapa final'!$R$23),"")</f>
        <v/>
      </c>
      <c r="AC43" s="37" t="str">
        <f>IF(AND('Mapa final'!$AB$24="Baja",'Mapa final'!$AD$24="Mayor"),CONCATENATE("R8C",'Mapa final'!$R$24),"")</f>
        <v/>
      </c>
      <c r="AD43" s="37" t="str">
        <f>IF(AND('Mapa final'!$AB$25="Baja",'Mapa final'!$AD$25="Mayor"),CONCATENATE("R8C",'Mapa final'!$R$25),"")</f>
        <v/>
      </c>
      <c r="AE43" s="37" t="str">
        <f>IF(AND('Mapa final'!$AB$26="Baja",'Mapa final'!$AD$26="Mayor"),CONCATENATE("R8C",'Mapa final'!$R$26),"")</f>
        <v/>
      </c>
      <c r="AF43" s="37" t="str">
        <f>IF(AND('Mapa final'!$AB$27="Baja",'Mapa final'!$AD$27="Mayor"),CONCATENATE("R8C",'Mapa final'!$R$27),"")</f>
        <v/>
      </c>
      <c r="AG43" s="38" t="str">
        <f>IF(AND('Mapa final'!$AB$28="Baja",'Mapa final'!$AD$28="Mayor"),CONCATENATE("R8C",'Mapa final'!$R$28),"")</f>
        <v/>
      </c>
      <c r="AH43" s="39" t="str">
        <f>IF(AND('Mapa final'!$AB$23="Baja",'Mapa final'!$AD$23="Catastrófico"),CONCATENATE("R8C",'Mapa final'!$R$23),"")</f>
        <v/>
      </c>
      <c r="AI43" s="40" t="str">
        <f>IF(AND('Mapa final'!$AB$24="Baja",'Mapa final'!$AD$24="Catastrófico"),CONCATENATE("R8C",'Mapa final'!$R$24),"")</f>
        <v/>
      </c>
      <c r="AJ43" s="40" t="str">
        <f>IF(AND('Mapa final'!$AB$25="Baja",'Mapa final'!$AD$25="Catastrófico"),CONCATENATE("R8C",'Mapa final'!$R$25),"")</f>
        <v/>
      </c>
      <c r="AK43" s="40" t="str">
        <f>IF(AND('Mapa final'!$AB$26="Baja",'Mapa final'!$AD$26="Catastrófico"),CONCATENATE("R8C",'Mapa final'!$R$26),"")</f>
        <v/>
      </c>
      <c r="AL43" s="40" t="str">
        <f>IF(AND('Mapa final'!$AB$27="Baja",'Mapa final'!$AD$27="Catastrófico"),CONCATENATE("R8C",'Mapa final'!$R$27),"")</f>
        <v/>
      </c>
      <c r="AM43" s="41" t="str">
        <f>IF(AND('Mapa final'!$AB$28="Baja",'Mapa final'!$AD$28="Catastrófico"),CONCATENATE("R8C",'Mapa final'!$R$28),"")</f>
        <v/>
      </c>
      <c r="AN43" s="67"/>
      <c r="AO43" s="578"/>
      <c r="AP43" s="579"/>
      <c r="AQ43" s="579"/>
      <c r="AR43" s="579"/>
      <c r="AS43" s="579"/>
      <c r="AT43" s="580"/>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459"/>
      <c r="C44" s="459"/>
      <c r="D44" s="460"/>
      <c r="E44" s="558"/>
      <c r="F44" s="557"/>
      <c r="G44" s="557"/>
      <c r="H44" s="557"/>
      <c r="I44" s="557"/>
      <c r="J44" s="60" t="str">
        <f>IF(AND('Mapa final'!$AB$29="Baja",'Mapa final'!$AD$29="Leve"),CONCATENATE("R9C",'Mapa final'!$R$29),"")</f>
        <v/>
      </c>
      <c r="K44" s="61" t="str">
        <f>IF(AND('Mapa final'!$AB$30="Baja",'Mapa final'!$AD$30="Leve"),CONCATENATE("R9C",'Mapa final'!$R$30),"")</f>
        <v/>
      </c>
      <c r="L44" s="61" t="str">
        <f>IF(AND('Mapa final'!$AB$31="Baja",'Mapa final'!$AD$31="Leve"),CONCATENATE("R9C",'Mapa final'!$R$31),"")</f>
        <v/>
      </c>
      <c r="M44" s="61" t="str">
        <f>IF(AND('Mapa final'!$AB$32="Baja",'Mapa final'!$AD$32="Leve"),CONCATENATE("R9C",'Mapa final'!$R$32),"")</f>
        <v/>
      </c>
      <c r="N44" s="61" t="str">
        <f>IF(AND('Mapa final'!$AB$33="Baja",'Mapa final'!$AD$33="Leve"),CONCATENATE("R9C",'Mapa final'!$R$33),"")</f>
        <v/>
      </c>
      <c r="O44" s="62" t="str">
        <f>IF(AND('Mapa final'!$AB$34="Baja",'Mapa final'!$AD$34="Leve"),CONCATENATE("R9C",'Mapa final'!$R$34),"")</f>
        <v/>
      </c>
      <c r="P44" s="51" t="str">
        <f>IF(AND('Mapa final'!$AB$29="Baja",'Mapa final'!$AD$29="Menor"),CONCATENATE("R9C",'Mapa final'!$R$29),"")</f>
        <v/>
      </c>
      <c r="Q44" s="52" t="str">
        <f>IF(AND('Mapa final'!$AB$30="Baja",'Mapa final'!$AD$30="Menor"),CONCATENATE("R9C",'Mapa final'!$R$30),"")</f>
        <v/>
      </c>
      <c r="R44" s="52" t="str">
        <f>IF(AND('Mapa final'!$AB$31="Baja",'Mapa final'!$AD$31="Menor"),CONCATENATE("R9C",'Mapa final'!$R$31),"")</f>
        <v/>
      </c>
      <c r="S44" s="52" t="str">
        <f>IF(AND('Mapa final'!$AB$32="Baja",'Mapa final'!$AD$32="Menor"),CONCATENATE("R9C",'Mapa final'!$R$32),"")</f>
        <v/>
      </c>
      <c r="T44" s="52" t="str">
        <f>IF(AND('Mapa final'!$AB$33="Baja",'Mapa final'!$AD$33="Menor"),CONCATENATE("R9C",'Mapa final'!$R$33),"")</f>
        <v/>
      </c>
      <c r="U44" s="53" t="str">
        <f>IF(AND('Mapa final'!$AB$34="Baja",'Mapa final'!$AD$34="Menor"),CONCATENATE("R9C",'Mapa final'!$R$34),"")</f>
        <v/>
      </c>
      <c r="V44" s="51" t="str">
        <f>IF(AND('Mapa final'!$AB$29="Baja",'Mapa final'!$AD$29="Moderado"),CONCATENATE("R9C",'Mapa final'!$R$29),"")</f>
        <v/>
      </c>
      <c r="W44" s="52" t="str">
        <f>IF(AND('Mapa final'!$AB$30="Baja",'Mapa final'!$AD$30="Moderado"),CONCATENATE("R9C",'Mapa final'!$R$30),"")</f>
        <v/>
      </c>
      <c r="X44" s="52" t="str">
        <f>IF(AND('Mapa final'!$AB$31="Baja",'Mapa final'!$AD$31="Moderado"),CONCATENATE("R9C",'Mapa final'!$R$31),"")</f>
        <v/>
      </c>
      <c r="Y44" s="52" t="str">
        <f>IF(AND('Mapa final'!$AB$32="Baja",'Mapa final'!$AD$32="Moderado"),CONCATENATE("R9C",'Mapa final'!$R$32),"")</f>
        <v/>
      </c>
      <c r="Z44" s="52" t="str">
        <f>IF(AND('Mapa final'!$AB$33="Baja",'Mapa final'!$AD$33="Moderado"),CONCATENATE("R9C",'Mapa final'!$R$33),"")</f>
        <v/>
      </c>
      <c r="AA44" s="53" t="str">
        <f>IF(AND('Mapa final'!$AB$34="Baja",'Mapa final'!$AD$34="Moderado"),CONCATENATE("R9C",'Mapa final'!$R$34),"")</f>
        <v/>
      </c>
      <c r="AB44" s="36" t="str">
        <f>IF(AND('Mapa final'!$AB$29="Baja",'Mapa final'!$AD$29="Mayor"),CONCATENATE("R9C",'Mapa final'!$R$29),"")</f>
        <v/>
      </c>
      <c r="AC44" s="37" t="str">
        <f>IF(AND('Mapa final'!$AB$30="Baja",'Mapa final'!$AD$30="Mayor"),CONCATENATE("R9C",'Mapa final'!$R$30),"")</f>
        <v/>
      </c>
      <c r="AD44" s="37" t="str">
        <f>IF(AND('Mapa final'!$AB$31="Baja",'Mapa final'!$AD$31="Mayor"),CONCATENATE("R9C",'Mapa final'!$R$31),"")</f>
        <v/>
      </c>
      <c r="AE44" s="37" t="str">
        <f>IF(AND('Mapa final'!$AB$32="Baja",'Mapa final'!$AD$32="Mayor"),CONCATENATE("R9C",'Mapa final'!$R$32),"")</f>
        <v/>
      </c>
      <c r="AF44" s="37" t="str">
        <f>IF(AND('Mapa final'!$AB$33="Baja",'Mapa final'!$AD$33="Mayor"),CONCATENATE("R9C",'Mapa final'!$R$33),"")</f>
        <v/>
      </c>
      <c r="AG44" s="38" t="str">
        <f>IF(AND('Mapa final'!$AB$34="Baja",'Mapa final'!$AD$34="Mayor"),CONCATENATE("R9C",'Mapa final'!$R$34),"")</f>
        <v/>
      </c>
      <c r="AH44" s="39" t="str">
        <f>IF(AND('Mapa final'!$AB$29="Baja",'Mapa final'!$AD$29="Catastrófico"),CONCATENATE("R9C",'Mapa final'!$R$29),"")</f>
        <v/>
      </c>
      <c r="AI44" s="40" t="str">
        <f>IF(AND('Mapa final'!$AB$30="Baja",'Mapa final'!$AD$30="Catastrófico"),CONCATENATE("R9C",'Mapa final'!$R$30),"")</f>
        <v/>
      </c>
      <c r="AJ44" s="40" t="str">
        <f>IF(AND('Mapa final'!$AB$31="Baja",'Mapa final'!$AD$31="Catastrófico"),CONCATENATE("R9C",'Mapa final'!$R$31),"")</f>
        <v/>
      </c>
      <c r="AK44" s="40" t="str">
        <f>IF(AND('Mapa final'!$AB$32="Baja",'Mapa final'!$AD$32="Catastrófico"),CONCATENATE("R9C",'Mapa final'!$R$32),"")</f>
        <v/>
      </c>
      <c r="AL44" s="40" t="str">
        <f>IF(AND('Mapa final'!$AB$33="Baja",'Mapa final'!$AD$33="Catastrófico"),CONCATENATE("R9C",'Mapa final'!$R$33),"")</f>
        <v/>
      </c>
      <c r="AM44" s="41" t="str">
        <f>IF(AND('Mapa final'!$AB$34="Baja",'Mapa final'!$AD$34="Catastrófico"),CONCATENATE("R9C",'Mapa final'!$R$34),"")</f>
        <v/>
      </c>
      <c r="AN44" s="67"/>
      <c r="AO44" s="578"/>
      <c r="AP44" s="579"/>
      <c r="AQ44" s="579"/>
      <c r="AR44" s="579"/>
      <c r="AS44" s="579"/>
      <c r="AT44" s="580"/>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459"/>
      <c r="C45" s="459"/>
      <c r="D45" s="460"/>
      <c r="E45" s="559"/>
      <c r="F45" s="560"/>
      <c r="G45" s="560"/>
      <c r="H45" s="560"/>
      <c r="I45" s="560"/>
      <c r="J45" s="63" t="str">
        <f>IF(AND('Mapa final'!$AB$35="Baja",'Mapa final'!$AD$35="Leve"),CONCATENATE("R10C",'Mapa final'!$R$35),"")</f>
        <v/>
      </c>
      <c r="K45" s="64" t="str">
        <f>IF(AND('Mapa final'!$AB$36="Baja",'Mapa final'!$AD$36="Leve"),CONCATENATE("R10C",'Mapa final'!$R$36),"")</f>
        <v/>
      </c>
      <c r="L45" s="64" t="str">
        <f>IF(AND('Mapa final'!$AB$37="Baja",'Mapa final'!$AD$37="Leve"),CONCATENATE("R10C",'Mapa final'!$R$37),"")</f>
        <v/>
      </c>
      <c r="M45" s="64" t="str">
        <f>IF(AND('Mapa final'!$AB$38="Baja",'Mapa final'!$AD$38="Leve"),CONCATENATE("R10C",'Mapa final'!$R$38),"")</f>
        <v/>
      </c>
      <c r="N45" s="64" t="str">
        <f>IF(AND('Mapa final'!$AB$39="Baja",'Mapa final'!$AD$39="Leve"),CONCATENATE("R10C",'Mapa final'!$R$39),"")</f>
        <v/>
      </c>
      <c r="O45" s="65" t="str">
        <f>IF(AND('Mapa final'!$AB$40="Baja",'Mapa final'!$AD$40="Leve"),CONCATENATE("R10C",'Mapa final'!$R$40),"")</f>
        <v/>
      </c>
      <c r="P45" s="51" t="str">
        <f>IF(AND('Mapa final'!$AB$35="Baja",'Mapa final'!$AD$35="Menor"),CONCATENATE("R10C",'Mapa final'!$R$35),"")</f>
        <v/>
      </c>
      <c r="Q45" s="52" t="str">
        <f>IF(AND('Mapa final'!$AB$36="Baja",'Mapa final'!$AD$36="Menor"),CONCATENATE("R10C",'Mapa final'!$R$36),"")</f>
        <v/>
      </c>
      <c r="R45" s="52" t="str">
        <f>IF(AND('Mapa final'!$AB$37="Baja",'Mapa final'!$AD$37="Menor"),CONCATENATE("R10C",'Mapa final'!$R$37),"")</f>
        <v/>
      </c>
      <c r="S45" s="52" t="str">
        <f>IF(AND('Mapa final'!$AB$38="Baja",'Mapa final'!$AD$38="Menor"),CONCATENATE("R10C",'Mapa final'!$R$38),"")</f>
        <v/>
      </c>
      <c r="T45" s="52" t="str">
        <f>IF(AND('Mapa final'!$AB$39="Baja",'Mapa final'!$AD$39="Menor"),CONCATENATE("R10C",'Mapa final'!$R$39),"")</f>
        <v/>
      </c>
      <c r="U45" s="53" t="str">
        <f>IF(AND('Mapa final'!$AB$40="Baja",'Mapa final'!$AD$40="Menor"),CONCATENATE("R10C",'Mapa final'!$R$40),"")</f>
        <v/>
      </c>
      <c r="V45" s="54" t="str">
        <f>IF(AND('Mapa final'!$AB$35="Baja",'Mapa final'!$AD$35="Moderado"),CONCATENATE("R10C",'Mapa final'!$R$35),"")</f>
        <v/>
      </c>
      <c r="W45" s="55" t="str">
        <f>IF(AND('Mapa final'!$AB$36="Baja",'Mapa final'!$AD$36="Moderado"),CONCATENATE("R10C",'Mapa final'!$R$36),"")</f>
        <v/>
      </c>
      <c r="X45" s="55" t="str">
        <f>IF(AND('Mapa final'!$AB$37="Baja",'Mapa final'!$AD$37="Moderado"),CONCATENATE("R10C",'Mapa final'!$R$37),"")</f>
        <v/>
      </c>
      <c r="Y45" s="55" t="str">
        <f>IF(AND('Mapa final'!$AB$38="Baja",'Mapa final'!$AD$38="Moderado"),CONCATENATE("R10C",'Mapa final'!$R$38),"")</f>
        <v/>
      </c>
      <c r="Z45" s="55" t="str">
        <f>IF(AND('Mapa final'!$AB$39="Baja",'Mapa final'!$AD$39="Moderado"),CONCATENATE("R10C",'Mapa final'!$R$39),"")</f>
        <v/>
      </c>
      <c r="AA45" s="56" t="str">
        <f>IF(AND('Mapa final'!$AB$40="Baja",'Mapa final'!$AD$40="Moderado"),CONCATENATE("R10C",'Mapa final'!$R$40),"")</f>
        <v/>
      </c>
      <c r="AB45" s="42" t="str">
        <f>IF(AND('Mapa final'!$AB$35="Baja",'Mapa final'!$AD$35="Mayor"),CONCATENATE("R10C",'Mapa final'!$R$35),"")</f>
        <v/>
      </c>
      <c r="AC45" s="43" t="str">
        <f>IF(AND('Mapa final'!$AB$36="Baja",'Mapa final'!$AD$36="Mayor"),CONCATENATE("R10C",'Mapa final'!$R$36),"")</f>
        <v/>
      </c>
      <c r="AD45" s="43" t="str">
        <f>IF(AND('Mapa final'!$AB$37="Baja",'Mapa final'!$AD$37="Mayor"),CONCATENATE("R10C",'Mapa final'!$R$37),"")</f>
        <v/>
      </c>
      <c r="AE45" s="43" t="str">
        <f>IF(AND('Mapa final'!$AB$38="Baja",'Mapa final'!$AD$38="Mayor"),CONCATENATE("R10C",'Mapa final'!$R$38),"")</f>
        <v/>
      </c>
      <c r="AF45" s="43" t="str">
        <f>IF(AND('Mapa final'!$AB$39="Baja",'Mapa final'!$AD$39="Mayor"),CONCATENATE("R10C",'Mapa final'!$R$39),"")</f>
        <v/>
      </c>
      <c r="AG45" s="44" t="str">
        <f>IF(AND('Mapa final'!$AB$40="Baja",'Mapa final'!$AD$40="Mayor"),CONCATENATE("R10C",'Mapa final'!$R$40),"")</f>
        <v/>
      </c>
      <c r="AH45" s="45" t="str">
        <f>IF(AND('Mapa final'!$AB$35="Baja",'Mapa final'!$AD$35="Catastrófico"),CONCATENATE("R10C",'Mapa final'!$R$35),"")</f>
        <v/>
      </c>
      <c r="AI45" s="46" t="str">
        <f>IF(AND('Mapa final'!$AB$36="Baja",'Mapa final'!$AD$36="Catastrófico"),CONCATENATE("R10C",'Mapa final'!$R$36),"")</f>
        <v/>
      </c>
      <c r="AJ45" s="46" t="str">
        <f>IF(AND('Mapa final'!$AB$37="Baja",'Mapa final'!$AD$37="Catastrófico"),CONCATENATE("R10C",'Mapa final'!$R$37),"")</f>
        <v/>
      </c>
      <c r="AK45" s="46" t="str">
        <f>IF(AND('Mapa final'!$AB$38="Baja",'Mapa final'!$AD$38="Catastrófico"),CONCATENATE("R10C",'Mapa final'!$R$38),"")</f>
        <v/>
      </c>
      <c r="AL45" s="46" t="str">
        <f>IF(AND('Mapa final'!$AB$39="Baja",'Mapa final'!$AD$39="Catastrófico"),CONCATENATE("R10C",'Mapa final'!$R$39),"")</f>
        <v/>
      </c>
      <c r="AM45" s="47" t="str">
        <f>IF(AND('Mapa final'!$AB$40="Baja",'Mapa final'!$AD$40="Catastrófico"),CONCATENATE("R10C",'Mapa final'!$R$40),"")</f>
        <v/>
      </c>
      <c r="AN45" s="67"/>
      <c r="AO45" s="581"/>
      <c r="AP45" s="582"/>
      <c r="AQ45" s="582"/>
      <c r="AR45" s="582"/>
      <c r="AS45" s="582"/>
      <c r="AT45" s="583"/>
    </row>
    <row r="46" spans="1:80" ht="46.5" customHeight="1" x14ac:dyDescent="0.45">
      <c r="A46" s="67"/>
      <c r="B46" s="459"/>
      <c r="C46" s="459"/>
      <c r="D46" s="460"/>
      <c r="E46" s="554" t="s">
        <v>107</v>
      </c>
      <c r="F46" s="555"/>
      <c r="G46" s="555"/>
      <c r="H46" s="555"/>
      <c r="I46" s="572"/>
      <c r="J46" s="57" t="str">
        <f>IF(AND('Mapa final'!$AB$10="Muy Baja",'Mapa final'!$AD$10="Leve"),CONCATENATE("R1C",'Mapa final'!$R$10),"")</f>
        <v/>
      </c>
      <c r="K46" s="58" t="str">
        <f>IF(AND('Mapa final'!$AB$11="Muy Baja",'Mapa final'!$AD$11="Leve"),CONCATENATE("R1C",'Mapa final'!$R$11),"")</f>
        <v/>
      </c>
      <c r="L46" s="58" t="str">
        <f>IF(AND('Mapa final'!$AB$12="Muy Baja",'Mapa final'!$AD$12="Leve"),CONCATENATE("R1C",'Mapa final'!$R$12),"")</f>
        <v/>
      </c>
      <c r="M46" s="58" t="str">
        <f>IF(AND('Mapa final'!$AB$13="Muy Baja",'Mapa final'!$AD$13="Leve"),CONCATENATE("R1C",'Mapa final'!$R$13),"")</f>
        <v/>
      </c>
      <c r="N46" s="58" t="str">
        <f>IF(AND('Mapa final'!$AB$14="Muy Baja",'Mapa final'!$AD$14="Leve"),CONCATENATE("R1C",'Mapa final'!$R$14),"")</f>
        <v/>
      </c>
      <c r="O46" s="59" t="str">
        <f>IF(AND('Mapa final'!$AB$15="Muy Baja",'Mapa final'!$AD$15="Leve"),CONCATENATE("R1C",'Mapa final'!$R$15),"")</f>
        <v/>
      </c>
      <c r="P46" s="57" t="str">
        <f>IF(AND('Mapa final'!$AB$10="Muy Baja",'Mapa final'!$AD$10="Menor"),CONCATENATE("R1C",'Mapa final'!$R$10),"")</f>
        <v/>
      </c>
      <c r="Q46" s="58" t="str">
        <f>IF(AND('Mapa final'!$AB$11="Muy Baja",'Mapa final'!$AD$11="Menor"),CONCATENATE("R1C",'Mapa final'!$R$11),"")</f>
        <v/>
      </c>
      <c r="R46" s="58" t="str">
        <f>IF(AND('Mapa final'!$AB$12="Muy Baja",'Mapa final'!$AD$12="Menor"),CONCATENATE("R1C",'Mapa final'!$R$12),"")</f>
        <v/>
      </c>
      <c r="S46" s="58" t="str">
        <f>IF(AND('Mapa final'!$AB$13="Muy Baja",'Mapa final'!$AD$13="Menor"),CONCATENATE("R1C",'Mapa final'!$R$13),"")</f>
        <v/>
      </c>
      <c r="T46" s="58" t="str">
        <f>IF(AND('Mapa final'!$AB$14="Muy Baja",'Mapa final'!$AD$14="Menor"),CONCATENATE("R1C",'Mapa final'!$R$14),"")</f>
        <v/>
      </c>
      <c r="U46" s="59" t="str">
        <f>IF(AND('Mapa final'!$AB$15="Muy Baja",'Mapa final'!$AD$15="Menor"),CONCATENATE("R1C",'Mapa final'!$R$15),"")</f>
        <v/>
      </c>
      <c r="V46" s="48" t="str">
        <f>IF(AND('Mapa final'!$AB$10="Muy Baja",'Mapa final'!$AD$10="Moderado"),CONCATENATE("R1C",'Mapa final'!$R$10),"")</f>
        <v/>
      </c>
      <c r="W46" s="66" t="str">
        <f>IF(AND('Mapa final'!$AB$11="Muy Baja",'Mapa final'!$AD$11="Moderado"),CONCATENATE("R1C",'Mapa final'!$R$11),"")</f>
        <v/>
      </c>
      <c r="X46" s="49" t="str">
        <f>IF(AND('Mapa final'!$AB$12="Muy Baja",'Mapa final'!$AD$12="Moderado"),CONCATENATE("R1C",'Mapa final'!$R$12),"")</f>
        <v/>
      </c>
      <c r="Y46" s="49" t="str">
        <f>IF(AND('Mapa final'!$AB$13="Muy Baja",'Mapa final'!$AD$13="Moderado"),CONCATENATE("R1C",'Mapa final'!$R$13),"")</f>
        <v/>
      </c>
      <c r="Z46" s="49" t="str">
        <f>IF(AND('Mapa final'!$AB$14="Muy Baja",'Mapa final'!$AD$14="Moderado"),CONCATENATE("R1C",'Mapa final'!$R$14),"")</f>
        <v/>
      </c>
      <c r="AA46" s="50" t="str">
        <f>IF(AND('Mapa final'!$AB$15="Muy Baja",'Mapa final'!$AD$15="Moderado"),CONCATENATE("R1C",'Mapa final'!$R$15),"")</f>
        <v/>
      </c>
      <c r="AB46" s="30" t="str">
        <f>IF(AND('Mapa final'!$AB$10="Muy Baja",'Mapa final'!$AD$10="Mayor"),CONCATENATE("R1C",'Mapa final'!$R$10),"")</f>
        <v/>
      </c>
      <c r="AC46" s="31" t="str">
        <f>IF(AND('Mapa final'!$AB$11="Muy Baja",'Mapa final'!$AD$11="Mayor"),CONCATENATE("R1C",'Mapa final'!$R$11),"")</f>
        <v/>
      </c>
      <c r="AD46" s="31" t="str">
        <f>IF(AND('Mapa final'!$AB$12="Muy Baja",'Mapa final'!$AD$12="Mayor"),CONCATENATE("R1C",'Mapa final'!$R$12),"")</f>
        <v/>
      </c>
      <c r="AE46" s="31" t="str">
        <f>IF(AND('Mapa final'!$AB$13="Muy Baja",'Mapa final'!$AD$13="Mayor"),CONCATENATE("R1C",'Mapa final'!$R$13),"")</f>
        <v/>
      </c>
      <c r="AF46" s="31" t="str">
        <f>IF(AND('Mapa final'!$AB$14="Muy Baja",'Mapa final'!$AD$14="Mayor"),CONCATENATE("R1C",'Mapa final'!$R$14),"")</f>
        <v/>
      </c>
      <c r="AG46" s="32" t="str">
        <f>IF(AND('Mapa final'!$AB$15="Muy Baja",'Mapa final'!$AD$15="Mayor"),CONCATENATE("R1C",'Mapa final'!$R$15),"")</f>
        <v/>
      </c>
      <c r="AH46" s="33" t="str">
        <f>IF(AND('Mapa final'!$AB$10="Muy Baja",'Mapa final'!$AD$10="Catastrófico"),CONCATENATE("R1C",'Mapa final'!$R$10),"")</f>
        <v/>
      </c>
      <c r="AI46" s="34" t="str">
        <f>IF(AND('Mapa final'!$AB$11="Muy Baja",'Mapa final'!$AD$11="Catastrófico"),CONCATENATE("R1C",'Mapa final'!$R$11),"")</f>
        <v/>
      </c>
      <c r="AJ46" s="34" t="str">
        <f>IF(AND('Mapa final'!$AB$12="Muy Baja",'Mapa final'!$AD$12="Catastrófico"),CONCATENATE("R1C",'Mapa final'!$R$12),"")</f>
        <v/>
      </c>
      <c r="AK46" s="34" t="str">
        <f>IF(AND('Mapa final'!$AB$13="Muy Baja",'Mapa final'!$AD$13="Catastrófico"),CONCATENATE("R1C",'Mapa final'!$R$13),"")</f>
        <v/>
      </c>
      <c r="AL46" s="34" t="str">
        <f>IF(AND('Mapa final'!$AB$14="Muy Baja",'Mapa final'!$AD$14="Catastrófico"),CONCATENATE("R1C",'Mapa final'!$R$14),"")</f>
        <v/>
      </c>
      <c r="AM46" s="35" t="str">
        <f>IF(AND('Mapa final'!$AB$15="Muy Baja",'Mapa final'!$AD$15="Catastrófico"),CONCATENATE("R1C",'Mapa final'!$R$15),"")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459"/>
      <c r="C47" s="459"/>
      <c r="D47" s="460"/>
      <c r="E47" s="556"/>
      <c r="F47" s="557"/>
      <c r="G47" s="557"/>
      <c r="H47" s="557"/>
      <c r="I47" s="573"/>
      <c r="J47" s="60" t="e">
        <f>IF(AND('Mapa final'!#REF!="Muy Baja",'Mapa final'!#REF!="Leve"),CONCATENATE("R2C",'Mapa final'!#REF!),"")</f>
        <v>#REF!</v>
      </c>
      <c r="K47" s="61" t="e">
        <f>IF(AND('Mapa final'!#REF!="Muy Baja",'Mapa final'!#REF!="Leve"),CONCATENATE("R2C",'Mapa final'!#REF!),"")</f>
        <v>#REF!</v>
      </c>
      <c r="L47" s="61" t="e">
        <f>IF(AND('Mapa final'!#REF!="Muy Baja",'Mapa final'!#REF!="Leve"),CONCATENATE("R2C",'Mapa final'!#REF!),"")</f>
        <v>#REF!</v>
      </c>
      <c r="M47" s="61" t="e">
        <f>IF(AND('Mapa final'!#REF!="Muy Baja",'Mapa final'!#REF!="Leve"),CONCATENATE("R2C",'Mapa final'!#REF!),"")</f>
        <v>#REF!</v>
      </c>
      <c r="N47" s="61" t="e">
        <f>IF(AND('Mapa final'!#REF!="Muy Baja",'Mapa final'!#REF!="Leve"),CONCATENATE("R2C",'Mapa final'!#REF!),"")</f>
        <v>#REF!</v>
      </c>
      <c r="O47" s="62" t="e">
        <f>IF(AND('Mapa final'!#REF!="Muy Baja",'Mapa final'!#REF!="Leve"),CONCATENATE("R2C",'Mapa final'!#REF!),"")</f>
        <v>#REF!</v>
      </c>
      <c r="P47" s="60" t="e">
        <f>IF(AND('Mapa final'!#REF!="Muy Baja",'Mapa final'!#REF!="Menor"),CONCATENATE("R2C",'Mapa final'!#REF!),"")</f>
        <v>#REF!</v>
      </c>
      <c r="Q47" s="61" t="e">
        <f>IF(AND('Mapa final'!#REF!="Muy Baja",'Mapa final'!#REF!="Menor"),CONCATENATE("R2C",'Mapa final'!#REF!),"")</f>
        <v>#REF!</v>
      </c>
      <c r="R47" s="61" t="e">
        <f>IF(AND('Mapa final'!#REF!="Muy Baja",'Mapa final'!#REF!="Menor"),CONCATENATE("R2C",'Mapa final'!#REF!),"")</f>
        <v>#REF!</v>
      </c>
      <c r="S47" s="61" t="e">
        <f>IF(AND('Mapa final'!#REF!="Muy Baja",'Mapa final'!#REF!="Menor"),CONCATENATE("R2C",'Mapa final'!#REF!),"")</f>
        <v>#REF!</v>
      </c>
      <c r="T47" s="61" t="e">
        <f>IF(AND('Mapa final'!#REF!="Muy Baja",'Mapa final'!#REF!="Menor"),CONCATENATE("R2C",'Mapa final'!#REF!),"")</f>
        <v>#REF!</v>
      </c>
      <c r="U47" s="62" t="e">
        <f>IF(AND('Mapa final'!#REF!="Muy Baja",'Mapa final'!#REF!="Menor"),CONCATENATE("R2C",'Mapa final'!#REF!),"")</f>
        <v>#REF!</v>
      </c>
      <c r="V47" s="51" t="e">
        <f>IF(AND('Mapa final'!#REF!="Muy Baja",'Mapa final'!#REF!="Moderado"),CONCATENATE("R2C",'Mapa final'!#REF!),"")</f>
        <v>#REF!</v>
      </c>
      <c r="W47" s="52" t="e">
        <f>IF(AND('Mapa final'!#REF!="Muy Baja",'Mapa final'!#REF!="Moderado"),CONCATENATE("R2C",'Mapa final'!#REF!),"")</f>
        <v>#REF!</v>
      </c>
      <c r="X47" s="52" t="e">
        <f>IF(AND('Mapa final'!#REF!="Muy Baja",'Mapa final'!#REF!="Moderado"),CONCATENATE("R2C",'Mapa final'!#REF!),"")</f>
        <v>#REF!</v>
      </c>
      <c r="Y47" s="52" t="e">
        <f>IF(AND('Mapa final'!#REF!="Muy Baja",'Mapa final'!#REF!="Moderado"),CONCATENATE("R2C",'Mapa final'!#REF!),"")</f>
        <v>#REF!</v>
      </c>
      <c r="Z47" s="52" t="e">
        <f>IF(AND('Mapa final'!#REF!="Muy Baja",'Mapa final'!#REF!="Moderado"),CONCATENATE("R2C",'Mapa final'!#REF!),"")</f>
        <v>#REF!</v>
      </c>
      <c r="AA47" s="53" t="e">
        <f>IF(AND('Mapa final'!#REF!="Muy Baja",'Mapa final'!#REF!="Moderado"),CONCATENATE("R2C",'Mapa final'!#REF!),"")</f>
        <v>#REF!</v>
      </c>
      <c r="AB47" s="36" t="e">
        <f>IF(AND('Mapa final'!#REF!="Muy Baja",'Mapa final'!#REF!="Mayor"),CONCATENATE("R2C",'Mapa final'!#REF!),"")</f>
        <v>#REF!</v>
      </c>
      <c r="AC47" s="37" t="e">
        <f>IF(AND('Mapa final'!#REF!="Muy Baja",'Mapa final'!#REF!="Mayor"),CONCATENATE("R2C",'Mapa final'!#REF!),"")</f>
        <v>#REF!</v>
      </c>
      <c r="AD47" s="37" t="e">
        <f>IF(AND('Mapa final'!#REF!="Muy Baja",'Mapa final'!#REF!="Mayor"),CONCATENATE("R2C",'Mapa final'!#REF!),"")</f>
        <v>#REF!</v>
      </c>
      <c r="AE47" s="37" t="e">
        <f>IF(AND('Mapa final'!#REF!="Muy Baja",'Mapa final'!#REF!="Mayor"),CONCATENATE("R2C",'Mapa final'!#REF!),"")</f>
        <v>#REF!</v>
      </c>
      <c r="AF47" s="37" t="e">
        <f>IF(AND('Mapa final'!#REF!="Muy Baja",'Mapa final'!#REF!="Mayor"),CONCATENATE("R2C",'Mapa final'!#REF!),"")</f>
        <v>#REF!</v>
      </c>
      <c r="AG47" s="38" t="e">
        <f>IF(AND('Mapa final'!#REF!="Muy Baja",'Mapa final'!#REF!="Mayor"),CONCATENATE("R2C",'Mapa final'!#REF!),"")</f>
        <v>#REF!</v>
      </c>
      <c r="AH47" s="39" t="e">
        <f>IF(AND('Mapa final'!#REF!="Muy Baja",'Mapa final'!#REF!="Catastrófico"),CONCATENATE("R2C",'Mapa final'!#REF!),"")</f>
        <v>#REF!</v>
      </c>
      <c r="AI47" s="40" t="e">
        <f>IF(AND('Mapa final'!#REF!="Muy Baja",'Mapa final'!#REF!="Catastrófico"),CONCATENATE("R2C",'Mapa final'!#REF!),"")</f>
        <v>#REF!</v>
      </c>
      <c r="AJ47" s="40" t="e">
        <f>IF(AND('Mapa final'!#REF!="Muy Baja",'Mapa final'!#REF!="Catastrófico"),CONCATENATE("R2C",'Mapa final'!#REF!),"")</f>
        <v>#REF!</v>
      </c>
      <c r="AK47" s="40" t="e">
        <f>IF(AND('Mapa final'!#REF!="Muy Baja",'Mapa final'!#REF!="Catastrófico"),CONCATENATE("R2C",'Mapa final'!#REF!),"")</f>
        <v>#REF!</v>
      </c>
      <c r="AL47" s="40" t="e">
        <f>IF(AND('Mapa final'!#REF!="Muy Baja",'Mapa final'!#REF!="Catastrófico"),CONCATENATE("R2C",'Mapa final'!#REF!),"")</f>
        <v>#REF!</v>
      </c>
      <c r="AM47" s="41" t="e">
        <f>IF(AND('Mapa final'!#REF!="Muy Baja",'Mapa final'!#REF!="Catastrófico"),CONCATENATE("R2C",'Mapa final'!#REF!),"")</f>
        <v>#REF!</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459"/>
      <c r="C48" s="459"/>
      <c r="D48" s="460"/>
      <c r="E48" s="556"/>
      <c r="F48" s="557"/>
      <c r="G48" s="557"/>
      <c r="H48" s="557"/>
      <c r="I48" s="573"/>
      <c r="J48" s="60" t="str">
        <f>IF(AND('Mapa final'!$AB$16="Muy Baja",'Mapa final'!$AD$16="Leve"),CONCATENATE("R3C",'Mapa final'!$R$16),"")</f>
        <v/>
      </c>
      <c r="K48" s="61" t="e">
        <f>IF(AND('Mapa final'!#REF!="Muy Baja",'Mapa final'!#REF!="Leve"),CONCATENATE("R3C",'Mapa final'!#REF!),"")</f>
        <v>#REF!</v>
      </c>
      <c r="L48" s="61" t="e">
        <f>IF(AND('Mapa final'!#REF!="Muy Baja",'Mapa final'!#REF!="Leve"),CONCATENATE("R3C",'Mapa final'!#REF!),"")</f>
        <v>#REF!</v>
      </c>
      <c r="M48" s="61" t="e">
        <f>IF(AND('Mapa final'!#REF!="Muy Baja",'Mapa final'!#REF!="Leve"),CONCATENATE("R3C",'Mapa final'!#REF!),"")</f>
        <v>#REF!</v>
      </c>
      <c r="N48" s="61" t="e">
        <f>IF(AND('Mapa final'!#REF!="Muy Baja",'Mapa final'!#REF!="Leve"),CONCATENATE("R3C",'Mapa final'!#REF!),"")</f>
        <v>#REF!</v>
      </c>
      <c r="O48" s="62" t="e">
        <f>IF(AND('Mapa final'!#REF!="Muy Baja",'Mapa final'!#REF!="Leve"),CONCATENATE("R3C",'Mapa final'!#REF!),"")</f>
        <v>#REF!</v>
      </c>
      <c r="P48" s="60" t="str">
        <f>IF(AND('Mapa final'!$AB$16="Muy Baja",'Mapa final'!$AD$16="Menor"),CONCATENATE("R3C",'Mapa final'!$R$16),"")</f>
        <v/>
      </c>
      <c r="Q48" s="61" t="e">
        <f>IF(AND('Mapa final'!#REF!="Muy Baja",'Mapa final'!#REF!="Menor"),CONCATENATE("R3C",'Mapa final'!#REF!),"")</f>
        <v>#REF!</v>
      </c>
      <c r="R48" s="61" t="e">
        <f>IF(AND('Mapa final'!#REF!="Muy Baja",'Mapa final'!#REF!="Menor"),CONCATENATE("R3C",'Mapa final'!#REF!),"")</f>
        <v>#REF!</v>
      </c>
      <c r="S48" s="61" t="e">
        <f>IF(AND('Mapa final'!#REF!="Muy Baja",'Mapa final'!#REF!="Menor"),CONCATENATE("R3C",'Mapa final'!#REF!),"")</f>
        <v>#REF!</v>
      </c>
      <c r="T48" s="61" t="e">
        <f>IF(AND('Mapa final'!#REF!="Muy Baja",'Mapa final'!#REF!="Menor"),CONCATENATE("R3C",'Mapa final'!#REF!),"")</f>
        <v>#REF!</v>
      </c>
      <c r="U48" s="62" t="e">
        <f>IF(AND('Mapa final'!#REF!="Muy Baja",'Mapa final'!#REF!="Menor"),CONCATENATE("R3C",'Mapa final'!#REF!),"")</f>
        <v>#REF!</v>
      </c>
      <c r="V48" s="51" t="str">
        <f>IF(AND('Mapa final'!$AB$16="Muy Baja",'Mapa final'!$AD$16="Moderado"),CONCATENATE("R3C",'Mapa final'!$R$16),"")</f>
        <v/>
      </c>
      <c r="W48" s="52" t="e">
        <f>IF(AND('Mapa final'!#REF!="Muy Baja",'Mapa final'!#REF!="Moderado"),CONCATENATE("R3C",'Mapa final'!#REF!),"")</f>
        <v>#REF!</v>
      </c>
      <c r="X48" s="52" t="e">
        <f>IF(AND('Mapa final'!#REF!="Muy Baja",'Mapa final'!#REF!="Moderado"),CONCATENATE("R3C",'Mapa final'!#REF!),"")</f>
        <v>#REF!</v>
      </c>
      <c r="Y48" s="52" t="e">
        <f>IF(AND('Mapa final'!#REF!="Muy Baja",'Mapa final'!#REF!="Moderado"),CONCATENATE("R3C",'Mapa final'!#REF!),"")</f>
        <v>#REF!</v>
      </c>
      <c r="Z48" s="52" t="e">
        <f>IF(AND('Mapa final'!#REF!="Muy Baja",'Mapa final'!#REF!="Moderado"),CONCATENATE("R3C",'Mapa final'!#REF!),"")</f>
        <v>#REF!</v>
      </c>
      <c r="AA48" s="53" t="e">
        <f>IF(AND('Mapa final'!#REF!="Muy Baja",'Mapa final'!#REF!="Moderado"),CONCATENATE("R3C",'Mapa final'!#REF!),"")</f>
        <v>#REF!</v>
      </c>
      <c r="AB48" s="36" t="str">
        <f>IF(AND('Mapa final'!$AB$16="Muy Baja",'Mapa final'!$AD$16="Mayor"),CONCATENATE("R3C",'Mapa final'!$R$16),"")</f>
        <v/>
      </c>
      <c r="AC48" s="37" t="e">
        <f>IF(AND('Mapa final'!#REF!="Muy Baja",'Mapa final'!#REF!="Mayor"),CONCATENATE("R3C",'Mapa final'!#REF!),"")</f>
        <v>#REF!</v>
      </c>
      <c r="AD48" s="37" t="e">
        <f>IF(AND('Mapa final'!#REF!="Muy Baja",'Mapa final'!#REF!="Mayor"),CONCATENATE("R3C",'Mapa final'!#REF!),"")</f>
        <v>#REF!</v>
      </c>
      <c r="AE48" s="37" t="e">
        <f>IF(AND('Mapa final'!#REF!="Muy Baja",'Mapa final'!#REF!="Mayor"),CONCATENATE("R3C",'Mapa final'!#REF!),"")</f>
        <v>#REF!</v>
      </c>
      <c r="AF48" s="37" t="e">
        <f>IF(AND('Mapa final'!#REF!="Muy Baja",'Mapa final'!#REF!="Mayor"),CONCATENATE("R3C",'Mapa final'!#REF!),"")</f>
        <v>#REF!</v>
      </c>
      <c r="AG48" s="38" t="e">
        <f>IF(AND('Mapa final'!#REF!="Muy Baja",'Mapa final'!#REF!="Mayor"),CONCATENATE("R3C",'Mapa final'!#REF!),"")</f>
        <v>#REF!</v>
      </c>
      <c r="AH48" s="39" t="str">
        <f>IF(AND('Mapa final'!$AB$16="Muy Baja",'Mapa final'!$AD$16="Catastrófico"),CONCATENATE("R3C",'Mapa final'!$R$16),"")</f>
        <v/>
      </c>
      <c r="AI48" s="40" t="e">
        <f>IF(AND('Mapa final'!#REF!="Muy Baja",'Mapa final'!#REF!="Catastrófico"),CONCATENATE("R3C",'Mapa final'!#REF!),"")</f>
        <v>#REF!</v>
      </c>
      <c r="AJ48" s="40" t="e">
        <f>IF(AND('Mapa final'!#REF!="Muy Baja",'Mapa final'!#REF!="Catastrófico"),CONCATENATE("R3C",'Mapa final'!#REF!),"")</f>
        <v>#REF!</v>
      </c>
      <c r="AK48" s="40" t="e">
        <f>IF(AND('Mapa final'!#REF!="Muy Baja",'Mapa final'!#REF!="Catastrófico"),CONCATENATE("R3C",'Mapa final'!#REF!),"")</f>
        <v>#REF!</v>
      </c>
      <c r="AL48" s="40" t="e">
        <f>IF(AND('Mapa final'!#REF!="Muy Baja",'Mapa final'!#REF!="Catastrófico"),CONCATENATE("R3C",'Mapa final'!#REF!),"")</f>
        <v>#REF!</v>
      </c>
      <c r="AM48" s="41" t="e">
        <f>IF(AND('Mapa final'!#REF!="Muy Baja",'Mapa final'!#REF!="Catastrófico"),CONCATENATE("R3C",'Mapa final'!#REF!),"")</f>
        <v>#REF!</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459"/>
      <c r="C49" s="459"/>
      <c r="D49" s="460"/>
      <c r="E49" s="558"/>
      <c r="F49" s="557"/>
      <c r="G49" s="557"/>
      <c r="H49" s="557"/>
      <c r="I49" s="573"/>
      <c r="J49" s="60" t="e">
        <f>IF(AND('Mapa final'!#REF!="Muy Baja",'Mapa final'!#REF!="Leve"),CONCATENATE("R4C",'Mapa final'!#REF!),"")</f>
        <v>#REF!</v>
      </c>
      <c r="K49" s="61" t="e">
        <f>IF(AND('Mapa final'!#REF!="Muy Baja",'Mapa final'!#REF!="Leve"),CONCATENATE("R4C",'Mapa final'!#REF!),"")</f>
        <v>#REF!</v>
      </c>
      <c r="L49" s="61" t="e">
        <f>IF(AND('Mapa final'!#REF!="Muy Baja",'Mapa final'!#REF!="Leve"),CONCATENATE("R4C",'Mapa final'!#REF!),"")</f>
        <v>#REF!</v>
      </c>
      <c r="M49" s="61" t="e">
        <f>IF(AND('Mapa final'!#REF!="Muy Baja",'Mapa final'!#REF!="Leve"),CONCATENATE("R4C",'Mapa final'!#REF!),"")</f>
        <v>#REF!</v>
      </c>
      <c r="N49" s="61" t="e">
        <f>IF(AND('Mapa final'!#REF!="Muy Baja",'Mapa final'!#REF!="Leve"),CONCATENATE("R4C",'Mapa final'!#REF!),"")</f>
        <v>#REF!</v>
      </c>
      <c r="O49" s="62" t="e">
        <f>IF(AND('Mapa final'!#REF!="Muy Baja",'Mapa final'!#REF!="Leve"),CONCATENATE("R4C",'Mapa final'!#REF!),"")</f>
        <v>#REF!</v>
      </c>
      <c r="P49" s="60" t="e">
        <f>IF(AND('Mapa final'!#REF!="Muy Baja",'Mapa final'!#REF!="Menor"),CONCATENATE("R4C",'Mapa final'!#REF!),"")</f>
        <v>#REF!</v>
      </c>
      <c r="Q49" s="61" t="e">
        <f>IF(AND('Mapa final'!#REF!="Muy Baja",'Mapa final'!#REF!="Menor"),CONCATENATE("R4C",'Mapa final'!#REF!),"")</f>
        <v>#REF!</v>
      </c>
      <c r="R49" s="61" t="e">
        <f>IF(AND('Mapa final'!#REF!="Muy Baja",'Mapa final'!#REF!="Menor"),CONCATENATE("R4C",'Mapa final'!#REF!),"")</f>
        <v>#REF!</v>
      </c>
      <c r="S49" s="61" t="e">
        <f>IF(AND('Mapa final'!#REF!="Muy Baja",'Mapa final'!#REF!="Menor"),CONCATENATE("R4C",'Mapa final'!#REF!),"")</f>
        <v>#REF!</v>
      </c>
      <c r="T49" s="61" t="e">
        <f>IF(AND('Mapa final'!#REF!="Muy Baja",'Mapa final'!#REF!="Menor"),CONCATENATE("R4C",'Mapa final'!#REF!),"")</f>
        <v>#REF!</v>
      </c>
      <c r="U49" s="62" t="e">
        <f>IF(AND('Mapa final'!#REF!="Muy Baja",'Mapa final'!#REF!="Menor"),CONCATENATE("R4C",'Mapa final'!#REF!),"")</f>
        <v>#REF!</v>
      </c>
      <c r="V49" s="51" t="e">
        <f>IF(AND('Mapa final'!#REF!="Muy Baja",'Mapa final'!#REF!="Moderado"),CONCATENATE("R4C",'Mapa final'!#REF!),"")</f>
        <v>#REF!</v>
      </c>
      <c r="W49" s="52" t="e">
        <f>IF(AND('Mapa final'!#REF!="Muy Baja",'Mapa final'!#REF!="Moderado"),CONCATENATE("R4C",'Mapa final'!#REF!),"")</f>
        <v>#REF!</v>
      </c>
      <c r="X49" s="52" t="e">
        <f>IF(AND('Mapa final'!#REF!="Muy Baja",'Mapa final'!#REF!="Moderado"),CONCATENATE("R4C",'Mapa final'!#REF!),"")</f>
        <v>#REF!</v>
      </c>
      <c r="Y49" s="52" t="e">
        <f>IF(AND('Mapa final'!#REF!="Muy Baja",'Mapa final'!#REF!="Moderado"),CONCATENATE("R4C",'Mapa final'!#REF!),"")</f>
        <v>#REF!</v>
      </c>
      <c r="Z49" s="52" t="e">
        <f>IF(AND('Mapa final'!#REF!="Muy Baja",'Mapa final'!#REF!="Moderado"),CONCATENATE("R4C",'Mapa final'!#REF!),"")</f>
        <v>#REF!</v>
      </c>
      <c r="AA49" s="53" t="e">
        <f>IF(AND('Mapa final'!#REF!="Muy Baja",'Mapa final'!#REF!="Moderado"),CONCATENATE("R4C",'Mapa final'!#REF!),"")</f>
        <v>#REF!</v>
      </c>
      <c r="AB49" s="36" t="e">
        <f>IF(AND('Mapa final'!#REF!="Muy Baja",'Mapa final'!#REF!="Mayor"),CONCATENATE("R4C",'Mapa final'!#REF!),"")</f>
        <v>#REF!</v>
      </c>
      <c r="AC49" s="37" t="e">
        <f>IF(AND('Mapa final'!#REF!="Muy Baja",'Mapa final'!#REF!="Mayor"),CONCATENATE("R4C",'Mapa final'!#REF!),"")</f>
        <v>#REF!</v>
      </c>
      <c r="AD49" s="37" t="e">
        <f>IF(AND('Mapa final'!#REF!="Muy Baja",'Mapa final'!#REF!="Mayor"),CONCATENATE("R4C",'Mapa final'!#REF!),"")</f>
        <v>#REF!</v>
      </c>
      <c r="AE49" s="37" t="e">
        <f>IF(AND('Mapa final'!#REF!="Muy Baja",'Mapa final'!#REF!="Mayor"),CONCATENATE("R4C",'Mapa final'!#REF!),"")</f>
        <v>#REF!</v>
      </c>
      <c r="AF49" s="37" t="e">
        <f>IF(AND('Mapa final'!#REF!="Muy Baja",'Mapa final'!#REF!="Mayor"),CONCATENATE("R4C",'Mapa final'!#REF!),"")</f>
        <v>#REF!</v>
      </c>
      <c r="AG49" s="38" t="e">
        <f>IF(AND('Mapa final'!#REF!="Muy Baja",'Mapa final'!#REF!="Mayor"),CONCATENATE("R4C",'Mapa final'!#REF!),"")</f>
        <v>#REF!</v>
      </c>
      <c r="AH49" s="39" t="e">
        <f>IF(AND('Mapa final'!#REF!="Muy Baja",'Mapa final'!#REF!="Catastrófico"),CONCATENATE("R4C",'Mapa final'!#REF!),"")</f>
        <v>#REF!</v>
      </c>
      <c r="AI49" s="40" t="e">
        <f>IF(AND('Mapa final'!#REF!="Muy Baja",'Mapa final'!#REF!="Catastrófico"),CONCATENATE("R4C",'Mapa final'!#REF!),"")</f>
        <v>#REF!</v>
      </c>
      <c r="AJ49" s="40" t="e">
        <f>IF(AND('Mapa final'!#REF!="Muy Baja",'Mapa final'!#REF!="Catastrófico"),CONCATENATE("R4C",'Mapa final'!#REF!),"")</f>
        <v>#REF!</v>
      </c>
      <c r="AK49" s="40" t="e">
        <f>IF(AND('Mapa final'!#REF!="Muy Baja",'Mapa final'!#REF!="Catastrófico"),CONCATENATE("R4C",'Mapa final'!#REF!),"")</f>
        <v>#REF!</v>
      </c>
      <c r="AL49" s="40" t="e">
        <f>IF(AND('Mapa final'!#REF!="Muy Baja",'Mapa final'!#REF!="Catastrófico"),CONCATENATE("R4C",'Mapa final'!#REF!),"")</f>
        <v>#REF!</v>
      </c>
      <c r="AM49" s="41" t="e">
        <f>IF(AND('Mapa final'!#REF!="Muy Baja",'Mapa final'!#REF!="Catastrófico"),CONCATENATE("R4C",'Mapa final'!#REF!),"")</f>
        <v>#REF!</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459"/>
      <c r="C50" s="459"/>
      <c r="D50" s="460"/>
      <c r="E50" s="558"/>
      <c r="F50" s="557"/>
      <c r="G50" s="557"/>
      <c r="H50" s="557"/>
      <c r="I50" s="573"/>
      <c r="J50" s="60" t="e">
        <f>IF(AND('Mapa final'!#REF!="Muy Baja",'Mapa final'!#REF!="Leve"),CONCATENATE("R5C",'Mapa final'!#REF!),"")</f>
        <v>#REF!</v>
      </c>
      <c r="K50" s="61" t="e">
        <f>IF(AND('Mapa final'!#REF!="Muy Baja",'Mapa final'!#REF!="Leve"),CONCATENATE("R5C",'Mapa final'!#REF!),"")</f>
        <v>#REF!</v>
      </c>
      <c r="L50" s="61" t="e">
        <f>IF(AND('Mapa final'!#REF!="Muy Baja",'Mapa final'!#REF!="Leve"),CONCATENATE("R5C",'Mapa final'!#REF!),"")</f>
        <v>#REF!</v>
      </c>
      <c r="M50" s="61" t="e">
        <f>IF(AND('Mapa final'!#REF!="Muy Baja",'Mapa final'!#REF!="Leve"),CONCATENATE("R5C",'Mapa final'!#REF!),"")</f>
        <v>#REF!</v>
      </c>
      <c r="N50" s="61" t="e">
        <f>IF(AND('Mapa final'!#REF!="Muy Baja",'Mapa final'!#REF!="Leve"),CONCATENATE("R5C",'Mapa final'!#REF!),"")</f>
        <v>#REF!</v>
      </c>
      <c r="O50" s="62" t="e">
        <f>IF(AND('Mapa final'!#REF!="Muy Baja",'Mapa final'!#REF!="Leve"),CONCATENATE("R5C",'Mapa final'!#REF!),"")</f>
        <v>#REF!</v>
      </c>
      <c r="P50" s="60" t="e">
        <f>IF(AND('Mapa final'!#REF!="Muy Baja",'Mapa final'!#REF!="Menor"),CONCATENATE("R5C",'Mapa final'!#REF!),"")</f>
        <v>#REF!</v>
      </c>
      <c r="Q50" s="61" t="e">
        <f>IF(AND('Mapa final'!#REF!="Muy Baja",'Mapa final'!#REF!="Menor"),CONCATENATE("R5C",'Mapa final'!#REF!),"")</f>
        <v>#REF!</v>
      </c>
      <c r="R50" s="61" t="e">
        <f>IF(AND('Mapa final'!#REF!="Muy Baja",'Mapa final'!#REF!="Menor"),CONCATENATE("R5C",'Mapa final'!#REF!),"")</f>
        <v>#REF!</v>
      </c>
      <c r="S50" s="61" t="e">
        <f>IF(AND('Mapa final'!#REF!="Muy Baja",'Mapa final'!#REF!="Menor"),CONCATENATE("R5C",'Mapa final'!#REF!),"")</f>
        <v>#REF!</v>
      </c>
      <c r="T50" s="61" t="e">
        <f>IF(AND('Mapa final'!#REF!="Muy Baja",'Mapa final'!#REF!="Menor"),CONCATENATE("R5C",'Mapa final'!#REF!),"")</f>
        <v>#REF!</v>
      </c>
      <c r="U50" s="62" t="e">
        <f>IF(AND('Mapa final'!#REF!="Muy Baja",'Mapa final'!#REF!="Menor"),CONCATENATE("R5C",'Mapa final'!#REF!),"")</f>
        <v>#REF!</v>
      </c>
      <c r="V50" s="51" t="e">
        <f>IF(AND('Mapa final'!#REF!="Muy Baja",'Mapa final'!#REF!="Moderado"),CONCATENATE("R5C",'Mapa final'!#REF!),"")</f>
        <v>#REF!</v>
      </c>
      <c r="W50" s="52" t="e">
        <f>IF(AND('Mapa final'!#REF!="Muy Baja",'Mapa final'!#REF!="Moderado"),CONCATENATE("R5C",'Mapa final'!#REF!),"")</f>
        <v>#REF!</v>
      </c>
      <c r="X50" s="52" t="e">
        <f>IF(AND('Mapa final'!#REF!="Muy Baja",'Mapa final'!#REF!="Moderado"),CONCATENATE("R5C",'Mapa final'!#REF!),"")</f>
        <v>#REF!</v>
      </c>
      <c r="Y50" s="52" t="e">
        <f>IF(AND('Mapa final'!#REF!="Muy Baja",'Mapa final'!#REF!="Moderado"),CONCATENATE("R5C",'Mapa final'!#REF!),"")</f>
        <v>#REF!</v>
      </c>
      <c r="Z50" s="52" t="e">
        <f>IF(AND('Mapa final'!#REF!="Muy Baja",'Mapa final'!#REF!="Moderado"),CONCATENATE("R5C",'Mapa final'!#REF!),"")</f>
        <v>#REF!</v>
      </c>
      <c r="AA50" s="53" t="e">
        <f>IF(AND('Mapa final'!#REF!="Muy Baja",'Mapa final'!#REF!="Moderado"),CONCATENATE("R5C",'Mapa final'!#REF!),"")</f>
        <v>#REF!</v>
      </c>
      <c r="AB50" s="36" t="e">
        <f>IF(AND('Mapa final'!#REF!="Muy Baja",'Mapa final'!#REF!="Mayor"),CONCATENATE("R5C",'Mapa final'!#REF!),"")</f>
        <v>#REF!</v>
      </c>
      <c r="AC50" s="37" t="e">
        <f>IF(AND('Mapa final'!#REF!="Muy Baja",'Mapa final'!#REF!="Mayor"),CONCATENATE("R5C",'Mapa final'!#REF!),"")</f>
        <v>#REF!</v>
      </c>
      <c r="AD50" s="37" t="e">
        <f>IF(AND('Mapa final'!#REF!="Muy Baja",'Mapa final'!#REF!="Mayor"),CONCATENATE("R5C",'Mapa final'!#REF!),"")</f>
        <v>#REF!</v>
      </c>
      <c r="AE50" s="37" t="e">
        <f>IF(AND('Mapa final'!#REF!="Muy Baja",'Mapa final'!#REF!="Mayor"),CONCATENATE("R5C",'Mapa final'!#REF!),"")</f>
        <v>#REF!</v>
      </c>
      <c r="AF50" s="37" t="e">
        <f>IF(AND('Mapa final'!#REF!="Muy Baja",'Mapa final'!#REF!="Mayor"),CONCATENATE("R5C",'Mapa final'!#REF!),"")</f>
        <v>#REF!</v>
      </c>
      <c r="AG50" s="38" t="e">
        <f>IF(AND('Mapa final'!#REF!="Muy Baja",'Mapa final'!#REF!="Mayor"),CONCATENATE("R5C",'Mapa final'!#REF!),"")</f>
        <v>#REF!</v>
      </c>
      <c r="AH50" s="39" t="e">
        <f>IF(AND('Mapa final'!#REF!="Muy Baja",'Mapa final'!#REF!="Catastrófico"),CONCATENATE("R5C",'Mapa final'!#REF!),"")</f>
        <v>#REF!</v>
      </c>
      <c r="AI50" s="40" t="e">
        <f>IF(AND('Mapa final'!#REF!="Muy Baja",'Mapa final'!#REF!="Catastrófico"),CONCATENATE("R5C",'Mapa final'!#REF!),"")</f>
        <v>#REF!</v>
      </c>
      <c r="AJ50" s="40" t="e">
        <f>IF(AND('Mapa final'!#REF!="Muy Baja",'Mapa final'!#REF!="Catastrófico"),CONCATENATE("R5C",'Mapa final'!#REF!),"")</f>
        <v>#REF!</v>
      </c>
      <c r="AK50" s="40" t="e">
        <f>IF(AND('Mapa final'!#REF!="Muy Baja",'Mapa final'!#REF!="Catastrófico"),CONCATENATE("R5C",'Mapa final'!#REF!),"")</f>
        <v>#REF!</v>
      </c>
      <c r="AL50" s="40" t="e">
        <f>IF(AND('Mapa final'!#REF!="Muy Baja",'Mapa final'!#REF!="Catastrófico"),CONCATENATE("R5C",'Mapa final'!#REF!),"")</f>
        <v>#REF!</v>
      </c>
      <c r="AM50" s="41" t="e">
        <f>IF(AND('Mapa final'!#REF!="Muy Baja",'Mapa final'!#REF!="Catastrófico"),CONCATENATE("R5C",'Mapa final'!#REF!),"")</f>
        <v>#REF!</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459"/>
      <c r="C51" s="459"/>
      <c r="D51" s="460"/>
      <c r="E51" s="558"/>
      <c r="F51" s="557"/>
      <c r="G51" s="557"/>
      <c r="H51" s="557"/>
      <c r="I51" s="573"/>
      <c r="J51" s="60" t="e">
        <f>IF(AND('Mapa final'!#REF!="Muy Baja",'Mapa final'!#REF!="Leve"),CONCATENATE("R6C",'Mapa final'!#REF!),"")</f>
        <v>#REF!</v>
      </c>
      <c r="K51" s="61" t="e">
        <f>IF(AND('Mapa final'!#REF!="Muy Baja",'Mapa final'!#REF!="Leve"),CONCATENATE("R6C",'Mapa final'!#REF!),"")</f>
        <v>#REF!</v>
      </c>
      <c r="L51" s="61" t="e">
        <f>IF(AND('Mapa final'!#REF!="Muy Baja",'Mapa final'!#REF!="Leve"),CONCATENATE("R6C",'Mapa final'!#REF!),"")</f>
        <v>#REF!</v>
      </c>
      <c r="M51" s="61" t="e">
        <f>IF(AND('Mapa final'!#REF!="Muy Baja",'Mapa final'!#REF!="Leve"),CONCATENATE("R6C",'Mapa final'!#REF!),"")</f>
        <v>#REF!</v>
      </c>
      <c r="N51" s="61" t="e">
        <f>IF(AND('Mapa final'!#REF!="Muy Baja",'Mapa final'!#REF!="Leve"),CONCATENATE("R6C",'Mapa final'!#REF!),"")</f>
        <v>#REF!</v>
      </c>
      <c r="O51" s="62" t="e">
        <f>IF(AND('Mapa final'!#REF!="Muy Baja",'Mapa final'!#REF!="Leve"),CONCATENATE("R6C",'Mapa final'!#REF!),"")</f>
        <v>#REF!</v>
      </c>
      <c r="P51" s="60" t="e">
        <f>IF(AND('Mapa final'!#REF!="Muy Baja",'Mapa final'!#REF!="Menor"),CONCATENATE("R6C",'Mapa final'!#REF!),"")</f>
        <v>#REF!</v>
      </c>
      <c r="Q51" s="61" t="e">
        <f>IF(AND('Mapa final'!#REF!="Muy Baja",'Mapa final'!#REF!="Menor"),CONCATENATE("R6C",'Mapa final'!#REF!),"")</f>
        <v>#REF!</v>
      </c>
      <c r="R51" s="61" t="e">
        <f>IF(AND('Mapa final'!#REF!="Muy Baja",'Mapa final'!#REF!="Menor"),CONCATENATE("R6C",'Mapa final'!#REF!),"")</f>
        <v>#REF!</v>
      </c>
      <c r="S51" s="61" t="e">
        <f>IF(AND('Mapa final'!#REF!="Muy Baja",'Mapa final'!#REF!="Menor"),CONCATENATE("R6C",'Mapa final'!#REF!),"")</f>
        <v>#REF!</v>
      </c>
      <c r="T51" s="61" t="e">
        <f>IF(AND('Mapa final'!#REF!="Muy Baja",'Mapa final'!#REF!="Menor"),CONCATENATE("R6C",'Mapa final'!#REF!),"")</f>
        <v>#REF!</v>
      </c>
      <c r="U51" s="62" t="e">
        <f>IF(AND('Mapa final'!#REF!="Muy Baja",'Mapa final'!#REF!="Menor"),CONCATENATE("R6C",'Mapa final'!#REF!),"")</f>
        <v>#REF!</v>
      </c>
      <c r="V51" s="51" t="e">
        <f>IF(AND('Mapa final'!#REF!="Muy Baja",'Mapa final'!#REF!="Moderado"),CONCATENATE("R6C",'Mapa final'!#REF!),"")</f>
        <v>#REF!</v>
      </c>
      <c r="W51" s="52" t="e">
        <f>IF(AND('Mapa final'!#REF!="Muy Baja",'Mapa final'!#REF!="Moderado"),CONCATENATE("R6C",'Mapa final'!#REF!),"")</f>
        <v>#REF!</v>
      </c>
      <c r="X51" s="52" t="e">
        <f>IF(AND('Mapa final'!#REF!="Muy Baja",'Mapa final'!#REF!="Moderado"),CONCATENATE("R6C",'Mapa final'!#REF!),"")</f>
        <v>#REF!</v>
      </c>
      <c r="Y51" s="52" t="e">
        <f>IF(AND('Mapa final'!#REF!="Muy Baja",'Mapa final'!#REF!="Moderado"),CONCATENATE("R6C",'Mapa final'!#REF!),"")</f>
        <v>#REF!</v>
      </c>
      <c r="Z51" s="52" t="e">
        <f>IF(AND('Mapa final'!#REF!="Muy Baja",'Mapa final'!#REF!="Moderado"),CONCATENATE("R6C",'Mapa final'!#REF!),"")</f>
        <v>#REF!</v>
      </c>
      <c r="AA51" s="53" t="e">
        <f>IF(AND('Mapa final'!#REF!="Muy Baja",'Mapa final'!#REF!="Moderado"),CONCATENATE("R6C",'Mapa final'!#REF!),"")</f>
        <v>#REF!</v>
      </c>
      <c r="AB51" s="36" t="e">
        <f>IF(AND('Mapa final'!#REF!="Muy Baja",'Mapa final'!#REF!="Mayor"),CONCATENATE("R6C",'Mapa final'!#REF!),"")</f>
        <v>#REF!</v>
      </c>
      <c r="AC51" s="37" t="e">
        <f>IF(AND('Mapa final'!#REF!="Muy Baja",'Mapa final'!#REF!="Mayor"),CONCATENATE("R6C",'Mapa final'!#REF!),"")</f>
        <v>#REF!</v>
      </c>
      <c r="AD51" s="37" t="e">
        <f>IF(AND('Mapa final'!#REF!="Muy Baja",'Mapa final'!#REF!="Mayor"),CONCATENATE("R6C",'Mapa final'!#REF!),"")</f>
        <v>#REF!</v>
      </c>
      <c r="AE51" s="37" t="e">
        <f>IF(AND('Mapa final'!#REF!="Muy Baja",'Mapa final'!#REF!="Mayor"),CONCATENATE("R6C",'Mapa final'!#REF!),"")</f>
        <v>#REF!</v>
      </c>
      <c r="AF51" s="37" t="e">
        <f>IF(AND('Mapa final'!#REF!="Muy Baja",'Mapa final'!#REF!="Mayor"),CONCATENATE("R6C",'Mapa final'!#REF!),"")</f>
        <v>#REF!</v>
      </c>
      <c r="AG51" s="38" t="e">
        <f>IF(AND('Mapa final'!#REF!="Muy Baja",'Mapa final'!#REF!="Mayor"),CONCATENATE("R6C",'Mapa final'!#REF!),"")</f>
        <v>#REF!</v>
      </c>
      <c r="AH51" s="39" t="e">
        <f>IF(AND('Mapa final'!#REF!="Muy Baja",'Mapa final'!#REF!="Catastrófico"),CONCATENATE("R6C",'Mapa final'!#REF!),"")</f>
        <v>#REF!</v>
      </c>
      <c r="AI51" s="40" t="e">
        <f>IF(AND('Mapa final'!#REF!="Muy Baja",'Mapa final'!#REF!="Catastrófico"),CONCATENATE("R6C",'Mapa final'!#REF!),"")</f>
        <v>#REF!</v>
      </c>
      <c r="AJ51" s="40" t="e">
        <f>IF(AND('Mapa final'!#REF!="Muy Baja",'Mapa final'!#REF!="Catastrófico"),CONCATENATE("R6C",'Mapa final'!#REF!),"")</f>
        <v>#REF!</v>
      </c>
      <c r="AK51" s="40" t="e">
        <f>IF(AND('Mapa final'!#REF!="Muy Baja",'Mapa final'!#REF!="Catastrófico"),CONCATENATE("R6C",'Mapa final'!#REF!),"")</f>
        <v>#REF!</v>
      </c>
      <c r="AL51" s="40" t="e">
        <f>IF(AND('Mapa final'!#REF!="Muy Baja",'Mapa final'!#REF!="Catastrófico"),CONCATENATE("R6C",'Mapa final'!#REF!),"")</f>
        <v>#REF!</v>
      </c>
      <c r="AM51" s="41" t="e">
        <f>IF(AND('Mapa final'!#REF!="Muy Baja",'Mapa final'!#REF!="Catastrófico"),CONCATENATE("R6C",'Mapa final'!#REF!),"")</f>
        <v>#REF!</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459"/>
      <c r="C52" s="459"/>
      <c r="D52" s="460"/>
      <c r="E52" s="558"/>
      <c r="F52" s="557"/>
      <c r="G52" s="557"/>
      <c r="H52" s="557"/>
      <c r="I52" s="573"/>
      <c r="J52" s="60" t="str">
        <f>IF(AND('Mapa final'!$AB$17="Muy Baja",'Mapa final'!$AD$17="Leve"),CONCATENATE("R7C",'Mapa final'!$R$17),"")</f>
        <v/>
      </c>
      <c r="K52" s="61" t="str">
        <f>IF(AND('Mapa final'!$AB$18="Muy Baja",'Mapa final'!$AD$18="Leve"),CONCATENATE("R7C",'Mapa final'!$R$18),"")</f>
        <v/>
      </c>
      <c r="L52" s="61" t="str">
        <f>IF(AND('Mapa final'!$AB$19="Muy Baja",'Mapa final'!$AD$19="Leve"),CONCATENATE("R7C",'Mapa final'!$R$19),"")</f>
        <v/>
      </c>
      <c r="M52" s="61" t="str">
        <f>IF(AND('Mapa final'!$AB$20="Muy Baja",'Mapa final'!$AD$20="Leve"),CONCATENATE("R7C",'Mapa final'!$R$20),"")</f>
        <v/>
      </c>
      <c r="N52" s="61" t="str">
        <f>IF(AND('Mapa final'!$AB$21="Muy Baja",'Mapa final'!$AD$21="Leve"),CONCATENATE("R7C",'Mapa final'!$R$21),"")</f>
        <v/>
      </c>
      <c r="O52" s="62" t="str">
        <f>IF(AND('Mapa final'!$AB$22="Muy Baja",'Mapa final'!$AD$22="Leve"),CONCATENATE("R7C",'Mapa final'!$R$22),"")</f>
        <v/>
      </c>
      <c r="P52" s="60" t="str">
        <f>IF(AND('Mapa final'!$AB$17="Muy Baja",'Mapa final'!$AD$17="Menor"),CONCATENATE("R7C",'Mapa final'!$R$17),"")</f>
        <v/>
      </c>
      <c r="Q52" s="61" t="str">
        <f>IF(AND('Mapa final'!$AB$18="Muy Baja",'Mapa final'!$AD$18="Menor"),CONCATENATE("R7C",'Mapa final'!$R$18),"")</f>
        <v/>
      </c>
      <c r="R52" s="61" t="str">
        <f>IF(AND('Mapa final'!$AB$19="Muy Baja",'Mapa final'!$AD$19="Menor"),CONCATENATE("R7C",'Mapa final'!$R$19),"")</f>
        <v/>
      </c>
      <c r="S52" s="61" t="str">
        <f>IF(AND('Mapa final'!$AB$20="Muy Baja",'Mapa final'!$AD$20="Menor"),CONCATENATE("R7C",'Mapa final'!$R$20),"")</f>
        <v/>
      </c>
      <c r="T52" s="61" t="str">
        <f>IF(AND('Mapa final'!$AB$21="Muy Baja",'Mapa final'!$AD$21="Menor"),CONCATENATE("R7C",'Mapa final'!$R$21),"")</f>
        <v/>
      </c>
      <c r="U52" s="62" t="str">
        <f>IF(AND('Mapa final'!$AB$22="Muy Baja",'Mapa final'!$AD$22="Menor"),CONCATENATE("R7C",'Mapa final'!$R$22),"")</f>
        <v/>
      </c>
      <c r="V52" s="51" t="str">
        <f>IF(AND('Mapa final'!$AB$17="Muy Baja",'Mapa final'!$AD$17="Moderado"),CONCATENATE("R7C",'Mapa final'!$R$17),"")</f>
        <v/>
      </c>
      <c r="W52" s="52" t="str">
        <f>IF(AND('Mapa final'!$AB$18="Muy Baja",'Mapa final'!$AD$18="Moderado"),CONCATENATE("R7C",'Mapa final'!$R$18),"")</f>
        <v/>
      </c>
      <c r="X52" s="52" t="str">
        <f>IF(AND('Mapa final'!$AB$19="Muy Baja",'Mapa final'!$AD$19="Moderado"),CONCATENATE("R7C",'Mapa final'!$R$19),"")</f>
        <v/>
      </c>
      <c r="Y52" s="52" t="str">
        <f>IF(AND('Mapa final'!$AB$20="Muy Baja",'Mapa final'!$AD$20="Moderado"),CONCATENATE("R7C",'Mapa final'!$R$20),"")</f>
        <v/>
      </c>
      <c r="Z52" s="52" t="str">
        <f>IF(AND('Mapa final'!$AB$21="Muy Baja",'Mapa final'!$AD$21="Moderado"),CONCATENATE("R7C",'Mapa final'!$R$21),"")</f>
        <v/>
      </c>
      <c r="AA52" s="53" t="str">
        <f>IF(AND('Mapa final'!$AB$22="Muy Baja",'Mapa final'!$AD$22="Moderado"),CONCATENATE("R7C",'Mapa final'!$R$22),"")</f>
        <v/>
      </c>
      <c r="AB52" s="36" t="str">
        <f>IF(AND('Mapa final'!$AB$17="Muy Baja",'Mapa final'!$AD$17="Mayor"),CONCATENATE("R7C",'Mapa final'!$R$17),"")</f>
        <v/>
      </c>
      <c r="AC52" s="37" t="str">
        <f>IF(AND('Mapa final'!$AB$18="Muy Baja",'Mapa final'!$AD$18="Mayor"),CONCATENATE("R7C",'Mapa final'!$R$18),"")</f>
        <v/>
      </c>
      <c r="AD52" s="37" t="str">
        <f>IF(AND('Mapa final'!$AB$19="Muy Baja",'Mapa final'!$AD$19="Mayor"),CONCATENATE("R7C",'Mapa final'!$R$19),"")</f>
        <v/>
      </c>
      <c r="AE52" s="37" t="str">
        <f>IF(AND('Mapa final'!$AB$20="Muy Baja",'Mapa final'!$AD$20="Mayor"),CONCATENATE("R7C",'Mapa final'!$R$20),"")</f>
        <v/>
      </c>
      <c r="AF52" s="37" t="str">
        <f>IF(AND('Mapa final'!$AB$21="Muy Baja",'Mapa final'!$AD$21="Mayor"),CONCATENATE("R7C",'Mapa final'!$R$21),"")</f>
        <v/>
      </c>
      <c r="AG52" s="38" t="str">
        <f>IF(AND('Mapa final'!$AB$22="Muy Baja",'Mapa final'!$AD$22="Mayor"),CONCATENATE("R7C",'Mapa final'!$R$22),"")</f>
        <v/>
      </c>
      <c r="AH52" s="39" t="str">
        <f>IF(AND('Mapa final'!$AB$17="Muy Baja",'Mapa final'!$AD$17="Catastrófico"),CONCATENATE("R7C",'Mapa final'!$R$17),"")</f>
        <v/>
      </c>
      <c r="AI52" s="40" t="str">
        <f>IF(AND('Mapa final'!$AB$18="Muy Baja",'Mapa final'!$AD$18="Catastrófico"),CONCATENATE("R7C",'Mapa final'!$R$18),"")</f>
        <v/>
      </c>
      <c r="AJ52" s="40" t="str">
        <f>IF(AND('Mapa final'!$AB$19="Muy Baja",'Mapa final'!$AD$19="Catastrófico"),CONCATENATE("R7C",'Mapa final'!$R$19),"")</f>
        <v/>
      </c>
      <c r="AK52" s="40" t="str">
        <f>IF(AND('Mapa final'!$AB$20="Muy Baja",'Mapa final'!$AD$20="Catastrófico"),CONCATENATE("R7C",'Mapa final'!$R$20),"")</f>
        <v/>
      </c>
      <c r="AL52" s="40" t="str">
        <f>IF(AND('Mapa final'!$AB$21="Muy Baja",'Mapa final'!$AD$21="Catastrófico"),CONCATENATE("R7C",'Mapa final'!$R$21),"")</f>
        <v/>
      </c>
      <c r="AM52" s="41" t="str">
        <f>IF(AND('Mapa final'!$AB$22="Muy Baja",'Mapa final'!$AD$22="Catastrófico"),CONCATENATE("R7C",'Mapa final'!$R$22),"")</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459"/>
      <c r="C53" s="459"/>
      <c r="D53" s="460"/>
      <c r="E53" s="558"/>
      <c r="F53" s="557"/>
      <c r="G53" s="557"/>
      <c r="H53" s="557"/>
      <c r="I53" s="573"/>
      <c r="J53" s="60" t="str">
        <f>IF(AND('Mapa final'!$AB$23="Muy Baja",'Mapa final'!$AD$23="Leve"),CONCATENATE("R8C",'Mapa final'!$R$23),"")</f>
        <v/>
      </c>
      <c r="K53" s="61" t="str">
        <f>IF(AND('Mapa final'!$AB$24="Muy Baja",'Mapa final'!$AD$24="Leve"),CONCATENATE("R8C",'Mapa final'!$R$24),"")</f>
        <v/>
      </c>
      <c r="L53" s="61" t="str">
        <f>IF(AND('Mapa final'!$AB$25="Muy Baja",'Mapa final'!$AD$25="Leve"),CONCATENATE("R8C",'Mapa final'!$R$25),"")</f>
        <v/>
      </c>
      <c r="M53" s="61" t="str">
        <f>IF(AND('Mapa final'!$AB$26="Muy Baja",'Mapa final'!$AD$26="Leve"),CONCATENATE("R8C",'Mapa final'!$R$26),"")</f>
        <v/>
      </c>
      <c r="N53" s="61" t="str">
        <f>IF(AND('Mapa final'!$AB$27="Muy Baja",'Mapa final'!$AD$27="Leve"),CONCATENATE("R8C",'Mapa final'!$R$27),"")</f>
        <v/>
      </c>
      <c r="O53" s="62" t="str">
        <f>IF(AND('Mapa final'!$AB$28="Muy Baja",'Mapa final'!$AD$28="Leve"),CONCATENATE("R8C",'Mapa final'!$R$28),"")</f>
        <v/>
      </c>
      <c r="P53" s="60" t="str">
        <f>IF(AND('Mapa final'!$AB$23="Muy Baja",'Mapa final'!$AD$23="Menor"),CONCATENATE("R8C",'Mapa final'!$R$23),"")</f>
        <v/>
      </c>
      <c r="Q53" s="61" t="str">
        <f>IF(AND('Mapa final'!$AB$24="Muy Baja",'Mapa final'!$AD$24="Menor"),CONCATENATE("R8C",'Mapa final'!$R$24),"")</f>
        <v/>
      </c>
      <c r="R53" s="61" t="str">
        <f>IF(AND('Mapa final'!$AB$25="Muy Baja",'Mapa final'!$AD$25="Menor"),CONCATENATE("R8C",'Mapa final'!$R$25),"")</f>
        <v/>
      </c>
      <c r="S53" s="61" t="str">
        <f>IF(AND('Mapa final'!$AB$26="Muy Baja",'Mapa final'!$AD$26="Menor"),CONCATENATE("R8C",'Mapa final'!$R$26),"")</f>
        <v/>
      </c>
      <c r="T53" s="61" t="str">
        <f>IF(AND('Mapa final'!$AB$27="Muy Baja",'Mapa final'!$AD$27="Menor"),CONCATENATE("R8C",'Mapa final'!$R$27),"")</f>
        <v/>
      </c>
      <c r="U53" s="62" t="str">
        <f>IF(AND('Mapa final'!$AB$28="Muy Baja",'Mapa final'!$AD$28="Menor"),CONCATENATE("R8C",'Mapa final'!$R$28),"")</f>
        <v/>
      </c>
      <c r="V53" s="51" t="str">
        <f>IF(AND('Mapa final'!$AB$23="Muy Baja",'Mapa final'!$AD$23="Moderado"),CONCATENATE("R8C",'Mapa final'!$R$23),"")</f>
        <v/>
      </c>
      <c r="W53" s="52" t="str">
        <f>IF(AND('Mapa final'!$AB$24="Muy Baja",'Mapa final'!$AD$24="Moderado"),CONCATENATE("R8C",'Mapa final'!$R$24),"")</f>
        <v/>
      </c>
      <c r="X53" s="52" t="str">
        <f>IF(AND('Mapa final'!$AB$25="Muy Baja",'Mapa final'!$AD$25="Moderado"),CONCATENATE("R8C",'Mapa final'!$R$25),"")</f>
        <v/>
      </c>
      <c r="Y53" s="52" t="str">
        <f>IF(AND('Mapa final'!$AB$26="Muy Baja",'Mapa final'!$AD$26="Moderado"),CONCATENATE("R8C",'Mapa final'!$R$26),"")</f>
        <v/>
      </c>
      <c r="Z53" s="52" t="str">
        <f>IF(AND('Mapa final'!$AB$27="Muy Baja",'Mapa final'!$AD$27="Moderado"),CONCATENATE("R8C",'Mapa final'!$R$27),"")</f>
        <v/>
      </c>
      <c r="AA53" s="53" t="str">
        <f>IF(AND('Mapa final'!$AB$28="Muy Baja",'Mapa final'!$AD$28="Moderado"),CONCATENATE("R8C",'Mapa final'!$R$28),"")</f>
        <v/>
      </c>
      <c r="AB53" s="36" t="str">
        <f>IF(AND('Mapa final'!$AB$23="Muy Baja",'Mapa final'!$AD$23="Mayor"),CONCATENATE("R8C",'Mapa final'!$R$23),"")</f>
        <v/>
      </c>
      <c r="AC53" s="37" t="str">
        <f>IF(AND('Mapa final'!$AB$24="Muy Baja",'Mapa final'!$AD$24="Mayor"),CONCATENATE("R8C",'Mapa final'!$R$24),"")</f>
        <v/>
      </c>
      <c r="AD53" s="37" t="str">
        <f>IF(AND('Mapa final'!$AB$25="Muy Baja",'Mapa final'!$AD$25="Mayor"),CONCATENATE("R8C",'Mapa final'!$R$25),"")</f>
        <v/>
      </c>
      <c r="AE53" s="37" t="str">
        <f>IF(AND('Mapa final'!$AB$26="Muy Baja",'Mapa final'!$AD$26="Mayor"),CONCATENATE("R8C",'Mapa final'!$R$26),"")</f>
        <v/>
      </c>
      <c r="AF53" s="37" t="str">
        <f>IF(AND('Mapa final'!$AB$27="Muy Baja",'Mapa final'!$AD$27="Mayor"),CONCATENATE("R8C",'Mapa final'!$R$27),"")</f>
        <v/>
      </c>
      <c r="AG53" s="38" t="str">
        <f>IF(AND('Mapa final'!$AB$28="Muy Baja",'Mapa final'!$AD$28="Mayor"),CONCATENATE("R8C",'Mapa final'!$R$28),"")</f>
        <v/>
      </c>
      <c r="AH53" s="39" t="str">
        <f>IF(AND('Mapa final'!$AB$23="Muy Baja",'Mapa final'!$AD$23="Catastrófico"),CONCATENATE("R8C",'Mapa final'!$R$23),"")</f>
        <v/>
      </c>
      <c r="AI53" s="40" t="str">
        <f>IF(AND('Mapa final'!$AB$24="Muy Baja",'Mapa final'!$AD$24="Catastrófico"),CONCATENATE("R8C",'Mapa final'!$R$24),"")</f>
        <v/>
      </c>
      <c r="AJ53" s="40" t="str">
        <f>IF(AND('Mapa final'!$AB$25="Muy Baja",'Mapa final'!$AD$25="Catastrófico"),CONCATENATE("R8C",'Mapa final'!$R$25),"")</f>
        <v/>
      </c>
      <c r="AK53" s="40" t="str">
        <f>IF(AND('Mapa final'!$AB$26="Muy Baja",'Mapa final'!$AD$26="Catastrófico"),CONCATENATE("R8C",'Mapa final'!$R$26),"")</f>
        <v/>
      </c>
      <c r="AL53" s="40" t="str">
        <f>IF(AND('Mapa final'!$AB$27="Muy Baja",'Mapa final'!$AD$27="Catastrófico"),CONCATENATE("R8C",'Mapa final'!$R$27),"")</f>
        <v/>
      </c>
      <c r="AM53" s="41" t="str">
        <f>IF(AND('Mapa final'!$AB$28="Muy Baja",'Mapa final'!$AD$28="Catastrófico"),CONCATENATE("R8C",'Mapa final'!$R$28),"")</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459"/>
      <c r="C54" s="459"/>
      <c r="D54" s="460"/>
      <c r="E54" s="558"/>
      <c r="F54" s="557"/>
      <c r="G54" s="557"/>
      <c r="H54" s="557"/>
      <c r="I54" s="573"/>
      <c r="J54" s="60" t="str">
        <f>IF(AND('Mapa final'!$AB$29="Muy Baja",'Mapa final'!$AD$29="Leve"),CONCATENATE("R9C",'Mapa final'!$R$29),"")</f>
        <v/>
      </c>
      <c r="K54" s="61" t="str">
        <f>IF(AND('Mapa final'!$AB$30="Muy Baja",'Mapa final'!$AD$30="Leve"),CONCATENATE("R9C",'Mapa final'!$R$30),"")</f>
        <v/>
      </c>
      <c r="L54" s="61" t="str">
        <f>IF(AND('Mapa final'!$AB$31="Muy Baja",'Mapa final'!$AD$31="Leve"),CONCATENATE("R9C",'Mapa final'!$R$31),"")</f>
        <v/>
      </c>
      <c r="M54" s="61" t="str">
        <f>IF(AND('Mapa final'!$AB$32="Muy Baja",'Mapa final'!$AD$32="Leve"),CONCATENATE("R9C",'Mapa final'!$R$32),"")</f>
        <v/>
      </c>
      <c r="N54" s="61" t="str">
        <f>IF(AND('Mapa final'!$AB$33="Muy Baja",'Mapa final'!$AD$33="Leve"),CONCATENATE("R9C",'Mapa final'!$R$33),"")</f>
        <v/>
      </c>
      <c r="O54" s="62" t="str">
        <f>IF(AND('Mapa final'!$AB$34="Muy Baja",'Mapa final'!$AD$34="Leve"),CONCATENATE("R9C",'Mapa final'!$R$34),"")</f>
        <v/>
      </c>
      <c r="P54" s="60" t="str">
        <f>IF(AND('Mapa final'!$AB$29="Muy Baja",'Mapa final'!$AD$29="Menor"),CONCATENATE("R9C",'Mapa final'!$R$29),"")</f>
        <v/>
      </c>
      <c r="Q54" s="61" t="str">
        <f>IF(AND('Mapa final'!$AB$30="Muy Baja",'Mapa final'!$AD$30="Menor"),CONCATENATE("R9C",'Mapa final'!$R$30),"")</f>
        <v/>
      </c>
      <c r="R54" s="61" t="str">
        <f>IF(AND('Mapa final'!$AB$31="Muy Baja",'Mapa final'!$AD$31="Menor"),CONCATENATE("R9C",'Mapa final'!$R$31),"")</f>
        <v/>
      </c>
      <c r="S54" s="61" t="str">
        <f>IF(AND('Mapa final'!$AB$32="Muy Baja",'Mapa final'!$AD$32="Menor"),CONCATENATE("R9C",'Mapa final'!$R$32),"")</f>
        <v/>
      </c>
      <c r="T54" s="61" t="str">
        <f>IF(AND('Mapa final'!$AB$33="Muy Baja",'Mapa final'!$AD$33="Menor"),CONCATENATE("R9C",'Mapa final'!$R$33),"")</f>
        <v/>
      </c>
      <c r="U54" s="62" t="str">
        <f>IF(AND('Mapa final'!$AB$34="Muy Baja",'Mapa final'!$AD$34="Menor"),CONCATENATE("R9C",'Mapa final'!$R$34),"")</f>
        <v/>
      </c>
      <c r="V54" s="51" t="str">
        <f>IF(AND('Mapa final'!$AB$29="Muy Baja",'Mapa final'!$AD$29="Moderado"),CONCATENATE("R9C",'Mapa final'!$R$29),"")</f>
        <v/>
      </c>
      <c r="W54" s="52" t="str">
        <f>IF(AND('Mapa final'!$AB$30="Muy Baja",'Mapa final'!$AD$30="Moderado"),CONCATENATE("R9C",'Mapa final'!$R$30),"")</f>
        <v/>
      </c>
      <c r="X54" s="52" t="str">
        <f>IF(AND('Mapa final'!$AB$31="Muy Baja",'Mapa final'!$AD$31="Moderado"),CONCATENATE("R9C",'Mapa final'!$R$31),"")</f>
        <v/>
      </c>
      <c r="Y54" s="52" t="str">
        <f>IF(AND('Mapa final'!$AB$32="Muy Baja",'Mapa final'!$AD$32="Moderado"),CONCATENATE("R9C",'Mapa final'!$R$32),"")</f>
        <v/>
      </c>
      <c r="Z54" s="52" t="str">
        <f>IF(AND('Mapa final'!$AB$33="Muy Baja",'Mapa final'!$AD$33="Moderado"),CONCATENATE("R9C",'Mapa final'!$R$33),"")</f>
        <v/>
      </c>
      <c r="AA54" s="53" t="str">
        <f>IF(AND('Mapa final'!$AB$34="Muy Baja",'Mapa final'!$AD$34="Moderado"),CONCATENATE("R9C",'Mapa final'!$R$34),"")</f>
        <v/>
      </c>
      <c r="AB54" s="36" t="str">
        <f>IF(AND('Mapa final'!$AB$29="Muy Baja",'Mapa final'!$AD$29="Mayor"),CONCATENATE("R9C",'Mapa final'!$R$29),"")</f>
        <v/>
      </c>
      <c r="AC54" s="37" t="str">
        <f>IF(AND('Mapa final'!$AB$30="Muy Baja",'Mapa final'!$AD$30="Mayor"),CONCATENATE("R9C",'Mapa final'!$R$30),"")</f>
        <v/>
      </c>
      <c r="AD54" s="37" t="str">
        <f>IF(AND('Mapa final'!$AB$31="Muy Baja",'Mapa final'!$AD$31="Mayor"),CONCATENATE("R9C",'Mapa final'!$R$31),"")</f>
        <v/>
      </c>
      <c r="AE54" s="37" t="str">
        <f>IF(AND('Mapa final'!$AB$32="Muy Baja",'Mapa final'!$AD$32="Mayor"),CONCATENATE("R9C",'Mapa final'!$R$32),"")</f>
        <v/>
      </c>
      <c r="AF54" s="37" t="str">
        <f>IF(AND('Mapa final'!$AB$33="Muy Baja",'Mapa final'!$AD$33="Mayor"),CONCATENATE("R9C",'Mapa final'!$R$33),"")</f>
        <v/>
      </c>
      <c r="AG54" s="38" t="str">
        <f>IF(AND('Mapa final'!$AB$34="Muy Baja",'Mapa final'!$AD$34="Mayor"),CONCATENATE("R9C",'Mapa final'!$R$34),"")</f>
        <v/>
      </c>
      <c r="AH54" s="39" t="str">
        <f>IF(AND('Mapa final'!$AB$29="Muy Baja",'Mapa final'!$AD$29="Catastrófico"),CONCATENATE("R9C",'Mapa final'!$R$29),"")</f>
        <v/>
      </c>
      <c r="AI54" s="40" t="str">
        <f>IF(AND('Mapa final'!$AB$30="Muy Baja",'Mapa final'!$AD$30="Catastrófico"),CONCATENATE("R9C",'Mapa final'!$R$30),"")</f>
        <v/>
      </c>
      <c r="AJ54" s="40" t="str">
        <f>IF(AND('Mapa final'!$AB$31="Muy Baja",'Mapa final'!$AD$31="Catastrófico"),CONCATENATE("R9C",'Mapa final'!$R$31),"")</f>
        <v/>
      </c>
      <c r="AK54" s="40" t="str">
        <f>IF(AND('Mapa final'!$AB$32="Muy Baja",'Mapa final'!$AD$32="Catastrófico"),CONCATENATE("R9C",'Mapa final'!$R$32),"")</f>
        <v/>
      </c>
      <c r="AL54" s="40" t="str">
        <f>IF(AND('Mapa final'!$AB$33="Muy Baja",'Mapa final'!$AD$33="Catastrófico"),CONCATENATE("R9C",'Mapa final'!$R$33),"")</f>
        <v/>
      </c>
      <c r="AM54" s="41" t="str">
        <f>IF(AND('Mapa final'!$AB$34="Muy Baja",'Mapa final'!$AD$34="Catastrófico"),CONCATENATE("R9C",'Mapa final'!$R$34),"")</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459"/>
      <c r="C55" s="459"/>
      <c r="D55" s="460"/>
      <c r="E55" s="559"/>
      <c r="F55" s="560"/>
      <c r="G55" s="560"/>
      <c r="H55" s="560"/>
      <c r="I55" s="574"/>
      <c r="J55" s="63" t="str">
        <f>IF(AND('Mapa final'!$AB$35="Muy Baja",'Mapa final'!$AD$35="Leve"),CONCATENATE("R10C",'Mapa final'!$R$35),"")</f>
        <v/>
      </c>
      <c r="K55" s="64" t="str">
        <f>IF(AND('Mapa final'!$AB$36="Muy Baja",'Mapa final'!$AD$36="Leve"),CONCATENATE("R10C",'Mapa final'!$R$36),"")</f>
        <v/>
      </c>
      <c r="L55" s="64" t="str">
        <f>IF(AND('Mapa final'!$AB$37="Muy Baja",'Mapa final'!$AD$37="Leve"),CONCATENATE("R10C",'Mapa final'!$R$37),"")</f>
        <v/>
      </c>
      <c r="M55" s="64" t="str">
        <f>IF(AND('Mapa final'!$AB$38="Muy Baja",'Mapa final'!$AD$38="Leve"),CONCATENATE("R10C",'Mapa final'!$R$38),"")</f>
        <v/>
      </c>
      <c r="N55" s="64" t="str">
        <f>IF(AND('Mapa final'!$AB$39="Muy Baja",'Mapa final'!$AD$39="Leve"),CONCATENATE("R10C",'Mapa final'!$R$39),"")</f>
        <v/>
      </c>
      <c r="O55" s="65" t="str">
        <f>IF(AND('Mapa final'!$AB$40="Muy Baja",'Mapa final'!$AD$40="Leve"),CONCATENATE("R10C",'Mapa final'!$R$40),"")</f>
        <v/>
      </c>
      <c r="P55" s="63" t="str">
        <f>IF(AND('Mapa final'!$AB$35="Muy Baja",'Mapa final'!$AD$35="Menor"),CONCATENATE("R10C",'Mapa final'!$R$35),"")</f>
        <v/>
      </c>
      <c r="Q55" s="64" t="str">
        <f>IF(AND('Mapa final'!$AB$36="Muy Baja",'Mapa final'!$AD$36="Menor"),CONCATENATE("R10C",'Mapa final'!$R$36),"")</f>
        <v/>
      </c>
      <c r="R55" s="64" t="str">
        <f>IF(AND('Mapa final'!$AB$37="Muy Baja",'Mapa final'!$AD$37="Menor"),CONCATENATE("R10C",'Mapa final'!$R$37),"")</f>
        <v/>
      </c>
      <c r="S55" s="64" t="str">
        <f>IF(AND('Mapa final'!$AB$38="Muy Baja",'Mapa final'!$AD$38="Menor"),CONCATENATE("R10C",'Mapa final'!$R$38),"")</f>
        <v/>
      </c>
      <c r="T55" s="64" t="str">
        <f>IF(AND('Mapa final'!$AB$39="Muy Baja",'Mapa final'!$AD$39="Menor"),CONCATENATE("R10C",'Mapa final'!$R$39),"")</f>
        <v/>
      </c>
      <c r="U55" s="65" t="str">
        <f>IF(AND('Mapa final'!$AB$40="Muy Baja",'Mapa final'!$AD$40="Menor"),CONCATENATE("R10C",'Mapa final'!$R$40),"")</f>
        <v/>
      </c>
      <c r="V55" s="54" t="str">
        <f>IF(AND('Mapa final'!$AB$35="Muy Baja",'Mapa final'!$AD$35="Moderado"),CONCATENATE("R10C",'Mapa final'!$R$35),"")</f>
        <v/>
      </c>
      <c r="W55" s="55" t="str">
        <f>IF(AND('Mapa final'!$AB$36="Muy Baja",'Mapa final'!$AD$36="Moderado"),CONCATENATE("R10C",'Mapa final'!$R$36),"")</f>
        <v/>
      </c>
      <c r="X55" s="55" t="str">
        <f>IF(AND('Mapa final'!$AB$37="Muy Baja",'Mapa final'!$AD$37="Moderado"),CONCATENATE("R10C",'Mapa final'!$R$37),"")</f>
        <v/>
      </c>
      <c r="Y55" s="55" t="str">
        <f>IF(AND('Mapa final'!$AB$38="Muy Baja",'Mapa final'!$AD$38="Moderado"),CONCATENATE("R10C",'Mapa final'!$R$38),"")</f>
        <v/>
      </c>
      <c r="Z55" s="55" t="str">
        <f>IF(AND('Mapa final'!$AB$39="Muy Baja",'Mapa final'!$AD$39="Moderado"),CONCATENATE("R10C",'Mapa final'!$R$39),"")</f>
        <v/>
      </c>
      <c r="AA55" s="56" t="str">
        <f>IF(AND('Mapa final'!$AB$40="Muy Baja",'Mapa final'!$AD$40="Moderado"),CONCATENATE("R10C",'Mapa final'!$R$40),"")</f>
        <v/>
      </c>
      <c r="AB55" s="42" t="str">
        <f>IF(AND('Mapa final'!$AB$35="Muy Baja",'Mapa final'!$AD$35="Mayor"),CONCATENATE("R10C",'Mapa final'!$R$35),"")</f>
        <v/>
      </c>
      <c r="AC55" s="43" t="str">
        <f>IF(AND('Mapa final'!$AB$36="Muy Baja",'Mapa final'!$AD$36="Mayor"),CONCATENATE("R10C",'Mapa final'!$R$36),"")</f>
        <v/>
      </c>
      <c r="AD55" s="43" t="str">
        <f>IF(AND('Mapa final'!$AB$37="Muy Baja",'Mapa final'!$AD$37="Mayor"),CONCATENATE("R10C",'Mapa final'!$R$37),"")</f>
        <v/>
      </c>
      <c r="AE55" s="43" t="str">
        <f>IF(AND('Mapa final'!$AB$38="Muy Baja",'Mapa final'!$AD$38="Mayor"),CONCATENATE("R10C",'Mapa final'!$R$38),"")</f>
        <v/>
      </c>
      <c r="AF55" s="43" t="str">
        <f>IF(AND('Mapa final'!$AB$39="Muy Baja",'Mapa final'!$AD$39="Mayor"),CONCATENATE("R10C",'Mapa final'!$R$39),"")</f>
        <v/>
      </c>
      <c r="AG55" s="44" t="str">
        <f>IF(AND('Mapa final'!$AB$40="Muy Baja",'Mapa final'!$AD$40="Mayor"),CONCATENATE("R10C",'Mapa final'!$R$40),"")</f>
        <v/>
      </c>
      <c r="AH55" s="45" t="str">
        <f>IF(AND('Mapa final'!$AB$35="Muy Baja",'Mapa final'!$AD$35="Catastrófico"),CONCATENATE("R10C",'Mapa final'!$R$35),"")</f>
        <v/>
      </c>
      <c r="AI55" s="46" t="str">
        <f>IF(AND('Mapa final'!$AB$36="Muy Baja",'Mapa final'!$AD$36="Catastrófico"),CONCATENATE("R10C",'Mapa final'!$R$36),"")</f>
        <v/>
      </c>
      <c r="AJ55" s="46" t="str">
        <f>IF(AND('Mapa final'!$AB$37="Muy Baja",'Mapa final'!$AD$37="Catastrófico"),CONCATENATE("R10C",'Mapa final'!$R$37),"")</f>
        <v/>
      </c>
      <c r="AK55" s="46" t="str">
        <f>IF(AND('Mapa final'!$AB$38="Muy Baja",'Mapa final'!$AD$38="Catastrófico"),CONCATENATE("R10C",'Mapa final'!$R$38),"")</f>
        <v/>
      </c>
      <c r="AL55" s="46" t="str">
        <f>IF(AND('Mapa final'!$AB$39="Muy Baja",'Mapa final'!$AD$39="Catastrófico"),CONCATENATE("R10C",'Mapa final'!$R$39),"")</f>
        <v/>
      </c>
      <c r="AM55" s="47" t="str">
        <f>IF(AND('Mapa final'!$AB$40="Muy Baja",'Mapa final'!$AD$40="Catastrófico"),CONCATENATE("R10C",'Mapa final'!$R$40),"")</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554" t="s">
        <v>106</v>
      </c>
      <c r="K56" s="555"/>
      <c r="L56" s="555"/>
      <c r="M56" s="555"/>
      <c r="N56" s="555"/>
      <c r="O56" s="572"/>
      <c r="P56" s="554" t="s">
        <v>105</v>
      </c>
      <c r="Q56" s="555"/>
      <c r="R56" s="555"/>
      <c r="S56" s="555"/>
      <c r="T56" s="555"/>
      <c r="U56" s="572"/>
      <c r="V56" s="554" t="s">
        <v>104</v>
      </c>
      <c r="W56" s="555"/>
      <c r="X56" s="555"/>
      <c r="Y56" s="555"/>
      <c r="Z56" s="555"/>
      <c r="AA56" s="572"/>
      <c r="AB56" s="554" t="s">
        <v>103</v>
      </c>
      <c r="AC56" s="593"/>
      <c r="AD56" s="555"/>
      <c r="AE56" s="555"/>
      <c r="AF56" s="555"/>
      <c r="AG56" s="572"/>
      <c r="AH56" s="554" t="s">
        <v>102</v>
      </c>
      <c r="AI56" s="555"/>
      <c r="AJ56" s="555"/>
      <c r="AK56" s="555"/>
      <c r="AL56" s="555"/>
      <c r="AM56" s="572"/>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558"/>
      <c r="K57" s="557"/>
      <c r="L57" s="557"/>
      <c r="M57" s="557"/>
      <c r="N57" s="557"/>
      <c r="O57" s="573"/>
      <c r="P57" s="558"/>
      <c r="Q57" s="557"/>
      <c r="R57" s="557"/>
      <c r="S57" s="557"/>
      <c r="T57" s="557"/>
      <c r="U57" s="573"/>
      <c r="V57" s="558"/>
      <c r="W57" s="557"/>
      <c r="X57" s="557"/>
      <c r="Y57" s="557"/>
      <c r="Z57" s="557"/>
      <c r="AA57" s="573"/>
      <c r="AB57" s="558"/>
      <c r="AC57" s="557"/>
      <c r="AD57" s="557"/>
      <c r="AE57" s="557"/>
      <c r="AF57" s="557"/>
      <c r="AG57" s="573"/>
      <c r="AH57" s="558"/>
      <c r="AI57" s="557"/>
      <c r="AJ57" s="557"/>
      <c r="AK57" s="557"/>
      <c r="AL57" s="557"/>
      <c r="AM57" s="573"/>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558"/>
      <c r="K58" s="557"/>
      <c r="L58" s="557"/>
      <c r="M58" s="557"/>
      <c r="N58" s="557"/>
      <c r="O58" s="573"/>
      <c r="P58" s="558"/>
      <c r="Q58" s="557"/>
      <c r="R58" s="557"/>
      <c r="S58" s="557"/>
      <c r="T58" s="557"/>
      <c r="U58" s="573"/>
      <c r="V58" s="558"/>
      <c r="W58" s="557"/>
      <c r="X58" s="557"/>
      <c r="Y58" s="557"/>
      <c r="Z58" s="557"/>
      <c r="AA58" s="573"/>
      <c r="AB58" s="558"/>
      <c r="AC58" s="557"/>
      <c r="AD58" s="557"/>
      <c r="AE58" s="557"/>
      <c r="AF58" s="557"/>
      <c r="AG58" s="573"/>
      <c r="AH58" s="558"/>
      <c r="AI58" s="557"/>
      <c r="AJ58" s="557"/>
      <c r="AK58" s="557"/>
      <c r="AL58" s="557"/>
      <c r="AM58" s="573"/>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558"/>
      <c r="K59" s="557"/>
      <c r="L59" s="557"/>
      <c r="M59" s="557"/>
      <c r="N59" s="557"/>
      <c r="O59" s="573"/>
      <c r="P59" s="558"/>
      <c r="Q59" s="557"/>
      <c r="R59" s="557"/>
      <c r="S59" s="557"/>
      <c r="T59" s="557"/>
      <c r="U59" s="573"/>
      <c r="V59" s="558"/>
      <c r="W59" s="557"/>
      <c r="X59" s="557"/>
      <c r="Y59" s="557"/>
      <c r="Z59" s="557"/>
      <c r="AA59" s="573"/>
      <c r="AB59" s="558"/>
      <c r="AC59" s="557"/>
      <c r="AD59" s="557"/>
      <c r="AE59" s="557"/>
      <c r="AF59" s="557"/>
      <c r="AG59" s="573"/>
      <c r="AH59" s="558"/>
      <c r="AI59" s="557"/>
      <c r="AJ59" s="557"/>
      <c r="AK59" s="557"/>
      <c r="AL59" s="557"/>
      <c r="AM59" s="573"/>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558"/>
      <c r="K60" s="557"/>
      <c r="L60" s="557"/>
      <c r="M60" s="557"/>
      <c r="N60" s="557"/>
      <c r="O60" s="573"/>
      <c r="P60" s="558"/>
      <c r="Q60" s="557"/>
      <c r="R60" s="557"/>
      <c r="S60" s="557"/>
      <c r="T60" s="557"/>
      <c r="U60" s="573"/>
      <c r="V60" s="558"/>
      <c r="W60" s="557"/>
      <c r="X60" s="557"/>
      <c r="Y60" s="557"/>
      <c r="Z60" s="557"/>
      <c r="AA60" s="573"/>
      <c r="AB60" s="558"/>
      <c r="AC60" s="557"/>
      <c r="AD60" s="557"/>
      <c r="AE60" s="557"/>
      <c r="AF60" s="557"/>
      <c r="AG60" s="573"/>
      <c r="AH60" s="558"/>
      <c r="AI60" s="557"/>
      <c r="AJ60" s="557"/>
      <c r="AK60" s="557"/>
      <c r="AL60" s="557"/>
      <c r="AM60" s="573"/>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559"/>
      <c r="K61" s="560"/>
      <c r="L61" s="560"/>
      <c r="M61" s="560"/>
      <c r="N61" s="560"/>
      <c r="O61" s="574"/>
      <c r="P61" s="559"/>
      <c r="Q61" s="560"/>
      <c r="R61" s="560"/>
      <c r="S61" s="560"/>
      <c r="T61" s="560"/>
      <c r="U61" s="574"/>
      <c r="V61" s="559"/>
      <c r="W61" s="560"/>
      <c r="X61" s="560"/>
      <c r="Y61" s="560"/>
      <c r="Z61" s="560"/>
      <c r="AA61" s="574"/>
      <c r="AB61" s="559"/>
      <c r="AC61" s="560"/>
      <c r="AD61" s="560"/>
      <c r="AE61" s="560"/>
      <c r="AF61" s="560"/>
      <c r="AG61" s="574"/>
      <c r="AH61" s="559"/>
      <c r="AI61" s="560"/>
      <c r="AJ61" s="560"/>
      <c r="AK61" s="560"/>
      <c r="AL61" s="560"/>
      <c r="AM61" s="574"/>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workbookViewId="0">
      <selection activeCell="C5" sqref="C5"/>
    </sheetView>
  </sheetViews>
  <sheetFormatPr baseColWidth="10" defaultRowHeight="14.4" x14ac:dyDescent="0.3"/>
  <cols>
    <col min="2" max="2" width="24.109375" customWidth="1"/>
    <col min="3" max="3" width="70.109375" customWidth="1"/>
    <col min="4" max="4" width="29.88671875" customWidth="1"/>
  </cols>
  <sheetData>
    <row r="1" spans="1:37" ht="23.4" x14ac:dyDescent="0.3">
      <c r="A1" s="67"/>
      <c r="B1" s="594" t="s">
        <v>54</v>
      </c>
      <c r="C1" s="594"/>
      <c r="D1" s="594"/>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51</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50</v>
      </c>
      <c r="C4" s="14" t="s">
        <v>96</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52</v>
      </c>
      <c r="C5" s="17" t="s">
        <v>97</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101</v>
      </c>
      <c r="C6" s="17" t="s">
        <v>98</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99</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53</v>
      </c>
      <c r="C8" s="17" t="s">
        <v>100</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24"/>
  <sheetViews>
    <sheetView zoomScale="70" zoomScaleNormal="70" workbookViewId="0">
      <selection activeCell="C8" sqref="C8"/>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595" t="s">
        <v>61</v>
      </c>
      <c r="C1" s="595"/>
      <c r="D1" s="595"/>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33" t="s">
        <v>55</v>
      </c>
      <c r="D3" s="133" t="s">
        <v>56</v>
      </c>
      <c r="E3" s="89"/>
      <c r="F3" s="89"/>
      <c r="G3" s="89"/>
      <c r="H3" s="89"/>
      <c r="I3" s="89"/>
      <c r="J3" s="89"/>
      <c r="K3" s="89"/>
      <c r="L3" s="89"/>
      <c r="M3" s="89"/>
      <c r="N3" s="89"/>
      <c r="O3" s="89"/>
      <c r="P3" s="89"/>
      <c r="Q3" s="89"/>
      <c r="R3" s="89"/>
      <c r="S3" s="89"/>
      <c r="T3" s="89"/>
      <c r="U3" s="89"/>
    </row>
    <row r="4" spans="1:21" ht="32.4" x14ac:dyDescent="0.3">
      <c r="A4" s="89" t="s">
        <v>81</v>
      </c>
      <c r="B4" s="134" t="s">
        <v>95</v>
      </c>
      <c r="C4" s="135" t="s">
        <v>204</v>
      </c>
      <c r="D4" s="136" t="s">
        <v>91</v>
      </c>
      <c r="E4" s="89"/>
      <c r="F4" s="89"/>
      <c r="G4" s="89"/>
      <c r="H4" s="89"/>
      <c r="I4" s="89"/>
      <c r="J4" s="89"/>
      <c r="K4" s="89"/>
      <c r="L4" s="89"/>
      <c r="M4" s="89"/>
      <c r="N4" s="89"/>
      <c r="O4" s="89"/>
      <c r="P4" s="89"/>
      <c r="Q4" s="89"/>
      <c r="R4" s="89"/>
      <c r="S4" s="89"/>
      <c r="T4" s="89"/>
      <c r="U4" s="89"/>
    </row>
    <row r="5" spans="1:21" ht="64.8" x14ac:dyDescent="0.3">
      <c r="A5" s="89" t="s">
        <v>82</v>
      </c>
      <c r="B5" s="137" t="s">
        <v>57</v>
      </c>
      <c r="C5" s="138" t="s">
        <v>205</v>
      </c>
      <c r="D5" s="139" t="s">
        <v>92</v>
      </c>
      <c r="E5" s="89"/>
      <c r="F5" s="89"/>
      <c r="G5" s="89"/>
      <c r="H5" s="89"/>
      <c r="I5" s="89"/>
      <c r="J5" s="89"/>
      <c r="K5" s="89"/>
      <c r="L5" s="89"/>
      <c r="M5" s="89"/>
      <c r="N5" s="89"/>
      <c r="O5" s="89"/>
      <c r="P5" s="89"/>
      <c r="Q5" s="89"/>
      <c r="R5" s="89"/>
      <c r="S5" s="89"/>
      <c r="T5" s="89"/>
      <c r="U5" s="89"/>
    </row>
    <row r="6" spans="1:21" ht="64.8" x14ac:dyDescent="0.3">
      <c r="A6" s="89" t="s">
        <v>79</v>
      </c>
      <c r="B6" s="140" t="s">
        <v>58</v>
      </c>
      <c r="C6" s="138" t="s">
        <v>209</v>
      </c>
      <c r="D6" s="139" t="s">
        <v>94</v>
      </c>
      <c r="E6" s="89"/>
      <c r="F6" s="89"/>
      <c r="G6" s="89"/>
      <c r="H6" s="89"/>
      <c r="I6" s="89"/>
      <c r="J6" s="89"/>
      <c r="K6" s="89"/>
      <c r="L6" s="89"/>
      <c r="M6" s="89"/>
      <c r="N6" s="89"/>
      <c r="O6" s="89"/>
      <c r="P6" s="89"/>
      <c r="Q6" s="89"/>
      <c r="R6" s="89"/>
      <c r="S6" s="89"/>
      <c r="T6" s="89"/>
      <c r="U6" s="89"/>
    </row>
    <row r="7" spans="1:21" ht="97.2" x14ac:dyDescent="0.3">
      <c r="A7" s="89" t="s">
        <v>7</v>
      </c>
      <c r="B7" s="141" t="s">
        <v>59</v>
      </c>
      <c r="C7" s="138" t="s">
        <v>210</v>
      </c>
      <c r="D7" s="139" t="s">
        <v>93</v>
      </c>
      <c r="E7" s="89"/>
      <c r="F7" s="89"/>
      <c r="G7" s="89"/>
      <c r="H7" s="89"/>
      <c r="I7" s="89"/>
      <c r="J7" s="89"/>
      <c r="K7" s="89"/>
      <c r="L7" s="89"/>
      <c r="M7" s="89"/>
      <c r="N7" s="89"/>
      <c r="O7" s="89"/>
      <c r="P7" s="89"/>
      <c r="Q7" s="89"/>
      <c r="R7" s="89"/>
      <c r="S7" s="89"/>
      <c r="T7" s="89"/>
      <c r="U7" s="89"/>
    </row>
    <row r="8" spans="1:21" ht="64.8" x14ac:dyDescent="0.3">
      <c r="A8" s="89" t="s">
        <v>83</v>
      </c>
      <c r="B8" s="142" t="s">
        <v>60</v>
      </c>
      <c r="C8" s="138" t="s">
        <v>206</v>
      </c>
      <c r="D8" s="139" t="s">
        <v>112</v>
      </c>
      <c r="E8" s="89"/>
      <c r="F8" s="89"/>
      <c r="G8" s="89"/>
      <c r="H8" s="89"/>
      <c r="I8" s="89"/>
      <c r="J8" s="89"/>
      <c r="K8" s="89"/>
      <c r="L8" s="89"/>
      <c r="M8" s="89"/>
      <c r="N8" s="89"/>
      <c r="O8" s="89"/>
      <c r="P8" s="89"/>
      <c r="Q8" s="89"/>
      <c r="R8" s="89"/>
      <c r="S8" s="89"/>
      <c r="T8" s="89"/>
      <c r="U8" s="89"/>
    </row>
    <row r="9" spans="1:21" s="23" customFormat="1" ht="20.399999999999999" x14ac:dyDescent="0.3">
      <c r="A9" s="87"/>
      <c r="B9" s="87"/>
      <c r="C9" s="146"/>
      <c r="D9" s="146"/>
      <c r="E9" s="87"/>
      <c r="F9" s="87"/>
      <c r="G9" s="87"/>
      <c r="H9" s="87"/>
      <c r="I9" s="87"/>
      <c r="J9" s="87"/>
      <c r="K9" s="87"/>
      <c r="L9" s="87"/>
      <c r="M9" s="87"/>
      <c r="N9" s="87"/>
      <c r="O9" s="87"/>
      <c r="P9" s="87"/>
      <c r="Q9" s="87"/>
      <c r="R9" s="87"/>
      <c r="S9" s="87"/>
      <c r="T9" s="87"/>
      <c r="U9" s="87"/>
    </row>
    <row r="10" spans="1:21" s="23" customFormat="1" x14ac:dyDescent="0.3">
      <c r="A10" s="87"/>
      <c r="B10" s="147"/>
      <c r="C10" s="147"/>
      <c r="D10" s="147"/>
      <c r="E10" s="87"/>
      <c r="F10" s="87"/>
      <c r="G10" s="87"/>
      <c r="H10" s="87"/>
      <c r="I10" s="87"/>
      <c r="J10" s="87"/>
      <c r="K10" s="87"/>
      <c r="L10" s="87"/>
      <c r="M10" s="87"/>
      <c r="N10" s="87"/>
      <c r="O10" s="87"/>
      <c r="P10" s="87"/>
      <c r="Q10" s="87"/>
      <c r="R10" s="87"/>
      <c r="S10" s="87"/>
      <c r="T10" s="87"/>
      <c r="U10" s="87"/>
    </row>
    <row r="11" spans="1:21" s="23" customFormat="1" x14ac:dyDescent="0.3">
      <c r="A11" s="87"/>
      <c r="B11" s="87" t="s">
        <v>89</v>
      </c>
      <c r="C11" s="87" t="s">
        <v>208</v>
      </c>
      <c r="D11" s="87" t="s">
        <v>142</v>
      </c>
      <c r="E11" s="87"/>
      <c r="F11" s="87"/>
      <c r="G11" s="87"/>
      <c r="H11" s="87"/>
      <c r="I11" s="87"/>
      <c r="J11" s="87"/>
      <c r="K11" s="87"/>
      <c r="L11" s="87"/>
      <c r="M11" s="87"/>
      <c r="N11" s="87"/>
      <c r="O11" s="87"/>
      <c r="P11" s="87"/>
      <c r="Q11" s="87"/>
      <c r="R11" s="87"/>
      <c r="S11" s="87"/>
      <c r="T11" s="87"/>
      <c r="U11" s="87"/>
    </row>
    <row r="12" spans="1:21" s="23" customFormat="1" x14ac:dyDescent="0.3">
      <c r="A12" s="87"/>
      <c r="B12" s="87" t="s">
        <v>87</v>
      </c>
      <c r="C12" s="87" t="s">
        <v>207</v>
      </c>
      <c r="D12" s="87" t="s">
        <v>143</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211</v>
      </c>
      <c r="D13" s="87" t="s">
        <v>144</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v>34</v>
      </c>
      <c r="D14" s="87" t="s">
        <v>145</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212</v>
      </c>
      <c r="D15" s="87" t="s">
        <v>146</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46"/>
      <c r="D22" s="146"/>
      <c r="E22" s="87"/>
      <c r="F22" s="87"/>
      <c r="G22" s="87"/>
      <c r="H22" s="87"/>
      <c r="I22" s="87"/>
      <c r="J22" s="87"/>
      <c r="K22" s="87"/>
      <c r="L22" s="87"/>
      <c r="M22" s="87"/>
      <c r="N22" s="87"/>
      <c r="O22" s="87"/>
    </row>
    <row r="23" spans="1:15" s="23" customFormat="1" ht="20.399999999999999" x14ac:dyDescent="0.3">
      <c r="A23" s="87"/>
      <c r="B23" s="87"/>
      <c r="C23" s="146"/>
      <c r="D23" s="146"/>
      <c r="E23" s="87"/>
      <c r="F23" s="87"/>
      <c r="G23" s="87"/>
      <c r="H23" s="87"/>
      <c r="I23" s="87"/>
      <c r="J23" s="87"/>
      <c r="K23" s="87"/>
      <c r="L23" s="87"/>
      <c r="M23" s="87"/>
      <c r="N23" s="87"/>
      <c r="O23" s="87"/>
    </row>
    <row r="24" spans="1:15" s="23" customFormat="1" ht="20.399999999999999" x14ac:dyDescent="0.3">
      <c r="A24" s="87"/>
      <c r="B24" s="87"/>
      <c r="C24" s="146"/>
      <c r="D24" s="146"/>
      <c r="E24" s="87"/>
      <c r="F24" s="87"/>
      <c r="G24" s="87"/>
      <c r="H24" s="87"/>
      <c r="I24" s="87"/>
      <c r="J24" s="87"/>
      <c r="K24" s="87"/>
      <c r="L24" s="87"/>
      <c r="M24" s="87"/>
      <c r="N24" s="87"/>
      <c r="O24" s="87"/>
    </row>
    <row r="25" spans="1:15" s="23" customFormat="1" ht="20.399999999999999" x14ac:dyDescent="0.3">
      <c r="A25" s="87"/>
      <c r="B25" s="87"/>
      <c r="C25" s="146"/>
      <c r="D25" s="146"/>
      <c r="E25" s="87"/>
      <c r="F25" s="87"/>
      <c r="G25" s="87"/>
      <c r="H25" s="87"/>
      <c r="I25" s="87"/>
      <c r="J25" s="87"/>
      <c r="K25" s="87"/>
      <c r="L25" s="87"/>
      <c r="M25" s="87"/>
      <c r="N25" s="87"/>
      <c r="O25" s="87"/>
    </row>
    <row r="26" spans="1:15" s="23" customFormat="1" ht="20.399999999999999" x14ac:dyDescent="0.3">
      <c r="A26" s="87"/>
      <c r="B26" s="87"/>
      <c r="C26" s="146"/>
      <c r="D26" s="146"/>
      <c r="E26" s="87"/>
      <c r="F26" s="87"/>
      <c r="G26" s="87"/>
      <c r="H26" s="87"/>
      <c r="I26" s="87"/>
      <c r="J26" s="87"/>
      <c r="K26" s="87"/>
      <c r="L26" s="87"/>
      <c r="M26" s="87"/>
      <c r="N26" s="87"/>
      <c r="O26" s="87"/>
    </row>
    <row r="27" spans="1:15" s="23" customFormat="1" ht="20.399999999999999" x14ac:dyDescent="0.3">
      <c r="A27" s="87"/>
      <c r="B27" s="87"/>
      <c r="C27" s="146"/>
      <c r="D27" s="146"/>
      <c r="E27" s="87"/>
      <c r="F27" s="87"/>
      <c r="G27" s="87"/>
      <c r="H27" s="87"/>
      <c r="I27" s="87"/>
      <c r="J27" s="87"/>
      <c r="K27" s="87"/>
      <c r="L27" s="87"/>
      <c r="M27" s="87"/>
      <c r="N27" s="87"/>
      <c r="O27" s="87"/>
    </row>
    <row r="28" spans="1:15" s="23" customFormat="1" ht="20.399999999999999" x14ac:dyDescent="0.3">
      <c r="A28" s="87"/>
      <c r="B28" s="87"/>
      <c r="C28" s="146"/>
      <c r="D28" s="146"/>
      <c r="E28" s="87"/>
      <c r="F28" s="87"/>
      <c r="G28" s="87"/>
      <c r="H28" s="87"/>
      <c r="I28" s="87"/>
      <c r="J28" s="87"/>
      <c r="K28" s="87"/>
      <c r="L28" s="87"/>
      <c r="M28" s="87"/>
      <c r="N28" s="87"/>
      <c r="O28" s="87"/>
    </row>
    <row r="29" spans="1:15" s="23" customFormat="1" ht="20.399999999999999" x14ac:dyDescent="0.3">
      <c r="A29" s="87"/>
      <c r="B29" s="87"/>
      <c r="C29" s="146"/>
      <c r="D29" s="146"/>
      <c r="E29" s="87"/>
      <c r="F29" s="87"/>
      <c r="G29" s="87"/>
      <c r="H29" s="87"/>
      <c r="I29" s="87"/>
      <c r="J29" s="87"/>
      <c r="K29" s="87"/>
      <c r="L29" s="87"/>
      <c r="M29" s="87"/>
      <c r="N29" s="87"/>
      <c r="O29" s="87"/>
    </row>
    <row r="30" spans="1:15" s="23" customFormat="1" ht="20.399999999999999" x14ac:dyDescent="0.3">
      <c r="A30" s="87"/>
      <c r="B30" s="87"/>
      <c r="C30" s="146"/>
      <c r="D30" s="146"/>
      <c r="E30" s="87"/>
      <c r="F30" s="87"/>
      <c r="G30" s="87"/>
      <c r="H30" s="87"/>
      <c r="I30" s="87"/>
      <c r="J30" s="87"/>
      <c r="K30" s="87"/>
      <c r="L30" s="87"/>
      <c r="M30" s="87"/>
      <c r="N30" s="87"/>
      <c r="O30" s="87"/>
    </row>
    <row r="31" spans="1:15" s="23" customFormat="1" ht="20.399999999999999" x14ac:dyDescent="0.3">
      <c r="A31" s="87"/>
      <c r="B31" s="87"/>
      <c r="C31" s="146"/>
      <c r="D31" s="146"/>
      <c r="E31" s="87"/>
      <c r="F31" s="87"/>
      <c r="G31" s="87"/>
      <c r="H31" s="87"/>
      <c r="I31" s="87"/>
      <c r="J31" s="87"/>
      <c r="K31" s="87"/>
      <c r="L31" s="87"/>
      <c r="M31" s="87"/>
      <c r="N31" s="87"/>
      <c r="O31" s="87"/>
    </row>
    <row r="32" spans="1:15" s="23" customFormat="1" ht="20.399999999999999" x14ac:dyDescent="0.3">
      <c r="A32" s="87"/>
      <c r="B32" s="87"/>
      <c r="C32" s="146"/>
      <c r="D32" s="146"/>
      <c r="E32" s="87"/>
      <c r="F32" s="87"/>
      <c r="G32" s="87"/>
      <c r="H32" s="87"/>
      <c r="I32" s="87"/>
      <c r="J32" s="87"/>
      <c r="K32" s="87"/>
      <c r="L32" s="87"/>
      <c r="M32" s="87"/>
      <c r="N32" s="87"/>
      <c r="O32" s="87"/>
    </row>
    <row r="33" spans="1:15" s="23" customFormat="1" ht="20.399999999999999" x14ac:dyDescent="0.3">
      <c r="A33" s="87"/>
      <c r="B33" s="87"/>
      <c r="C33" s="146"/>
      <c r="D33" s="146"/>
      <c r="E33" s="87"/>
      <c r="F33" s="87"/>
      <c r="G33" s="87"/>
      <c r="H33" s="87"/>
      <c r="I33" s="87"/>
      <c r="J33" s="87"/>
      <c r="K33" s="87"/>
      <c r="L33" s="87"/>
      <c r="M33" s="87"/>
      <c r="N33" s="87"/>
      <c r="O33" s="87"/>
    </row>
    <row r="34" spans="1:15" s="23" customFormat="1" ht="20.399999999999999" x14ac:dyDescent="0.3">
      <c r="A34" s="87"/>
      <c r="B34" s="87"/>
      <c r="C34" s="146"/>
      <c r="D34" s="146"/>
      <c r="E34" s="87"/>
      <c r="F34" s="87"/>
      <c r="G34" s="87"/>
      <c r="H34" s="87"/>
      <c r="I34" s="87"/>
      <c r="J34" s="87"/>
      <c r="K34" s="87"/>
      <c r="L34" s="87"/>
      <c r="M34" s="87"/>
      <c r="N34" s="87"/>
      <c r="O34" s="87"/>
    </row>
    <row r="35" spans="1:15" s="23" customFormat="1" ht="20.399999999999999" x14ac:dyDescent="0.3">
      <c r="A35" s="87"/>
      <c r="B35" s="87"/>
      <c r="C35" s="146"/>
      <c r="D35" s="146"/>
      <c r="E35" s="87"/>
      <c r="F35" s="87"/>
      <c r="G35" s="87"/>
      <c r="H35" s="87"/>
      <c r="I35" s="87"/>
      <c r="J35" s="87"/>
      <c r="K35" s="87"/>
      <c r="L35" s="87"/>
      <c r="M35" s="87"/>
      <c r="N35" s="87"/>
      <c r="O35" s="87"/>
    </row>
    <row r="36" spans="1:15" s="23" customFormat="1" ht="20.399999999999999" x14ac:dyDescent="0.3">
      <c r="A36" s="87"/>
      <c r="B36" s="87"/>
      <c r="C36" s="146"/>
      <c r="D36" s="146"/>
      <c r="E36" s="87"/>
      <c r="F36" s="87"/>
      <c r="G36" s="87"/>
      <c r="H36" s="87"/>
      <c r="I36" s="87"/>
      <c r="J36" s="87"/>
      <c r="K36" s="87"/>
      <c r="L36" s="87"/>
      <c r="M36" s="87"/>
      <c r="N36" s="87"/>
      <c r="O36" s="87"/>
    </row>
    <row r="37" spans="1:15" s="23" customFormat="1" ht="20.399999999999999" x14ac:dyDescent="0.3">
      <c r="A37" s="87"/>
      <c r="B37" s="87"/>
      <c r="C37" s="146"/>
      <c r="D37" s="146"/>
      <c r="E37" s="87"/>
      <c r="F37" s="87"/>
      <c r="G37" s="87"/>
      <c r="H37" s="87"/>
      <c r="I37" s="87"/>
      <c r="J37" s="87"/>
      <c r="K37" s="87"/>
      <c r="L37" s="87"/>
      <c r="M37" s="87"/>
      <c r="N37" s="87"/>
      <c r="O37" s="87"/>
    </row>
    <row r="38" spans="1:15" s="23" customFormat="1" ht="20.399999999999999" x14ac:dyDescent="0.3">
      <c r="A38" s="87"/>
      <c r="B38" s="87"/>
      <c r="C38" s="146"/>
      <c r="D38" s="146"/>
      <c r="E38" s="87"/>
      <c r="F38" s="87"/>
      <c r="G38" s="87"/>
      <c r="H38" s="87"/>
      <c r="I38" s="87"/>
      <c r="J38" s="87"/>
      <c r="K38" s="87"/>
      <c r="L38" s="87"/>
      <c r="M38" s="87"/>
      <c r="N38" s="87"/>
      <c r="O38" s="87"/>
    </row>
    <row r="39" spans="1:15" s="23" customFormat="1" ht="20.399999999999999" x14ac:dyDescent="0.3">
      <c r="A39" s="87"/>
      <c r="B39" s="87"/>
      <c r="C39" s="146"/>
      <c r="D39" s="146"/>
      <c r="E39" s="87"/>
      <c r="F39" s="87"/>
      <c r="G39" s="87"/>
      <c r="H39" s="87"/>
      <c r="I39" s="87"/>
      <c r="J39" s="87"/>
      <c r="K39" s="87"/>
      <c r="L39" s="87"/>
      <c r="M39" s="87"/>
      <c r="N39" s="87"/>
      <c r="O39" s="87"/>
    </row>
    <row r="40" spans="1:15" s="23" customFormat="1" ht="20.399999999999999" x14ac:dyDescent="0.3">
      <c r="A40" s="87"/>
      <c r="B40" s="87"/>
      <c r="C40" s="146"/>
      <c r="D40" s="146"/>
      <c r="E40" s="87"/>
      <c r="F40" s="87"/>
      <c r="G40" s="87"/>
      <c r="H40" s="87"/>
      <c r="I40" s="87"/>
      <c r="J40" s="87"/>
      <c r="K40" s="87"/>
      <c r="L40" s="87"/>
      <c r="M40" s="87"/>
      <c r="N40" s="87"/>
      <c r="O40" s="87"/>
    </row>
    <row r="41" spans="1:15" s="23" customFormat="1" ht="20.399999999999999" x14ac:dyDescent="0.3">
      <c r="A41" s="87"/>
      <c r="B41" s="87"/>
      <c r="C41" s="146"/>
      <c r="D41" s="146"/>
      <c r="E41" s="87"/>
      <c r="F41" s="87"/>
      <c r="G41" s="87"/>
      <c r="H41" s="87"/>
      <c r="I41" s="87"/>
      <c r="J41" s="87"/>
      <c r="K41" s="87"/>
      <c r="L41" s="87"/>
      <c r="M41" s="87"/>
      <c r="N41" s="87"/>
      <c r="O41" s="87"/>
    </row>
    <row r="42" spans="1:15" s="23" customFormat="1" ht="20.399999999999999" x14ac:dyDescent="0.3">
      <c r="A42" s="87"/>
      <c r="B42" s="87"/>
      <c r="C42" s="146"/>
      <c r="D42" s="146"/>
      <c r="E42" s="87"/>
      <c r="F42" s="87"/>
      <c r="G42" s="87"/>
      <c r="H42" s="87"/>
      <c r="I42" s="87"/>
      <c r="J42" s="87"/>
      <c r="K42" s="87"/>
      <c r="L42" s="87"/>
      <c r="M42" s="87"/>
      <c r="N42" s="87"/>
      <c r="O42" s="87"/>
    </row>
    <row r="43" spans="1:15" s="23" customFormat="1" ht="20.399999999999999" x14ac:dyDescent="0.3">
      <c r="A43" s="87"/>
      <c r="B43" s="87"/>
      <c r="C43" s="146"/>
      <c r="D43" s="146"/>
      <c r="E43" s="87"/>
      <c r="F43" s="87"/>
      <c r="G43" s="87"/>
      <c r="H43" s="87"/>
      <c r="I43" s="87"/>
      <c r="J43" s="87"/>
      <c r="K43" s="87"/>
      <c r="L43" s="87"/>
      <c r="M43" s="87"/>
      <c r="N43" s="87"/>
      <c r="O43" s="87"/>
    </row>
    <row r="44" spans="1:15" s="23" customFormat="1" ht="20.399999999999999" x14ac:dyDescent="0.3">
      <c r="A44" s="87"/>
      <c r="B44" s="87"/>
      <c r="C44" s="146"/>
      <c r="D44" s="146"/>
      <c r="E44" s="87"/>
      <c r="F44" s="87"/>
      <c r="G44" s="87"/>
      <c r="H44" s="87"/>
      <c r="I44" s="87"/>
      <c r="J44" s="87"/>
      <c r="K44" s="87"/>
      <c r="L44" s="87"/>
      <c r="M44" s="87"/>
      <c r="N44" s="87"/>
      <c r="O44" s="87"/>
    </row>
    <row r="45" spans="1:15" s="23" customFormat="1" ht="20.399999999999999" x14ac:dyDescent="0.3">
      <c r="A45" s="87"/>
      <c r="B45" s="87"/>
      <c r="C45" s="146"/>
      <c r="D45" s="146"/>
      <c r="E45" s="87"/>
      <c r="F45" s="87"/>
      <c r="G45" s="87"/>
      <c r="H45" s="87"/>
      <c r="I45" s="87"/>
      <c r="J45" s="87"/>
      <c r="K45" s="87"/>
      <c r="L45" s="87"/>
      <c r="M45" s="87"/>
      <c r="N45" s="87"/>
      <c r="O45" s="87"/>
    </row>
    <row r="46" spans="1:15" s="23" customFormat="1" ht="20.399999999999999" x14ac:dyDescent="0.3">
      <c r="A46" s="87"/>
      <c r="B46" s="87"/>
      <c r="C46" s="146"/>
      <c r="D46" s="146"/>
      <c r="E46" s="87"/>
      <c r="F46" s="87"/>
      <c r="G46" s="87"/>
      <c r="H46" s="87"/>
      <c r="I46" s="87"/>
      <c r="J46" s="87"/>
      <c r="K46" s="87"/>
      <c r="L46" s="87"/>
      <c r="M46" s="87"/>
      <c r="N46" s="87"/>
      <c r="O46" s="87"/>
    </row>
    <row r="47" spans="1:15" s="23" customFormat="1" ht="20.399999999999999" x14ac:dyDescent="0.3">
      <c r="A47" s="87"/>
      <c r="B47" s="87"/>
      <c r="C47" s="146"/>
      <c r="D47" s="146"/>
      <c r="E47" s="87"/>
      <c r="F47" s="87"/>
      <c r="G47" s="87"/>
      <c r="H47" s="87"/>
      <c r="I47" s="87"/>
      <c r="J47" s="87"/>
      <c r="K47" s="87"/>
      <c r="L47" s="87"/>
      <c r="M47" s="87"/>
      <c r="N47" s="87"/>
      <c r="O47" s="87"/>
    </row>
    <row r="48" spans="1:15" s="23" customFormat="1" ht="20.399999999999999" x14ac:dyDescent="0.3">
      <c r="A48" s="87"/>
      <c r="B48" s="87"/>
      <c r="C48" s="146"/>
      <c r="D48" s="146"/>
      <c r="E48" s="87"/>
      <c r="F48" s="87"/>
      <c r="G48" s="87"/>
      <c r="H48" s="87"/>
      <c r="I48" s="87"/>
      <c r="J48" s="87"/>
      <c r="K48" s="87"/>
      <c r="L48" s="87"/>
      <c r="M48" s="87"/>
      <c r="N48" s="87"/>
      <c r="O48" s="87"/>
    </row>
    <row r="49" spans="1:15" s="23" customFormat="1" ht="20.399999999999999" x14ac:dyDescent="0.3">
      <c r="A49" s="87"/>
      <c r="B49" s="87"/>
      <c r="C49" s="146"/>
      <c r="D49" s="146"/>
      <c r="E49" s="87"/>
      <c r="F49" s="87"/>
      <c r="G49" s="87"/>
      <c r="H49" s="87"/>
      <c r="I49" s="87"/>
      <c r="J49" s="87"/>
      <c r="K49" s="87"/>
      <c r="L49" s="87"/>
      <c r="M49" s="87"/>
      <c r="N49" s="87"/>
      <c r="O49" s="87"/>
    </row>
    <row r="50" spans="1:15" s="23" customFormat="1" ht="20.399999999999999" x14ac:dyDescent="0.3">
      <c r="A50" s="87"/>
      <c r="B50" s="87"/>
      <c r="C50" s="146"/>
      <c r="D50" s="146"/>
      <c r="E50" s="87"/>
      <c r="F50" s="87"/>
      <c r="G50" s="87"/>
      <c r="H50" s="87"/>
      <c r="I50" s="87"/>
      <c r="J50" s="87"/>
      <c r="K50" s="87"/>
      <c r="L50" s="87"/>
      <c r="M50" s="87"/>
      <c r="N50" s="87"/>
      <c r="O50" s="87"/>
    </row>
    <row r="51" spans="1:15" s="23" customFormat="1" ht="20.399999999999999" x14ac:dyDescent="0.3">
      <c r="A51" s="87"/>
      <c r="B51" s="87"/>
      <c r="C51" s="146"/>
      <c r="D51" s="146"/>
      <c r="E51" s="87"/>
      <c r="F51" s="87"/>
      <c r="G51" s="87"/>
      <c r="H51" s="87"/>
      <c r="I51" s="87"/>
      <c r="J51" s="87"/>
      <c r="K51" s="87"/>
      <c r="L51" s="87"/>
      <c r="M51" s="87"/>
      <c r="N51" s="87"/>
      <c r="O51" s="87"/>
    </row>
    <row r="52" spans="1:15" s="23" customFormat="1" ht="20.399999999999999" x14ac:dyDescent="0.3">
      <c r="A52" s="87"/>
      <c r="C52" s="148"/>
      <c r="D52" s="148"/>
    </row>
    <row r="53" spans="1:15" s="23" customFormat="1" ht="20.399999999999999" x14ac:dyDescent="0.3">
      <c r="A53" s="87"/>
      <c r="C53" s="148"/>
      <c r="D53" s="148"/>
    </row>
    <row r="54" spans="1:15" s="23" customFormat="1" ht="20.399999999999999" x14ac:dyDescent="0.3">
      <c r="A54" s="87"/>
      <c r="C54" s="148"/>
      <c r="D54" s="148"/>
    </row>
    <row r="55" spans="1:15" s="23" customFormat="1" ht="20.399999999999999" x14ac:dyDescent="0.3">
      <c r="A55" s="87"/>
      <c r="C55" s="148"/>
      <c r="D55" s="148"/>
    </row>
    <row r="56" spans="1:15" s="23" customFormat="1" ht="20.399999999999999" x14ac:dyDescent="0.3">
      <c r="A56" s="87"/>
      <c r="C56" s="148"/>
      <c r="D56" s="148"/>
    </row>
    <row r="57" spans="1:15" s="23" customFormat="1" ht="20.399999999999999" x14ac:dyDescent="0.3">
      <c r="A57" s="87"/>
      <c r="C57" s="148"/>
      <c r="D57" s="148"/>
    </row>
    <row r="58" spans="1:15" s="23" customFormat="1" ht="20.399999999999999" x14ac:dyDescent="0.3">
      <c r="A58" s="87"/>
      <c r="C58" s="148"/>
      <c r="D58" s="148"/>
    </row>
    <row r="59" spans="1:15" s="23" customFormat="1" ht="20.399999999999999" x14ac:dyDescent="0.3">
      <c r="A59" s="87"/>
      <c r="C59" s="148"/>
      <c r="D59" s="148"/>
    </row>
    <row r="60" spans="1:15" s="23" customFormat="1" ht="20.399999999999999" x14ac:dyDescent="0.3">
      <c r="A60" s="87"/>
      <c r="C60" s="148"/>
      <c r="D60" s="148"/>
    </row>
    <row r="61" spans="1:15" s="23" customFormat="1" ht="20.399999999999999" x14ac:dyDescent="0.3">
      <c r="A61" s="87"/>
      <c r="C61" s="148"/>
      <c r="D61" s="148"/>
    </row>
    <row r="62" spans="1:15" s="23" customFormat="1" ht="20.399999999999999" x14ac:dyDescent="0.3">
      <c r="A62" s="87"/>
      <c r="C62" s="148"/>
      <c r="D62" s="148"/>
    </row>
    <row r="63" spans="1:15" s="23" customFormat="1" ht="20.399999999999999" x14ac:dyDescent="0.3">
      <c r="A63" s="87"/>
      <c r="C63" s="148"/>
      <c r="D63" s="148"/>
    </row>
    <row r="64" spans="1:15" s="23" customFormat="1" ht="20.399999999999999" x14ac:dyDescent="0.3">
      <c r="A64" s="87"/>
      <c r="C64" s="148"/>
      <c r="D64" s="148"/>
    </row>
    <row r="65" spans="1:4" s="23" customFormat="1" ht="20.399999999999999" x14ac:dyDescent="0.3">
      <c r="A65" s="87"/>
      <c r="C65" s="148"/>
      <c r="D65" s="148"/>
    </row>
    <row r="66" spans="1:4" s="23" customFormat="1" ht="20.399999999999999" x14ac:dyDescent="0.3">
      <c r="A66" s="87"/>
      <c r="C66" s="148"/>
      <c r="D66" s="148"/>
    </row>
    <row r="67" spans="1:4" s="23" customFormat="1" ht="20.399999999999999" x14ac:dyDescent="0.3">
      <c r="A67" s="87"/>
      <c r="C67" s="148"/>
      <c r="D67" s="148"/>
    </row>
    <row r="68" spans="1:4" s="23" customFormat="1" ht="20.399999999999999" x14ac:dyDescent="0.3">
      <c r="A68" s="87"/>
      <c r="C68" s="148"/>
      <c r="D68" s="148"/>
    </row>
    <row r="69" spans="1:4" s="23" customFormat="1" ht="20.399999999999999" x14ac:dyDescent="0.3">
      <c r="A69" s="87"/>
      <c r="C69" s="148"/>
      <c r="D69" s="148"/>
    </row>
    <row r="70" spans="1:4" s="23" customFormat="1" ht="20.399999999999999" x14ac:dyDescent="0.3">
      <c r="A70" s="87"/>
      <c r="C70" s="148"/>
      <c r="D70" s="148"/>
    </row>
    <row r="71" spans="1:4" s="23" customFormat="1" ht="20.399999999999999" x14ac:dyDescent="0.3">
      <c r="A71" s="87"/>
      <c r="C71" s="148"/>
      <c r="D71" s="148"/>
    </row>
    <row r="72" spans="1:4" s="23" customFormat="1" ht="20.399999999999999" x14ac:dyDescent="0.3">
      <c r="A72" s="87"/>
      <c r="C72" s="148"/>
      <c r="D72" s="148"/>
    </row>
    <row r="73" spans="1:4" s="23" customFormat="1" ht="20.399999999999999" x14ac:dyDescent="0.3">
      <c r="A73" s="87"/>
      <c r="C73" s="148"/>
      <c r="D73" s="148"/>
    </row>
    <row r="74" spans="1:4" s="23" customFormat="1" ht="20.399999999999999" x14ac:dyDescent="0.3">
      <c r="A74" s="87"/>
      <c r="C74" s="148"/>
      <c r="D74" s="148"/>
    </row>
    <row r="75" spans="1:4" s="23" customFormat="1" ht="20.399999999999999" x14ac:dyDescent="0.3">
      <c r="A75" s="87"/>
      <c r="C75" s="148"/>
      <c r="D75" s="148"/>
    </row>
    <row r="76" spans="1:4" s="23" customFormat="1" ht="20.399999999999999" x14ac:dyDescent="0.3">
      <c r="A76" s="87"/>
      <c r="C76" s="148"/>
      <c r="D76" s="148"/>
    </row>
    <row r="77" spans="1:4" s="23" customFormat="1" ht="20.399999999999999" x14ac:dyDescent="0.3">
      <c r="A77" s="87"/>
      <c r="C77" s="148"/>
      <c r="D77" s="148"/>
    </row>
    <row r="78" spans="1:4" s="23" customFormat="1" ht="20.399999999999999" x14ac:dyDescent="0.3">
      <c r="A78" s="87"/>
      <c r="C78" s="148"/>
      <c r="D78" s="148"/>
    </row>
    <row r="79" spans="1:4" s="23" customFormat="1" ht="20.399999999999999" x14ac:dyDescent="0.3">
      <c r="A79" s="87"/>
      <c r="C79" s="148"/>
      <c r="D79" s="148"/>
    </row>
    <row r="80" spans="1:4" s="23" customFormat="1" ht="20.399999999999999" x14ac:dyDescent="0.3">
      <c r="A80" s="87"/>
      <c r="C80" s="148"/>
      <c r="D80" s="148"/>
    </row>
    <row r="81" spans="1:4" s="23" customFormat="1" ht="20.399999999999999" x14ac:dyDescent="0.3">
      <c r="A81" s="87"/>
      <c r="C81" s="148"/>
      <c r="D81" s="148"/>
    </row>
    <row r="82" spans="1:4" s="23" customFormat="1" ht="20.399999999999999" x14ac:dyDescent="0.3">
      <c r="A82" s="87"/>
      <c r="C82" s="148"/>
      <c r="D82" s="148"/>
    </row>
    <row r="83" spans="1:4" s="23" customFormat="1" ht="20.399999999999999" x14ac:dyDescent="0.3">
      <c r="A83" s="87"/>
      <c r="C83" s="148"/>
      <c r="D83" s="148"/>
    </row>
    <row r="84" spans="1:4" s="23" customFormat="1" ht="20.399999999999999" x14ac:dyDescent="0.3">
      <c r="A84" s="87"/>
      <c r="C84" s="148"/>
      <c r="D84" s="148"/>
    </row>
    <row r="85" spans="1:4" s="23" customFormat="1" ht="20.399999999999999" x14ac:dyDescent="0.3">
      <c r="A85" s="87"/>
      <c r="C85" s="148"/>
      <c r="D85" s="148"/>
    </row>
    <row r="86" spans="1:4" s="23" customFormat="1" ht="20.399999999999999" x14ac:dyDescent="0.3">
      <c r="A86" s="87"/>
      <c r="C86" s="148"/>
      <c r="D86" s="148"/>
    </row>
    <row r="87" spans="1:4" s="23" customFormat="1" ht="20.399999999999999" x14ac:dyDescent="0.3">
      <c r="A87" s="87"/>
      <c r="C87" s="148"/>
      <c r="D87" s="148"/>
    </row>
    <row r="88" spans="1:4" s="23" customFormat="1" ht="20.399999999999999" x14ac:dyDescent="0.3">
      <c r="A88" s="87"/>
      <c r="C88" s="148"/>
      <c r="D88" s="148"/>
    </row>
    <row r="89" spans="1:4" s="23" customFormat="1" ht="20.399999999999999" x14ac:dyDescent="0.3">
      <c r="A89" s="87"/>
      <c r="C89" s="148"/>
      <c r="D89" s="148"/>
    </row>
    <row r="90" spans="1:4" s="23" customFormat="1" ht="20.399999999999999" x14ac:dyDescent="0.3">
      <c r="A90" s="87"/>
      <c r="C90" s="148"/>
      <c r="D90" s="148"/>
    </row>
    <row r="91" spans="1:4" s="23" customFormat="1" ht="20.399999999999999" x14ac:dyDescent="0.3">
      <c r="A91" s="87"/>
      <c r="C91" s="148"/>
      <c r="D91" s="148"/>
    </row>
    <row r="92" spans="1:4" s="23" customFormat="1" ht="20.399999999999999" x14ac:dyDescent="0.3">
      <c r="A92" s="87"/>
      <c r="C92" s="148"/>
      <c r="D92" s="148"/>
    </row>
    <row r="93" spans="1:4" s="23" customFormat="1" ht="20.399999999999999" x14ac:dyDescent="0.3">
      <c r="A93" s="87"/>
      <c r="C93" s="148"/>
      <c r="D93" s="148"/>
    </row>
    <row r="94" spans="1:4" s="23" customFormat="1" ht="20.399999999999999" x14ac:dyDescent="0.3">
      <c r="A94" s="87"/>
      <c r="C94" s="148"/>
      <c r="D94" s="148"/>
    </row>
    <row r="95" spans="1:4" s="23" customFormat="1" ht="20.399999999999999" x14ac:dyDescent="0.3">
      <c r="A95" s="87"/>
      <c r="C95" s="148"/>
      <c r="D95" s="148"/>
    </row>
    <row r="96" spans="1:4" s="23" customFormat="1" ht="20.399999999999999" x14ac:dyDescent="0.3">
      <c r="A96" s="87"/>
      <c r="C96" s="148"/>
      <c r="D96" s="148"/>
    </row>
    <row r="97" spans="1:4" s="23" customFormat="1" ht="20.399999999999999" x14ac:dyDescent="0.3">
      <c r="A97" s="87"/>
      <c r="C97" s="148"/>
      <c r="D97" s="148"/>
    </row>
    <row r="98" spans="1:4" s="23" customFormat="1" ht="20.399999999999999" x14ac:dyDescent="0.3">
      <c r="A98" s="87"/>
      <c r="C98" s="148"/>
      <c r="D98" s="148"/>
    </row>
    <row r="99" spans="1:4" s="23" customFormat="1" ht="20.399999999999999" x14ac:dyDescent="0.3">
      <c r="A99" s="87"/>
      <c r="C99" s="148"/>
      <c r="D99" s="148"/>
    </row>
    <row r="100" spans="1:4" s="23" customFormat="1" ht="20.399999999999999" x14ac:dyDescent="0.3">
      <c r="A100" s="87"/>
      <c r="C100" s="148"/>
      <c r="D100" s="148"/>
    </row>
    <row r="101" spans="1:4" s="23" customFormat="1" ht="20.399999999999999" x14ac:dyDescent="0.3">
      <c r="A101" s="87"/>
      <c r="C101" s="148"/>
      <c r="D101" s="148"/>
    </row>
    <row r="102" spans="1:4" s="23" customFormat="1" ht="20.399999999999999" x14ac:dyDescent="0.3">
      <c r="A102" s="87"/>
      <c r="C102" s="148"/>
      <c r="D102" s="148"/>
    </row>
    <row r="103" spans="1:4" s="23" customFormat="1" ht="20.399999999999999" x14ac:dyDescent="0.3">
      <c r="A103" s="87"/>
      <c r="C103" s="148"/>
      <c r="D103" s="148"/>
    </row>
    <row r="104" spans="1:4" s="23" customFormat="1" ht="20.399999999999999" x14ac:dyDescent="0.3">
      <c r="A104" s="87"/>
      <c r="C104" s="148"/>
      <c r="D104" s="148"/>
    </row>
    <row r="105" spans="1:4" s="23" customFormat="1" ht="20.399999999999999" x14ac:dyDescent="0.3">
      <c r="A105" s="87"/>
      <c r="C105" s="148"/>
      <c r="D105" s="148"/>
    </row>
    <row r="106" spans="1:4" s="23" customFormat="1" ht="20.399999999999999" x14ac:dyDescent="0.3">
      <c r="A106" s="87"/>
      <c r="C106" s="148"/>
      <c r="D106" s="148"/>
    </row>
    <row r="107" spans="1:4" s="23" customFormat="1" ht="20.399999999999999" x14ac:dyDescent="0.3">
      <c r="A107" s="87"/>
      <c r="C107" s="148"/>
      <c r="D107" s="148"/>
    </row>
    <row r="108" spans="1:4" s="23" customFormat="1" ht="20.399999999999999" x14ac:dyDescent="0.3">
      <c r="A108" s="87"/>
      <c r="C108" s="148"/>
      <c r="D108" s="148"/>
    </row>
    <row r="109" spans="1:4" s="23" customFormat="1" ht="20.399999999999999" x14ac:dyDescent="0.3">
      <c r="A109" s="87"/>
      <c r="C109" s="148"/>
      <c r="D109" s="148"/>
    </row>
    <row r="110" spans="1:4" s="23" customFormat="1" ht="20.399999999999999" x14ac:dyDescent="0.3">
      <c r="A110" s="87"/>
      <c r="C110" s="148"/>
      <c r="D110" s="148"/>
    </row>
    <row r="111" spans="1:4" s="23" customFormat="1" ht="20.399999999999999" x14ac:dyDescent="0.3">
      <c r="A111" s="87"/>
      <c r="C111" s="148"/>
      <c r="D111" s="148"/>
    </row>
    <row r="112" spans="1:4" s="23" customFormat="1" ht="20.399999999999999" x14ac:dyDescent="0.3">
      <c r="A112" s="87"/>
      <c r="C112" s="148"/>
      <c r="D112" s="148"/>
    </row>
    <row r="113" spans="1:4" s="23" customFormat="1" ht="20.399999999999999" x14ac:dyDescent="0.3">
      <c r="A113" s="87"/>
      <c r="C113" s="148"/>
      <c r="D113" s="148"/>
    </row>
    <row r="114" spans="1:4" s="23" customFormat="1" ht="20.399999999999999" x14ac:dyDescent="0.3">
      <c r="A114" s="87"/>
      <c r="C114" s="148"/>
      <c r="D114" s="148"/>
    </row>
    <row r="115" spans="1:4" s="23" customFormat="1" ht="20.399999999999999" x14ac:dyDescent="0.3">
      <c r="A115" s="87"/>
      <c r="C115" s="148"/>
      <c r="D115" s="148"/>
    </row>
    <row r="116" spans="1:4" s="23" customFormat="1" ht="20.399999999999999" x14ac:dyDescent="0.3">
      <c r="A116" s="87"/>
      <c r="C116" s="148"/>
      <c r="D116" s="148"/>
    </row>
    <row r="117" spans="1:4" s="23" customFormat="1" ht="20.399999999999999" x14ac:dyDescent="0.3">
      <c r="A117" s="87"/>
      <c r="C117" s="148"/>
      <c r="D117" s="148"/>
    </row>
    <row r="118" spans="1:4" s="23" customFormat="1" ht="20.399999999999999" x14ac:dyDescent="0.3">
      <c r="A118" s="87"/>
      <c r="C118" s="148"/>
      <c r="D118" s="148"/>
    </row>
    <row r="119" spans="1:4" s="23" customFormat="1" ht="20.399999999999999" x14ac:dyDescent="0.3">
      <c r="A119" s="87"/>
      <c r="C119" s="148"/>
      <c r="D119" s="148"/>
    </row>
    <row r="120" spans="1:4" s="23" customFormat="1" ht="20.399999999999999" x14ac:dyDescent="0.3">
      <c r="A120" s="87"/>
      <c r="C120" s="148"/>
      <c r="D120" s="148"/>
    </row>
    <row r="121" spans="1:4" s="23" customFormat="1" ht="20.399999999999999" x14ac:dyDescent="0.3">
      <c r="A121" s="87"/>
      <c r="C121" s="148"/>
      <c r="D121" s="148"/>
    </row>
    <row r="122" spans="1:4" s="23" customFormat="1" ht="20.399999999999999" x14ac:dyDescent="0.3">
      <c r="A122" s="87"/>
      <c r="C122" s="148"/>
      <c r="D122" s="148"/>
    </row>
    <row r="123" spans="1:4" s="23" customFormat="1" ht="20.399999999999999" x14ac:dyDescent="0.3">
      <c r="A123" s="87"/>
      <c r="C123" s="148"/>
      <c r="D123" s="148"/>
    </row>
    <row r="124" spans="1:4" s="23" customFormat="1" ht="20.399999999999999" x14ac:dyDescent="0.3">
      <c r="A124" s="87"/>
      <c r="C124" s="148"/>
      <c r="D124" s="148"/>
    </row>
    <row r="125" spans="1:4" s="23" customFormat="1" ht="20.399999999999999" x14ac:dyDescent="0.3">
      <c r="A125" s="87"/>
      <c r="C125" s="148"/>
      <c r="D125" s="148"/>
    </row>
    <row r="126" spans="1:4" s="23" customFormat="1" ht="20.399999999999999" x14ac:dyDescent="0.3">
      <c r="A126" s="87"/>
      <c r="C126" s="148"/>
      <c r="D126" s="148"/>
    </row>
    <row r="127" spans="1:4" s="23" customFormat="1" ht="20.399999999999999" x14ac:dyDescent="0.3">
      <c r="A127" s="87"/>
      <c r="C127" s="148"/>
      <c r="D127" s="148"/>
    </row>
    <row r="128" spans="1:4" s="23" customFormat="1" ht="20.399999999999999" x14ac:dyDescent="0.3">
      <c r="A128" s="87"/>
      <c r="C128" s="148"/>
      <c r="D128" s="148"/>
    </row>
    <row r="129" spans="1:4" s="23" customFormat="1" ht="20.399999999999999" x14ac:dyDescent="0.3">
      <c r="A129" s="87"/>
      <c r="C129" s="148"/>
      <c r="D129" s="148"/>
    </row>
    <row r="130" spans="1:4" s="23" customFormat="1" ht="20.399999999999999" x14ac:dyDescent="0.3">
      <c r="A130" s="87"/>
      <c r="C130" s="148"/>
      <c r="D130" s="148"/>
    </row>
    <row r="131" spans="1:4" s="23" customFormat="1" ht="20.399999999999999" x14ac:dyDescent="0.3">
      <c r="A131" s="87"/>
      <c r="C131" s="148"/>
      <c r="D131" s="148"/>
    </row>
    <row r="132" spans="1:4" s="23" customFormat="1" ht="20.399999999999999" x14ac:dyDescent="0.3">
      <c r="A132" s="87"/>
      <c r="C132" s="148"/>
      <c r="D132" s="148"/>
    </row>
    <row r="133" spans="1:4" s="23" customFormat="1" ht="20.399999999999999" x14ac:dyDescent="0.3">
      <c r="A133" s="87"/>
      <c r="C133" s="148"/>
      <c r="D133" s="148"/>
    </row>
    <row r="134" spans="1:4" s="23" customFormat="1" ht="20.399999999999999" x14ac:dyDescent="0.3">
      <c r="A134" s="87"/>
      <c r="C134" s="148"/>
      <c r="D134" s="148"/>
    </row>
    <row r="135" spans="1:4" s="23" customFormat="1" ht="20.399999999999999" x14ac:dyDescent="0.3">
      <c r="A135" s="87"/>
      <c r="C135" s="148"/>
      <c r="D135" s="148"/>
    </row>
    <row r="136" spans="1:4" s="23" customFormat="1" ht="20.399999999999999" x14ac:dyDescent="0.3">
      <c r="A136" s="87"/>
      <c r="C136" s="148"/>
      <c r="D136" s="148"/>
    </row>
    <row r="137" spans="1:4" s="23" customFormat="1" ht="20.399999999999999" x14ac:dyDescent="0.3">
      <c r="A137" s="87"/>
      <c r="C137" s="148"/>
      <c r="D137" s="148"/>
    </row>
    <row r="138" spans="1:4" s="23" customFormat="1" ht="20.399999999999999" x14ac:dyDescent="0.3">
      <c r="A138" s="87"/>
      <c r="C138" s="148"/>
      <c r="D138" s="148"/>
    </row>
    <row r="139" spans="1:4" s="23" customFormat="1" ht="20.399999999999999" x14ac:dyDescent="0.3">
      <c r="A139" s="87"/>
      <c r="C139" s="148"/>
      <c r="D139" s="148"/>
    </row>
    <row r="140" spans="1:4" s="23" customFormat="1" ht="20.399999999999999" x14ac:dyDescent="0.3">
      <c r="A140" s="87"/>
      <c r="C140" s="148"/>
      <c r="D140" s="148"/>
    </row>
    <row r="141" spans="1:4" s="23" customFormat="1" ht="20.399999999999999" x14ac:dyDescent="0.3">
      <c r="A141" s="87"/>
      <c r="C141" s="148"/>
      <c r="D141" s="148"/>
    </row>
    <row r="142" spans="1:4" s="23" customFormat="1" ht="20.399999999999999" x14ac:dyDescent="0.3">
      <c r="A142" s="87"/>
      <c r="C142" s="148"/>
      <c r="D142" s="148"/>
    </row>
    <row r="143" spans="1:4" s="23" customFormat="1" ht="20.399999999999999" x14ac:dyDescent="0.3">
      <c r="A143" s="87"/>
      <c r="C143" s="148"/>
      <c r="D143" s="148"/>
    </row>
    <row r="144" spans="1:4" s="23" customFormat="1" ht="20.399999999999999" x14ac:dyDescent="0.3">
      <c r="A144" s="87"/>
      <c r="C144" s="148"/>
      <c r="D144" s="148"/>
    </row>
    <row r="145" spans="1:4" s="23" customFormat="1" ht="20.399999999999999" x14ac:dyDescent="0.3">
      <c r="A145" s="87"/>
      <c r="C145" s="148"/>
      <c r="D145" s="148"/>
    </row>
    <row r="146" spans="1:4" s="23" customFormat="1" ht="20.399999999999999" x14ac:dyDescent="0.3">
      <c r="A146" s="87"/>
      <c r="C146" s="148"/>
      <c r="D146" s="148"/>
    </row>
    <row r="147" spans="1:4" s="23" customFormat="1" ht="20.399999999999999" x14ac:dyDescent="0.3">
      <c r="A147" s="87"/>
      <c r="C147" s="148"/>
      <c r="D147" s="148"/>
    </row>
    <row r="148" spans="1:4" s="23" customFormat="1" ht="20.399999999999999" x14ac:dyDescent="0.3">
      <c r="A148" s="87"/>
      <c r="C148" s="148"/>
      <c r="D148" s="148"/>
    </row>
    <row r="149" spans="1:4" s="23" customFormat="1" ht="20.399999999999999" x14ac:dyDescent="0.3">
      <c r="A149" s="87"/>
      <c r="C149" s="148"/>
      <c r="D149" s="148"/>
    </row>
    <row r="150" spans="1:4" s="23" customFormat="1" ht="20.399999999999999" x14ac:dyDescent="0.3">
      <c r="A150" s="87"/>
      <c r="C150" s="148"/>
      <c r="D150" s="148"/>
    </row>
    <row r="151" spans="1:4" s="23" customFormat="1" ht="20.399999999999999" x14ac:dyDescent="0.3">
      <c r="A151" s="87"/>
      <c r="C151" s="148"/>
      <c r="D151" s="148"/>
    </row>
    <row r="152" spans="1:4" s="23" customFormat="1" ht="20.399999999999999" x14ac:dyDescent="0.3">
      <c r="A152" s="87"/>
      <c r="C152" s="148"/>
      <c r="D152" s="148"/>
    </row>
    <row r="153" spans="1:4" s="23" customFormat="1" ht="20.399999999999999" x14ac:dyDescent="0.3">
      <c r="A153" s="87"/>
      <c r="C153" s="148"/>
      <c r="D153" s="148"/>
    </row>
    <row r="154" spans="1:4" s="23" customFormat="1" ht="20.399999999999999" x14ac:dyDescent="0.3">
      <c r="A154" s="87"/>
      <c r="C154" s="148"/>
      <c r="D154" s="148"/>
    </row>
    <row r="155" spans="1:4" s="23" customFormat="1" ht="20.399999999999999" x14ac:dyDescent="0.3">
      <c r="A155" s="87"/>
      <c r="C155" s="148"/>
      <c r="D155" s="148"/>
    </row>
    <row r="156" spans="1:4" s="23" customFormat="1" ht="20.399999999999999" x14ac:dyDescent="0.3">
      <c r="A156" s="87"/>
      <c r="C156" s="148"/>
      <c r="D156" s="148"/>
    </row>
    <row r="157" spans="1:4" s="23" customFormat="1" ht="20.399999999999999" x14ac:dyDescent="0.3">
      <c r="A157" s="87"/>
      <c r="C157" s="148"/>
      <c r="D157" s="148"/>
    </row>
    <row r="158" spans="1:4" s="23" customFormat="1" ht="20.399999999999999" x14ac:dyDescent="0.3">
      <c r="A158" s="87"/>
      <c r="C158" s="148"/>
      <c r="D158" s="148"/>
    </row>
    <row r="159" spans="1:4" s="23" customFormat="1" ht="20.399999999999999" x14ac:dyDescent="0.3">
      <c r="A159" s="87"/>
      <c r="C159" s="148"/>
      <c r="D159" s="148"/>
    </row>
    <row r="160" spans="1:4" s="23" customFormat="1" ht="20.399999999999999" x14ac:dyDescent="0.3">
      <c r="A160" s="87"/>
      <c r="C160" s="148"/>
      <c r="D160" s="148"/>
    </row>
    <row r="161" spans="1:4" s="23" customFormat="1" ht="20.399999999999999" x14ac:dyDescent="0.3">
      <c r="A161" s="87"/>
      <c r="C161" s="148"/>
      <c r="D161" s="148"/>
    </row>
    <row r="162" spans="1:4" s="23" customFormat="1" ht="20.399999999999999" x14ac:dyDescent="0.3">
      <c r="A162" s="87"/>
      <c r="C162" s="148"/>
      <c r="D162" s="148"/>
    </row>
    <row r="163" spans="1:4" s="23" customFormat="1" ht="20.399999999999999" x14ac:dyDescent="0.3">
      <c r="A163" s="87"/>
      <c r="C163" s="148"/>
      <c r="D163" s="148"/>
    </row>
    <row r="164" spans="1:4" s="23" customFormat="1" ht="20.399999999999999" x14ac:dyDescent="0.3">
      <c r="A164" s="87"/>
      <c r="C164" s="148"/>
      <c r="D164" s="148"/>
    </row>
    <row r="165" spans="1:4" s="23" customFormat="1" ht="20.399999999999999" x14ac:dyDescent="0.3">
      <c r="A165" s="87"/>
      <c r="C165" s="148"/>
      <c r="D165" s="148"/>
    </row>
    <row r="166" spans="1:4" s="23" customFormat="1" ht="20.399999999999999" x14ac:dyDescent="0.3">
      <c r="A166" s="87"/>
      <c r="C166" s="148"/>
      <c r="D166" s="148"/>
    </row>
    <row r="167" spans="1:4" s="23" customFormat="1" ht="20.399999999999999" x14ac:dyDescent="0.3">
      <c r="A167" s="87"/>
      <c r="C167" s="148"/>
      <c r="D167" s="148"/>
    </row>
    <row r="168" spans="1:4" s="23" customFormat="1" ht="20.399999999999999" x14ac:dyDescent="0.3">
      <c r="A168" s="87"/>
      <c r="C168" s="148"/>
      <c r="D168" s="148"/>
    </row>
    <row r="169" spans="1:4" s="23" customFormat="1" ht="20.399999999999999" x14ac:dyDescent="0.3">
      <c r="A169" s="87"/>
      <c r="C169" s="148"/>
      <c r="D169" s="148"/>
    </row>
    <row r="170" spans="1:4" s="23" customFormat="1" ht="20.399999999999999" x14ac:dyDescent="0.3">
      <c r="A170" s="87"/>
      <c r="C170" s="148"/>
      <c r="D170" s="148"/>
    </row>
    <row r="171" spans="1:4" s="23" customFormat="1" ht="20.399999999999999" x14ac:dyDescent="0.3">
      <c r="A171" s="87"/>
      <c r="C171" s="148"/>
      <c r="D171" s="148"/>
    </row>
    <row r="172" spans="1:4" s="23" customFormat="1" ht="20.399999999999999" x14ac:dyDescent="0.3">
      <c r="A172" s="87"/>
      <c r="C172" s="148"/>
      <c r="D172" s="148"/>
    </row>
    <row r="173" spans="1:4" s="23" customFormat="1" ht="20.399999999999999" x14ac:dyDescent="0.3">
      <c r="A173" s="87"/>
      <c r="C173" s="148"/>
      <c r="D173" s="148"/>
    </row>
    <row r="174" spans="1:4" s="23" customFormat="1" ht="20.399999999999999" x14ac:dyDescent="0.3">
      <c r="A174" s="87"/>
      <c r="C174" s="148"/>
      <c r="D174" s="148"/>
    </row>
    <row r="175" spans="1:4" s="23" customFormat="1" ht="20.399999999999999" x14ac:dyDescent="0.3">
      <c r="A175" s="87"/>
      <c r="C175" s="148"/>
      <c r="D175" s="148"/>
    </row>
    <row r="176" spans="1:4" s="23" customFormat="1" ht="20.399999999999999" x14ac:dyDescent="0.3">
      <c r="A176" s="87"/>
      <c r="C176" s="148"/>
      <c r="D176" s="148"/>
    </row>
    <row r="177" spans="1:4" s="23" customFormat="1" ht="20.399999999999999" x14ac:dyDescent="0.3">
      <c r="A177" s="87"/>
      <c r="C177" s="148"/>
      <c r="D177" s="148"/>
    </row>
    <row r="178" spans="1:4" s="23" customFormat="1" ht="20.399999999999999" x14ac:dyDescent="0.3">
      <c r="A178" s="87"/>
      <c r="C178" s="148"/>
      <c r="D178" s="148"/>
    </row>
    <row r="179" spans="1:4" s="23" customFormat="1" ht="20.399999999999999" x14ac:dyDescent="0.3">
      <c r="A179" s="87"/>
      <c r="C179" s="148"/>
      <c r="D179" s="148"/>
    </row>
    <row r="180" spans="1:4" s="23" customFormat="1" ht="20.399999999999999" x14ac:dyDescent="0.3">
      <c r="A180" s="87"/>
      <c r="C180" s="148"/>
      <c r="D180" s="148"/>
    </row>
    <row r="181" spans="1:4" s="23" customFormat="1" ht="20.399999999999999" x14ac:dyDescent="0.3">
      <c r="A181" s="87"/>
      <c r="C181" s="148"/>
      <c r="D181" s="148"/>
    </row>
    <row r="182" spans="1:4" s="23" customFormat="1" ht="20.399999999999999" x14ac:dyDescent="0.3">
      <c r="A182" s="87"/>
      <c r="C182" s="148"/>
      <c r="D182" s="148"/>
    </row>
    <row r="183" spans="1:4" s="23" customFormat="1" ht="20.399999999999999" x14ac:dyDescent="0.3">
      <c r="A183" s="87"/>
      <c r="C183" s="148"/>
      <c r="D183" s="148"/>
    </row>
    <row r="184" spans="1:4" s="23" customFormat="1" ht="20.399999999999999" x14ac:dyDescent="0.3">
      <c r="A184" s="87"/>
      <c r="C184" s="148"/>
      <c r="D184" s="148"/>
    </row>
    <row r="185" spans="1:4" s="23" customFormat="1" ht="20.399999999999999" x14ac:dyDescent="0.3">
      <c r="A185" s="87"/>
      <c r="C185" s="148"/>
      <c r="D185" s="148"/>
    </row>
    <row r="186" spans="1:4" s="23" customFormat="1" ht="20.399999999999999" x14ac:dyDescent="0.3">
      <c r="A186" s="87"/>
      <c r="C186" s="148"/>
      <c r="D186" s="148"/>
    </row>
    <row r="187" spans="1:4" s="23" customFormat="1" ht="20.399999999999999" x14ac:dyDescent="0.3">
      <c r="A187" s="87"/>
      <c r="C187" s="148"/>
      <c r="D187" s="148"/>
    </row>
    <row r="188" spans="1:4" s="23" customFormat="1" ht="20.399999999999999" x14ac:dyDescent="0.3">
      <c r="A188" s="87"/>
      <c r="C188" s="148"/>
      <c r="D188" s="148"/>
    </row>
    <row r="189" spans="1:4" s="23" customFormat="1" ht="20.399999999999999" x14ac:dyDescent="0.3">
      <c r="A189" s="87"/>
      <c r="C189" s="148"/>
      <c r="D189" s="148"/>
    </row>
    <row r="190" spans="1:4" s="23" customFormat="1" ht="20.399999999999999" x14ac:dyDescent="0.3">
      <c r="A190" s="87"/>
      <c r="C190" s="148"/>
      <c r="D190" s="148"/>
    </row>
    <row r="191" spans="1:4" s="23" customFormat="1" ht="20.399999999999999" x14ac:dyDescent="0.3">
      <c r="A191" s="87"/>
      <c r="C191" s="148"/>
      <c r="D191" s="148"/>
    </row>
    <row r="192" spans="1:4" s="23" customFormat="1" ht="20.399999999999999" x14ac:dyDescent="0.3">
      <c r="A192" s="87"/>
      <c r="C192" s="148"/>
      <c r="D192" s="148"/>
    </row>
    <row r="193" spans="1:4" s="23" customFormat="1" ht="20.399999999999999" x14ac:dyDescent="0.3">
      <c r="A193" s="87"/>
      <c r="C193" s="148"/>
      <c r="D193" s="148"/>
    </row>
    <row r="194" spans="1:4" s="23" customFormat="1" ht="20.399999999999999" x14ac:dyDescent="0.3">
      <c r="A194" s="87"/>
      <c r="C194" s="148"/>
      <c r="D194" s="148"/>
    </row>
    <row r="195" spans="1:4" s="23" customFormat="1" ht="20.399999999999999" x14ac:dyDescent="0.3">
      <c r="A195" s="87"/>
      <c r="C195" s="148"/>
      <c r="D195" s="148"/>
    </row>
    <row r="196" spans="1:4" s="23" customFormat="1" ht="20.399999999999999" x14ac:dyDescent="0.3">
      <c r="A196" s="87"/>
      <c r="C196" s="148"/>
      <c r="D196" s="148"/>
    </row>
    <row r="197" spans="1:4" s="23" customFormat="1" ht="20.399999999999999" x14ac:dyDescent="0.3">
      <c r="A197" s="87"/>
      <c r="C197" s="148"/>
      <c r="D197" s="148"/>
    </row>
    <row r="198" spans="1:4" s="23" customFormat="1" ht="20.399999999999999" x14ac:dyDescent="0.3">
      <c r="A198" s="87"/>
      <c r="C198" s="148"/>
      <c r="D198" s="148"/>
    </row>
    <row r="199" spans="1:4" s="23" customFormat="1" ht="20.399999999999999" x14ac:dyDescent="0.3">
      <c r="A199" s="87"/>
      <c r="C199" s="148"/>
      <c r="D199" s="148"/>
    </row>
    <row r="200" spans="1:4" s="23" customFormat="1" ht="20.399999999999999" x14ac:dyDescent="0.3">
      <c r="A200" s="87"/>
      <c r="C200" s="148"/>
      <c r="D200" s="148"/>
    </row>
    <row r="201" spans="1:4" s="23" customFormat="1" ht="20.399999999999999" x14ac:dyDescent="0.3">
      <c r="A201" s="87"/>
      <c r="C201" s="148"/>
      <c r="D201" s="148"/>
    </row>
    <row r="202" spans="1:4" s="23" customFormat="1" ht="20.399999999999999" x14ac:dyDescent="0.3">
      <c r="A202" s="87"/>
      <c r="C202" s="148"/>
      <c r="D202" s="148"/>
    </row>
    <row r="203" spans="1:4" s="23" customFormat="1" ht="20.399999999999999" x14ac:dyDescent="0.3">
      <c r="A203" s="87"/>
      <c r="C203" s="148"/>
      <c r="D203" s="148"/>
    </row>
    <row r="204" spans="1:4" s="23" customFormat="1" ht="20.399999999999999" x14ac:dyDescent="0.3">
      <c r="A204" s="87"/>
      <c r="C204" s="148"/>
      <c r="D204" s="148"/>
    </row>
    <row r="205" spans="1:4" s="23" customFormat="1" ht="20.399999999999999" x14ac:dyDescent="0.3">
      <c r="A205" s="87"/>
      <c r="C205" s="148"/>
      <c r="D205" s="148"/>
    </row>
    <row r="206" spans="1:4" s="23" customFormat="1" ht="20.399999999999999" x14ac:dyDescent="0.3">
      <c r="A206" s="87"/>
      <c r="C206" s="148"/>
      <c r="D206" s="148"/>
    </row>
    <row r="207" spans="1:4" s="23" customFormat="1" ht="20.399999999999999" x14ac:dyDescent="0.3">
      <c r="A207" s="87"/>
      <c r="C207" s="148"/>
      <c r="D207" s="148"/>
    </row>
    <row r="208" spans="1:4" s="23" customFormat="1" x14ac:dyDescent="0.3">
      <c r="A208" s="87"/>
    </row>
    <row r="209" spans="1:8" s="23" customFormat="1" ht="20.399999999999999" x14ac:dyDescent="0.3">
      <c r="A209" s="87"/>
      <c r="B209" s="149" t="s">
        <v>86</v>
      </c>
      <c r="C209" s="149" t="s">
        <v>139</v>
      </c>
      <c r="D209" s="150" t="s">
        <v>86</v>
      </c>
      <c r="E209" s="150" t="s">
        <v>139</v>
      </c>
    </row>
    <row r="210" spans="1:8" s="23" customFormat="1" ht="42" x14ac:dyDescent="0.4">
      <c r="A210" s="87"/>
      <c r="B210" s="151" t="s">
        <v>88</v>
      </c>
      <c r="C210" s="151" t="s">
        <v>204</v>
      </c>
      <c r="D210" s="23" t="s">
        <v>88</v>
      </c>
      <c r="F210" s="23" t="str">
        <f>IF(NOT(ISBLANK(D210)),D210,IF(NOT(ISBLANK(E210)),"     "&amp;E210,FALSE))</f>
        <v>Afectación Económica o presupuestal</v>
      </c>
      <c r="G210" s="23" t="s">
        <v>88</v>
      </c>
      <c r="H210" s="23" t="str">
        <f>IF(NOT(ISERROR(MATCH(G210,_xlfn.ANCHORARRAY(B221),0))),F223&amp;"Por favor no seleccionar los criterios de impacto",G210)</f>
        <v>❌Por favor no seleccionar los criterios de impacto</v>
      </c>
    </row>
    <row r="211" spans="1:8" s="23" customFormat="1" ht="42" x14ac:dyDescent="0.4">
      <c r="A211" s="87"/>
      <c r="B211" s="151" t="s">
        <v>88</v>
      </c>
      <c r="C211" s="151" t="s">
        <v>205</v>
      </c>
      <c r="E211" s="23" t="s">
        <v>204</v>
      </c>
      <c r="F211" s="23" t="str">
        <f t="shared" ref="F211:F221" si="0">IF(NOT(ISBLANK(D211)),D211,IF(NOT(ISBLANK(E211)),"     "&amp;E211,FALSE))</f>
        <v xml:space="preserve">     Afectación menor a 200 SMLMV</v>
      </c>
    </row>
    <row r="212" spans="1:8" s="23" customFormat="1" ht="42" x14ac:dyDescent="0.4">
      <c r="A212" s="87"/>
      <c r="B212" s="151" t="s">
        <v>88</v>
      </c>
      <c r="C212" s="151" t="s">
        <v>209</v>
      </c>
      <c r="E212" s="23" t="s">
        <v>205</v>
      </c>
      <c r="F212" s="23" t="str">
        <f t="shared" si="0"/>
        <v xml:space="preserve">     Entre 200 y 1000 SMLMV</v>
      </c>
    </row>
    <row r="213" spans="1:8" s="23" customFormat="1" ht="42" x14ac:dyDescent="0.4">
      <c r="A213" s="87"/>
      <c r="B213" s="151" t="s">
        <v>88</v>
      </c>
      <c r="C213" s="151" t="s">
        <v>210</v>
      </c>
      <c r="E213" s="23" t="s">
        <v>209</v>
      </c>
      <c r="F213" s="23" t="str">
        <f t="shared" si="0"/>
        <v xml:space="preserve">     Entre 1000 y 5000 SMLMV </v>
      </c>
    </row>
    <row r="214" spans="1:8" s="23" customFormat="1" ht="42" x14ac:dyDescent="0.4">
      <c r="A214" s="87"/>
      <c r="B214" s="151" t="s">
        <v>88</v>
      </c>
      <c r="C214" s="151" t="s">
        <v>206</v>
      </c>
      <c r="E214" s="23" t="s">
        <v>210</v>
      </c>
      <c r="F214" s="23" t="str">
        <f t="shared" si="0"/>
        <v xml:space="preserve">     Entre 5000 y 10000 SMLMV</v>
      </c>
    </row>
    <row r="215" spans="1:8" s="23" customFormat="1" ht="21" x14ac:dyDescent="0.4">
      <c r="A215" s="87"/>
      <c r="B215" s="151" t="s">
        <v>56</v>
      </c>
      <c r="C215" s="151" t="s">
        <v>91</v>
      </c>
      <c r="E215" s="23" t="s">
        <v>206</v>
      </c>
      <c r="F215" s="23" t="str">
        <f t="shared" si="0"/>
        <v xml:space="preserve">     Mayor a 10000 SMLMV</v>
      </c>
    </row>
    <row r="216" spans="1:8" s="23" customFormat="1" ht="63" x14ac:dyDescent="0.4">
      <c r="A216" s="87"/>
      <c r="B216" s="151" t="s">
        <v>56</v>
      </c>
      <c r="C216" s="151" t="s">
        <v>92</v>
      </c>
      <c r="D216" s="23" t="s">
        <v>56</v>
      </c>
      <c r="F216" s="23" t="str">
        <f t="shared" si="0"/>
        <v>Pérdida Reputacional</v>
      </c>
    </row>
    <row r="217" spans="1:8" s="23" customFormat="1" ht="42" x14ac:dyDescent="0.4">
      <c r="A217" s="87"/>
      <c r="B217" s="151" t="s">
        <v>56</v>
      </c>
      <c r="C217" s="151" t="s">
        <v>94</v>
      </c>
      <c r="E217" s="23" t="s">
        <v>91</v>
      </c>
      <c r="F217" s="23" t="str">
        <f>IF(NOT(ISBLANK(D217)),D217,IF(NOT(ISBLANK(E217)),"     "&amp;E217,FALSE))</f>
        <v xml:space="preserve">     El riesgo afecta la imagen de alguna área de la organización</v>
      </c>
    </row>
    <row r="218" spans="1:8" s="23" customFormat="1" ht="63" x14ac:dyDescent="0.4">
      <c r="A218" s="87"/>
      <c r="B218" s="151" t="s">
        <v>56</v>
      </c>
      <c r="C218" s="151" t="s">
        <v>93</v>
      </c>
      <c r="E218" s="23" t="s">
        <v>92</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51" t="s">
        <v>56</v>
      </c>
      <c r="C219" s="151" t="s">
        <v>112</v>
      </c>
      <c r="E219" s="23" t="s">
        <v>94</v>
      </c>
      <c r="F219" s="23" t="str">
        <f t="shared" si="0"/>
        <v xml:space="preserve">     El riesgo afecta la imagen de la entidad con algunos usuarios de relevancia frente al logro de los objetivos</v>
      </c>
    </row>
    <row r="220" spans="1:8" s="23" customFormat="1" x14ac:dyDescent="0.3">
      <c r="A220" s="87"/>
      <c r="E220" s="23" t="s">
        <v>93</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112</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52" t="s">
        <v>140</v>
      </c>
    </row>
    <row r="224" spans="1:8" s="23" customFormat="1" x14ac:dyDescent="0.3">
      <c r="F224" s="152" t="s">
        <v>141</v>
      </c>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13" workbookViewId="0">
      <selection activeCell="E16" sqref="E16"/>
    </sheetView>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596" t="s">
        <v>76</v>
      </c>
      <c r="C1" s="597"/>
      <c r="D1" s="597"/>
      <c r="E1" s="597"/>
      <c r="F1" s="598"/>
    </row>
    <row r="2" spans="2:6" ht="16.2" thickBot="1" x14ac:dyDescent="0.35">
      <c r="B2" s="73"/>
      <c r="C2" s="73"/>
      <c r="D2" s="73"/>
      <c r="E2" s="73"/>
      <c r="F2" s="73"/>
    </row>
    <row r="3" spans="2:6" ht="16.2" thickBot="1" x14ac:dyDescent="0.35">
      <c r="B3" s="600" t="s">
        <v>62</v>
      </c>
      <c r="C3" s="601"/>
      <c r="D3" s="601"/>
      <c r="E3" s="85" t="s">
        <v>63</v>
      </c>
      <c r="F3" s="86" t="s">
        <v>64</v>
      </c>
    </row>
    <row r="4" spans="2:6" ht="31.2" x14ac:dyDescent="0.3">
      <c r="B4" s="602" t="s">
        <v>65</v>
      </c>
      <c r="C4" s="604" t="s">
        <v>13</v>
      </c>
      <c r="D4" s="74" t="s">
        <v>14</v>
      </c>
      <c r="E4" s="75" t="s">
        <v>66</v>
      </c>
      <c r="F4" s="76">
        <v>0.25</v>
      </c>
    </row>
    <row r="5" spans="2:6" ht="46.8" x14ac:dyDescent="0.3">
      <c r="B5" s="603"/>
      <c r="C5" s="605"/>
      <c r="D5" s="77" t="s">
        <v>15</v>
      </c>
      <c r="E5" s="78" t="s">
        <v>67</v>
      </c>
      <c r="F5" s="79">
        <v>0.15</v>
      </c>
    </row>
    <row r="6" spans="2:6" ht="46.8" x14ac:dyDescent="0.3">
      <c r="B6" s="603"/>
      <c r="C6" s="605"/>
      <c r="D6" s="77" t="s">
        <v>16</v>
      </c>
      <c r="E6" s="78" t="s">
        <v>68</v>
      </c>
      <c r="F6" s="79">
        <v>0.1</v>
      </c>
    </row>
    <row r="7" spans="2:6" ht="62.4" x14ac:dyDescent="0.3">
      <c r="B7" s="603"/>
      <c r="C7" s="605" t="s">
        <v>17</v>
      </c>
      <c r="D7" s="77" t="s">
        <v>10</v>
      </c>
      <c r="E7" s="78" t="s">
        <v>69</v>
      </c>
      <c r="F7" s="79">
        <v>0.25</v>
      </c>
    </row>
    <row r="8" spans="2:6" ht="31.2" x14ac:dyDescent="0.3">
      <c r="B8" s="603"/>
      <c r="C8" s="605"/>
      <c r="D8" s="77" t="s">
        <v>9</v>
      </c>
      <c r="E8" s="78" t="s">
        <v>70</v>
      </c>
      <c r="F8" s="79">
        <v>0.15</v>
      </c>
    </row>
    <row r="9" spans="2:6" ht="46.8" x14ac:dyDescent="0.3">
      <c r="B9" s="603" t="s">
        <v>150</v>
      </c>
      <c r="C9" s="605" t="s">
        <v>18</v>
      </c>
      <c r="D9" s="77" t="s">
        <v>19</v>
      </c>
      <c r="E9" s="78" t="s">
        <v>71</v>
      </c>
      <c r="F9" s="80" t="s">
        <v>72</v>
      </c>
    </row>
    <row r="10" spans="2:6" ht="46.8" x14ac:dyDescent="0.3">
      <c r="B10" s="603"/>
      <c r="C10" s="605"/>
      <c r="D10" s="77" t="s">
        <v>20</v>
      </c>
      <c r="E10" s="78" t="s">
        <v>73</v>
      </c>
      <c r="F10" s="80" t="s">
        <v>72</v>
      </c>
    </row>
    <row r="11" spans="2:6" ht="46.8" x14ac:dyDescent="0.3">
      <c r="B11" s="603"/>
      <c r="C11" s="605" t="s">
        <v>21</v>
      </c>
      <c r="D11" s="77" t="s">
        <v>22</v>
      </c>
      <c r="E11" s="78" t="s">
        <v>74</v>
      </c>
      <c r="F11" s="80" t="s">
        <v>72</v>
      </c>
    </row>
    <row r="12" spans="2:6" ht="46.8" x14ac:dyDescent="0.3">
      <c r="B12" s="603"/>
      <c r="C12" s="605"/>
      <c r="D12" s="77" t="s">
        <v>23</v>
      </c>
      <c r="E12" s="78" t="s">
        <v>75</v>
      </c>
      <c r="F12" s="80" t="s">
        <v>72</v>
      </c>
    </row>
    <row r="13" spans="2:6" ht="31.2" x14ac:dyDescent="0.3">
      <c r="B13" s="603"/>
      <c r="C13" s="605" t="s">
        <v>24</v>
      </c>
      <c r="D13" s="77" t="s">
        <v>113</v>
      </c>
      <c r="E13" s="78" t="s">
        <v>116</v>
      </c>
      <c r="F13" s="80" t="s">
        <v>72</v>
      </c>
    </row>
    <row r="14" spans="2:6" ht="16.2" thickBot="1" x14ac:dyDescent="0.35">
      <c r="B14" s="606"/>
      <c r="C14" s="607"/>
      <c r="D14" s="81" t="s">
        <v>114</v>
      </c>
      <c r="E14" s="82" t="s">
        <v>115</v>
      </c>
      <c r="F14" s="83" t="s">
        <v>72</v>
      </c>
    </row>
    <row r="15" spans="2:6" ht="49.5" customHeight="1" x14ac:dyDescent="0.3">
      <c r="B15" s="599" t="s">
        <v>147</v>
      </c>
      <c r="C15" s="599"/>
      <c r="D15" s="599"/>
      <c r="E15" s="599"/>
      <c r="F15" s="599"/>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92F0C-F1D1-4584-9AF2-6A75A507B749}">
  <dimension ref="A1"/>
  <sheetViews>
    <sheetView workbookViewId="0">
      <selection activeCell="K12" sqref="K12"/>
    </sheetView>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Dofa</vt:lpstr>
      <vt:lpstr>Matriz Calor Inherente</vt:lpstr>
      <vt:lpstr>Matriz Calor Residual</vt:lpstr>
      <vt:lpstr>Tabla probabilidad</vt:lpstr>
      <vt:lpstr>Tabla Impacto</vt:lpstr>
      <vt:lpstr>Tabla Valoración controles</vt:lpstr>
      <vt:lpstr>Hoja5</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2024-08-11T17:56:06Z</dcterms:modified>
</cp:coreProperties>
</file>