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LINA ALVAREZ/GESTION/"/>
    </mc:Choice>
  </mc:AlternateContent>
  <xr:revisionPtr revIDLastSave="0" documentId="14_{1168F48C-8B01-4803-A5ED-BC8EEA7F8872}" xr6:coauthVersionLast="47" xr6:coauthVersionMax="47" xr10:uidLastSave="{00000000-0000-0000-0000-000000000000}"/>
  <bookViews>
    <workbookView xWindow="-108" yWindow="-108" windowWidth="23256" windowHeight="12456" activeTab="9" xr2:uid="{00000000-000D-0000-FFFF-FFFF00000000}"/>
  </bookViews>
  <sheets>
    <sheet name="Intructivo" sheetId="20" r:id="rId1"/>
    <sheet name="Contexto" sheetId="21" r:id="rId2"/>
    <sheet name="Priorización de Causa" sheetId="25"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5"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6" i="25" l="1"/>
  <c r="S47" i="25" s="1"/>
  <c r="B1" i="25"/>
  <c r="S43" i="25"/>
  <c r="R43" i="25"/>
  <c r="S42" i="25"/>
  <c r="R42" i="25"/>
  <c r="S41" i="25"/>
  <c r="R41" i="25"/>
  <c r="S40" i="25"/>
  <c r="R40" i="25"/>
  <c r="S39" i="25"/>
  <c r="R39" i="25"/>
  <c r="S38" i="25"/>
  <c r="R38" i="25"/>
  <c r="S37" i="25"/>
  <c r="R37" i="25"/>
  <c r="S36" i="25"/>
  <c r="R36" i="25"/>
  <c r="S35" i="25"/>
  <c r="R35" i="25"/>
  <c r="S34" i="25"/>
  <c r="R34" i="25"/>
  <c r="S33" i="25"/>
  <c r="R33" i="25"/>
  <c r="S32" i="25"/>
  <c r="R32" i="25"/>
  <c r="S31" i="25"/>
  <c r="R31" i="25"/>
  <c r="S30" i="25"/>
  <c r="R30" i="25"/>
  <c r="S29" i="25"/>
  <c r="R29" i="25"/>
  <c r="S28" i="25"/>
  <c r="R28" i="25"/>
  <c r="S27" i="25"/>
  <c r="R27" i="25"/>
  <c r="S26" i="25"/>
  <c r="R26" i="25"/>
  <c r="S25" i="25"/>
  <c r="R25" i="25"/>
  <c r="S24" i="25"/>
  <c r="R24" i="25"/>
  <c r="S23" i="25"/>
  <c r="R23" i="25"/>
  <c r="S22" i="25"/>
  <c r="R22" i="25"/>
  <c r="S21" i="25"/>
  <c r="R21" i="25"/>
  <c r="S20" i="25"/>
  <c r="R20" i="25"/>
  <c r="S19" i="25"/>
  <c r="R19" i="25"/>
  <c r="S18" i="25"/>
  <c r="R18" i="25"/>
  <c r="S17" i="25"/>
  <c r="R17" i="25"/>
  <c r="S16" i="25"/>
  <c r="R16" i="25"/>
  <c r="S15" i="25"/>
  <c r="R15" i="25"/>
  <c r="S14" i="25"/>
  <c r="R14" i="25"/>
  <c r="S13" i="25"/>
  <c r="R13" i="25"/>
  <c r="S12" i="25"/>
  <c r="R12" i="25"/>
  <c r="S11" i="25"/>
  <c r="R11" i="25"/>
  <c r="A6" i="23" l="1"/>
  <c r="A1" i="23"/>
  <c r="G69" i="1" l="1"/>
  <c r="V18" i="1" l="1"/>
  <c r="S18" i="1"/>
  <c r="V17" i="1"/>
  <c r="S17"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6" i="1"/>
  <c r="S16" i="1"/>
  <c r="V15" i="1"/>
  <c r="S15" i="1"/>
  <c r="AD20" i="1" l="1"/>
  <c r="AC20" i="1" s="1"/>
  <c r="AD22" i="1"/>
  <c r="AC22" i="1" s="1"/>
  <c r="AD26" i="1"/>
  <c r="AC26" i="1" s="1"/>
  <c r="AD28" i="1"/>
  <c r="AC28" i="1" s="1"/>
  <c r="AD30" i="1"/>
  <c r="AC30" i="1" s="1"/>
  <c r="AD34" i="1"/>
  <c r="AC34" i="1" s="1"/>
  <c r="AD36" i="1"/>
  <c r="AC36" i="1" s="1"/>
  <c r="AD38" i="1"/>
  <c r="AC38" i="1" s="1"/>
  <c r="AD42" i="1"/>
  <c r="AC42" i="1" s="1"/>
  <c r="AD44" i="1"/>
  <c r="AC44" i="1" s="1"/>
  <c r="AD46" i="1"/>
  <c r="AC46" i="1" s="1"/>
  <c r="AD50" i="1"/>
  <c r="AC50" i="1" s="1"/>
  <c r="AD52" i="1"/>
  <c r="AC52" i="1" s="1"/>
  <c r="AD54" i="1"/>
  <c r="AC54" i="1" s="1"/>
  <c r="AD24" i="1"/>
  <c r="AC24" i="1" s="1"/>
  <c r="AD32" i="1"/>
  <c r="AC32" i="1" s="1"/>
  <c r="AD40" i="1"/>
  <c r="AC40" i="1" s="1"/>
  <c r="AD48" i="1"/>
  <c r="AC48" i="1" s="1"/>
  <c r="AD21" i="1"/>
  <c r="AC21" i="1" s="1"/>
  <c r="AD23" i="1"/>
  <c r="AC23" i="1" s="1"/>
  <c r="AD27" i="1"/>
  <c r="AC27" i="1" s="1"/>
  <c r="AD29" i="1"/>
  <c r="AC29" i="1" s="1"/>
  <c r="AD33" i="1"/>
  <c r="AC33" i="1" s="1"/>
  <c r="AD35" i="1"/>
  <c r="AC35" i="1" s="1"/>
  <c r="AD39" i="1"/>
  <c r="AC39" i="1" s="1"/>
  <c r="AD41" i="1"/>
  <c r="AC41" i="1" s="1"/>
  <c r="AD45" i="1"/>
  <c r="AC45" i="1" s="1"/>
  <c r="AD47" i="1"/>
  <c r="AC47" i="1" s="1"/>
  <c r="AD51" i="1"/>
  <c r="AC51" i="1" s="1"/>
  <c r="AD53" i="1"/>
  <c r="AC53" i="1" s="1"/>
  <c r="Z49" i="1"/>
  <c r="Z51" i="1"/>
  <c r="Z53" i="1"/>
  <c r="AD49" i="1"/>
  <c r="AC49" i="1" s="1"/>
  <c r="Z50" i="1"/>
  <c r="Z52" i="1"/>
  <c r="Z54" i="1"/>
  <c r="Z43" i="1"/>
  <c r="Z45" i="1"/>
  <c r="Z47" i="1"/>
  <c r="AD43" i="1"/>
  <c r="AC43" i="1" s="1"/>
  <c r="Z44" i="1"/>
  <c r="Z46" i="1"/>
  <c r="Z48" i="1"/>
  <c r="Z37" i="1"/>
  <c r="Z39" i="1"/>
  <c r="Z41" i="1"/>
  <c r="AD37" i="1"/>
  <c r="AC37" i="1" s="1"/>
  <c r="Z38" i="1"/>
  <c r="Z40" i="1"/>
  <c r="Z42" i="1"/>
  <c r="Z31" i="1"/>
  <c r="Z33" i="1"/>
  <c r="Z35" i="1"/>
  <c r="AD31" i="1"/>
  <c r="AC31" i="1" s="1"/>
  <c r="Z32" i="1"/>
  <c r="Z34" i="1"/>
  <c r="Z36" i="1"/>
  <c r="Z25" i="1"/>
  <c r="Z27" i="1"/>
  <c r="Z29" i="1"/>
  <c r="AD25" i="1"/>
  <c r="AC25" i="1" s="1"/>
  <c r="Z26" i="1"/>
  <c r="Z28" i="1"/>
  <c r="Z30" i="1"/>
  <c r="Z19" i="1"/>
  <c r="Z21" i="1"/>
  <c r="Z23" i="1"/>
  <c r="AD19" i="1"/>
  <c r="AC19" i="1" s="1"/>
  <c r="Z20" i="1"/>
  <c r="Z22" i="1"/>
  <c r="Z24" i="1"/>
  <c r="AB54" i="1" l="1"/>
  <c r="AA54" i="1"/>
  <c r="AE54" i="1" s="1"/>
  <c r="AB52" i="1"/>
  <c r="AA52" i="1"/>
  <c r="AE52" i="1" s="1"/>
  <c r="AB50" i="1"/>
  <c r="AA50" i="1"/>
  <c r="AE50" i="1" s="1"/>
  <c r="AB53" i="1"/>
  <c r="AA53" i="1"/>
  <c r="AE53" i="1" s="1"/>
  <c r="AB51" i="1"/>
  <c r="AA51" i="1"/>
  <c r="AE51" i="1" s="1"/>
  <c r="AB49" i="1"/>
  <c r="AA49" i="1"/>
  <c r="AE49" i="1" s="1"/>
  <c r="AB48" i="1"/>
  <c r="AA48" i="1"/>
  <c r="AE48" i="1" s="1"/>
  <c r="AB46" i="1"/>
  <c r="AA46" i="1"/>
  <c r="AE46" i="1" s="1"/>
  <c r="AB44" i="1"/>
  <c r="AA44" i="1"/>
  <c r="AE44" i="1" s="1"/>
  <c r="AB47" i="1"/>
  <c r="AA47" i="1"/>
  <c r="AE47" i="1" s="1"/>
  <c r="AB45" i="1"/>
  <c r="AA45" i="1"/>
  <c r="AE45" i="1" s="1"/>
  <c r="AB43" i="1"/>
  <c r="AA43" i="1"/>
  <c r="AE43" i="1" s="1"/>
  <c r="AB42" i="1"/>
  <c r="AA42" i="1"/>
  <c r="AE42" i="1" s="1"/>
  <c r="AB40" i="1"/>
  <c r="AA40" i="1"/>
  <c r="AE40" i="1" s="1"/>
  <c r="AB38" i="1"/>
  <c r="AA38" i="1"/>
  <c r="AE38" i="1" s="1"/>
  <c r="AB41" i="1"/>
  <c r="AA41" i="1"/>
  <c r="AE41" i="1" s="1"/>
  <c r="AB39" i="1"/>
  <c r="AA39" i="1"/>
  <c r="AE39" i="1" s="1"/>
  <c r="AB37" i="1"/>
  <c r="AA37" i="1"/>
  <c r="AE37" i="1" s="1"/>
  <c r="AB36" i="1"/>
  <c r="AA36" i="1"/>
  <c r="AE36" i="1" s="1"/>
  <c r="AB34" i="1"/>
  <c r="AA34" i="1"/>
  <c r="AE34" i="1" s="1"/>
  <c r="AB32" i="1"/>
  <c r="AA32" i="1"/>
  <c r="AE32" i="1" s="1"/>
  <c r="AB35" i="1"/>
  <c r="AA35" i="1"/>
  <c r="AE35" i="1" s="1"/>
  <c r="AB33" i="1"/>
  <c r="AA33" i="1"/>
  <c r="AE33" i="1" s="1"/>
  <c r="AB31" i="1"/>
  <c r="AA31" i="1"/>
  <c r="AE31" i="1" s="1"/>
  <c r="AB30" i="1"/>
  <c r="AA30" i="1"/>
  <c r="AE30" i="1" s="1"/>
  <c r="AB28" i="1"/>
  <c r="AA28" i="1"/>
  <c r="AE28" i="1" s="1"/>
  <c r="AB26" i="1"/>
  <c r="AA26" i="1"/>
  <c r="AE26" i="1" s="1"/>
  <c r="AB29" i="1"/>
  <c r="AA29" i="1"/>
  <c r="AE29" i="1" s="1"/>
  <c r="AB27" i="1"/>
  <c r="AA27" i="1"/>
  <c r="AE27" i="1" s="1"/>
  <c r="AB25" i="1"/>
  <c r="AA25" i="1"/>
  <c r="AE25" i="1" s="1"/>
  <c r="AB24" i="1"/>
  <c r="AA24" i="1"/>
  <c r="AE24" i="1" s="1"/>
  <c r="AB22" i="1"/>
  <c r="AA22" i="1"/>
  <c r="AE22" i="1" s="1"/>
  <c r="AB20" i="1"/>
  <c r="AA20" i="1"/>
  <c r="AE20" i="1" s="1"/>
  <c r="AA23" i="1"/>
  <c r="AE23" i="1" s="1"/>
  <c r="AB23" i="1"/>
  <c r="AA21" i="1"/>
  <c r="AE21" i="1" s="1"/>
  <c r="AB21" i="1"/>
  <c r="AB19" i="1"/>
  <c r="AA19" i="1"/>
  <c r="AE19" i="1" s="1"/>
  <c r="J10" i="1" l="1"/>
  <c r="J19" i="1"/>
  <c r="K19" i="1" s="1"/>
  <c r="J25" i="1"/>
  <c r="K25" i="1" s="1"/>
  <c r="J31" i="1"/>
  <c r="K31" i="1" s="1"/>
  <c r="J37" i="1"/>
  <c r="K37" i="1" s="1"/>
  <c r="J43" i="1"/>
  <c r="K43" i="1" s="1"/>
  <c r="J49" i="1"/>
  <c r="K49" i="1" s="1"/>
  <c r="V12" i="1"/>
  <c r="V13" i="1"/>
  <c r="V14" i="1"/>
  <c r="V11" i="1"/>
  <c r="M28" i="1"/>
  <c r="M32" i="1"/>
  <c r="M21" i="1"/>
  <c r="M54" i="1"/>
  <c r="M39" i="1"/>
  <c r="M26" i="1"/>
  <c r="M33" i="1"/>
  <c r="M48" i="1"/>
  <c r="M30" i="1"/>
  <c r="M47" i="1"/>
  <c r="M36" i="1"/>
  <c r="M53" i="1"/>
  <c r="M50" i="1"/>
  <c r="M52" i="1"/>
  <c r="M20" i="1"/>
  <c r="M45" i="1"/>
  <c r="M42" i="1"/>
  <c r="M35" i="1"/>
  <c r="M23" i="1"/>
  <c r="M40" i="1"/>
  <c r="M44" i="1"/>
  <c r="M34" i="1"/>
  <c r="M22" i="1"/>
  <c r="M24" i="1"/>
  <c r="M41" i="1"/>
  <c r="M46" i="1"/>
  <c r="M27" i="1"/>
  <c r="M29" i="1"/>
  <c r="M38" i="1"/>
  <c r="M51" i="1"/>
  <c r="S11" i="1" l="1"/>
  <c r="F217" i="13"/>
  <c r="S12" i="1"/>
  <c r="S13" i="1"/>
  <c r="S14" i="1"/>
  <c r="V10" i="1" l="1"/>
  <c r="S10" i="1"/>
  <c r="K10" i="1" l="1"/>
  <c r="M16" i="1"/>
  <c r="F221" i="13" l="1"/>
  <c r="F211" i="13"/>
  <c r="F212" i="13"/>
  <c r="F213" i="13"/>
  <c r="F214" i="13"/>
  <c r="F215" i="13"/>
  <c r="F216" i="13"/>
  <c r="F218" i="13"/>
  <c r="F219" i="13"/>
  <c r="F220" i="13"/>
  <c r="F210" i="13"/>
  <c r="M11" i="1"/>
  <c r="M14" i="1"/>
  <c r="B221" i="13" a="1"/>
  <c r="M12" i="1"/>
  <c r="M13"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5" i="1" l="1"/>
  <c r="K15" i="1" l="1"/>
  <c r="Z15" i="1" s="1"/>
  <c r="AA15" i="1" l="1"/>
  <c r="AB15" i="1"/>
  <c r="Z1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6" i="1" l="1"/>
  <c r="AB16" i="1"/>
  <c r="Z10" i="1"/>
  <c r="AA10" i="1" s="1"/>
  <c r="Z17" i="1" l="1"/>
  <c r="AB10" i="1"/>
  <c r="Z11" i="1" s="1"/>
  <c r="AB17" i="1" l="1"/>
  <c r="Z18" i="1" s="1"/>
  <c r="AA17" i="1"/>
  <c r="AB11" i="1"/>
  <c r="Z12" i="1" s="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8" i="1" l="1"/>
  <c r="AA18" i="1"/>
  <c r="AA12" i="1"/>
  <c r="AB12" i="1"/>
  <c r="Z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B14" i="1" l="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19" i="1" l="1"/>
  <c r="N19" i="1" s="1"/>
  <c r="M25" i="1"/>
  <c r="N25" i="1" s="1"/>
  <c r="M31" i="1"/>
  <c r="N31" i="1" s="1"/>
  <c r="M37" i="1"/>
  <c r="N37" i="1" s="1"/>
  <c r="M43" i="1"/>
  <c r="N43" i="1" s="1"/>
  <c r="M49" i="1"/>
  <c r="N49" i="1" s="1"/>
  <c r="M15" i="1"/>
  <c r="N15"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5" i="1"/>
  <c r="R30" i="18"/>
  <c r="AD38" i="18"/>
  <c r="AD22" i="18"/>
  <c r="O15" i="1"/>
  <c r="AD15" i="1" s="1"/>
  <c r="L30" i="18"/>
  <c r="AJ14" i="18"/>
  <c r="L14" i="18"/>
  <c r="X38" i="18"/>
  <c r="L22" i="18"/>
  <c r="AD30" i="18"/>
  <c r="AJ22" i="18"/>
  <c r="X14" i="18"/>
  <c r="X6" i="18"/>
  <c r="R22" i="18"/>
  <c r="L6" i="18"/>
  <c r="X22" i="18"/>
  <c r="O49" i="1"/>
  <c r="P49"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43" i="1"/>
  <c r="P43"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37" i="1"/>
  <c r="O37"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31" i="1"/>
  <c r="P31"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25" i="1"/>
  <c r="O25"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19" i="1"/>
  <c r="O19"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5" i="1" l="1"/>
  <c r="AE15" i="1" s="1"/>
  <c r="AD16" i="1"/>
  <c r="AD17" i="1" s="1"/>
  <c r="AC10" i="1"/>
  <c r="P36" i="19" s="1"/>
  <c r="AH27" i="19" l="1"/>
  <c r="J37" i="19"/>
  <c r="AB37" i="19"/>
  <c r="J27" i="19"/>
  <c r="AC17" i="1"/>
  <c r="AE17" i="1" s="1"/>
  <c r="AD18" i="1"/>
  <c r="AC18" i="1" s="1"/>
  <c r="AE18" i="1" s="1"/>
  <c r="P7" i="19"/>
  <c r="AH17" i="19"/>
  <c r="J17" i="19"/>
  <c r="V37" i="19"/>
  <c r="AB27" i="19"/>
  <c r="J7" i="19"/>
  <c r="AB17" i="19"/>
  <c r="P37" i="19"/>
  <c r="V27" i="19"/>
  <c r="V47" i="19"/>
  <c r="AH47" i="19"/>
  <c r="J47" i="19"/>
  <c r="V17" i="19"/>
  <c r="P17" i="19"/>
  <c r="AB47" i="19"/>
  <c r="AB7" i="19"/>
  <c r="P27" i="19"/>
  <c r="AH37" i="19"/>
  <c r="V7" i="19"/>
  <c r="P47" i="19"/>
  <c r="AH7" i="19"/>
  <c r="AC16" i="1"/>
  <c r="AE16" i="1" s="1"/>
  <c r="AB16" i="19"/>
  <c r="AH36" i="19"/>
  <c r="V46" i="19"/>
  <c r="AH46" i="19"/>
  <c r="J36" i="19"/>
  <c r="V16" i="19"/>
  <c r="AH26" i="19"/>
  <c r="AE10" i="1"/>
  <c r="AB26" i="19"/>
  <c r="J46" i="19"/>
  <c r="J16" i="19"/>
  <c r="AH6" i="19"/>
  <c r="AB36" i="19"/>
  <c r="J26" i="19"/>
  <c r="P26" i="19"/>
  <c r="AB46" i="19"/>
  <c r="P6" i="19"/>
  <c r="AH16" i="19"/>
  <c r="P46" i="19"/>
  <c r="AB6" i="19"/>
  <c r="V26" i="19"/>
  <c r="J6" i="19"/>
  <c r="P16" i="19"/>
  <c r="V36" i="19"/>
  <c r="J29" i="19"/>
  <c r="J19" i="19"/>
  <c r="V29" i="19"/>
  <c r="AH9" i="19"/>
  <c r="AI19" i="19"/>
  <c r="AB19" i="19"/>
  <c r="V9" i="19"/>
  <c r="AH29" i="19"/>
  <c r="V39" i="19"/>
  <c r="AB9" i="19"/>
  <c r="V19" i="19"/>
  <c r="P9" i="19"/>
  <c r="AH39" i="19"/>
  <c r="P39" i="19"/>
  <c r="V49" i="19"/>
  <c r="P19" i="19"/>
  <c r="AB39" i="19"/>
  <c r="AH49" i="19"/>
  <c r="J49" i="19"/>
  <c r="J9" i="19"/>
  <c r="J39" i="19"/>
  <c r="AB29" i="19"/>
  <c r="P49" i="19"/>
  <c r="AB49" i="19"/>
  <c r="P29" i="19"/>
  <c r="AH19" i="19"/>
  <c r="V6" i="19"/>
  <c r="AC11" i="1"/>
  <c r="AD12" i="1"/>
  <c r="AC39" i="19" l="1"/>
  <c r="AI39" i="19"/>
  <c r="K39" i="19"/>
  <c r="AC49" i="19"/>
  <c r="Q39" i="19"/>
  <c r="Q29" i="19"/>
  <c r="AI29" i="19"/>
  <c r="AC9" i="19"/>
  <c r="W49" i="19"/>
  <c r="Q19" i="19"/>
  <c r="Q49" i="19"/>
  <c r="AI9" i="19"/>
  <c r="Q9" i="19"/>
  <c r="K49" i="19"/>
  <c r="K19" i="19"/>
  <c r="AC19" i="19"/>
  <c r="W9" i="19"/>
  <c r="K29" i="19"/>
  <c r="W29" i="19"/>
  <c r="W19" i="19"/>
  <c r="AC29" i="19"/>
  <c r="K9" i="19"/>
  <c r="AI49" i="19"/>
  <c r="W39" i="19"/>
  <c r="W37" i="19"/>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R19" i="19" l="1"/>
  <c r="AJ49" i="19"/>
  <c r="L9" i="19"/>
  <c r="X9" i="19"/>
  <c r="AJ39" i="19"/>
  <c r="AJ19" i="19"/>
  <c r="X49" i="19"/>
  <c r="AD19" i="19"/>
  <c r="AD29" i="19"/>
  <c r="AJ9" i="19"/>
  <c r="X39" i="19"/>
  <c r="X19" i="19"/>
  <c r="AD39" i="19"/>
  <c r="R9" i="19"/>
  <c r="L19" i="19"/>
  <c r="AJ29" i="19"/>
  <c r="L29" i="19"/>
  <c r="L49" i="19"/>
  <c r="R49" i="19"/>
  <c r="R29" i="19"/>
  <c r="R39" i="19"/>
  <c r="AD49" i="19"/>
  <c r="L39" i="19"/>
  <c r="AD9" i="19"/>
  <c r="X29" i="19"/>
  <c r="Y39" i="19"/>
  <c r="Y29" i="19"/>
  <c r="AK49" i="19"/>
  <c r="M9" i="19"/>
  <c r="AK29" i="19"/>
  <c r="AK39" i="19"/>
  <c r="S19" i="19"/>
  <c r="S29" i="19"/>
  <c r="M19" i="19"/>
  <c r="AE9" i="19"/>
  <c r="AE39" i="19"/>
  <c r="S39" i="19"/>
  <c r="M39" i="19"/>
  <c r="S49" i="19"/>
  <c r="M49" i="19"/>
  <c r="AK9" i="19"/>
  <c r="AE49" i="19"/>
  <c r="AE19" i="19"/>
  <c r="Y19" i="19"/>
  <c r="AK19" i="19"/>
  <c r="S9" i="19"/>
  <c r="Y9" i="19"/>
  <c r="AE29" i="19"/>
  <c r="M29" i="19"/>
  <c r="Y49" i="19"/>
  <c r="AJ7" i="19"/>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R10" authorId="0" shapeId="0" xr:uid="{00000000-0006-0000-0100-000001000000}">
      <text>
        <r>
          <rPr>
            <b/>
            <sz val="9"/>
            <color indexed="81"/>
            <rFont val="Tahoma"/>
            <family val="2"/>
          </rPr>
          <t>ACER:</t>
        </r>
        <r>
          <rPr>
            <sz val="9"/>
            <color indexed="81"/>
            <rFont val="Tahoma"/>
            <family val="2"/>
          </rPr>
          <t xml:space="preserve">
Documentar</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<sst xmlns="http://schemas.openxmlformats.org/spreadsheetml/2006/main" count="635" uniqueCount="429">
  <si>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</si>
  <si>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</si>
  <si>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</si>
  <si>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</si>
  <si>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</si>
  <si>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</si>
  <si>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</si>
  <si>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</si>
  <si>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</si>
  <si>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</si>
  <si>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</si>
  <si>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</si>
  <si>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</si>
  <si>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</si>
  <si>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</si>
  <si>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</si>
  <si>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</si>
  <si>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</si>
  <si>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</si>
  <si>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</si>
  <si>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</si>
  <si>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</si>
  <si>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</si>
  <si>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</si>
  <si>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</si>
  <si>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</si>
  <si>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</si>
  <si>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</si>
  <si>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</si>
  <si>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</si>
  <si>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</si>
  <si>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</si>
  <si>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</si>
  <si>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</si>
  <si>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</si>
  <si>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</si>
  <si>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</si>
  <si>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</si>
  <si>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</si>
  <si>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</si>
  <si>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</si>
  <si>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</si>
  <si>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</si>
  <si>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</si>
  <si>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</si>
  <si>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</si>
  <si>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</si>
  <si>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</si>
  <si>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</si>
  <si>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</si>
  <si>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</si>
  <si>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</si>
  <si>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</si>
  <si>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</si>
  <si>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</si>
  <si>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</si>
  <si>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</si>
  <si>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</si>
  <si>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</si>
  <si>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</si>
  <si>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</si>
  <si>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</si>
  <si>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</si>
  <si>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</si>
  <si>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</si>
  <si>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</si>
  <si>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</si>
  <si>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</si>
  <si>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</si>
  <si>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</si>
  <si>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</si>
  <si>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</si>
  <si>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</si>
  <si>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</si>
  <si>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</si>
  <si>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</si>
  <si>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</si>
  <si>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</si>
  <si>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</si>
  <si>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</si>
  <si>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</si>
  <si>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</si>
  <si>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</si>
  <si>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</si>
  <si>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</si>
  <si>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</si>
  <si>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</si>
  <si>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</si>
  <si>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</si>
  <si>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</si>
  <si>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</si>
  <si>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</si>
  <si>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</si>
  <si>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</si>
  <si>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</si>
  <si>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</si>
  <si>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</si>
  <si>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</si>
  <si>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</si>
  <si>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</si>
  <si>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</si>
  <si>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</si>
  <si>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</si>
  <si>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</si>
  <si>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</si>
  <si>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</si>
  <si>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</si>
  <si>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</si>
  <si>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</si>
  <si>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</si>
  <si>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</si>
  <si>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</si>
  <si>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</si>
  <si>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</si>
  <si>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</si>
  <si>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</si>
  <si>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</si>
  <si>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</si>
  <si>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</si>
  <si>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</si>
  <si>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</si>
  <si>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</si>
  <si>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</si>
  <si>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</si>
  <si>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</si>
  <si>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</si>
  <si>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</si>
  <si>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</si>
  <si>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</si>
  <si>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</si>
  <si>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</si>
  <si>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</si>
  <si>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</si>
  <si>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</si>
  <si>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</si>
  <si>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</si>
  <si>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</si>
  <si>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</si>
  <si>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</si>
  <si>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</si>
  <si>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</si>
  <si>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</si>
  <si>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</si>
  <si>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</si>
  <si>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</si>
  <si>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</si>
  <si>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</si>
  <si>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</si>
  <si>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</si>
  <si>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</si>
  <si>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</si>
  <si>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</si>
  <si>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</si>
  <si>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</si>
  <si>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</si>
  <si>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</si>
  <si>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</si>
  <si>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</si>
  <si>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</si>
  <si>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</si>
  <si>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</si>
  <si>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</si>
  <si>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</si>
  <si>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</si>
  <si>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</si>
  <si>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</si>
  <si>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</si>
  <si>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</si>
  <si>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</si>
  <si>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</si>
  <si>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</si>
  <si>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</si>
  <si>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</si>
  <si>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</si>
  <si>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</si>
  <si>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</si>
  <si>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</si>
  <si>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</si>
  <si>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</si>
  <si>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</si>
  <si>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</si>
  <si>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</si>
  <si>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</si>
  <si>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</si>
  <si>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</si>
  <si>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</si>
  <si>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</si>
  <si>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</si>
  <si>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</si>
  <si>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</si>
  <si>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</si>
  <si>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</si>
  <si>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</si>
  <si>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</si>
  <si>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</si>
  <si>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</si>
  <si>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</si>
  <si>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</si>
  <si>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</si>
  <si>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</si>
  <si>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</si>
  <si>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</si>
  <si>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</si>
  <si>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</si>
  <si>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</si>
  <si>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</si>
  <si>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</si>
  <si>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</si>
  <si>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</si>
  <si>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</si>
  <si>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</si>
  <si>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</si>
  <si>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</si>
  <si>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</si>
  <si>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Incumplimiento de los requisitos de las normas HSEQ</t>
  </si>
  <si>
    <t>Inadecuada Gestión del Conocimiento</t>
  </si>
  <si>
    <t>Posibilidad de perdida reputacional por la cancelación o retiro de las certificaciones obtenidas debido al incumplimiento de los requisitos de las normas HSEQ.</t>
  </si>
  <si>
    <t xml:space="preserve">cancelación o retiro de las certificaciones obtenidas </t>
  </si>
  <si>
    <t>Incumplimiento de la estructura documental del instrutivo de Elaboración de Documentos del SIGAMI</t>
  </si>
  <si>
    <t xml:space="preserve">Constantes cambios en la normatividad </t>
  </si>
  <si>
    <t>multa o sanción de los entes reguladores</t>
  </si>
  <si>
    <t>SISTEMA INTEGRADO DE GESTIÓN</t>
  </si>
  <si>
    <t>INICIA DESDE LA PLANEACION DEL PROCESO, EL AFIANZAMIENTO DE LA CULTURA Y COMPROMISO ORGANIZACIONAL CON EL SIGAMI, HASTA LA CONSOLIDACIÓN DE LOS RESULTADOS DE LA MEDICIÓN Y SEGUIMIENTO DEL SISTEMA.</t>
  </si>
  <si>
    <t>Incumplimiento de los indicadores de Gestión</t>
  </si>
  <si>
    <t>Auditorías internas fuera de los parametros estabelcidos</t>
  </si>
  <si>
    <t>La directora(a) de Fortalecimiento Institucional junto con su equipo de trabajo trimestralmente consolida el reporte de indicadores y revisa el cumplimiento de las metas. Dejando como evidencia el tablero de indicadores de SIGAMI.</t>
  </si>
  <si>
    <t xml:space="preserve">La directora(a) de Fortalecimiento Institucional cada vez que se requiera, revisa que la Oficina de Control Interno dentro de su Programa Anual de Auditoría determine las fechas de las auditorías de gestión con el fin de realar adecuadamente la planeación de las mismas. </t>
  </si>
  <si>
    <t>La directora(a) de Fortalecimiento Institucional junto con su equipo de trabajo trimestralmente consolida el reporte de normograma y realiza el seguimiento aleatorio del cumplimiento de la normatividad. Dejando como evidencia actas de reunión y correos eléctronicos de retrolimentación</t>
  </si>
  <si>
    <t xml:space="preserve">Los Líderes de los Sistemas de Gestión y sus equipos de trabajo, anualmente verifican la apropición del Sistema Integrado de Gestión a través de las evaluación de impacto de los procesos de Inducción y reinducción a fin de identificar las fortalezas y debilidades del personal.  Dejando como evidencia el informe  de resultados.  </t>
  </si>
  <si>
    <t xml:space="preserve">La director(a) de Fortalecimiento Institucional presentará el reporte o semaforización de las entregas con el fin de los procesos que no hayan cumplido a cabalidad con las directrices impartidas realizcen las acciones correctivas necesarias. </t>
  </si>
  <si>
    <t>La director(a) de Fortalecimiento Instituciona</t>
  </si>
  <si>
    <t>Incumplimiento del plan de trabajo</t>
  </si>
  <si>
    <r>
      <rPr>
        <b/>
        <sz val="10"/>
        <color theme="9" tint="-0.249977111117893"/>
        <rFont val="Arial Narrow"/>
        <family val="2"/>
      </rPr>
      <t xml:space="preserve">*Nota: </t>
    </r>
    <r>
      <rPr>
        <sz val="10"/>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</si>
  <si>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Falta de compromiso, gestión y liderazgo en los diferentes sistemas que componen SIGAMI</t>
  </si>
  <si>
    <t>Desarrollo, implementación y seguimiento al plan de trabajo del Sistema de Salud y Seguridad en el Trabajo y Sistema de Gestión Ambiental.</t>
  </si>
  <si>
    <t>debido al incumplimiento de la normatividad vigente en Seguridad y Salud en el Trabajo y ambiente.</t>
  </si>
  <si>
    <t xml:space="preserve">Insuficiencia en el talento humano </t>
  </si>
  <si>
    <t>deficiente priorización en la gestión para el cumplimiento de los requisitos o necesidades en SST y Sistema de Gestión Ambiental</t>
  </si>
  <si>
    <t>Semestralmente el grupo de SST y/o el equipo líder del Sistema de Gestión Ambiental junto con la Dirección de Fortalecimiento Institucional realizarán seguimiento al plan anual de trabajo y a las acciones correctivas de las auditorías al Sistema Sistema de Seguridad y Salud en el Trabajo y del Sistema de gestión Ambiental para Verificar la eficacia de las mismas.</t>
  </si>
  <si>
    <t>Lider del Sistema de Seguridad y Salud en el trabajo y Líder del Sistema de Gestión Ambiental</t>
  </si>
  <si>
    <t>Semaforización presentada en comité SIGAMI</t>
  </si>
  <si>
    <t>reporte de indicadores</t>
  </si>
  <si>
    <t>reporte de riesgos de corrupción</t>
  </si>
  <si>
    <t>reporte de riesgos de gestión</t>
  </si>
  <si>
    <t>normograma</t>
  </si>
  <si>
    <t>salidas no conformes</t>
  </si>
  <si>
    <t>Auditorías</t>
  </si>
  <si>
    <t xml:space="preserve">Consolidación de Indicadores del Sistema Integrado de Gestión SIGAMI
Auditorías Internas - Seguimiento al cumplimiento de los requisitos de las Normas HSEQ
Consolidación y monitoreo a mapas de riesgos
Consolidación y seguimiento a normogramas </t>
  </si>
  <si>
    <t xml:space="preserve">La directora(a) de Fortalecimiento Institucional junto con su equipo de trabajo de manera permanente  antes de eliminar, actualizar o crear un documento SIGAMI, verifica que dichos documentos cumplna con la estructura documental determinada en el  procedimiento de control de documentos e instrutivo de Elaboración de Documentos del SIGAMI, con el proposito de determinar el cumplimiento de los requisitos establecidos para tal fin, Dejando como evidencia correos electrónicos o el listado maestro de documentos. Si un documento no cumple con los criterios establecidos, es devuelto para realizar las correcciones pertinentes </t>
  </si>
  <si>
    <t xml:space="preserve">
Posibilidad de perdida reputacional y afectación económica por multa o sanción de los entes reguladores debido al incumplimiento de la normatividad vigente en Seguridad y Salud en el Trabajo, y ambiente.</t>
  </si>
  <si>
    <t xml:space="preserve">Los líderes de los Sistemas de Seguridad y Salud en el Trabajo y el Sistema de Gestión Ambiental con los Profesionales designados, anualmente verifican la necesidad del talento humano en misión con el proposito de determinar los perfiles  requeridos para el buen funcionamiento de los Sistemas de SST y Gestión Ambiental y se incluye en el plan anual de adquisiciones de las dependencias, dejando como evidencia el plan anual de adquisiones. Si se presentan desviaciones, se solicitará actualización del plan de adquisiciones. </t>
  </si>
  <si>
    <t>Los líderes de los Sistemas de Seguridad y Salud en el Trabajo y el Sistema de Gestión Ambiental  mensualmente verifican el cumplimiento al plan de trabajo  respectivo, con el proposito de controlar las actividades definidas, dejando como evidencia las actas de reunión y los indicadores de Gestión del Sistema de Gestión de SST y Gestión Ambiental. Si se determinan actividades que ha pasado su fecha de ejecución, se realiza plan de choque para cumplir lo establecido.</t>
  </si>
  <si>
    <t>Los líderes de los Sistemas de Seguridad y Salud en el Trabajo y el Sistema de Gestión Ambiental con los Profesionales designados, trimestralmente realizan seguimiento al cumplimiento del Plan de Acción, con el propósito de validar el cumplimiento de las actividades definidas, dejando como evidencia actas de reunión. Si se determinan actividades que ha pasado su fecha de ejecución, se realiza plan de choque para cumplir lo establecido.</t>
  </si>
  <si>
    <t>El comité Institucional de Gestión y Desempeño, semestralmente verifica el cumplimiento de los planes de trabajo y revisan el cumplimiento de los indicadores de los objetivos, dejando como evidencia las actas de comité, con el propósito de validar el avance y mejora contínua del Sistema de Gestión HSEQ. Si se presentan desviaciones se generará un plan de acción con el fin de dar cumplimiento a lo establecido.</t>
  </si>
  <si>
    <t>Actas de reunion, Matriz de seguimiento a no conformidades de la auditoria Externa.</t>
  </si>
  <si>
    <t>1 de enero de 2024</t>
  </si>
  <si>
    <t>1 enero de 2024</t>
  </si>
  <si>
    <t xml:space="preserve">PROCESO: SISTEMA INTEGRADO DE GESTIÓN </t>
  </si>
  <si>
    <t>Codigo:FOR-029-PRO-SIG-01</t>
  </si>
  <si>
    <t>Versión: 01</t>
  </si>
  <si>
    <t>FORMATO: CONTEXTO ESTRATEGICO</t>
  </si>
  <si>
    <t>Fecha: 21/02/2024</t>
  </si>
  <si>
    <t>Pagina:  1 de 1</t>
  </si>
  <si>
    <t xml:space="preserve">CONTEXTO ESTRATEGICO </t>
  </si>
  <si>
    <t>FACTORES EXTERNOS</t>
  </si>
  <si>
    <t>CAUSAS</t>
  </si>
  <si>
    <t>FACTORES INTERNOS</t>
  </si>
  <si>
    <t>FACTORES DEL PROCESO</t>
  </si>
  <si>
    <t>SOCIALES Y CULTURALES</t>
  </si>
  <si>
    <t>POLÍTICOS</t>
  </si>
  <si>
    <t>TECNOLÓGICOS</t>
  </si>
  <si>
    <t>AMBIENTALES</t>
  </si>
  <si>
    <t>OTROS</t>
  </si>
  <si>
    <t>DESARROLLAR ACCIONES PARA LA IMPLEMENTACIÓN, SOSTENIBILIDAD Y MEJORA CONTINUA DEL SISTEMA INTEGRADO DE GESTIÓN DE LA ADMINISTRACIÓN MUNICIPAL DE IBAGUÉ “SIGAMI”, COMO HERRAMIENTA PARA LA TOMA DE DECISIONES Y EL CUMPLIMIENTO DE LA MISIÓN Y OBJETIVOS INSTITUCIONALES.</t>
  </si>
  <si>
    <t>FORMATO: PRIORIZACION DE CAUSAS (Amenazas y Debilidades)</t>
  </si>
  <si>
    <t>Fecha:21/02/2024</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</si>
  <si>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</si>
  <si>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</si>
  <si>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</si>
  <si>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</si>
  <si>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</si>
  <si>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</si>
  <si>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</si>
  <si>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</si>
  <si>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</si>
  <si>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</si>
  <si>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</si>
  <si>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</si>
  <si>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</si>
  <si>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</si>
  <si>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</si>
  <si>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</si>
  <si>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</si>
  <si>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</si>
  <si>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</si>
  <si>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</si>
  <si>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</si>
  <si>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r>
      <rPr>
        <b/>
        <sz val="11"/>
        <color theme="1"/>
        <rFont val="Arial"/>
        <family val="2"/>
      </rPr>
      <t xml:space="preserve">PROCESO: </t>
    </r>
    <r>
      <rPr>
        <sz val="11"/>
        <color theme="1"/>
        <rFont val="Arial"/>
        <family val="2"/>
      </rPr>
      <t>SISTEMA INTEGRADO DE GESTIÓN</t>
    </r>
  </si>
  <si>
    <r>
      <rPr>
        <b/>
        <sz val="11"/>
        <color theme="1"/>
        <rFont val="Arial"/>
        <family val="2"/>
      </rPr>
      <t>PROCESO:</t>
    </r>
    <r>
      <rPr>
        <sz val="11"/>
        <color theme="1"/>
        <rFont val="Arial"/>
        <family val="2"/>
      </rPr>
      <t xml:space="preserve"> SISTEMA INTEGRADO DE GESTIÓN</t>
    </r>
  </si>
  <si>
    <r>
      <rPr>
        <b/>
        <sz val="11"/>
        <color theme="1"/>
        <rFont val="Arial"/>
        <family val="2"/>
      </rPr>
      <t>OBJETIVO:</t>
    </r>
    <r>
      <rPr>
        <sz val="11"/>
        <color theme="1"/>
        <rFont val="Arial"/>
        <family val="2"/>
      </rPr>
      <t xml:space="preserve"> DESARROLLAR ACCIONES PARA LA IMPLEMENTACIÓN, SOSTENIBILIDAD Y MEJORA CONTINUA DEL SISTEMA INTEGRADO DE GESTIÓN DE LA ADMINISTRACIÓN MUNICIPAL DE IBAGUÉ “SIGAMI”, COMO HERRAMIENTA PARA LA TOMA DE DECISIONES Y EL CUMPLIMIENTO DE LA MISIÓN Y OBJETIVOS INSTITUCIONALES.</t>
    </r>
  </si>
  <si>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</si>
  <si>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</si>
  <si>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</si>
  <si>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</si>
  <si>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</si>
  <si>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</si>
  <si>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</si>
  <si>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</si>
  <si>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</si>
  <si>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</si>
  <si>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</si>
  <si>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</si>
  <si>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r>
      <rPr>
        <b/>
        <sz val="11"/>
        <color rgb="FF000000"/>
        <rFont val="Arial"/>
        <family val="2"/>
      </rPr>
      <t>OBJETIVO:</t>
    </r>
    <r>
      <rPr>
        <sz val="11"/>
        <color indexed="8"/>
        <rFont val="Arial"/>
        <family val="2"/>
      </rPr>
      <t xml:space="preserve"> DESARROLLAR ACCIONES PARA LA IMPLEMENTACIÓN, SOSTENIBILIDAD Y MEJORA CONTINUA DEL SISTEMA INTEGRADO DE GESTIÓN DE LA ADMINISTRACIÓN MUNICIPAL DE IBAGUÉ “SIGAMI”, COMO HERRAMIENTA PARA LA TOMA DE DECISIONES Y EL CUMPLIMIENTO DE LA MISIÓN Y OBJETIVOS INSTITUCIONALES.</t>
    </r>
  </si>
  <si>
    <t>30 de Diciembre de 2024</t>
  </si>
  <si>
    <t>LEGALES Y REGLAMENTARIOS</t>
  </si>
  <si>
    <t xml:space="preserve">Constantes cambios normativos externos </t>
  </si>
  <si>
    <t xml:space="preserve">Cambios de Gobierno </t>
  </si>
  <si>
    <t>Politicas publicas</t>
  </si>
  <si>
    <t>ECONÓMICOS Y FINANCIEROS</t>
  </si>
  <si>
    <t>Ausencia de disponibilidad de capital</t>
  </si>
  <si>
    <t xml:space="preserve">Afectacion del Orden Publico </t>
  </si>
  <si>
    <t>Constante evolucion  tecnologica</t>
  </si>
  <si>
    <t>Dificultad en el acceso a sistemas de informacion externos</t>
  </si>
  <si>
    <t>Dificultad en la implementacion de la politica de Gobierno Digital</t>
  </si>
  <si>
    <t xml:space="preserve">Interrupcion de los servicios publicos </t>
  </si>
  <si>
    <t>Malas practicas de la ciudadania que afectan el desarrollo sostenible</t>
  </si>
  <si>
    <t>Epidemias o pandemias</t>
  </si>
  <si>
    <t>Declaratoria de emergencias</t>
  </si>
  <si>
    <t>Falta de comuniacion acertiva con el ciudadano.</t>
  </si>
  <si>
    <t>PERSONAL DE LA ENTIDAD (Capacidad del personal, políticas de manejo del talento humano, idoneidad)</t>
  </si>
  <si>
    <t xml:space="preserve">Personal insuficiente para apoyar la totalidad de procesos </t>
  </si>
  <si>
    <t xml:space="preserve">Carencia de las competencias e idoneidad de algunas personas de planta y contratista para desarrollar la actividad </t>
  </si>
  <si>
    <t xml:space="preserve"> Ausencia de seguimiento a la publicación de las versiones de los documentos y formatos validados y aprobados por la Dirección de Fortalecimiento institucional y el comité de gestión y desempeño</t>
  </si>
  <si>
    <t>Ausencia de sentido de pertenencia y cultura ciudadana por parte de algunos servidores publicos</t>
  </si>
  <si>
    <t>FINANCIEROS</t>
  </si>
  <si>
    <t xml:space="preserve">Limitación presupuestal para el desarrollo del proceso </t>
  </si>
  <si>
    <t>Infraestructura inadecuada e insuficiente, falta de materiales, equipos y herramientas adecuadas para el desarrollo de los procesos</t>
  </si>
  <si>
    <t>PROCESOS OPERATIVOS</t>
  </si>
  <si>
    <t>Ejecucion de las actividades sin tener en cuenta la caracterizacion del proceso.</t>
  </si>
  <si>
    <t>TECNOLOGÍA (integridad de datos, disponibilidad de datos y sistemas, desarrollo, producción, mantenimiento de sistemas de información)</t>
  </si>
  <si>
    <t xml:space="preserve">Insuficiencia de equipos tecnologicos y obsolecencia de los mismos </t>
  </si>
  <si>
    <t>Sistemas de informacion no integrados</t>
  </si>
  <si>
    <t>Falta de apropiación o desconocimiento por parte de los funcionario de sistemas de información, plataformas y apliaciónes propias de la Administración</t>
  </si>
  <si>
    <t>ESTRATÉGICOS</t>
  </si>
  <si>
    <t>Dificultad para trabajar en equipo</t>
  </si>
  <si>
    <t>COMMUNICACIÓN INTERNA</t>
  </si>
  <si>
    <t>Dificultad en la comunicación entre los diferentes funcionarios y dependencias de la Administración</t>
  </si>
  <si>
    <t>Falta de apropiación por parte de los funcionarios de las diferentes políticas laborales y ambientales</t>
  </si>
  <si>
    <t>Falta de empoderamiento, compromiso y liderazgo por parte de la alta dirección o líderes de procesos ocasionando el no cumplimiento de las metas y afectación en el clima laboral</t>
  </si>
  <si>
    <t>INTERACCIÓN CON LOS PROCESOS</t>
  </si>
  <si>
    <t>Falta de claridad de los procedimientos con relacion a las actividades de la caracterización</t>
  </si>
  <si>
    <t xml:space="preserve">Dificultad de articulacion de los procesos internos para la toma de decisiones </t>
  </si>
  <si>
    <t>RESPONSABLES DEL PROCESO</t>
  </si>
  <si>
    <t>Falta de comunicación y control  para reportar las entradas y salidas de los diferentes procesos</t>
  </si>
  <si>
    <t>COMUNICACIÓN ENTRE LOS PROCESOS</t>
  </si>
  <si>
    <t>Reportes de información no enviados a tiempo por los diferentes procesos</t>
  </si>
  <si>
    <t>TRANSVERSALIDAD</t>
  </si>
  <si>
    <t>Incumplimiento de roles y objetivos de los procesos</t>
  </si>
  <si>
    <t>Desastres o catastrofes naturales</t>
  </si>
  <si>
    <t>Malas practicas de la ciudadanía que afectan el desarrollo sostenible</t>
  </si>
  <si>
    <t>Falta de apropiación o desconocimiento por parte de los funcionario de sistemas de información, plataformas y apliCaciónes propias de la Administración</t>
  </si>
  <si>
    <t>x</t>
  </si>
  <si>
    <t xml:space="preserve">Incumplimiento de roles y objetivos de los procesos </t>
  </si>
  <si>
    <t xml:space="preserve">1)Personal insuficiente para apoyar la totalidad de procesos </t>
  </si>
  <si>
    <t>1) Empoderamiento del alcalde frente al proceso</t>
  </si>
  <si>
    <t xml:space="preserve">2) Carencia de las competencias e idoneidad de algunas personas de planta y contratista para desarrollar la actividad </t>
  </si>
  <si>
    <t>2) Los procesos tienen sus Procedimientos y Riesgos identificados y documentados</t>
  </si>
  <si>
    <t>3) Ausencia de seguimiento a la publicación de las versiones de los documentos y formatos validados y aprobados por la Dirección de Fortalecimiento institucional y el comité de gestión y desempeño</t>
  </si>
  <si>
    <t xml:space="preserve">3) Se cuenta con un espacio dentro de la pagina de la entidad para publicacion y divulgacion de la informacion propia del proceso </t>
  </si>
  <si>
    <t>4) Ausencia de sentido de pertenencia y cultura ciudadana por parte de algunos servidores publicos</t>
  </si>
  <si>
    <t xml:space="preserve">4) Existe equipo multidisciplinario y cualificado para el correcto desarrollo de los diferentes sistemas </t>
  </si>
  <si>
    <t xml:space="preserve">5) Limitación presupuestal para el desarrollo del proceso </t>
  </si>
  <si>
    <t>5) Capacitación del talento humano en diferentes áreas</t>
  </si>
  <si>
    <t>6) Infraestructura inadecuada e insuficiente, falta de materiales, equipos y herramientas adecuadas para el desarrollo de los procesos</t>
  </si>
  <si>
    <t xml:space="preserve">6) Conocimiento de la entidad y documentacion de los procesos </t>
  </si>
  <si>
    <t xml:space="preserve">7) Insuficiencia de equipos tecnologicos y obsolecencia de los mismos </t>
  </si>
  <si>
    <t>7) Afianciamiento de actividades de socializacion y divulgacion del sistema para el personal de planta y contratista</t>
  </si>
  <si>
    <t>8) Falta de apropiación o desconocimiento por parte de los funcionario de sistemas de información, plataformas y apliaciónes propias de la Administración</t>
  </si>
  <si>
    <t xml:space="preserve">8) El sistema integrado de gestion se encuentra certificado </t>
  </si>
  <si>
    <t>10) Dificultad en la comunicación entre los diferentes funcionarios y dependencias de la Administración</t>
  </si>
  <si>
    <t>9) Se encuentra establecida la institucionalidad del sistema integrado de gestion y MIPG</t>
  </si>
  <si>
    <t>11) Falta de apropiación por parte de los funcionarios de las diferentes políticas laborales y ambientales</t>
  </si>
  <si>
    <t xml:space="preserve">10) Facilidad de adaptabilidad a cambios por parte de la institución y del personal </t>
  </si>
  <si>
    <t>12) Falta de empoderamiento, compromiso y liderazgo por parte de la alta dirección o líderes de procesos ocasionando el no cumplimiento de las metas y afectación en el clima laboral</t>
  </si>
  <si>
    <t xml:space="preserve">13) Dificultad de articulacion de los procesos internos para la toma de decisiones </t>
  </si>
  <si>
    <t>14) Reportes de información no enviados a tiempo por los diferentes procesos</t>
  </si>
  <si>
    <t xml:space="preserve">15) Incumplimiento de roles y objetivos de los procesos </t>
  </si>
  <si>
    <t xml:space="preserve"> </t>
  </si>
  <si>
    <t xml:space="preserve">1) Adquisicion o desarrollo de una herramienta tecnológica que permita integrar los demas subsistemas </t>
  </si>
  <si>
    <t>D7 O1 Gestionar la asignacion de recursos para modernizacion tecnologica.</t>
  </si>
  <si>
    <t xml:space="preserve">F1 O2 Generar convenios con entidades externas para el fortalecimiento del sistema integrado de gestion. </t>
  </si>
  <si>
    <t>2) Convenio con entidades que puedan aportar al fortalecimiento del SIGAMI</t>
  </si>
  <si>
    <t>D3 O2 Generar alianzas estrategicas, con entidades y/o organizaciones que permitan optimizar los recursos internos para el funcionamiento del SIGAMI</t>
  </si>
  <si>
    <t>F2 O4 Con el apoyo de la ARL se identifican los riesgos del sistema de gestion de la seguridad y salud en el trabajo, lo cual previene la materializacion de los riesgos minimizando los factores de riesgos.</t>
  </si>
  <si>
    <t>3) Soporte tecnico con entidades de orden nacional para el fortalecimiento del SIGAMI</t>
  </si>
  <si>
    <t>D4,10 O3 Realizar capacitaciones  para el fortalecimiento del SIGAMI</t>
  </si>
  <si>
    <t xml:space="preserve">F6 O7 Mediante el conocimiento de los procesos y la documentacion de los mismos, permite el acercamiento a otras entidades para compartir experiencias exitosas. </t>
  </si>
  <si>
    <t xml:space="preserve">4) Asesoria de administradoras de riesgos laborales para el fortalecimiento del sistema de seguridad y salud en el trabajo </t>
  </si>
  <si>
    <t>D12 O7 Acercamiento para compartir las experiencias exitosas de otras entidades publicas relacionadas con el tema</t>
  </si>
  <si>
    <t>F5 O3 Establecer relaciones con entidades del orden nacional que permitan la profesionalizacion del talento humano.</t>
  </si>
  <si>
    <t xml:space="preserve">5) Apoyo y reconocimiento nacional e internacional debido a los resultados obtenidos en el fortalecimiento de la entidad </t>
  </si>
  <si>
    <t>D6O6 Presentar un proyecto donde se evidencie la necesidad de centralizacion de sedes administrativas de la alcaldia municipal en busca de mejorar la integracion de los proceso en cumplimiento a la mision institucional. (satisfaccion del cliente)</t>
  </si>
  <si>
    <t xml:space="preserve">6) Fortalecimiento de la imagen institucional a nivel local, regional y nacional a partir de la sostenibilidad de la certificacion en el sistema integrado de gestion de la administracion </t>
  </si>
  <si>
    <t>D5 O5 Gestionar recursos para el fortalecimiento del sistema integrado de gestion.</t>
  </si>
  <si>
    <t xml:space="preserve">7) Replica de experiencias exitosas en otras entidades publicas </t>
  </si>
  <si>
    <t>D3,12 O2,7 Elaborar un plan que contenga responsabilidad de personal de contrato en la implementación de los diferentes sistemas como apoyo al personal de planta.</t>
  </si>
  <si>
    <t xml:space="preserve">8) Mayor competitividad a nivel nacional </t>
  </si>
  <si>
    <t>1) Constantes cambios normativos externo</t>
  </si>
  <si>
    <t>D5 A2,3 Fortalecer los rubros para el buen funcionamiento del sistema integrado de gestion</t>
  </si>
  <si>
    <t>F3 A5 Teniendo en cuenta que en la administracion municipal fue creada la secretaria de las TICS, donde existe personal idoneo para el manejo de los sistemas tecnologicos. Se solicitará a esta secretaria el soporte tecnico para el acceso a la informacion externa pertinente.</t>
  </si>
  <si>
    <t xml:space="preserve">2) Cambios de Gobierno </t>
  </si>
  <si>
    <t xml:space="preserve">D12A2 Publicacion inmediata de la infromacion requerida y en el caso de ser necesarion emitir comunicación al ente solicitante de la informacion. </t>
  </si>
  <si>
    <t>F9 A3 Gestionar alianzas con entidades externas para sostenibildad del Sistema.</t>
  </si>
  <si>
    <t>3) Ausencia de disponibilidad de capital</t>
  </si>
  <si>
    <t>D1D5D6 A1,2 Realizar un cronograma de trabajo reprogramando las actividades no ejecutadas en los planes de trabajo , a fin de dar cumplimiento del  mismo.</t>
  </si>
  <si>
    <t>Solicitar capacitación en modificaciones normativas y realizar jornadas internas de actualización</t>
  </si>
  <si>
    <t>4) Constante evolucion  tecnologica</t>
  </si>
  <si>
    <t>D6,7 A4,5 Solicitar a la Dirección de Informatica la necesidad de equipos tecnologicos para la realización de funciones del personal adscrito a la Dirección de Talento Humano</t>
  </si>
  <si>
    <t>F10 A1Actualización del normograma (Proceso, procedimiento)</t>
  </si>
  <si>
    <t>5) Dificultad en el acceso a sistemas de informacion externos</t>
  </si>
  <si>
    <t>D1,3,14 A1,2 Realizar un plan de choque para la revisión inmediata de los documentos del Sistema Integrado de Gestión</t>
  </si>
  <si>
    <t>F10 A1 Seguimiento a la implementación de los normogramas institucionales a través de la columna denominada evidencia de cumplimiento</t>
  </si>
  <si>
    <t xml:space="preserve">6) Interrupcion de los servicios publicos </t>
  </si>
  <si>
    <t>D1,3,14 A1,2Realizar el reporte y la solicitud de actualización a traves del correo SIGAMI para la actualizacion de los documentos en el listado maestro</t>
  </si>
  <si>
    <t>7) Malas practicas de la ciudadanía que afectan el desarrollo sostenible</t>
  </si>
  <si>
    <t>8) Epidemias o pandemias</t>
  </si>
  <si>
    <t>9) Declaratoria de emergencias</t>
  </si>
  <si>
    <t>10) Falta de comuniacion acertiva con el ciudadano.</t>
  </si>
  <si>
    <t>11) Desastres o catastrofes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</si>
</sst>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4"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0"/>
      <color theme="1"/>
      <name val="Arial Narrow"/>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11"/>
      <color rgb="FF000000"/>
      <name val="Arial"/>
      <family val="2"/>
    </font>
    <font>
      <b/>
      <sz val="20"/>
      <color theme="1"/>
      <name val="Arial"/>
      <family val="2"/>
    </font>
    <font>
      <b/>
      <sz val="14"/>
      <color theme="1"/>
      <name val="Arial"/>
      <family val="2"/>
    </font>
    <font>
      <sz val="11"/>
      <color rgb="FFFF0000"/>
      <name val="Arial"/>
      <family val="2"/>
    </font>
  </fonts>
  <fills count="2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dashed">
        <color theme="9" tint="-0.24994659260841701"/>
      </left>
      <right style="thin">
        <color indexed="64"/>
      </right>
      <top/>
      <bottom style="dashed">
        <color theme="9" tint="-0.24994659260841701"/>
      </bottom>
      <diagonal/>
    </border>
    <border>
      <left style="dashed">
        <color theme="9" tint="-0.24994659260841701"/>
      </left>
      <right style="thin">
        <color indexed="64"/>
      </right>
      <top style="dashed">
        <color theme="9" tint="-0.24994659260841701"/>
      </top>
      <bottom style="dashed">
        <color theme="9"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4" fillId="0" borderId="0"/>
  </cellStyleXfs>
  <cellXfs count="65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38" fillId="3" borderId="51" xfId="2" applyFont="1" applyFill="1" applyBorder="1"/>
    <xf numFmtId="0" fontId="38" fillId="3" borderId="52" xfId="2" applyFont="1" applyFill="1" applyBorder="1"/>
    <xf numFmtId="0" fontId="38" fillId="3" borderId="53" xfId="2" applyFont="1" applyFill="1" applyBorder="1"/>
    <xf numFmtId="0" fontId="14" fillId="3" borderId="0" xfId="0" applyFont="1" applyFill="1" applyAlignment="1">
      <alignment vertical="center"/>
    </xf>
    <xf numFmtId="0" fontId="4" fillId="3" borderId="0" xfId="0" applyFont="1" applyFill="1"/>
    <xf numFmtId="0" fontId="26" fillId="3" borderId="0" xfId="0" applyFont="1" applyFill="1"/>
    <xf numFmtId="0" fontId="27" fillId="3" borderId="34" xfId="0" applyFont="1" applyFill="1" applyBorder="1" applyAlignment="1">
      <alignment horizontal="center" vertical="center" wrapText="1" readingOrder="1"/>
    </xf>
    <xf numFmtId="0" fontId="28" fillId="3" borderId="34" xfId="0" applyFont="1" applyFill="1" applyBorder="1" applyAlignment="1">
      <alignment horizontal="justify" vertical="center" wrapText="1" readingOrder="1"/>
    </xf>
    <xf numFmtId="9" fontId="27" fillId="3" borderId="43" xfId="0" applyNumberFormat="1"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8" fillId="3" borderId="33" xfId="0" applyFont="1" applyFill="1" applyBorder="1" applyAlignment="1">
      <alignment horizontal="justify" vertical="center" wrapText="1" readingOrder="1"/>
    </xf>
    <xf numFmtId="9" fontId="27" fillId="3" borderId="38" xfId="0" applyNumberFormat="1" applyFont="1" applyFill="1" applyBorder="1" applyAlignment="1">
      <alignment horizontal="center" vertical="center" wrapText="1" readingOrder="1"/>
    </xf>
    <xf numFmtId="0" fontId="28" fillId="3" borderId="38"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28" fillId="3" borderId="40" xfId="0" applyFont="1" applyFill="1" applyBorder="1" applyAlignment="1">
      <alignment horizontal="justify" vertical="center" wrapText="1" readingOrder="1"/>
    </xf>
    <xf numFmtId="0" fontId="28" fillId="3" borderId="41" xfId="0" applyFont="1" applyFill="1" applyBorder="1" applyAlignment="1">
      <alignment horizontal="center" vertical="center" wrapText="1" readingOrder="1"/>
    </xf>
    <xf numFmtId="0" fontId="35" fillId="3" borderId="0" xfId="0" applyFont="1" applyFill="1"/>
    <xf numFmtId="0" fontId="27" fillId="15" borderId="45" xfId="0" applyFont="1" applyFill="1" applyBorder="1" applyAlignment="1">
      <alignment horizontal="center" vertical="center" wrapText="1" readingOrder="1"/>
    </xf>
    <xf numFmtId="0" fontId="27" fillId="15" borderId="46" xfId="0" applyFont="1" applyFill="1" applyBorder="1" applyAlignment="1">
      <alignment horizontal="center" vertical="center" wrapText="1" readingOrder="1"/>
    </xf>
    <xf numFmtId="0" fontId="11" fillId="3" borderId="0" xfId="0" applyFont="1" applyFill="1"/>
    <xf numFmtId="0" fontId="24" fillId="3" borderId="0" xfId="0" applyFont="1" applyFill="1" applyAlignment="1">
      <alignment horizontal="center" vertical="center" wrapText="1"/>
    </xf>
    <xf numFmtId="0" fontId="13" fillId="3" borderId="0" xfId="0" applyFont="1" applyFill="1"/>
    <xf numFmtId="0" fontId="3" fillId="3" borderId="0" xfId="0" applyFont="1" applyFill="1" applyAlignment="1">
      <alignment horizontal="left" vertical="center"/>
    </xf>
    <xf numFmtId="0" fontId="38" fillId="3" borderId="14" xfId="2" applyFont="1" applyFill="1" applyBorder="1"/>
    <xf numFmtId="0" fontId="43" fillId="3" borderId="0" xfId="0" applyFont="1" applyFill="1" applyAlignment="1">
      <alignment horizontal="left" vertical="center" wrapText="1"/>
    </xf>
    <xf numFmtId="0" fontId="44" fillId="3" borderId="0" xfId="0" applyFont="1" applyFill="1" applyAlignment="1">
      <alignment horizontal="left" vertical="top" wrapText="1"/>
    </xf>
    <xf numFmtId="0" fontId="38" fillId="3" borderId="0" xfId="2" applyFont="1" applyFill="1"/>
    <xf numFmtId="0" fontId="38" fillId="3" borderId="15" xfId="2" applyFont="1" applyFill="1" applyBorder="1"/>
    <xf numFmtId="0" fontId="38" fillId="3" borderId="16" xfId="2" applyFont="1" applyFill="1" applyBorder="1"/>
    <xf numFmtId="0" fontId="38" fillId="3" borderId="18" xfId="2" applyFont="1" applyFill="1" applyBorder="1"/>
    <xf numFmtId="0" fontId="38" fillId="3" borderId="17" xfId="2" applyFont="1" applyFill="1" applyBorder="1"/>
    <xf numFmtId="0" fontId="42" fillId="3" borderId="0" xfId="2" applyFont="1" applyFill="1" applyAlignment="1">
      <alignment horizontal="left" vertical="center" wrapText="1"/>
    </xf>
    <xf numFmtId="0" fontId="38" fillId="3" borderId="0" xfId="2" applyFont="1" applyFill="1" applyAlignment="1">
      <alignment horizontal="left" vertical="center" wrapText="1"/>
    </xf>
    <xf numFmtId="0" fontId="38" fillId="3" borderId="0" xfId="2" quotePrefix="1" applyFont="1" applyFill="1" applyAlignment="1">
      <alignment horizontal="left" vertical="center" wrapText="1"/>
    </xf>
    <xf numFmtId="0" fontId="40" fillId="3" borderId="14" xfId="2" quotePrefix="1" applyFont="1" applyFill="1" applyBorder="1" applyAlignment="1">
      <alignment horizontal="left" vertical="top" wrapText="1"/>
    </xf>
    <xf numFmtId="0" fontId="41" fillId="3" borderId="0" xfId="2" quotePrefix="1" applyFont="1" applyFill="1" applyAlignment="1">
      <alignment horizontal="left" vertical="top" wrapText="1"/>
    </xf>
    <xf numFmtId="0" fontId="41" fillId="3" borderId="15" xfId="2" quotePrefix="1" applyFont="1" applyFill="1" applyBorder="1" applyAlignment="1">
      <alignment horizontal="left" vertical="top" wrapText="1"/>
    </xf>
    <xf numFmtId="0" fontId="5" fillId="0" borderId="2" xfId="0" applyFont="1" applyBorder="1" applyAlignment="1" applyProtection="1">
      <alignment horizontal="justify" vertical="top" wrapText="1"/>
      <protection locked="0"/>
    </xf>
    <xf numFmtId="0" fontId="48" fillId="6" borderId="0" xfId="0" applyFont="1" applyFill="1" applyAlignment="1">
      <alignment horizontal="center" vertical="center" wrapText="1" readingOrder="1"/>
    </xf>
    <xf numFmtId="0" fontId="49" fillId="5"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7"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4"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49" fillId="9" borderId="1" xfId="0" applyFont="1" applyFill="1" applyBorder="1" applyAlignment="1">
      <alignment horizontal="center" vertical="center" wrapText="1" readingOrder="1"/>
    </xf>
    <xf numFmtId="0" fontId="50" fillId="3" borderId="0" xfId="0" applyFont="1" applyFill="1" applyAlignment="1">
      <alignment horizontal="justify" vertical="center" wrapText="1" readingOrder="1"/>
    </xf>
    <xf numFmtId="0" fontId="51" fillId="3" borderId="0" xfId="0" applyFont="1" applyFill="1" applyAlignment="1">
      <alignment vertical="center"/>
    </xf>
    <xf numFmtId="0" fontId="50" fillId="0" borderId="0" xfId="0" applyFont="1" applyAlignment="1">
      <alignment horizontal="justify" vertical="center" wrapText="1" readingOrder="1"/>
    </xf>
    <xf numFmtId="0" fontId="50" fillId="0" borderId="0" xfId="0" applyFont="1" applyAlignment="1">
      <alignment vertical="center"/>
    </xf>
    <xf numFmtId="0" fontId="11" fillId="0" borderId="0" xfId="0" pivotButton="1" applyFont="1"/>
    <xf numFmtId="0" fontId="52" fillId="0" borderId="0" xfId="0" applyFont="1" applyAlignment="1">
      <alignment horizontal="center" wrapText="1"/>
    </xf>
    <xf numFmtId="0" fontId="53" fillId="0" borderId="0" xfId="0" applyFont="1"/>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center" vertical="top" wrapText="1"/>
      <protection locked="0"/>
    </xf>
    <xf numFmtId="0" fontId="5" fillId="3" borderId="0" xfId="0" applyFont="1" applyFill="1"/>
    <xf numFmtId="0" fontId="5" fillId="0" borderId="0" xfId="0" applyFont="1"/>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3" borderId="0" xfId="0" applyFont="1" applyFill="1" applyAlignment="1">
      <alignment horizontal="center"/>
    </xf>
    <xf numFmtId="0" fontId="56" fillId="2" borderId="8" xfId="0" applyFont="1" applyFill="1" applyBorder="1" applyAlignment="1">
      <alignment horizontal="center" vertical="center"/>
    </xf>
    <xf numFmtId="0" fontId="56" fillId="2" borderId="2" xfId="0" applyFont="1" applyFill="1" applyBorder="1" applyAlignment="1">
      <alignment horizontal="center" vertical="center" textRotation="90"/>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5" fillId="0" borderId="75"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locked="0"/>
    </xf>
    <xf numFmtId="9" fontId="5" fillId="0" borderId="2" xfId="0" applyNumberFormat="1" applyFont="1" applyBorder="1" applyAlignment="1" applyProtection="1">
      <alignment horizontal="center" vertical="center"/>
      <protection hidden="1"/>
    </xf>
    <xf numFmtId="164" fontId="5" fillId="0" borderId="2" xfId="1" applyNumberFormat="1" applyFont="1" applyBorder="1" applyAlignment="1">
      <alignment horizontal="center" vertical="center"/>
    </xf>
    <xf numFmtId="0" fontId="56" fillId="0" borderId="2" xfId="0" applyFont="1" applyBorder="1" applyAlignment="1" applyProtection="1">
      <alignment horizontal="center" vertical="center" textRotation="90" wrapText="1"/>
      <protection hidden="1"/>
    </xf>
    <xf numFmtId="9" fontId="5" fillId="0" borderId="4" xfId="0" applyNumberFormat="1" applyFont="1" applyBorder="1" applyAlignment="1" applyProtection="1">
      <alignment horizontal="center" vertical="center"/>
      <protection hidden="1"/>
    </xf>
    <xf numFmtId="0" fontId="56" fillId="0" borderId="2" xfId="0" applyFont="1" applyBorder="1" applyAlignment="1" applyProtection="1">
      <alignment horizontal="center" vertical="center" textRotation="90"/>
      <protection hidden="1"/>
    </xf>
    <xf numFmtId="14" fontId="5" fillId="0" borderId="2" xfId="0" applyNumberFormat="1"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3" borderId="0" xfId="0" applyFont="1" applyFill="1" applyAlignment="1">
      <alignment vertical="center"/>
    </xf>
    <xf numFmtId="0" fontId="5" fillId="0" borderId="0" xfId="0" applyFont="1" applyAlignment="1">
      <alignment vertical="center"/>
    </xf>
    <xf numFmtId="0" fontId="5" fillId="0" borderId="2" xfId="0" applyFont="1" applyBorder="1" applyAlignment="1" applyProtection="1">
      <alignment horizontal="justify" vertical="center"/>
      <protection locked="0"/>
    </xf>
    <xf numFmtId="0" fontId="5" fillId="0" borderId="2" xfId="0" applyFont="1" applyBorder="1" applyAlignment="1">
      <alignment horizontal="center" vertical="top"/>
    </xf>
    <xf numFmtId="0" fontId="5" fillId="0" borderId="2" xfId="0" applyFont="1" applyBorder="1" applyAlignment="1" applyProtection="1">
      <alignment horizontal="center" vertical="top" textRotation="90"/>
      <protection locked="0"/>
    </xf>
    <xf numFmtId="9" fontId="5" fillId="0" borderId="2" xfId="0" applyNumberFormat="1" applyFont="1" applyBorder="1" applyAlignment="1" applyProtection="1">
      <alignment horizontal="center" vertical="top"/>
      <protection hidden="1"/>
    </xf>
    <xf numFmtId="164" fontId="5" fillId="0" borderId="2" xfId="1" applyNumberFormat="1" applyFont="1" applyBorder="1" applyAlignment="1">
      <alignment horizontal="center" vertical="top"/>
    </xf>
    <xf numFmtId="0" fontId="56" fillId="0" borderId="2" xfId="0" applyFont="1" applyBorder="1" applyAlignment="1" applyProtection="1">
      <alignment horizontal="center" vertical="top" textRotation="90" wrapText="1"/>
      <protection hidden="1"/>
    </xf>
    <xf numFmtId="9" fontId="5" fillId="0" borderId="4" xfId="0" applyNumberFormat="1" applyFont="1" applyBorder="1" applyAlignment="1" applyProtection="1">
      <alignment horizontal="center" vertical="top"/>
      <protection hidden="1"/>
    </xf>
    <xf numFmtId="0" fontId="56" fillId="0" borderId="2" xfId="0" applyFont="1" applyBorder="1" applyAlignment="1" applyProtection="1">
      <alignment horizontal="center" vertical="top" textRotation="90"/>
      <protection hidden="1"/>
    </xf>
    <xf numFmtId="0" fontId="5" fillId="0" borderId="4" xfId="0" applyFont="1" applyBorder="1" applyAlignment="1" applyProtection="1">
      <alignment horizontal="center" vertical="top" textRotation="90"/>
      <protection locked="0"/>
    </xf>
    <xf numFmtId="0" fontId="5" fillId="0" borderId="75" xfId="0" applyFont="1" applyBorder="1" applyAlignment="1" applyProtection="1">
      <alignment horizontal="center" vertical="top" wrapText="1"/>
      <protection locked="0"/>
    </xf>
    <xf numFmtId="0" fontId="5" fillId="0" borderId="2" xfId="0" applyFont="1" applyBorder="1" applyAlignment="1" applyProtection="1">
      <alignment horizontal="justify" vertical="top"/>
      <protection locked="0"/>
    </xf>
    <xf numFmtId="0" fontId="5" fillId="0" borderId="2" xfId="0" applyFont="1" applyBorder="1" applyAlignment="1" applyProtection="1">
      <alignment horizontal="center" vertical="top"/>
      <protection hidden="1"/>
    </xf>
    <xf numFmtId="0" fontId="5" fillId="0" borderId="2"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38" fillId="0" borderId="75"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5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vertical="center"/>
    </xf>
    <xf numFmtId="2" fontId="5" fillId="0" borderId="0" xfId="0" applyNumberFormat="1" applyFont="1" applyAlignment="1">
      <alignment horizontal="center" vertical="center"/>
    </xf>
    <xf numFmtId="0" fontId="5" fillId="13" borderId="2" xfId="0" applyFont="1" applyFill="1" applyBorder="1" applyAlignment="1">
      <alignment horizontal="center" vertical="center"/>
    </xf>
    <xf numFmtId="0" fontId="5" fillId="13" borderId="2" xfId="0" applyFont="1" applyFill="1" applyBorder="1" applyAlignment="1" applyProtection="1">
      <alignment horizontal="justify" vertical="center" wrapText="1"/>
      <protection locked="0"/>
    </xf>
    <xf numFmtId="0" fontId="5" fillId="13" borderId="2" xfId="0" applyFont="1" applyFill="1" applyBorder="1" applyAlignment="1" applyProtection="1">
      <alignment horizontal="justify" vertical="center"/>
      <protection locked="0"/>
    </xf>
    <xf numFmtId="0" fontId="60" fillId="0" borderId="84" xfId="0" applyFont="1" applyBorder="1" applyAlignment="1">
      <alignment vertical="center" wrapText="1"/>
    </xf>
    <xf numFmtId="0" fontId="58" fillId="0" borderId="0" xfId="0" applyFont="1" applyAlignment="1">
      <alignment vertical="center" wrapText="1"/>
    </xf>
    <xf numFmtId="0" fontId="60" fillId="0" borderId="0" xfId="0" applyFont="1"/>
    <xf numFmtId="0" fontId="58" fillId="0" borderId="0" xfId="0" applyFont="1" applyAlignment="1">
      <alignment horizontal="center" vertical="center" wrapText="1"/>
    </xf>
    <xf numFmtId="0" fontId="60" fillId="0" borderId="33" xfId="0" applyFont="1" applyBorder="1" applyAlignment="1">
      <alignment vertical="center" wrapText="1"/>
    </xf>
    <xf numFmtId="0" fontId="62" fillId="17" borderId="89" xfId="0" applyFont="1" applyFill="1" applyBorder="1" applyAlignment="1">
      <alignment vertical="center"/>
    </xf>
    <xf numFmtId="0" fontId="62" fillId="17" borderId="90" xfId="0" applyFont="1" applyFill="1" applyBorder="1" applyAlignment="1">
      <alignment horizontal="center" vertical="center"/>
    </xf>
    <xf numFmtId="0" fontId="62" fillId="17" borderId="91" xfId="0" applyFont="1" applyFill="1" applyBorder="1" applyAlignment="1">
      <alignment horizontal="center" vertical="center"/>
    </xf>
    <xf numFmtId="0" fontId="60" fillId="18" borderId="83" xfId="0" applyFont="1" applyFill="1" applyBorder="1" applyAlignment="1">
      <alignment vertical="center" wrapText="1"/>
    </xf>
    <xf numFmtId="0" fontId="60" fillId="18" borderId="84" xfId="0" applyFont="1" applyFill="1" applyBorder="1" applyAlignment="1">
      <alignment vertical="center" wrapText="1"/>
    </xf>
    <xf numFmtId="0" fontId="60" fillId="18" borderId="37" xfId="0" applyFont="1" applyFill="1" applyBorder="1" applyAlignment="1">
      <alignment vertical="center" wrapText="1"/>
    </xf>
    <xf numFmtId="0" fontId="60" fillId="3" borderId="33" xfId="0" applyFont="1" applyFill="1" applyBorder="1" applyAlignment="1">
      <alignment horizontal="left" vertical="center" wrapText="1"/>
    </xf>
    <xf numFmtId="0" fontId="60" fillId="18" borderId="33" xfId="0" applyFont="1" applyFill="1" applyBorder="1" applyAlignment="1">
      <alignment vertical="center" wrapText="1"/>
    </xf>
    <xf numFmtId="0" fontId="60" fillId="0" borderId="33" xfId="0" applyFont="1" applyBorder="1" applyAlignment="1">
      <alignment horizontal="left" vertical="center" wrapText="1"/>
    </xf>
    <xf numFmtId="0" fontId="60" fillId="0" borderId="38" xfId="0" applyFont="1" applyBorder="1" applyAlignment="1">
      <alignment horizontal="left" vertical="center" wrapText="1"/>
    </xf>
    <xf numFmtId="0" fontId="60" fillId="18" borderId="39" xfId="0" applyFont="1" applyFill="1" applyBorder="1" applyAlignment="1">
      <alignment vertical="center" wrapText="1"/>
    </xf>
    <xf numFmtId="0" fontId="60" fillId="0" borderId="40" xfId="0" applyFont="1" applyBorder="1" applyAlignment="1">
      <alignment horizontal="left" vertical="center" wrapText="1"/>
    </xf>
    <xf numFmtId="0" fontId="60" fillId="18" borderId="40" xfId="0" applyFont="1" applyFill="1" applyBorder="1" applyAlignment="1">
      <alignment vertical="center" wrapText="1"/>
    </xf>
    <xf numFmtId="0" fontId="64" fillId="0" borderId="40" xfId="0" applyFont="1" applyBorder="1" applyAlignment="1">
      <alignment horizontal="left" vertical="center" wrapText="1"/>
    </xf>
    <xf numFmtId="0" fontId="60" fillId="0" borderId="41" xfId="0" applyFont="1" applyBorder="1" applyAlignment="1">
      <alignment horizontal="left" vertical="center" wrapText="1"/>
    </xf>
    <xf numFmtId="0" fontId="60" fillId="0" borderId="0" xfId="0" applyFont="1" applyAlignment="1">
      <alignment vertical="center" wrapText="1"/>
    </xf>
    <xf numFmtId="0" fontId="60" fillId="0" borderId="0" xfId="0" applyFont="1" applyAlignment="1">
      <alignment horizontal="left" vertical="center" wrapText="1"/>
    </xf>
    <xf numFmtId="0" fontId="60" fillId="0" borderId="0" xfId="0" applyFont="1" applyAlignment="1">
      <alignment horizontal="left" vertical="center"/>
    </xf>
    <xf numFmtId="0" fontId="65" fillId="0" borderId="0" xfId="0" applyFont="1" applyAlignment="1">
      <alignment horizontal="left" vertical="center" wrapText="1"/>
    </xf>
    <xf numFmtId="0" fontId="36" fillId="0" borderId="0" xfId="0" applyFont="1" applyAlignment="1">
      <alignment horizontal="left" vertical="center" wrapText="1"/>
    </xf>
    <xf numFmtId="0" fontId="65" fillId="0" borderId="0" xfId="0" applyFont="1" applyAlignment="1">
      <alignment horizontal="left" vertical="center"/>
    </xf>
    <xf numFmtId="0" fontId="36" fillId="0" borderId="0" xfId="0" applyFont="1" applyAlignment="1">
      <alignment horizontal="left" vertical="center"/>
    </xf>
    <xf numFmtId="0" fontId="60" fillId="0" borderId="15" xfId="0" applyFont="1" applyBorder="1" applyAlignment="1">
      <alignment horizontal="left" vertical="center" wrapText="1"/>
    </xf>
    <xf numFmtId="0" fontId="60" fillId="0" borderId="15" xfId="0" applyFont="1" applyBorder="1"/>
    <xf numFmtId="0" fontId="60" fillId="0" borderId="18" xfId="0" applyFont="1" applyBorder="1"/>
    <xf numFmtId="0" fontId="60" fillId="0" borderId="17" xfId="0" applyFont="1" applyBorder="1"/>
    <xf numFmtId="0" fontId="60" fillId="3" borderId="0" xfId="0" applyFont="1" applyFill="1" applyAlignment="1">
      <alignment horizontal="left" vertical="center" wrapText="1"/>
    </xf>
    <xf numFmtId="0" fontId="60" fillId="3" borderId="93" xfId="0" applyFont="1" applyFill="1" applyBorder="1" applyAlignment="1">
      <alignment horizontal="left" vertical="center" wrapText="1"/>
    </xf>
    <xf numFmtId="0" fontId="60" fillId="0" borderId="95" xfId="0" applyFont="1" applyBorder="1"/>
    <xf numFmtId="0" fontId="67" fillId="19" borderId="34" xfId="0" applyFont="1" applyFill="1" applyBorder="1" applyAlignment="1">
      <alignment horizontal="center" vertical="center" wrapText="1"/>
    </xf>
    <xf numFmtId="0" fontId="66" fillId="19" borderId="34" xfId="0" applyFont="1" applyFill="1" applyBorder="1" applyAlignment="1">
      <alignment horizontal="center" vertical="center" wrapText="1"/>
    </xf>
    <xf numFmtId="0" fontId="68" fillId="19" borderId="34" xfId="0" applyFont="1" applyFill="1" applyBorder="1" applyAlignment="1">
      <alignment horizontal="center" vertical="center" wrapText="1"/>
    </xf>
    <xf numFmtId="165" fontId="68" fillId="19" borderId="96" xfId="0" applyNumberFormat="1" applyFont="1" applyFill="1" applyBorder="1" applyAlignment="1">
      <alignment horizontal="center" vertical="center" wrapText="1"/>
    </xf>
    <xf numFmtId="0" fontId="57" fillId="0" borderId="0" xfId="0" applyFont="1" applyAlignment="1">
      <alignment horizontal="center" vertical="center" wrapText="1"/>
    </xf>
    <xf numFmtId="0" fontId="60" fillId="0" borderId="33" xfId="0" applyFont="1" applyBorder="1" applyAlignment="1">
      <alignment horizontal="center" vertical="center"/>
    </xf>
    <xf numFmtId="0" fontId="60" fillId="0" borderId="33" xfId="0" applyFont="1" applyBorder="1" applyAlignment="1" applyProtection="1">
      <alignment horizontal="center" vertical="center"/>
      <protection locked="0"/>
    </xf>
    <xf numFmtId="166" fontId="60" fillId="0" borderId="97" xfId="0" applyNumberFormat="1" applyFont="1" applyBorder="1" applyAlignment="1">
      <alignment horizontal="center" vertical="center"/>
    </xf>
    <xf numFmtId="0" fontId="0" fillId="0" borderId="98" xfId="0" applyBorder="1" applyAlignment="1" applyProtection="1">
      <alignment horizontal="center" vertical="top"/>
      <protection locked="0"/>
    </xf>
    <xf numFmtId="0" fontId="0" fillId="0" borderId="99" xfId="0" applyBorder="1" applyAlignment="1" applyProtection="1">
      <alignment vertical="top"/>
      <protection locked="0"/>
    </xf>
    <xf numFmtId="0" fontId="0" fillId="0" borderId="99" xfId="0" applyBorder="1"/>
    <xf numFmtId="165" fontId="60" fillId="0" borderId="97" xfId="0" applyNumberFormat="1" applyFont="1" applyBorder="1" applyAlignment="1">
      <alignment horizontal="center" vertical="center"/>
    </xf>
    <xf numFmtId="0" fontId="60" fillId="0" borderId="100" xfId="0" applyFont="1" applyBorder="1" applyAlignment="1">
      <alignment horizontal="center" vertical="center"/>
    </xf>
    <xf numFmtId="0" fontId="60" fillId="0" borderId="100" xfId="0" applyFont="1" applyBorder="1" applyAlignment="1" applyProtection="1">
      <alignment horizontal="center" vertical="center"/>
      <protection locked="0"/>
    </xf>
    <xf numFmtId="165" fontId="60" fillId="0" borderId="101" xfId="0" applyNumberFormat="1" applyFont="1" applyBorder="1" applyAlignment="1">
      <alignment horizontal="center" vertical="center"/>
    </xf>
    <xf numFmtId="165" fontId="60" fillId="20" borderId="85" xfId="0" applyNumberFormat="1" applyFont="1" applyFill="1" applyBorder="1" applyAlignment="1">
      <alignment vertical="center"/>
    </xf>
    <xf numFmtId="165" fontId="60"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6" fillId="3" borderId="0" xfId="0" applyFont="1" applyFill="1" applyAlignment="1">
      <alignment horizontal="left"/>
    </xf>
    <xf numFmtId="0" fontId="60" fillId="0" borderId="97" xfId="0" applyFont="1" applyBorder="1" applyAlignment="1">
      <alignment horizontal="left" vertical="center" wrapText="1"/>
    </xf>
    <xf numFmtId="0" fontId="60" fillId="3" borderId="33" xfId="0" applyFont="1" applyFill="1" applyBorder="1" applyAlignment="1">
      <alignment vertical="center" wrapText="1"/>
    </xf>
    <xf numFmtId="0" fontId="60" fillId="3" borderId="33" xfId="0" applyFont="1" applyFill="1" applyBorder="1" applyAlignment="1">
      <alignment vertical="center"/>
    </xf>
    <xf numFmtId="0" fontId="64" fillId="0" borderId="33" xfId="0" applyFont="1" applyBorder="1" applyAlignment="1">
      <alignment vertical="center" wrapText="1"/>
    </xf>
    <xf numFmtId="0" fontId="64" fillId="3" borderId="33" xfId="0" applyFont="1" applyFill="1" applyBorder="1" applyAlignment="1">
      <alignment vertical="center" wrapText="1"/>
    </xf>
    <xf numFmtId="0" fontId="64" fillId="3" borderId="33" xfId="0" applyFont="1" applyFill="1" applyBorder="1" applyAlignment="1">
      <alignment horizontal="left" vertical="center" wrapText="1"/>
    </xf>
    <xf numFmtId="0" fontId="60" fillId="3" borderId="40" xfId="0" applyFont="1" applyFill="1" applyBorder="1" applyAlignment="1">
      <alignment vertical="center" wrapText="1"/>
    </xf>
    <xf numFmtId="0" fontId="60" fillId="0" borderId="85" xfId="0" applyFont="1" applyBorder="1" applyAlignment="1">
      <alignment vertical="center" wrapText="1"/>
    </xf>
    <xf numFmtId="0" fontId="60" fillId="0" borderId="38" xfId="0" applyFont="1" applyBorder="1" applyAlignment="1">
      <alignment vertical="center" wrapText="1"/>
    </xf>
    <xf numFmtId="0" fontId="60" fillId="21" borderId="84" xfId="0" applyFont="1" applyFill="1" applyBorder="1" applyAlignment="1">
      <alignment vertical="center" wrapText="1"/>
    </xf>
    <xf numFmtId="0" fontId="60" fillId="21" borderId="33" xfId="0" applyFont="1" applyFill="1" applyBorder="1" applyAlignment="1">
      <alignment horizontal="left" vertical="center" wrapText="1"/>
    </xf>
    <xf numFmtId="0" fontId="60" fillId="21" borderId="33" xfId="0" applyFont="1" applyFill="1" applyBorder="1" applyAlignment="1">
      <alignment vertical="center" wrapText="1"/>
    </xf>
    <xf numFmtId="0" fontId="60" fillId="21" borderId="97" xfId="0" applyFont="1" applyFill="1" applyBorder="1" applyAlignment="1">
      <alignment horizontal="left" vertical="center" wrapText="1"/>
    </xf>
    <xf numFmtId="0" fontId="60" fillId="21" borderId="33" xfId="0" applyFont="1" applyFill="1" applyBorder="1" applyAlignment="1">
      <alignment vertical="center"/>
    </xf>
    <xf numFmtId="0" fontId="60" fillId="21" borderId="40" xfId="0" applyFont="1" applyFill="1" applyBorder="1" applyAlignment="1">
      <alignment horizontal="left" vertical="center" wrapText="1"/>
    </xf>
    <xf numFmtId="0" fontId="60" fillId="22" borderId="84" xfId="0" applyFont="1" applyFill="1" applyBorder="1" applyAlignment="1">
      <alignment vertical="center" wrapText="1"/>
    </xf>
    <xf numFmtId="0" fontId="60" fillId="22" borderId="33" xfId="0" applyFont="1" applyFill="1" applyBorder="1" applyAlignment="1">
      <alignment vertical="center" wrapText="1"/>
    </xf>
    <xf numFmtId="0" fontId="60" fillId="22" borderId="33" xfId="0" applyFont="1" applyFill="1" applyBorder="1" applyAlignment="1">
      <alignment horizontal="left" vertical="center" wrapText="1"/>
    </xf>
    <xf numFmtId="0" fontId="64" fillId="22" borderId="33" xfId="0" applyFont="1" applyFill="1" applyBorder="1" applyAlignment="1">
      <alignment vertical="center" wrapText="1"/>
    </xf>
    <xf numFmtId="0" fontId="64" fillId="22" borderId="33" xfId="0" applyFont="1" applyFill="1" applyBorder="1" applyAlignment="1">
      <alignment horizontal="left" vertical="center" wrapText="1"/>
    </xf>
    <xf numFmtId="0" fontId="0" fillId="0" borderId="99" xfId="0" applyBorder="1" applyAlignment="1">
      <alignment horizontal="center" vertical="center"/>
    </xf>
    <xf numFmtId="0" fontId="60" fillId="23" borderId="101" xfId="0" applyFont="1" applyFill="1" applyBorder="1" applyAlignment="1">
      <alignment horizontal="left" vertical="center" wrapText="1"/>
    </xf>
    <xf numFmtId="0" fontId="69" fillId="19" borderId="108" xfId="0" applyFont="1" applyFill="1" applyBorder="1" applyAlignment="1">
      <alignment horizontal="center" vertical="center" wrapText="1"/>
    </xf>
    <xf numFmtId="165" fontId="60" fillId="0" borderId="105" xfId="0" applyNumberFormat="1" applyFont="1" applyBorder="1" applyAlignment="1">
      <alignment horizontal="center" vertical="center"/>
    </xf>
    <xf numFmtId="165" fontId="60" fillId="0" borderId="102" xfId="0" applyNumberFormat="1" applyFont="1" applyBorder="1" applyAlignment="1">
      <alignment horizontal="center" vertical="center"/>
    </xf>
    <xf numFmtId="0" fontId="60" fillId="0" borderId="104" xfId="0" applyFont="1" applyBorder="1" applyAlignment="1" applyProtection="1">
      <alignment horizontal="center" vertical="center"/>
      <protection locked="0"/>
    </xf>
    <xf numFmtId="0" fontId="60" fillId="0" borderId="109" xfId="0" applyFont="1" applyBorder="1" applyAlignment="1" applyProtection="1">
      <alignment horizontal="center" vertical="center"/>
      <protection locked="0"/>
    </xf>
    <xf numFmtId="0" fontId="60" fillId="23" borderId="33" xfId="0" applyFont="1" applyFill="1" applyBorder="1" applyAlignment="1">
      <alignment vertical="center" wrapText="1"/>
    </xf>
    <xf numFmtId="0" fontId="60" fillId="23" borderId="33" xfId="0" applyFont="1" applyFill="1" applyBorder="1" applyAlignment="1">
      <alignment horizontal="left" vertical="center" wrapText="1"/>
    </xf>
    <xf numFmtId="0" fontId="44" fillId="3" borderId="64" xfId="2" applyFont="1" applyFill="1" applyBorder="1" applyAlignment="1">
      <alignment horizontal="justify" vertical="center" wrapText="1"/>
    </xf>
    <xf numFmtId="0" fontId="44" fillId="3" borderId="65" xfId="2" applyFont="1" applyFill="1" applyBorder="1" applyAlignment="1">
      <alignment horizontal="justify" vertical="center" wrapText="1"/>
    </xf>
    <xf numFmtId="0" fontId="43" fillId="3" borderId="71" xfId="0" applyFont="1" applyFill="1" applyBorder="1" applyAlignment="1">
      <alignment horizontal="left" vertical="center" wrapText="1"/>
    </xf>
    <xf numFmtId="0" fontId="43" fillId="3" borderId="72" xfId="0" applyFont="1" applyFill="1" applyBorder="1" applyAlignment="1">
      <alignment horizontal="left" vertical="center" wrapText="1"/>
    </xf>
    <xf numFmtId="0" fontId="43" fillId="3" borderId="58" xfId="3" applyFont="1" applyFill="1" applyBorder="1" applyAlignment="1">
      <alignment horizontal="left" vertical="top" wrapText="1" readingOrder="1"/>
    </xf>
    <xf numFmtId="0" fontId="43" fillId="3" borderId="59" xfId="3" applyFont="1" applyFill="1" applyBorder="1" applyAlignment="1">
      <alignment horizontal="left" vertical="top" wrapText="1" readingOrder="1"/>
    </xf>
    <xf numFmtId="0" fontId="44" fillId="3" borderId="60" xfId="2" applyFont="1" applyFill="1" applyBorder="1" applyAlignment="1">
      <alignment horizontal="justify" vertical="center" wrapText="1"/>
    </xf>
    <xf numFmtId="0" fontId="44" fillId="3" borderId="61" xfId="2" applyFont="1" applyFill="1" applyBorder="1" applyAlignment="1">
      <alignment horizontal="justify" vertical="center" wrapText="1"/>
    </xf>
    <xf numFmtId="0" fontId="43" fillId="3" borderId="62" xfId="0" applyFont="1" applyFill="1" applyBorder="1" applyAlignment="1">
      <alignment horizontal="left" vertical="center" wrapText="1"/>
    </xf>
    <xf numFmtId="0" fontId="43" fillId="3" borderId="63" xfId="0" applyFont="1" applyFill="1" applyBorder="1" applyAlignment="1">
      <alignment horizontal="left" vertical="center" wrapText="1"/>
    </xf>
    <xf numFmtId="0" fontId="38" fillId="3" borderId="14" xfId="2" applyFont="1" applyFill="1" applyBorder="1" applyAlignment="1">
      <alignment horizontal="left" vertical="top" wrapText="1"/>
    </xf>
    <xf numFmtId="0" fontId="38" fillId="3" borderId="0" xfId="2" applyFont="1" applyFill="1" applyAlignment="1">
      <alignment horizontal="left" vertical="top" wrapText="1"/>
    </xf>
    <xf numFmtId="0" fontId="38" fillId="3" borderId="15" xfId="2" applyFont="1" applyFill="1" applyBorder="1" applyAlignment="1">
      <alignment horizontal="left" vertical="top" wrapText="1"/>
    </xf>
    <xf numFmtId="0" fontId="43" fillId="3" borderId="73" xfId="0" applyFont="1" applyFill="1" applyBorder="1" applyAlignment="1">
      <alignment horizontal="left" vertical="center" wrapText="1"/>
    </xf>
    <xf numFmtId="0" fontId="43" fillId="3" borderId="74" xfId="0" applyFont="1" applyFill="1" applyBorder="1" applyAlignment="1">
      <alignment horizontal="left" vertical="center" wrapText="1"/>
    </xf>
    <xf numFmtId="0" fontId="44" fillId="3" borderId="66" xfId="0" applyFont="1" applyFill="1" applyBorder="1" applyAlignment="1">
      <alignment horizontal="justify" vertical="center" wrapText="1"/>
    </xf>
    <xf numFmtId="0" fontId="44" fillId="3" borderId="67" xfId="0" applyFont="1" applyFill="1" applyBorder="1" applyAlignment="1">
      <alignment horizontal="justify" vertical="center" wrapText="1"/>
    </xf>
    <xf numFmtId="0" fontId="39" fillId="14" borderId="48" xfId="2" applyFont="1" applyFill="1" applyBorder="1" applyAlignment="1">
      <alignment horizontal="center" vertical="center" wrapText="1"/>
    </xf>
    <xf numFmtId="0" fontId="39" fillId="14" borderId="49" xfId="2" applyFont="1" applyFill="1" applyBorder="1" applyAlignment="1">
      <alignment horizontal="center" vertical="center" wrapText="1"/>
    </xf>
    <xf numFmtId="0" fontId="39" fillId="14" borderId="50" xfId="2" applyFont="1" applyFill="1" applyBorder="1" applyAlignment="1">
      <alignment horizontal="center" vertical="center" wrapText="1"/>
    </xf>
    <xf numFmtId="0" fontId="38" fillId="0" borderId="14" xfId="2" quotePrefix="1" applyFont="1" applyBorder="1" applyAlignment="1">
      <alignment horizontal="left" vertical="center" wrapText="1"/>
    </xf>
    <xf numFmtId="0" fontId="38" fillId="0" borderId="0" xfId="2" quotePrefix="1" applyFont="1" applyAlignment="1">
      <alignment horizontal="left" vertical="center" wrapText="1"/>
    </xf>
    <xf numFmtId="0" fontId="38" fillId="0" borderId="15" xfId="2" quotePrefix="1" applyFont="1" applyBorder="1" applyAlignment="1">
      <alignment horizontal="left" vertical="center" wrapText="1"/>
    </xf>
    <xf numFmtId="0" fontId="38" fillId="0" borderId="68" xfId="2" quotePrefix="1" applyFont="1" applyBorder="1" applyAlignment="1">
      <alignment horizontal="left" vertical="center" wrapText="1"/>
    </xf>
    <xf numFmtId="0" fontId="38" fillId="0" borderId="69" xfId="2" quotePrefix="1" applyFont="1" applyBorder="1" applyAlignment="1">
      <alignment horizontal="left" vertical="center" wrapText="1"/>
    </xf>
    <xf numFmtId="0" fontId="38" fillId="0" borderId="70" xfId="2" quotePrefix="1" applyFont="1" applyBorder="1" applyAlignment="1">
      <alignment horizontal="left" vertical="center" wrapText="1"/>
    </xf>
    <xf numFmtId="0" fontId="40" fillId="3" borderId="51" xfId="2" quotePrefix="1" applyFont="1" applyFill="1" applyBorder="1" applyAlignment="1">
      <alignment horizontal="left" vertical="top" wrapText="1"/>
    </xf>
    <xf numFmtId="0" fontId="41" fillId="3" borderId="52" xfId="2" quotePrefix="1" applyFont="1" applyFill="1" applyBorder="1" applyAlignment="1">
      <alignment horizontal="left" vertical="top" wrapText="1"/>
    </xf>
    <xf numFmtId="0" fontId="41" fillId="3" borderId="53" xfId="2" quotePrefix="1" applyFont="1" applyFill="1" applyBorder="1" applyAlignment="1">
      <alignment horizontal="left" vertical="top" wrapText="1"/>
    </xf>
    <xf numFmtId="0" fontId="38" fillId="0" borderId="14" xfId="2" quotePrefix="1" applyFont="1" applyBorder="1" applyAlignment="1">
      <alignment horizontal="left" vertical="top" wrapText="1"/>
    </xf>
    <xf numFmtId="0" fontId="38" fillId="0" borderId="0" xfId="2" quotePrefix="1" applyFont="1" applyAlignment="1">
      <alignment horizontal="left" vertical="top" wrapText="1"/>
    </xf>
    <xf numFmtId="0" fontId="38" fillId="0" borderId="15" xfId="2" quotePrefix="1" applyFont="1" applyBorder="1" applyAlignment="1">
      <alignment horizontal="left" vertical="top" wrapText="1"/>
    </xf>
    <xf numFmtId="0" fontId="43" fillId="14" borderId="54" xfId="3" applyFont="1" applyFill="1" applyBorder="1" applyAlignment="1">
      <alignment horizontal="center" vertical="center" wrapText="1"/>
    </xf>
    <xf numFmtId="0" fontId="43" fillId="14" borderId="55" xfId="3" applyFont="1" applyFill="1" applyBorder="1" applyAlignment="1">
      <alignment horizontal="center" vertical="center" wrapText="1"/>
    </xf>
    <xf numFmtId="0" fontId="43" fillId="14" borderId="56" xfId="2" applyFont="1" applyFill="1" applyBorder="1" applyAlignment="1">
      <alignment horizontal="center" vertical="center"/>
    </xf>
    <xf numFmtId="0" fontId="43" fillId="14" borderId="57" xfId="2" applyFont="1" applyFill="1" applyBorder="1" applyAlignment="1">
      <alignment horizontal="center" vertical="center"/>
    </xf>
    <xf numFmtId="0" fontId="1" fillId="3" borderId="68" xfId="2" quotePrefix="1" applyFont="1" applyFill="1" applyBorder="1" applyAlignment="1">
      <alignment horizontal="justify" vertical="center" wrapText="1"/>
    </xf>
    <xf numFmtId="0" fontId="1" fillId="3" borderId="69" xfId="2" quotePrefix="1" applyFont="1" applyFill="1" applyBorder="1" applyAlignment="1">
      <alignment horizontal="justify" vertical="center" wrapText="1"/>
    </xf>
    <xf numFmtId="0" fontId="1" fillId="3" borderId="70" xfId="2" quotePrefix="1" applyFont="1" applyFill="1" applyBorder="1" applyAlignment="1">
      <alignment horizontal="justify" vertical="center" wrapText="1"/>
    </xf>
    <xf numFmtId="0" fontId="62" fillId="16" borderId="37" xfId="0" applyFont="1" applyFill="1" applyBorder="1" applyAlignment="1">
      <alignment horizontal="center" vertical="center" wrapText="1"/>
    </xf>
    <xf numFmtId="0" fontId="62" fillId="16" borderId="33" xfId="0" applyFont="1" applyFill="1" applyBorder="1" applyAlignment="1">
      <alignment horizontal="center" vertical="center" wrapText="1"/>
    </xf>
    <xf numFmtId="0" fontId="62" fillId="16" borderId="38" xfId="0" applyFont="1" applyFill="1" applyBorder="1" applyAlignment="1">
      <alignment horizontal="center" vertical="center" wrapText="1"/>
    </xf>
    <xf numFmtId="0" fontId="60" fillId="16" borderId="37" xfId="0" applyFont="1" applyFill="1" applyBorder="1" applyAlignment="1">
      <alignment horizontal="left" vertical="center"/>
    </xf>
    <xf numFmtId="0" fontId="60" fillId="16" borderId="33" xfId="0" applyFont="1" applyFill="1" applyBorder="1" applyAlignment="1">
      <alignment horizontal="left" vertical="center"/>
    </xf>
    <xf numFmtId="0" fontId="60" fillId="16" borderId="38" xfId="0" applyFont="1" applyFill="1" applyBorder="1" applyAlignment="1">
      <alignment horizontal="left" vertical="center"/>
    </xf>
    <xf numFmtId="0" fontId="63" fillId="16" borderId="39" xfId="0" applyFont="1" applyFill="1" applyBorder="1" applyAlignment="1">
      <alignment horizontal="left" vertical="top" wrapText="1"/>
    </xf>
    <xf numFmtId="0" fontId="63" fillId="16" borderId="40" xfId="0" applyFont="1" applyFill="1" applyBorder="1" applyAlignment="1">
      <alignment horizontal="left" vertical="top"/>
    </xf>
    <xf numFmtId="0" fontId="63" fillId="16" borderId="41" xfId="0" applyFont="1" applyFill="1" applyBorder="1" applyAlignment="1">
      <alignment horizontal="left" vertical="top"/>
    </xf>
    <xf numFmtId="0" fontId="63" fillId="3" borderId="0" xfId="0" applyFont="1" applyFill="1" applyAlignment="1">
      <alignment horizontal="center" vertical="center" wrapText="1"/>
    </xf>
    <xf numFmtId="0" fontId="58" fillId="0" borderId="83" xfId="0" applyFont="1" applyBorder="1" applyAlignment="1">
      <alignment vertical="center" wrapText="1"/>
    </xf>
    <xf numFmtId="0" fontId="58" fillId="0" borderId="37" xfId="0" applyFont="1" applyBorder="1" applyAlignment="1">
      <alignment vertical="center" wrapText="1"/>
    </xf>
    <xf numFmtId="0" fontId="59" fillId="0" borderId="84" xfId="0" applyFont="1" applyBorder="1" applyAlignment="1">
      <alignment horizontal="center" vertical="center" wrapText="1"/>
    </xf>
    <xf numFmtId="0" fontId="59" fillId="0" borderId="33"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38" xfId="0" applyFont="1" applyBorder="1" applyAlignment="1">
      <alignment horizontal="center" vertical="center" wrapText="1"/>
    </xf>
    <xf numFmtId="0" fontId="58" fillId="0" borderId="0" xfId="0" applyFont="1" applyAlignment="1">
      <alignment horizontal="center" vertical="center" wrapText="1"/>
    </xf>
    <xf numFmtId="0" fontId="58" fillId="0" borderId="86" xfId="0" applyFont="1" applyBorder="1" applyAlignment="1">
      <alignment horizontal="center" vertical="center" wrapText="1"/>
    </xf>
    <xf numFmtId="0" fontId="58" fillId="0" borderId="87" xfId="0" applyFont="1" applyBorder="1" applyAlignment="1">
      <alignment horizontal="center" vertical="center" wrapText="1"/>
    </xf>
    <xf numFmtId="0" fontId="58" fillId="0" borderId="88" xfId="0" applyFont="1" applyBorder="1" applyAlignment="1">
      <alignment horizontal="center" vertical="center" wrapText="1"/>
    </xf>
    <xf numFmtId="0" fontId="66" fillId="20" borderId="33" xfId="0" applyFont="1" applyFill="1" applyBorder="1" applyAlignment="1">
      <alignment horizontal="right" vertical="center"/>
    </xf>
    <xf numFmtId="0" fontId="0" fillId="0" borderId="69" xfId="0" applyBorder="1" applyAlignment="1">
      <alignment horizontal="center"/>
    </xf>
    <xf numFmtId="0" fontId="0" fillId="0" borderId="94" xfId="0" applyBorder="1" applyAlignment="1">
      <alignment horizontal="center"/>
    </xf>
    <xf numFmtId="0" fontId="60" fillId="16" borderId="33" xfId="0" applyFont="1" applyFill="1" applyBorder="1" applyAlignment="1">
      <alignment vertical="center"/>
    </xf>
    <xf numFmtId="0" fontId="60" fillId="16" borderId="40" xfId="0" applyFont="1" applyFill="1" applyBorder="1" applyAlignment="1">
      <alignment horizontal="left" vertical="center" wrapText="1"/>
    </xf>
    <xf numFmtId="0" fontId="0" fillId="0" borderId="19" xfId="0" applyBorder="1" applyAlignment="1">
      <alignment horizontal="center"/>
    </xf>
    <xf numFmtId="0" fontId="0" fillId="0" borderId="0" xfId="0" applyAlignment="1">
      <alignment horizontal="center"/>
    </xf>
    <xf numFmtId="0" fontId="59" fillId="0" borderId="19" xfId="0" applyFont="1" applyBorder="1" applyAlignment="1">
      <alignment horizontal="center" vertical="center" wrapText="1"/>
    </xf>
    <xf numFmtId="0" fontId="59" fillId="0" borderId="92" xfId="0" applyFont="1" applyBorder="1" applyAlignment="1">
      <alignment horizontal="center" vertical="center" wrapText="1"/>
    </xf>
    <xf numFmtId="0" fontId="59" fillId="0" borderId="0" xfId="0" applyFont="1" applyAlignment="1">
      <alignment horizontal="center" vertical="center" wrapText="1"/>
    </xf>
    <xf numFmtId="0" fontId="59" fillId="0" borderId="93" xfId="0" applyFont="1" applyBorder="1" applyAlignment="1">
      <alignment horizontal="center" vertical="center" wrapText="1"/>
    </xf>
    <xf numFmtId="0" fontId="60" fillId="0" borderId="84" xfId="0" applyFont="1" applyBorder="1" applyAlignment="1">
      <alignment horizontal="left" vertical="center" wrapText="1"/>
    </xf>
    <xf numFmtId="0" fontId="60" fillId="0" borderId="85" xfId="0" applyFont="1" applyBorder="1" applyAlignment="1">
      <alignment horizontal="left" vertical="center" wrapText="1"/>
    </xf>
    <xf numFmtId="0" fontId="60" fillId="0" borderId="33" xfId="0" applyFont="1" applyBorder="1" applyAlignment="1">
      <alignment horizontal="left" vertical="center" wrapText="1"/>
    </xf>
    <xf numFmtId="0" fontId="60" fillId="0" borderId="38" xfId="0" applyFont="1" applyBorder="1" applyAlignment="1">
      <alignment horizontal="left" vertical="center" wrapText="1"/>
    </xf>
    <xf numFmtId="0" fontId="59" fillId="0" borderId="69" xfId="0" applyFont="1" applyBorder="1" applyAlignment="1">
      <alignment horizontal="center" vertical="center" wrapText="1"/>
    </xf>
    <xf numFmtId="0" fontId="59" fillId="0" borderId="94" xfId="0" applyFont="1" applyBorder="1" applyAlignment="1">
      <alignment horizontal="center" vertical="center" wrapText="1"/>
    </xf>
    <xf numFmtId="0" fontId="66" fillId="19" borderId="36" xfId="0" applyFont="1" applyFill="1" applyBorder="1" applyAlignment="1">
      <alignment horizontal="center" vertical="center" wrapText="1"/>
    </xf>
    <xf numFmtId="0" fontId="66" fillId="19" borderId="47" xfId="0" applyFont="1" applyFill="1" applyBorder="1" applyAlignment="1">
      <alignment horizontal="center" vertical="center" wrapText="1"/>
    </xf>
    <xf numFmtId="0" fontId="60" fillId="0" borderId="0" xfId="0" applyFont="1" applyAlignment="1">
      <alignment horizontal="center"/>
    </xf>
    <xf numFmtId="0" fontId="36" fillId="3" borderId="0" xfId="0" applyFont="1" applyFill="1" applyAlignment="1">
      <alignment horizontal="left"/>
    </xf>
    <xf numFmtId="0" fontId="36" fillId="3" borderId="33" xfId="0" applyFont="1" applyFill="1" applyBorder="1" applyAlignment="1" applyProtection="1">
      <alignment horizontal="left" vertical="center"/>
      <protection locked="0"/>
    </xf>
    <xf numFmtId="0" fontId="64" fillId="3" borderId="97" xfId="0" applyFont="1" applyFill="1" applyBorder="1" applyAlignment="1" applyProtection="1">
      <alignment horizontal="left" vertical="center"/>
      <protection locked="0"/>
    </xf>
    <xf numFmtId="0" fontId="64" fillId="3" borderId="104" xfId="0" applyFont="1" applyFill="1" applyBorder="1" applyAlignment="1" applyProtection="1">
      <alignment horizontal="left" vertical="center"/>
      <protection locked="0"/>
    </xf>
    <xf numFmtId="0" fontId="36" fillId="3" borderId="97" xfId="0" applyFont="1" applyFill="1" applyBorder="1" applyAlignment="1" applyProtection="1">
      <alignment horizontal="left" vertical="center"/>
      <protection locked="0"/>
    </xf>
    <xf numFmtId="0" fontId="36" fillId="3" borderId="104" xfId="0" applyFont="1" applyFill="1" applyBorder="1" applyAlignment="1" applyProtection="1">
      <alignment horizontal="left" vertical="center"/>
      <protection locked="0"/>
    </xf>
    <xf numFmtId="0" fontId="36" fillId="3" borderId="87" xfId="0" applyFont="1" applyFill="1" applyBorder="1" applyAlignment="1" applyProtection="1">
      <alignment horizontal="left" vertical="center"/>
      <protection locked="0"/>
    </xf>
    <xf numFmtId="0" fontId="36" fillId="3" borderId="97" xfId="0" applyFont="1" applyFill="1" applyBorder="1" applyAlignment="1" applyProtection="1">
      <alignment horizontal="center" vertical="center"/>
      <protection locked="0"/>
    </xf>
    <xf numFmtId="0" fontId="36" fillId="3" borderId="104" xfId="0" applyFont="1" applyFill="1" applyBorder="1" applyAlignment="1" applyProtection="1">
      <alignment horizontal="center" vertical="center"/>
      <protection locked="0"/>
    </xf>
    <xf numFmtId="0" fontId="36" fillId="3" borderId="87" xfId="0" applyFont="1" applyFill="1" applyBorder="1" applyAlignment="1" applyProtection="1">
      <alignment horizontal="center" vertical="center"/>
      <protection locked="0"/>
    </xf>
    <xf numFmtId="0" fontId="64" fillId="3" borderId="33" xfId="0" applyFont="1" applyFill="1" applyBorder="1" applyAlignment="1" applyProtection="1">
      <alignment horizontal="left" vertical="center"/>
      <protection locked="0"/>
    </xf>
    <xf numFmtId="0" fontId="64" fillId="3" borderId="33" xfId="0" applyFont="1" applyFill="1" applyBorder="1" applyAlignment="1" applyProtection="1">
      <alignment horizontal="left" vertical="center" wrapText="1"/>
      <protection locked="0"/>
    </xf>
    <xf numFmtId="0" fontId="36" fillId="3" borderId="33" xfId="0" applyFont="1" applyFill="1" applyBorder="1" applyAlignment="1" applyProtection="1">
      <alignment horizontal="left" vertical="center" wrapText="1"/>
      <protection locked="0"/>
    </xf>
    <xf numFmtId="0" fontId="36" fillId="3" borderId="97" xfId="0" applyFont="1" applyFill="1" applyBorder="1" applyAlignment="1" applyProtection="1">
      <alignment horizontal="left" vertical="center" wrapText="1"/>
      <protection locked="0"/>
    </xf>
    <xf numFmtId="0" fontId="36" fillId="3" borderId="104" xfId="0" applyFont="1" applyFill="1" applyBorder="1" applyAlignment="1" applyProtection="1">
      <alignment horizontal="left" vertical="center" wrapText="1"/>
      <protection locked="0"/>
    </xf>
    <xf numFmtId="0" fontId="64" fillId="3" borderId="97" xfId="0" applyFont="1" applyFill="1" applyBorder="1" applyAlignment="1" applyProtection="1">
      <alignment horizontal="left" vertical="center" wrapText="1"/>
      <protection locked="0"/>
    </xf>
    <xf numFmtId="0" fontId="64" fillId="3" borderId="104" xfId="0" applyFont="1" applyFill="1" applyBorder="1" applyAlignment="1" applyProtection="1">
      <alignment horizontal="left" vertical="center" wrapText="1"/>
      <protection locked="0"/>
    </xf>
    <xf numFmtId="0" fontId="60" fillId="0" borderId="97" xfId="0" applyFont="1" applyBorder="1" applyAlignment="1">
      <alignment horizontal="center" vertical="center" wrapText="1"/>
    </xf>
    <xf numFmtId="0" fontId="60" fillId="0" borderId="87" xfId="0" applyFont="1" applyBorder="1" applyAlignment="1">
      <alignment horizontal="center" vertical="center" wrapText="1"/>
    </xf>
    <xf numFmtId="0" fontId="60" fillId="0" borderId="104" xfId="0" applyFont="1" applyBorder="1" applyAlignment="1">
      <alignment horizontal="center" vertical="center" wrapText="1"/>
    </xf>
    <xf numFmtId="0" fontId="64" fillId="3" borderId="87" xfId="0" applyFont="1" applyFill="1" applyBorder="1" applyAlignment="1" applyProtection="1">
      <alignment horizontal="left" vertical="center" wrapText="1"/>
      <protection locked="0"/>
    </xf>
    <xf numFmtId="0" fontId="36" fillId="3" borderId="100" xfId="0" applyFont="1" applyFill="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7" xfId="0" applyFont="1" applyFill="1" applyBorder="1" applyAlignment="1">
      <alignment horizontal="center" vertical="top" wrapText="1"/>
    </xf>
    <xf numFmtId="0" fontId="72" fillId="19" borderId="87" xfId="0" applyFont="1" applyFill="1" applyBorder="1" applyAlignment="1">
      <alignment horizontal="center" vertical="top"/>
    </xf>
    <xf numFmtId="0" fontId="72" fillId="19" borderId="104" xfId="0" applyFont="1" applyFill="1" applyBorder="1" applyAlignment="1">
      <alignment horizontal="center" vertical="top"/>
    </xf>
    <xf numFmtId="0" fontId="64" fillId="0" borderId="33" xfId="0" applyFont="1" applyBorder="1" applyAlignment="1">
      <alignment horizontal="left" vertical="center" wrapText="1"/>
    </xf>
    <xf numFmtId="0" fontId="64" fillId="0" borderId="33" xfId="0" applyFont="1" applyBorder="1" applyAlignment="1">
      <alignment horizontal="left" vertical="center"/>
    </xf>
    <xf numFmtId="0" fontId="64" fillId="3" borderId="97" xfId="0" applyFont="1" applyFill="1" applyBorder="1" applyAlignment="1">
      <alignment horizontal="left" vertical="center" wrapText="1"/>
    </xf>
    <xf numFmtId="0" fontId="64" fillId="3" borderId="104" xfId="0" applyFont="1" applyFill="1" applyBorder="1" applyAlignment="1">
      <alignment horizontal="left" vertical="center"/>
    </xf>
    <xf numFmtId="0" fontId="64" fillId="0" borderId="97" xfId="0" applyFont="1" applyBorder="1" applyAlignment="1">
      <alignment horizontal="left" vertical="center" wrapText="1"/>
    </xf>
    <xf numFmtId="0" fontId="64" fillId="0" borderId="104" xfId="0" applyFont="1" applyBorder="1" applyAlignment="1">
      <alignment horizontal="left" vertical="center" wrapText="1"/>
    </xf>
    <xf numFmtId="0" fontId="73" fillId="0" borderId="104" xfId="0" applyFont="1" applyBorder="1" applyAlignment="1">
      <alignment horizontal="left" vertical="center" wrapText="1"/>
    </xf>
    <xf numFmtId="0" fontId="64" fillId="0" borderId="97" xfId="0" applyFont="1" applyBorder="1" applyAlignment="1" applyProtection="1">
      <alignment horizontal="left" vertical="center" wrapText="1"/>
      <protection locked="0"/>
    </xf>
    <xf numFmtId="0" fontId="64" fillId="0" borderId="104" xfId="0" applyFont="1" applyBorder="1" applyAlignment="1" applyProtection="1">
      <alignment horizontal="left" vertical="center" wrapText="1"/>
      <protection locked="0"/>
    </xf>
    <xf numFmtId="0" fontId="36" fillId="0" borderId="97" xfId="0" applyFont="1" applyBorder="1" applyAlignment="1" applyProtection="1">
      <alignment horizontal="left" vertical="center"/>
      <protection locked="0"/>
    </xf>
    <xf numFmtId="0" fontId="36" fillId="0" borderId="87" xfId="0" applyFont="1" applyBorder="1" applyAlignment="1" applyProtection="1">
      <alignment horizontal="left" vertical="center"/>
      <protection locked="0"/>
    </xf>
    <xf numFmtId="0" fontId="36" fillId="0" borderId="104" xfId="0" applyFont="1" applyBorder="1" applyAlignment="1" applyProtection="1">
      <alignment horizontal="left" vertical="center"/>
      <protection locked="0"/>
    </xf>
    <xf numFmtId="0" fontId="36" fillId="0" borderId="97" xfId="0" applyFont="1" applyBorder="1" applyAlignment="1" applyProtection="1">
      <alignment horizontal="left" vertical="center" wrapText="1"/>
      <protection locked="0"/>
    </xf>
    <xf numFmtId="0" fontId="36" fillId="0" borderId="104" xfId="0" applyFont="1" applyBorder="1" applyAlignment="1" applyProtection="1">
      <alignment horizontal="left" vertical="center" wrapText="1"/>
      <protection locked="0"/>
    </xf>
    <xf numFmtId="0" fontId="36" fillId="0" borderId="97"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7" xfId="0" applyFont="1" applyFill="1" applyBorder="1" applyAlignment="1">
      <alignment horizontal="center" vertical="center" wrapText="1"/>
    </xf>
    <xf numFmtId="0" fontId="72" fillId="19" borderId="87" xfId="0" applyFont="1" applyFill="1" applyBorder="1" applyAlignment="1">
      <alignment horizontal="center" vertical="center"/>
    </xf>
    <xf numFmtId="0" fontId="72" fillId="19" borderId="104" xfId="0" applyFont="1" applyFill="1" applyBorder="1" applyAlignment="1">
      <alignment horizontal="center" vertical="center"/>
    </xf>
    <xf numFmtId="0" fontId="64" fillId="3" borderId="104" xfId="0" applyFont="1" applyFill="1" applyBorder="1" applyAlignment="1">
      <alignment horizontal="left" vertical="center" wrapText="1"/>
    </xf>
    <xf numFmtId="0" fontId="64" fillId="0" borderId="97" xfId="0" applyFont="1" applyBorder="1" applyAlignment="1" applyProtection="1">
      <alignment horizontal="left" vertical="center"/>
      <protection locked="0"/>
    </xf>
    <xf numFmtId="0" fontId="64" fillId="0" borderId="87" xfId="0" applyFont="1" applyBorder="1" applyAlignment="1" applyProtection="1">
      <alignment horizontal="left" vertical="center"/>
      <protection locked="0"/>
    </xf>
    <xf numFmtId="0" fontId="64" fillId="0" borderId="104" xfId="0" applyFont="1" applyBorder="1" applyAlignment="1" applyProtection="1">
      <alignment horizontal="left" vertical="center"/>
      <protection locked="0"/>
    </xf>
    <xf numFmtId="0" fontId="64" fillId="0" borderId="33" xfId="0" applyFont="1" applyBorder="1" applyAlignment="1" applyProtection="1">
      <alignment vertical="center" wrapText="1"/>
      <protection locked="0"/>
    </xf>
    <xf numFmtId="0" fontId="60" fillId="0" borderId="33" xfId="0" applyFont="1" applyBorder="1" applyAlignment="1">
      <alignment horizontal="left" vertical="center"/>
    </xf>
    <xf numFmtId="0" fontId="64" fillId="3" borderId="33" xfId="0" applyFont="1" applyFill="1" applyBorder="1" applyAlignment="1">
      <alignment horizontal="left" vertical="center" wrapText="1"/>
    </xf>
    <xf numFmtId="0" fontId="73" fillId="0" borderId="33" xfId="0" applyFont="1" applyBorder="1" applyAlignment="1">
      <alignment horizontal="left" vertical="center" wrapText="1"/>
    </xf>
    <xf numFmtId="0" fontId="59" fillId="0" borderId="86" xfId="0" applyFont="1" applyBorder="1" applyAlignment="1">
      <alignment horizontal="center" vertical="center" wrapText="1"/>
    </xf>
    <xf numFmtId="0" fontId="59" fillId="0" borderId="87" xfId="0" applyFont="1" applyBorder="1" applyAlignment="1">
      <alignment horizontal="center" vertical="center" wrapText="1"/>
    </xf>
    <xf numFmtId="0" fontId="59" fillId="0" borderId="88" xfId="0" applyFont="1" applyBorder="1" applyAlignment="1">
      <alignment horizontal="center" vertical="center" wrapText="1"/>
    </xf>
    <xf numFmtId="0" fontId="66" fillId="20" borderId="51" xfId="0" applyFont="1" applyFill="1" applyBorder="1" applyAlignment="1">
      <alignment horizontal="left" vertical="center"/>
    </xf>
    <xf numFmtId="0" fontId="66" fillId="20" borderId="52" xfId="0" applyFont="1" applyFill="1" applyBorder="1" applyAlignment="1">
      <alignment horizontal="left" vertical="center"/>
    </xf>
    <xf numFmtId="0" fontId="66" fillId="20" borderId="53" xfId="0" applyFont="1" applyFill="1" applyBorder="1" applyAlignment="1">
      <alignment horizontal="left" vertical="center"/>
    </xf>
    <xf numFmtId="0" fontId="66" fillId="20" borderId="16" xfId="0" applyFont="1" applyFill="1" applyBorder="1" applyAlignment="1">
      <alignment horizontal="left" vertical="center"/>
    </xf>
    <xf numFmtId="0" fontId="66" fillId="20" borderId="18" xfId="0" applyFont="1" applyFill="1" applyBorder="1" applyAlignment="1">
      <alignment horizontal="left" vertical="center"/>
    </xf>
    <xf numFmtId="0" fontId="66"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7" xfId="0" applyFont="1" applyFill="1" applyBorder="1" applyAlignment="1">
      <alignment horizontal="center" vertical="center" wrapText="1"/>
    </xf>
    <xf numFmtId="0" fontId="72" fillId="19" borderId="104" xfId="0" applyFont="1" applyFill="1" applyBorder="1" applyAlignment="1">
      <alignment horizontal="center" vertical="center" wrapText="1"/>
    </xf>
    <xf numFmtId="0" fontId="72" fillId="19" borderId="97" xfId="0" applyFont="1" applyFill="1" applyBorder="1" applyAlignment="1">
      <alignment horizontal="center"/>
    </xf>
    <xf numFmtId="0" fontId="72" fillId="19" borderId="87" xfId="0" applyFont="1" applyFill="1" applyBorder="1" applyAlignment="1">
      <alignment horizontal="center"/>
    </xf>
    <xf numFmtId="0" fontId="72" fillId="19" borderId="104" xfId="0" applyFont="1" applyFill="1" applyBorder="1" applyAlignment="1">
      <alignment horizontal="center"/>
    </xf>
    <xf numFmtId="0" fontId="64" fillId="3" borderId="101" xfId="0" applyFont="1" applyFill="1" applyBorder="1" applyAlignment="1">
      <alignment horizontal="left" vertical="center" wrapText="1"/>
    </xf>
    <xf numFmtId="0" fontId="64" fillId="3" borderId="52" xfId="0" applyFont="1" applyFill="1" applyBorder="1" applyAlignment="1">
      <alignment horizontal="left" vertical="center" wrapText="1"/>
    </xf>
    <xf numFmtId="0" fontId="64" fillId="3" borderId="109" xfId="0" applyFont="1" applyFill="1" applyBorder="1" applyAlignment="1">
      <alignment horizontal="left" vertical="center" wrapText="1"/>
    </xf>
    <xf numFmtId="0" fontId="59" fillId="0" borderId="12" xfId="0" applyFont="1" applyBorder="1" applyAlignment="1">
      <alignment horizontal="center" vertical="center" wrapText="1"/>
    </xf>
    <xf numFmtId="0" fontId="59" fillId="0" borderId="14" xfId="0" applyFont="1" applyBorder="1" applyAlignment="1">
      <alignment horizontal="center" vertical="center" wrapText="1"/>
    </xf>
    <xf numFmtId="0" fontId="60" fillId="0" borderId="106" xfId="0" applyFont="1" applyBorder="1" applyAlignment="1">
      <alignment horizontal="left" vertical="center" wrapText="1"/>
    </xf>
    <xf numFmtId="0" fontId="60" fillId="0" borderId="107" xfId="0" applyFont="1" applyBorder="1" applyAlignment="1">
      <alignment horizontal="left" vertical="center" wrapText="1"/>
    </xf>
    <xf numFmtId="0" fontId="60" fillId="0" borderId="91" xfId="0" applyFont="1" applyBorder="1" applyAlignment="1">
      <alignment horizontal="center" vertical="center" wrapText="1"/>
    </xf>
    <xf numFmtId="0" fontId="60" fillId="0" borderId="103" xfId="0" applyFont="1" applyBorder="1" applyAlignment="1">
      <alignment horizontal="center" vertical="center" wrapText="1"/>
    </xf>
    <xf numFmtId="0" fontId="60" fillId="0" borderId="43" xfId="0" applyFont="1" applyBorder="1" applyAlignment="1">
      <alignment horizontal="center" vertical="center" wrapText="1"/>
    </xf>
    <xf numFmtId="0" fontId="60" fillId="0" borderId="97" xfId="0" applyFont="1" applyBorder="1" applyAlignment="1">
      <alignment horizontal="left" vertical="center" wrapText="1"/>
    </xf>
    <xf numFmtId="0" fontId="60" fillId="0" borderId="104" xfId="0" applyFont="1" applyBorder="1" applyAlignment="1">
      <alignment horizontal="left" vertical="center" wrapText="1"/>
    </xf>
    <xf numFmtId="0" fontId="59" fillId="0" borderId="68" xfId="0" applyFont="1" applyBorder="1" applyAlignment="1">
      <alignment horizontal="center" vertical="center" wrapText="1"/>
    </xf>
    <xf numFmtId="0" fontId="5" fillId="3" borderId="75" xfId="0" applyFont="1" applyFill="1" applyBorder="1" applyAlignment="1" applyProtection="1">
      <alignment horizontal="left" vertical="center"/>
      <protection locked="0"/>
    </xf>
    <xf numFmtId="0" fontId="5" fillId="3" borderId="75" xfId="0" applyFont="1" applyFill="1" applyBorder="1" applyAlignment="1" applyProtection="1">
      <alignment horizontal="left" vertical="center" wrapText="1"/>
      <protection locked="0"/>
    </xf>
    <xf numFmtId="0" fontId="56" fillId="2" borderId="28" xfId="0" applyFont="1" applyFill="1" applyBorder="1" applyAlignment="1">
      <alignment horizontal="center" vertical="center"/>
    </xf>
    <xf numFmtId="0" fontId="56" fillId="2" borderId="29" xfId="0" applyFont="1" applyFill="1" applyBorder="1" applyAlignment="1">
      <alignment horizontal="center" vertical="center"/>
    </xf>
    <xf numFmtId="0" fontId="56" fillId="2" borderId="30" xfId="0" applyFont="1" applyFill="1" applyBorder="1" applyAlignment="1">
      <alignment horizontal="center" vertical="center"/>
    </xf>
    <xf numFmtId="0" fontId="56" fillId="2" borderId="3" xfId="0" applyFont="1" applyFill="1" applyBorder="1" applyAlignment="1">
      <alignment horizontal="center" vertical="center"/>
    </xf>
    <xf numFmtId="0" fontId="56" fillId="2" borderId="31" xfId="0" applyFont="1" applyFill="1" applyBorder="1" applyAlignment="1">
      <alignment horizontal="center" vertical="center"/>
    </xf>
    <xf numFmtId="0" fontId="56" fillId="2" borderId="32" xfId="0" applyFont="1" applyFill="1" applyBorder="1" applyAlignment="1">
      <alignment horizontal="center" vertical="center"/>
    </xf>
    <xf numFmtId="0" fontId="56" fillId="2" borderId="6" xfId="0" applyFont="1" applyFill="1" applyBorder="1" applyAlignment="1">
      <alignment horizontal="center" vertical="center"/>
    </xf>
    <xf numFmtId="0" fontId="56" fillId="2" borderId="10" xfId="0" applyFont="1" applyFill="1" applyBorder="1" applyAlignment="1">
      <alignment horizontal="center" vertical="center"/>
    </xf>
    <xf numFmtId="0" fontId="56" fillId="2" borderId="6" xfId="0" applyFont="1" applyFill="1" applyBorder="1" applyAlignment="1">
      <alignment horizontal="left" vertical="center"/>
    </xf>
    <xf numFmtId="0" fontId="56" fillId="2" borderId="10" xfId="0" applyFont="1" applyFill="1" applyBorder="1" applyAlignment="1">
      <alignment horizontal="left" vertical="center"/>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9" fontId="5" fillId="0" borderId="4"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9" fontId="5" fillId="0" borderId="5" xfId="0" applyNumberFormat="1" applyFont="1" applyBorder="1" applyAlignment="1" applyProtection="1">
      <alignment horizontal="center" vertical="top" wrapText="1"/>
      <protection hidden="1"/>
    </xf>
    <xf numFmtId="0" fontId="56" fillId="0" borderId="4" xfId="0" applyFont="1" applyBorder="1" applyAlignment="1" applyProtection="1">
      <alignment horizontal="center" vertical="top"/>
      <protection hidden="1"/>
    </xf>
    <xf numFmtId="0" fontId="56" fillId="0" borderId="8" xfId="0" applyFont="1" applyBorder="1" applyAlignment="1" applyProtection="1">
      <alignment horizontal="center" vertical="top"/>
      <protection hidden="1"/>
    </xf>
    <xf numFmtId="0" fontId="56" fillId="0" borderId="5" xfId="0" applyFont="1" applyBorder="1" applyAlignment="1" applyProtection="1">
      <alignment horizontal="center" vertical="top"/>
      <protection hidden="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56" fillId="0" borderId="4" xfId="0" applyFont="1" applyBorder="1" applyAlignment="1" applyProtection="1">
      <alignment horizontal="center" vertical="top" wrapText="1"/>
      <protection hidden="1"/>
    </xf>
    <xf numFmtId="0" fontId="56" fillId="0" borderId="8" xfId="0" applyFont="1" applyBorder="1" applyAlignment="1" applyProtection="1">
      <alignment horizontal="center" vertical="top" wrapText="1"/>
      <protection hidden="1"/>
    </xf>
    <xf numFmtId="0" fontId="56" fillId="0" borderId="5" xfId="0" applyFont="1" applyBorder="1" applyAlignment="1" applyProtection="1">
      <alignment horizontal="center" vertical="top" wrapText="1"/>
      <protection hidden="1"/>
    </xf>
    <xf numFmtId="9" fontId="5" fillId="0" borderId="4" xfId="0" applyNumberFormat="1" applyFont="1" applyBorder="1" applyAlignment="1" applyProtection="1">
      <alignment horizontal="center" vertical="top" wrapText="1"/>
      <protection locked="0"/>
    </xf>
    <xf numFmtId="9" fontId="5" fillId="0" borderId="8" xfId="0" applyNumberFormat="1" applyFont="1" applyBorder="1" applyAlignment="1" applyProtection="1">
      <alignment horizontal="center" vertical="top" wrapText="1"/>
      <protection locked="0"/>
    </xf>
    <xf numFmtId="9" fontId="5" fillId="0" borderId="5" xfId="0" applyNumberFormat="1" applyFont="1" applyBorder="1" applyAlignment="1" applyProtection="1">
      <alignment horizontal="center" vertical="top" wrapText="1"/>
      <protection locked="0"/>
    </xf>
    <xf numFmtId="0" fontId="5" fillId="0" borderId="2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38" fillId="0" borderId="75"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0" borderId="76" xfId="0" applyFont="1" applyBorder="1" applyAlignment="1" applyProtection="1">
      <alignment horizontal="center" vertical="top" wrapText="1"/>
      <protection locked="0"/>
    </xf>
    <xf numFmtId="0" fontId="5" fillId="0" borderId="32" xfId="0" applyFont="1" applyBorder="1" applyAlignment="1" applyProtection="1">
      <alignment horizontal="center" vertical="top" wrapText="1"/>
      <protection locked="0"/>
    </xf>
    <xf numFmtId="0" fontId="38" fillId="3" borderId="75" xfId="0" applyFont="1" applyFill="1" applyBorder="1" applyAlignment="1" applyProtection="1">
      <alignment horizontal="center" vertical="top" wrapText="1"/>
      <protection locked="0"/>
    </xf>
    <xf numFmtId="14" fontId="5" fillId="0" borderId="4" xfId="0" applyNumberFormat="1"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6" fillId="2" borderId="2" xfId="0" applyFont="1" applyFill="1" applyBorder="1" applyAlignment="1">
      <alignment horizontal="center" vertical="center"/>
    </xf>
    <xf numFmtId="0" fontId="56" fillId="2" borderId="5"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 fillId="0" borderId="4" xfId="0" applyFont="1" applyBorder="1" applyAlignment="1" applyProtection="1">
      <alignment horizontal="center" vertical="center" textRotation="90"/>
      <protection locked="0"/>
    </xf>
    <xf numFmtId="0" fontId="5" fillId="0" borderId="8" xfId="0" applyFont="1" applyBorder="1" applyAlignment="1" applyProtection="1">
      <alignment horizontal="center" vertical="center" textRotation="90"/>
      <protection locked="0"/>
    </xf>
    <xf numFmtId="0" fontId="5" fillId="0" borderId="5" xfId="0" applyFont="1" applyBorder="1" applyAlignment="1" applyProtection="1">
      <alignment horizontal="center" vertical="center" textRotation="90"/>
      <protection locked="0"/>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8" fillId="0" borderId="77"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9" fontId="5" fillId="0" borderId="4" xfId="0" applyNumberFormat="1" applyFont="1" applyBorder="1" applyAlignment="1" applyProtection="1">
      <alignment horizontal="center" vertical="center" wrapText="1"/>
      <protection hidden="1"/>
    </xf>
    <xf numFmtId="9" fontId="5" fillId="0" borderId="8" xfId="0" applyNumberFormat="1" applyFont="1" applyBorder="1" applyAlignment="1" applyProtection="1">
      <alignment horizontal="center" vertical="center" wrapText="1"/>
      <protection hidden="1"/>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9" fontId="5" fillId="0" borderId="4" xfId="0" applyNumberFormat="1" applyFont="1" applyBorder="1" applyAlignment="1" applyProtection="1">
      <alignment horizontal="center" vertical="center" wrapText="1"/>
      <protection locked="0"/>
    </xf>
    <xf numFmtId="9" fontId="5" fillId="0" borderId="8" xfId="0" applyNumberFormat="1" applyFont="1" applyBorder="1" applyAlignment="1" applyProtection="1">
      <alignment horizontal="center" vertical="center" wrapText="1"/>
      <protection locked="0"/>
    </xf>
    <xf numFmtId="0" fontId="56" fillId="2" borderId="4" xfId="0" applyFont="1" applyFill="1" applyBorder="1" applyAlignment="1">
      <alignment horizontal="center" vertical="center" wrapText="1"/>
    </xf>
    <xf numFmtId="0" fontId="56" fillId="2" borderId="5"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4" xfId="0" applyFont="1" applyFill="1" applyBorder="1" applyAlignment="1">
      <alignment horizontal="center" vertical="center" textRotation="90" wrapText="1"/>
    </xf>
    <xf numFmtId="0" fontId="56" fillId="2" borderId="5" xfId="0" applyFont="1" applyFill="1" applyBorder="1" applyAlignment="1">
      <alignment horizontal="center" vertical="center" textRotation="90" wrapText="1"/>
    </xf>
    <xf numFmtId="0" fontId="56" fillId="2" borderId="2" xfId="0" applyFont="1" applyFill="1" applyBorder="1" applyAlignment="1">
      <alignment horizontal="center" vertical="center" textRotation="90" wrapText="1"/>
    </xf>
    <xf numFmtId="0" fontId="56" fillId="2" borderId="8" xfId="0" applyFont="1" applyFill="1" applyBorder="1" applyAlignment="1">
      <alignment horizontal="center" vertical="center" wrapText="1"/>
    </xf>
    <xf numFmtId="0" fontId="56" fillId="2" borderId="9" xfId="0" applyFont="1" applyFill="1" applyBorder="1" applyAlignment="1">
      <alignment horizontal="center" vertical="center" wrapText="1"/>
    </xf>
    <xf numFmtId="0" fontId="56" fillId="2" borderId="9" xfId="0" applyFont="1" applyFill="1" applyBorder="1" applyAlignment="1">
      <alignment horizontal="center" vertical="center"/>
    </xf>
    <xf numFmtId="0" fontId="5" fillId="0" borderId="2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8" fillId="0" borderId="75" xfId="0" applyFont="1" applyBorder="1" applyAlignment="1" applyProtection="1">
      <alignment horizontal="center" vertical="center" wrapText="1"/>
      <protection locked="0"/>
    </xf>
    <xf numFmtId="0" fontId="56" fillId="2" borderId="4" xfId="0" applyFont="1" applyFill="1" applyBorder="1" applyAlignment="1">
      <alignment horizontal="center" vertical="center" textRotation="90"/>
    </xf>
    <xf numFmtId="0" fontId="56" fillId="2" borderId="5" xfId="0" applyFont="1" applyFill="1" applyBorder="1" applyAlignment="1">
      <alignment horizontal="center" vertical="center" textRotation="90"/>
    </xf>
    <xf numFmtId="14" fontId="5" fillId="0" borderId="4" xfId="0" applyNumberFormat="1" applyFont="1" applyBorder="1" applyAlignment="1" applyProtection="1">
      <alignment horizontal="center" vertical="center"/>
      <protection locked="0"/>
    </xf>
    <xf numFmtId="14" fontId="5" fillId="0" borderId="8"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6" fillId="2" borderId="82" xfId="0" applyFont="1" applyFill="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9" xfId="0" applyFont="1" applyBorder="1" applyAlignment="1">
      <alignment horizontal="center" vertical="center" wrapText="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4" xfId="0" applyFont="1" applyBorder="1" applyAlignment="1">
      <alignment horizontal="center" vertical="center" wrapText="1"/>
    </xf>
    <xf numFmtId="0" fontId="33" fillId="0" borderId="0" xfId="0" applyFont="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7" xfId="0" applyFont="1" applyBorder="1" applyAlignment="1">
      <alignment horizontal="center" vertical="center"/>
    </xf>
    <xf numFmtId="0" fontId="32" fillId="5" borderId="20" xfId="0" applyFont="1" applyFill="1" applyBorder="1" applyAlignment="1">
      <alignment horizontal="center" vertical="center" wrapText="1" readingOrder="1"/>
    </xf>
    <xf numFmtId="0" fontId="32" fillId="5" borderId="21" xfId="0" applyFont="1" applyFill="1" applyBorder="1" applyAlignment="1">
      <alignment horizontal="center" vertical="center" wrapText="1" readingOrder="1"/>
    </xf>
    <xf numFmtId="0" fontId="32" fillId="5" borderId="22" xfId="0" applyFont="1" applyFill="1" applyBorder="1" applyAlignment="1">
      <alignment horizontal="center" vertical="center" wrapText="1" readingOrder="1"/>
    </xf>
    <xf numFmtId="0" fontId="32" fillId="5" borderId="23" xfId="0" applyFont="1" applyFill="1" applyBorder="1" applyAlignment="1">
      <alignment horizontal="center" vertical="center" wrapText="1" readingOrder="1"/>
    </xf>
    <xf numFmtId="0" fontId="32" fillId="5" borderId="0" xfId="0" applyFont="1" applyFill="1" applyAlignment="1">
      <alignment horizontal="center" vertical="center" wrapText="1" readingOrder="1"/>
    </xf>
    <xf numFmtId="0" fontId="32" fillId="5" borderId="24" xfId="0" applyFont="1" applyFill="1" applyBorder="1" applyAlignment="1">
      <alignment horizontal="center" vertical="center" wrapText="1" readingOrder="1"/>
    </xf>
    <xf numFmtId="0" fontId="32" fillId="5" borderId="25" xfId="0" applyFont="1" applyFill="1" applyBorder="1" applyAlignment="1">
      <alignment horizontal="center" vertical="center" wrapText="1" readingOrder="1"/>
    </xf>
    <xf numFmtId="0" fontId="32" fillId="5" borderId="26" xfId="0" applyFont="1" applyFill="1" applyBorder="1" applyAlignment="1">
      <alignment horizontal="center" vertical="center" wrapText="1" readingOrder="1"/>
    </xf>
    <xf numFmtId="0" fontId="32" fillId="5" borderId="27" xfId="0" applyFont="1" applyFill="1" applyBorder="1" applyAlignment="1">
      <alignment horizontal="center" vertical="center" wrapText="1" readingOrder="1"/>
    </xf>
    <xf numFmtId="0" fontId="32" fillId="13" borderId="20" xfId="0" applyFont="1" applyFill="1" applyBorder="1" applyAlignment="1">
      <alignment horizontal="center" vertical="center" wrapText="1" readingOrder="1"/>
    </xf>
    <xf numFmtId="0" fontId="32" fillId="13" borderId="21" xfId="0" applyFont="1" applyFill="1" applyBorder="1" applyAlignment="1">
      <alignment horizontal="center" vertical="center" wrapText="1" readingOrder="1"/>
    </xf>
    <xf numFmtId="0" fontId="32" fillId="13" borderId="22" xfId="0" applyFont="1" applyFill="1" applyBorder="1" applyAlignment="1">
      <alignment horizontal="center" vertical="center" wrapText="1" readingOrder="1"/>
    </xf>
    <xf numFmtId="0" fontId="32" fillId="13" borderId="23" xfId="0" applyFont="1" applyFill="1" applyBorder="1" applyAlignment="1">
      <alignment horizontal="center" vertical="center" wrapText="1" readingOrder="1"/>
    </xf>
    <xf numFmtId="0" fontId="32" fillId="13" borderId="0" xfId="0" applyFont="1" applyFill="1" applyAlignment="1">
      <alignment horizontal="center" vertical="center" wrapText="1" readingOrder="1"/>
    </xf>
    <xf numFmtId="0" fontId="32" fillId="13" borderId="24" xfId="0" applyFont="1" applyFill="1" applyBorder="1" applyAlignment="1">
      <alignment horizontal="center" vertical="center" wrapText="1" readingOrder="1"/>
    </xf>
    <xf numFmtId="0" fontId="32" fillId="13" borderId="25" xfId="0" applyFont="1" applyFill="1" applyBorder="1" applyAlignment="1">
      <alignment horizontal="center" vertical="center" wrapText="1" readingOrder="1"/>
    </xf>
    <xf numFmtId="0" fontId="32" fillId="13" borderId="26" xfId="0" applyFont="1" applyFill="1" applyBorder="1" applyAlignment="1">
      <alignment horizontal="center" vertical="center" wrapText="1" readingOrder="1"/>
    </xf>
    <xf numFmtId="0" fontId="32" fillId="13" borderId="27" xfId="0" applyFont="1" applyFill="1" applyBorder="1" applyAlignment="1">
      <alignment horizontal="center" vertical="center" wrapText="1" readingOrder="1"/>
    </xf>
    <xf numFmtId="0" fontId="33" fillId="0" borderId="19" xfId="0" applyFont="1" applyBorder="1" applyAlignment="1">
      <alignment horizontal="center" vertical="center" wrapText="1"/>
    </xf>
    <xf numFmtId="0" fontId="22" fillId="0" borderId="0" xfId="0" applyFont="1" applyAlignment="1">
      <alignment horizontal="center" vertical="center"/>
    </xf>
    <xf numFmtId="0" fontId="47" fillId="0" borderId="0" xfId="0" applyFont="1" applyAlignment="1">
      <alignment horizontal="center" vertical="center"/>
    </xf>
    <xf numFmtId="0" fontId="30" fillId="15" borderId="35" xfId="0" applyFont="1" applyFill="1" applyBorder="1" applyAlignment="1">
      <alignment horizontal="center" vertical="center" wrapText="1" readingOrder="1"/>
    </xf>
    <xf numFmtId="0" fontId="30" fillId="15" borderId="36" xfId="0" applyFont="1" applyFill="1" applyBorder="1" applyAlignment="1">
      <alignment horizontal="center" vertical="center" wrapText="1" readingOrder="1"/>
    </xf>
    <xf numFmtId="0" fontId="30" fillId="15" borderId="47" xfId="0" applyFont="1" applyFill="1" applyBorder="1" applyAlignment="1">
      <alignment horizontal="center" vertical="center" wrapText="1" readingOrder="1"/>
    </xf>
    <xf numFmtId="0" fontId="25" fillId="3" borderId="0" xfId="0" applyFont="1" applyFill="1" applyAlignment="1">
      <alignment horizontal="justify" vertical="center" wrapText="1"/>
    </xf>
    <xf numFmtId="0" fontId="27" fillId="15" borderId="44" xfId="0" applyFont="1" applyFill="1" applyBorder="1" applyAlignment="1">
      <alignment horizontal="center" vertical="center" wrapText="1" readingOrder="1"/>
    </xf>
    <xf numFmtId="0" fontId="27" fillId="15" borderId="45" xfId="0" applyFont="1" applyFill="1" applyBorder="1" applyAlignment="1">
      <alignment horizontal="center" vertical="center" wrapText="1" readingOrder="1"/>
    </xf>
    <xf numFmtId="0" fontId="27" fillId="3" borderId="42" xfId="0"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7" fillId="3" borderId="34" xfId="0"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7" fillId="3" borderId="39"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1245870</xdr:colOff>
      <xdr:row>3</xdr:row>
      <xdr:rowOff>144780</xdr:rowOff>
    </xdr:to>
    <xdr:pic>
      <xdr:nvPicPr>
        <xdr:cNvPr id="2" name="1 Imagen" descr="logocapitalmusical">
          <a:extLst>
            <a:ext uri="{FF2B5EF4-FFF2-40B4-BE49-F238E27FC236}">
              <a16:creationId xmlns:a16="http://schemas.microsoft.com/office/drawing/2014/main" id="{0FDAD933-3CEB-477B-A1C5-4A69905451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0930" y="38100"/>
          <a:ext cx="51244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1624330</xdr:colOff>
      <xdr:row>3</xdr:row>
      <xdr:rowOff>52070</xdr:rowOff>
    </xdr:to>
    <xdr:pic>
      <xdr:nvPicPr>
        <xdr:cNvPr id="3" name="Imagen 2">
          <a:extLst>
            <a:ext uri="{FF2B5EF4-FFF2-40B4-BE49-F238E27FC236}">
              <a16:creationId xmlns:a16="http://schemas.microsoft.com/office/drawing/2014/main" id="{0A90D5FE-0F75-4CF1-BC4B-9F965F69814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6230" y="49530"/>
          <a:ext cx="1310005" cy="5759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3" name="CuadroTexto 2">
          <a:extLst>
            <a:ext uri="{FF2B5EF4-FFF2-40B4-BE49-F238E27FC236}">
              <a16:creationId xmlns:a16="http://schemas.microsoft.com/office/drawing/2014/main" id="{0A05BD0B-C30C-4052-B434-8E1EAFBAF3AA}"/>
            </a:ext>
          </a:extLst>
        </xdr:cNvPr>
        <xdr:cNvSpPr txBox="1"/>
      </xdr:nvSpPr>
      <xdr:spPr>
        <a:xfrm rot="16200000">
          <a:off x="-3291436" y="7370619"/>
          <a:ext cx="661144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43</xdr:row>
      <xdr:rowOff>0</xdr:rowOff>
    </xdr:to>
    <xdr:sp macro="" textlink="">
      <xdr:nvSpPr>
        <xdr:cNvPr id="4" name="CuadroTexto 3">
          <a:extLst>
            <a:ext uri="{FF2B5EF4-FFF2-40B4-BE49-F238E27FC236}">
              <a16:creationId xmlns:a16="http://schemas.microsoft.com/office/drawing/2014/main" id="{C3FEFDF4-68A7-4BCF-9B92-41CFB220FBC3}"/>
            </a:ext>
          </a:extLst>
        </xdr:cNvPr>
        <xdr:cNvSpPr txBox="1"/>
      </xdr:nvSpPr>
      <xdr:spPr>
        <a:xfrm rot="16200000">
          <a:off x="-5615940" y="17547933"/>
          <a:ext cx="1123188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45</xdr:row>
      <xdr:rowOff>0</xdr:rowOff>
    </xdr:from>
    <xdr:to>
      <xdr:col>0</xdr:col>
      <xdr:colOff>2</xdr:colOff>
      <xdr:row>45</xdr:row>
      <xdr:rowOff>0</xdr:rowOff>
    </xdr:to>
    <xdr:sp macro="" textlink="">
      <xdr:nvSpPr>
        <xdr:cNvPr id="7" name="CuadroTexto 6">
          <a:extLst>
            <a:ext uri="{FF2B5EF4-FFF2-40B4-BE49-F238E27FC236}">
              <a16:creationId xmlns:a16="http://schemas.microsoft.com/office/drawing/2014/main" id="{9B35F2DF-FD51-4F5D-89B9-561F218A4381}"/>
            </a:ext>
          </a:extLst>
        </xdr:cNvPr>
        <xdr:cNvSpPr txBox="1"/>
      </xdr:nvSpPr>
      <xdr:spPr>
        <a:xfrm rot="16200000">
          <a:off x="1" y="235076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876300</xdr:colOff>
          <xdr:row>10</xdr:row>
          <xdr:rowOff>457200</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14338" name="CheckBox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14339" name="CheckBox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14340" name="CheckBox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426720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14343" name="CheckBox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14344" name="CheckBox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14345" name="CheckBox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906780</xdr:colOff>
          <xdr:row>19</xdr:row>
          <xdr:rowOff>419100</xdr:rowOff>
        </xdr:to>
        <xdr:sp macro="" textlink="">
          <xdr:nvSpPr>
            <xdr:cNvPr id="14346" name="CheckBox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14347" name="CheckBox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14348" name="CheckBox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14349" name="CheckBox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906780</xdr:colOff>
          <xdr:row>23</xdr:row>
          <xdr:rowOff>419100</xdr:rowOff>
        </xdr:to>
        <xdr:sp macro="" textlink="">
          <xdr:nvSpPr>
            <xdr:cNvPr id="14350" name="CheckBox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14351" name="CheckBox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14352" name="CheckBox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14353" name="CheckBox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14354" name="CheckBox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906780</xdr:colOff>
          <xdr:row>28</xdr:row>
          <xdr:rowOff>419100</xdr:rowOff>
        </xdr:to>
        <xdr:sp macro="" textlink="">
          <xdr:nvSpPr>
            <xdr:cNvPr id="14355" name="CheckBox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14356" name="CheckBox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14357" name="CheckBox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14358" name="CheckBox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906780</xdr:colOff>
          <xdr:row>32</xdr:row>
          <xdr:rowOff>419100</xdr:rowOff>
        </xdr:to>
        <xdr:sp macro="" textlink="">
          <xdr:nvSpPr>
            <xdr:cNvPr id="14359" name="CheckBox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906780</xdr:colOff>
          <xdr:row>33</xdr:row>
          <xdr:rowOff>419100</xdr:rowOff>
        </xdr:to>
        <xdr:sp macro="" textlink="">
          <xdr:nvSpPr>
            <xdr:cNvPr id="14360" name="CheckBox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906780</xdr:colOff>
          <xdr:row>34</xdr:row>
          <xdr:rowOff>419100</xdr:rowOff>
        </xdr:to>
        <xdr:sp macro="" textlink="">
          <xdr:nvSpPr>
            <xdr:cNvPr id="14361" name="CheckBox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906780</xdr:colOff>
          <xdr:row>35</xdr:row>
          <xdr:rowOff>419100</xdr:rowOff>
        </xdr:to>
        <xdr:sp macro="" textlink="">
          <xdr:nvSpPr>
            <xdr:cNvPr id="14362" name="CheckBox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906780</xdr:colOff>
          <xdr:row>36</xdr:row>
          <xdr:rowOff>419100</xdr:rowOff>
        </xdr:to>
        <xdr:sp macro="" textlink="">
          <xdr:nvSpPr>
            <xdr:cNvPr id="14363" name="CheckBox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906780</xdr:colOff>
          <xdr:row>37</xdr:row>
          <xdr:rowOff>419100</xdr:rowOff>
        </xdr:to>
        <xdr:sp macro="" textlink="">
          <xdr:nvSpPr>
            <xdr:cNvPr id="14364" name="CheckBox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160020</xdr:rowOff>
        </xdr:from>
        <xdr:to>
          <xdr:col>19</xdr:col>
          <xdr:colOff>906780</xdr:colOff>
          <xdr:row>41</xdr:row>
          <xdr:rowOff>419100</xdr:rowOff>
        </xdr:to>
        <xdr:sp macro="" textlink="">
          <xdr:nvSpPr>
            <xdr:cNvPr id="14365" name="CheckBox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42</xdr:row>
          <xdr:rowOff>160020</xdr:rowOff>
        </xdr:from>
        <xdr:to>
          <xdr:col>19</xdr:col>
          <xdr:colOff>906780</xdr:colOff>
          <xdr:row>42</xdr:row>
          <xdr:rowOff>419100</xdr:rowOff>
        </xdr:to>
        <xdr:sp macro="" textlink="">
          <xdr:nvSpPr>
            <xdr:cNvPr id="14366" name="CheckBox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67" name="CheckBox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68" name="CheckBox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69" name="CheckBox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0" name="CheckBox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1" name="CheckBox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2" name="CheckBox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3" name="CheckBox38"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4" name="CheckBox39"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5" name="CheckBox40"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6" name="CheckBox41"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7" name="CheckBox42" hidden="1">
              <a:extLst>
                <a:ext uri="{63B3BB69-23CF-44E3-9099-C40C66FF867C}">
                  <a14:compatExt spid="_x0000_s14377"/>
                </a:ext>
                <a:ext uri="{FF2B5EF4-FFF2-40B4-BE49-F238E27FC236}">
                  <a16:creationId xmlns:a16="http://schemas.microsoft.com/office/drawing/2014/main" id="{00000000-0008-0000-0200-00002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8" name="CheckBox43"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79" name="CheckBox44" hidden="1">
              <a:extLst>
                <a:ext uri="{63B3BB69-23CF-44E3-9099-C40C66FF867C}">
                  <a14:compatExt spid="_x0000_s14379"/>
                </a:ext>
                <a:ext uri="{FF2B5EF4-FFF2-40B4-BE49-F238E27FC236}">
                  <a16:creationId xmlns:a16="http://schemas.microsoft.com/office/drawing/2014/main" id="{00000000-0008-0000-0200-00002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80" name="CheckBox45" hidden="1">
              <a:extLst>
                <a:ext uri="{63B3BB69-23CF-44E3-9099-C40C66FF867C}">
                  <a14:compatExt spid="_x0000_s14380"/>
                </a:ext>
                <a:ext uri="{FF2B5EF4-FFF2-40B4-BE49-F238E27FC236}">
                  <a16:creationId xmlns:a16="http://schemas.microsoft.com/office/drawing/2014/main" id="{00000000-0008-0000-0200-00002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45</xdr:row>
          <xdr:rowOff>0</xdr:rowOff>
        </xdr:from>
        <xdr:to>
          <xdr:col>19</xdr:col>
          <xdr:colOff>906780</xdr:colOff>
          <xdr:row>45</xdr:row>
          <xdr:rowOff>259080</xdr:rowOff>
        </xdr:to>
        <xdr:sp macro="" textlink="">
          <xdr:nvSpPr>
            <xdr:cNvPr id="14381" name="CheckBox46"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11" name="CuadroTexto 10">
          <a:extLst>
            <a:ext uri="{FF2B5EF4-FFF2-40B4-BE49-F238E27FC236}">
              <a16:creationId xmlns:a16="http://schemas.microsoft.com/office/drawing/2014/main" id="{956B1924-F46E-4AFE-AA27-4895E1464119}"/>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360738</xdr:colOff>
      <xdr:row>0</xdr:row>
      <xdr:rowOff>67962</xdr:rowOff>
    </xdr:from>
    <xdr:to>
      <xdr:col>18</xdr:col>
      <xdr:colOff>845524</xdr:colOff>
      <xdr:row>3</xdr:row>
      <xdr:rowOff>152400</xdr:rowOff>
    </xdr:to>
    <xdr:pic>
      <xdr:nvPicPr>
        <xdr:cNvPr id="12" name="Imagen 11">
          <a:extLst>
            <a:ext uri="{FF2B5EF4-FFF2-40B4-BE49-F238E27FC236}">
              <a16:creationId xmlns:a16="http://schemas.microsoft.com/office/drawing/2014/main" id="{2A17E47F-9ED2-4672-A61D-63C4369AA131}"/>
            </a:ext>
          </a:extLst>
        </xdr:cNvPr>
        <xdr:cNvPicPr>
          <a:picLocks noChangeAspect="1"/>
        </xdr:cNvPicPr>
      </xdr:nvPicPr>
      <xdr:blipFill>
        <a:blip xmlns:r="http://schemas.openxmlformats.org/officeDocument/2006/relationships" r:embed="rId1"/>
        <a:stretch>
          <a:fillRect/>
        </a:stretch>
      </xdr:blipFill>
      <xdr:spPr>
        <a:xfrm>
          <a:off x="10734824" y="67962"/>
          <a:ext cx="484786" cy="987952"/>
        </a:xfrm>
        <a:prstGeom prst="rect">
          <a:avLst/>
        </a:prstGeom>
      </xdr:spPr>
    </xdr:pic>
    <xdr:clientData/>
  </xdr:twoCellAnchor>
  <xdr:twoCellAnchor editAs="oneCell">
    <xdr:from>
      <xdr:col>0</xdr:col>
      <xdr:colOff>41315</xdr:colOff>
      <xdr:row>0</xdr:row>
      <xdr:rowOff>0</xdr:rowOff>
    </xdr:from>
    <xdr:to>
      <xdr:col>1</xdr:col>
      <xdr:colOff>1180851</xdr:colOff>
      <xdr:row>4</xdr:row>
      <xdr:rowOff>9525</xdr:rowOff>
    </xdr:to>
    <xdr:pic>
      <xdr:nvPicPr>
        <xdr:cNvPr id="13" name="Imagen 12">
          <a:extLst>
            <a:ext uri="{FF2B5EF4-FFF2-40B4-BE49-F238E27FC236}">
              <a16:creationId xmlns:a16="http://schemas.microsoft.com/office/drawing/2014/main" id="{52226653-80D5-4C59-BC4B-2609EFD9FA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315" y="0"/>
          <a:ext cx="1487879" cy="110898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741544</xdr:colOff>
      <xdr:row>3</xdr:row>
      <xdr:rowOff>174542</xdr:rowOff>
    </xdr:to>
    <xdr:pic>
      <xdr:nvPicPr>
        <xdr:cNvPr id="2" name="1 Imagen" descr="logocapitalmusical">
          <a:extLst>
            <a:ext uri="{FF2B5EF4-FFF2-40B4-BE49-F238E27FC236}">
              <a16:creationId xmlns:a16="http://schemas.microsoft.com/office/drawing/2014/main" id="{6C335BCC-B6E6-4598-B6EE-9F91EC5604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1719" y="65957"/>
          <a:ext cx="52197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912495</xdr:colOff>
      <xdr:row>4</xdr:row>
      <xdr:rowOff>17145</xdr:rowOff>
    </xdr:to>
    <xdr:pic>
      <xdr:nvPicPr>
        <xdr:cNvPr id="3" name="Imagen 2">
          <a:extLst>
            <a:ext uri="{FF2B5EF4-FFF2-40B4-BE49-F238E27FC236}">
              <a16:creationId xmlns:a16="http://schemas.microsoft.com/office/drawing/2014/main" id="{EBB2EA54-0A45-4DAD-BAA0-479C15D577F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 y="0"/>
          <a:ext cx="1630680" cy="78676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efreshError="1">
        <row r="1">
          <cell r="B1" t="str">
            <v xml:space="preserve">PROCESO: </v>
          </cell>
        </row>
        <row r="8">
          <cell r="A8" t="str">
            <v xml:space="preserve">PROCESO: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control" Target="../activeX/activeX11.xml"/><Relationship Id="rId26" Type="http://schemas.openxmlformats.org/officeDocument/2006/relationships/control" Target="../activeX/activeX19.xml"/><Relationship Id="rId39" Type="http://schemas.openxmlformats.org/officeDocument/2006/relationships/control" Target="../activeX/activeX32.xml"/><Relationship Id="rId21" Type="http://schemas.openxmlformats.org/officeDocument/2006/relationships/control" Target="../activeX/activeX14.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9.xml"/><Relationship Id="rId29" Type="http://schemas.openxmlformats.org/officeDocument/2006/relationships/control" Target="../activeX/activeX22.xml"/><Relationship Id="rId11" Type="http://schemas.openxmlformats.org/officeDocument/2006/relationships/control" Target="../activeX/activeX5.xml"/><Relationship Id="rId24" Type="http://schemas.openxmlformats.org/officeDocument/2006/relationships/control" Target="../activeX/activeX17.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 Type="http://schemas.openxmlformats.org/officeDocument/2006/relationships/image" Target="../media/image3.emf"/><Relationship Id="rId15" Type="http://schemas.openxmlformats.org/officeDocument/2006/relationships/control" Target="../activeX/activeX8.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control" Target="../activeX/activeX29.xml"/><Relationship Id="rId49" Type="http://schemas.openxmlformats.org/officeDocument/2006/relationships/control" Target="../activeX/activeX42.xml"/><Relationship Id="rId10" Type="http://schemas.openxmlformats.org/officeDocument/2006/relationships/control" Target="../activeX/activeX4.xml"/><Relationship Id="rId19" Type="http://schemas.openxmlformats.org/officeDocument/2006/relationships/control" Target="../activeX/activeX12.xml"/><Relationship Id="rId31" Type="http://schemas.openxmlformats.org/officeDocument/2006/relationships/control" Target="../activeX/activeX24.xml"/><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7.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image" Target="../media/image6.emf"/><Relationship Id="rId17" Type="http://schemas.openxmlformats.org/officeDocument/2006/relationships/control" Target="../activeX/activeX10.xml"/><Relationship Id="rId25" Type="http://schemas.openxmlformats.org/officeDocument/2006/relationships/control" Target="../activeX/activeX18.xml"/><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20" Type="http://schemas.openxmlformats.org/officeDocument/2006/relationships/control" Target="../activeX/activeX13.xml"/><Relationship Id="rId41" Type="http://schemas.openxmlformats.org/officeDocument/2006/relationships/control" Target="../activeX/activeX34.xml"/><Relationship Id="rId1" Type="http://schemas.openxmlformats.org/officeDocument/2006/relationships/printerSettings" Target="../printerSettings/printerSettings2.bin"/><Relationship Id="rId6"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 workbookViewId="0">
      <selection activeCell="J7" sqref="J7"/>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264" t="s">
        <v>154</v>
      </c>
      <c r="C2" s="265"/>
      <c r="D2" s="265"/>
      <c r="E2" s="265"/>
      <c r="F2" s="265"/>
      <c r="G2" s="265"/>
      <c r="H2" s="266"/>
    </row>
    <row r="3" spans="2:8" x14ac:dyDescent="0.3">
      <c r="B3" s="54"/>
      <c r="C3" s="55"/>
      <c r="D3" s="55"/>
      <c r="E3" s="55"/>
      <c r="F3" s="55"/>
      <c r="G3" s="55"/>
      <c r="H3" s="56"/>
    </row>
    <row r="4" spans="2:8" ht="63" customHeight="1" x14ac:dyDescent="0.3">
      <c r="B4" s="267" t="s">
        <v>197</v>
      </c>
      <c r="C4" s="268"/>
      <c r="D4" s="268"/>
      <c r="E4" s="268"/>
      <c r="F4" s="268"/>
      <c r="G4" s="268"/>
      <c r="H4" s="269"/>
    </row>
    <row r="5" spans="2:8" ht="63" customHeight="1" x14ac:dyDescent="0.3">
      <c r="B5" s="270"/>
      <c r="C5" s="271"/>
      <c r="D5" s="271"/>
      <c r="E5" s="271"/>
      <c r="F5" s="271"/>
      <c r="G5" s="271"/>
      <c r="H5" s="272"/>
    </row>
    <row r="6" spans="2:8" x14ac:dyDescent="0.3">
      <c r="B6" s="273" t="s">
        <v>152</v>
      </c>
      <c r="C6" s="274"/>
      <c r="D6" s="274"/>
      <c r="E6" s="274"/>
      <c r="F6" s="274"/>
      <c r="G6" s="274"/>
      <c r="H6" s="275"/>
    </row>
    <row r="7" spans="2:8" ht="95.25" customHeight="1" x14ac:dyDescent="0.3">
      <c r="B7" s="283" t="s">
        <v>157</v>
      </c>
      <c r="C7" s="284"/>
      <c r="D7" s="284"/>
      <c r="E7" s="284"/>
      <c r="F7" s="284"/>
      <c r="G7" s="284"/>
      <c r="H7" s="285"/>
    </row>
    <row r="8" spans="2:8" x14ac:dyDescent="0.3">
      <c r="B8" s="88"/>
      <c r="C8" s="89"/>
      <c r="D8" s="89"/>
      <c r="E8" s="89"/>
      <c r="F8" s="89"/>
      <c r="G8" s="89"/>
      <c r="H8" s="90"/>
    </row>
    <row r="9" spans="2:8" ht="16.5" customHeight="1" x14ac:dyDescent="0.3">
      <c r="B9" s="276" t="s">
        <v>190</v>
      </c>
      <c r="C9" s="277"/>
      <c r="D9" s="277"/>
      <c r="E9" s="277"/>
      <c r="F9" s="277"/>
      <c r="G9" s="277"/>
      <c r="H9" s="278"/>
    </row>
    <row r="10" spans="2:8" ht="44.25" customHeight="1" x14ac:dyDescent="0.3">
      <c r="B10" s="276"/>
      <c r="C10" s="277"/>
      <c r="D10" s="277"/>
      <c r="E10" s="277"/>
      <c r="F10" s="277"/>
      <c r="G10" s="277"/>
      <c r="H10" s="278"/>
    </row>
    <row r="11" spans="2:8" ht="15" thickBot="1" x14ac:dyDescent="0.35">
      <c r="B11" s="77"/>
      <c r="C11" s="80"/>
      <c r="D11" s="85"/>
      <c r="E11" s="86"/>
      <c r="F11" s="86"/>
      <c r="G11" s="87"/>
      <c r="H11" s="81"/>
    </row>
    <row r="12" spans="2:8" ht="15" thickTop="1" x14ac:dyDescent="0.3">
      <c r="B12" s="77"/>
      <c r="C12" s="279" t="s">
        <v>153</v>
      </c>
      <c r="D12" s="280"/>
      <c r="E12" s="281" t="s">
        <v>191</v>
      </c>
      <c r="F12" s="282"/>
      <c r="G12" s="80"/>
      <c r="H12" s="81"/>
    </row>
    <row r="13" spans="2:8" ht="35.25" customHeight="1" x14ac:dyDescent="0.3">
      <c r="B13" s="77"/>
      <c r="C13" s="251" t="s">
        <v>184</v>
      </c>
      <c r="D13" s="252"/>
      <c r="E13" s="253" t="s">
        <v>189</v>
      </c>
      <c r="F13" s="254"/>
      <c r="G13" s="80"/>
      <c r="H13" s="81"/>
    </row>
    <row r="14" spans="2:8" ht="17.25" customHeight="1" x14ac:dyDescent="0.3">
      <c r="B14" s="77"/>
      <c r="C14" s="251" t="s">
        <v>185</v>
      </c>
      <c r="D14" s="252"/>
      <c r="E14" s="253" t="s">
        <v>187</v>
      </c>
      <c r="F14" s="254"/>
      <c r="G14" s="80"/>
      <c r="H14" s="81"/>
    </row>
    <row r="15" spans="2:8" ht="19.5" customHeight="1" x14ac:dyDescent="0.3">
      <c r="B15" s="77"/>
      <c r="C15" s="251" t="s">
        <v>186</v>
      </c>
      <c r="D15" s="252"/>
      <c r="E15" s="253" t="s">
        <v>188</v>
      </c>
      <c r="F15" s="254"/>
      <c r="G15" s="80"/>
      <c r="H15" s="81"/>
    </row>
    <row r="16" spans="2:8" ht="69.75" customHeight="1" x14ac:dyDescent="0.3">
      <c r="B16" s="77"/>
      <c r="C16" s="251" t="s">
        <v>155</v>
      </c>
      <c r="D16" s="252"/>
      <c r="E16" s="253" t="s">
        <v>156</v>
      </c>
      <c r="F16" s="254"/>
      <c r="G16" s="80"/>
      <c r="H16" s="81"/>
    </row>
    <row r="17" spans="2:8" ht="34.5" customHeight="1" x14ac:dyDescent="0.3">
      <c r="B17" s="77"/>
      <c r="C17" s="255" t="s">
        <v>2</v>
      </c>
      <c r="D17" s="256"/>
      <c r="E17" s="247" t="s">
        <v>198</v>
      </c>
      <c r="F17" s="248"/>
      <c r="G17" s="80"/>
      <c r="H17" s="81"/>
    </row>
    <row r="18" spans="2:8" ht="27.75" customHeight="1" x14ac:dyDescent="0.3">
      <c r="B18" s="77"/>
      <c r="C18" s="255" t="s">
        <v>3</v>
      </c>
      <c r="D18" s="256"/>
      <c r="E18" s="247" t="s">
        <v>199</v>
      </c>
      <c r="F18" s="248"/>
      <c r="G18" s="80"/>
      <c r="H18" s="81"/>
    </row>
    <row r="19" spans="2:8" ht="28.5" customHeight="1" x14ac:dyDescent="0.3">
      <c r="B19" s="77"/>
      <c r="C19" s="255" t="s">
        <v>42</v>
      </c>
      <c r="D19" s="256"/>
      <c r="E19" s="247" t="s">
        <v>200</v>
      </c>
      <c r="F19" s="248"/>
      <c r="G19" s="80"/>
      <c r="H19" s="81"/>
    </row>
    <row r="20" spans="2:8" ht="72.75" customHeight="1" x14ac:dyDescent="0.3">
      <c r="B20" s="77"/>
      <c r="C20" s="255" t="s">
        <v>1</v>
      </c>
      <c r="D20" s="256"/>
      <c r="E20" s="247" t="s">
        <v>201</v>
      </c>
      <c r="F20" s="248"/>
      <c r="G20" s="80"/>
      <c r="H20" s="81"/>
    </row>
    <row r="21" spans="2:8" ht="64.5" customHeight="1" x14ac:dyDescent="0.3">
      <c r="B21" s="77"/>
      <c r="C21" s="255" t="s">
        <v>50</v>
      </c>
      <c r="D21" s="256"/>
      <c r="E21" s="247" t="s">
        <v>159</v>
      </c>
      <c r="F21" s="248"/>
      <c r="G21" s="80"/>
      <c r="H21" s="81"/>
    </row>
    <row r="22" spans="2:8" ht="71.25" customHeight="1" x14ac:dyDescent="0.3">
      <c r="B22" s="77"/>
      <c r="C22" s="255" t="s">
        <v>158</v>
      </c>
      <c r="D22" s="256"/>
      <c r="E22" s="247" t="s">
        <v>160</v>
      </c>
      <c r="F22" s="248"/>
      <c r="G22" s="80"/>
      <c r="H22" s="81"/>
    </row>
    <row r="23" spans="2:8" ht="55.5" customHeight="1" x14ac:dyDescent="0.3">
      <c r="B23" s="77"/>
      <c r="C23" s="249" t="s">
        <v>161</v>
      </c>
      <c r="D23" s="250"/>
      <c r="E23" s="247" t="s">
        <v>162</v>
      </c>
      <c r="F23" s="248"/>
      <c r="G23" s="80"/>
      <c r="H23" s="81"/>
    </row>
    <row r="24" spans="2:8" ht="42" customHeight="1" x14ac:dyDescent="0.3">
      <c r="B24" s="77"/>
      <c r="C24" s="249" t="s">
        <v>48</v>
      </c>
      <c r="D24" s="250"/>
      <c r="E24" s="247" t="s">
        <v>163</v>
      </c>
      <c r="F24" s="248"/>
      <c r="G24" s="80"/>
      <c r="H24" s="81"/>
    </row>
    <row r="25" spans="2:8" ht="59.25" customHeight="1" x14ac:dyDescent="0.3">
      <c r="B25" s="77"/>
      <c r="C25" s="249" t="s">
        <v>151</v>
      </c>
      <c r="D25" s="250"/>
      <c r="E25" s="247" t="s">
        <v>164</v>
      </c>
      <c r="F25" s="248"/>
      <c r="G25" s="80"/>
      <c r="H25" s="81"/>
    </row>
    <row r="26" spans="2:8" ht="23.25" customHeight="1" x14ac:dyDescent="0.3">
      <c r="B26" s="77"/>
      <c r="C26" s="249" t="s">
        <v>12</v>
      </c>
      <c r="D26" s="250"/>
      <c r="E26" s="247" t="s">
        <v>165</v>
      </c>
      <c r="F26" s="248"/>
      <c r="G26" s="80"/>
      <c r="H26" s="81"/>
    </row>
    <row r="27" spans="2:8" ht="30.75" customHeight="1" x14ac:dyDescent="0.3">
      <c r="B27" s="77"/>
      <c r="C27" s="249" t="s">
        <v>169</v>
      </c>
      <c r="D27" s="250"/>
      <c r="E27" s="247" t="s">
        <v>166</v>
      </c>
      <c r="F27" s="248"/>
      <c r="G27" s="80"/>
      <c r="H27" s="81"/>
    </row>
    <row r="28" spans="2:8" ht="35.25" customHeight="1" x14ac:dyDescent="0.3">
      <c r="B28" s="77"/>
      <c r="C28" s="249" t="s">
        <v>170</v>
      </c>
      <c r="D28" s="250"/>
      <c r="E28" s="247" t="s">
        <v>167</v>
      </c>
      <c r="F28" s="248"/>
      <c r="G28" s="80"/>
      <c r="H28" s="81"/>
    </row>
    <row r="29" spans="2:8" ht="33" customHeight="1" x14ac:dyDescent="0.3">
      <c r="B29" s="77"/>
      <c r="C29" s="249" t="s">
        <v>170</v>
      </c>
      <c r="D29" s="250"/>
      <c r="E29" s="247" t="s">
        <v>167</v>
      </c>
      <c r="F29" s="248"/>
      <c r="G29" s="80"/>
      <c r="H29" s="81"/>
    </row>
    <row r="30" spans="2:8" ht="30" customHeight="1" x14ac:dyDescent="0.3">
      <c r="B30" s="77"/>
      <c r="C30" s="249" t="s">
        <v>171</v>
      </c>
      <c r="D30" s="250"/>
      <c r="E30" s="247" t="s">
        <v>168</v>
      </c>
      <c r="F30" s="248"/>
      <c r="G30" s="80"/>
      <c r="H30" s="81"/>
    </row>
    <row r="31" spans="2:8" ht="35.25" customHeight="1" x14ac:dyDescent="0.3">
      <c r="B31" s="77"/>
      <c r="C31" s="249" t="s">
        <v>172</v>
      </c>
      <c r="D31" s="250"/>
      <c r="E31" s="247" t="s">
        <v>173</v>
      </c>
      <c r="F31" s="248"/>
      <c r="G31" s="80"/>
      <c r="H31" s="81"/>
    </row>
    <row r="32" spans="2:8" ht="31.5" customHeight="1" x14ac:dyDescent="0.3">
      <c r="B32" s="77"/>
      <c r="C32" s="249" t="s">
        <v>174</v>
      </c>
      <c r="D32" s="250"/>
      <c r="E32" s="247" t="s">
        <v>175</v>
      </c>
      <c r="F32" s="248"/>
      <c r="G32" s="80"/>
      <c r="H32" s="81"/>
    </row>
    <row r="33" spans="2:8" ht="35.25" customHeight="1" x14ac:dyDescent="0.3">
      <c r="B33" s="77"/>
      <c r="C33" s="249" t="s">
        <v>176</v>
      </c>
      <c r="D33" s="250"/>
      <c r="E33" s="247" t="s">
        <v>177</v>
      </c>
      <c r="F33" s="248"/>
      <c r="G33" s="80"/>
      <c r="H33" s="81"/>
    </row>
    <row r="34" spans="2:8" ht="59.25" customHeight="1" x14ac:dyDescent="0.3">
      <c r="B34" s="77"/>
      <c r="C34" s="249" t="s">
        <v>178</v>
      </c>
      <c r="D34" s="250"/>
      <c r="E34" s="247" t="s">
        <v>179</v>
      </c>
      <c r="F34" s="248"/>
      <c r="G34" s="80"/>
      <c r="H34" s="81"/>
    </row>
    <row r="35" spans="2:8" ht="29.25" customHeight="1" x14ac:dyDescent="0.3">
      <c r="B35" s="77"/>
      <c r="C35" s="249" t="s">
        <v>29</v>
      </c>
      <c r="D35" s="250"/>
      <c r="E35" s="247" t="s">
        <v>180</v>
      </c>
      <c r="F35" s="248"/>
      <c r="G35" s="80"/>
      <c r="H35" s="81"/>
    </row>
    <row r="36" spans="2:8" ht="82.5" customHeight="1" x14ac:dyDescent="0.3">
      <c r="B36" s="77"/>
      <c r="C36" s="249" t="s">
        <v>182</v>
      </c>
      <c r="D36" s="250"/>
      <c r="E36" s="247" t="s">
        <v>181</v>
      </c>
      <c r="F36" s="248"/>
      <c r="G36" s="80"/>
      <c r="H36" s="81"/>
    </row>
    <row r="37" spans="2:8" ht="46.5" customHeight="1" x14ac:dyDescent="0.3">
      <c r="B37" s="77"/>
      <c r="C37" s="249" t="s">
        <v>39</v>
      </c>
      <c r="D37" s="250"/>
      <c r="E37" s="247" t="s">
        <v>183</v>
      </c>
      <c r="F37" s="248"/>
      <c r="G37" s="80"/>
      <c r="H37" s="81"/>
    </row>
    <row r="38" spans="2:8" ht="6.75" customHeight="1" thickBot="1" x14ac:dyDescent="0.35">
      <c r="B38" s="77"/>
      <c r="C38" s="260"/>
      <c r="D38" s="261"/>
      <c r="E38" s="262"/>
      <c r="F38" s="263"/>
      <c r="G38" s="80"/>
      <c r="H38" s="81"/>
    </row>
    <row r="39" spans="2:8" ht="15" thickTop="1" x14ac:dyDescent="0.3">
      <c r="B39" s="77"/>
      <c r="C39" s="78"/>
      <c r="D39" s="78"/>
      <c r="E39" s="79"/>
      <c r="F39" s="79"/>
      <c r="G39" s="80"/>
      <c r="H39" s="81"/>
    </row>
    <row r="40" spans="2:8" ht="21" customHeight="1" x14ac:dyDescent="0.3">
      <c r="B40" s="257" t="s">
        <v>192</v>
      </c>
      <c r="C40" s="258"/>
      <c r="D40" s="258"/>
      <c r="E40" s="258"/>
      <c r="F40" s="258"/>
      <c r="G40" s="258"/>
      <c r="H40" s="259"/>
    </row>
    <row r="41" spans="2:8" ht="20.25" customHeight="1" x14ac:dyDescent="0.3">
      <c r="B41" s="257" t="s">
        <v>193</v>
      </c>
      <c r="C41" s="258"/>
      <c r="D41" s="258"/>
      <c r="E41" s="258"/>
      <c r="F41" s="258"/>
      <c r="G41" s="258"/>
      <c r="H41" s="259"/>
    </row>
    <row r="42" spans="2:8" ht="20.25" customHeight="1" x14ac:dyDescent="0.3">
      <c r="B42" s="257" t="s">
        <v>194</v>
      </c>
      <c r="C42" s="258"/>
      <c r="D42" s="258"/>
      <c r="E42" s="258"/>
      <c r="F42" s="258"/>
      <c r="G42" s="258"/>
      <c r="H42" s="259"/>
    </row>
    <row r="43" spans="2:8" ht="20.25" customHeight="1" x14ac:dyDescent="0.3">
      <c r="B43" s="257" t="s">
        <v>195</v>
      </c>
      <c r="C43" s="258"/>
      <c r="D43" s="258"/>
      <c r="E43" s="258"/>
      <c r="F43" s="258"/>
      <c r="G43" s="258"/>
      <c r="H43" s="259"/>
    </row>
    <row r="44" spans="2:8" x14ac:dyDescent="0.3">
      <c r="B44" s="257" t="s">
        <v>196</v>
      </c>
      <c r="C44" s="258"/>
      <c r="D44" s="258"/>
      <c r="E44" s="258"/>
      <c r="F44" s="258"/>
      <c r="G44" s="258"/>
      <c r="H44" s="259"/>
    </row>
    <row r="45" spans="2:8" ht="15" thickBot="1" x14ac:dyDescent="0.35">
      <c r="B45" s="82"/>
      <c r="C45" s="83"/>
      <c r="D45" s="83"/>
      <c r="E45" s="83"/>
      <c r="F45" s="83"/>
      <c r="G45" s="83"/>
      <c r="H45" s="8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abSelected="1" workbookViewId="0">
      <selection activeCell="I9" sqref="I9"/>
    </sheetView>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43" t="s">
        <v>77</v>
      </c>
      <c r="C1" s="644"/>
      <c r="D1" s="644"/>
      <c r="E1" s="644"/>
      <c r="F1" s="645"/>
    </row>
    <row r="2" spans="2:6" ht="16.2" thickBot="1" x14ac:dyDescent="0.35">
      <c r="B2" s="59"/>
      <c r="C2" s="59"/>
      <c r="D2" s="59"/>
      <c r="E2" s="59"/>
      <c r="F2" s="59"/>
    </row>
    <row r="3" spans="2:6" ht="16.2" thickBot="1" x14ac:dyDescent="0.35">
      <c r="B3" s="647" t="s">
        <v>63</v>
      </c>
      <c r="C3" s="648"/>
      <c r="D3" s="648"/>
      <c r="E3" s="71" t="s">
        <v>64</v>
      </c>
      <c r="F3" s="72" t="s">
        <v>65</v>
      </c>
    </row>
    <row r="4" spans="2:6" ht="31.2" x14ac:dyDescent="0.3">
      <c r="B4" s="649" t="s">
        <v>66</v>
      </c>
      <c r="C4" s="651" t="s">
        <v>13</v>
      </c>
      <c r="D4" s="60" t="s">
        <v>14</v>
      </c>
      <c r="E4" s="61" t="s">
        <v>67</v>
      </c>
      <c r="F4" s="62">
        <v>0.25</v>
      </c>
    </row>
    <row r="5" spans="2:6" ht="46.8" x14ac:dyDescent="0.3">
      <c r="B5" s="650"/>
      <c r="C5" s="652"/>
      <c r="D5" s="63" t="s">
        <v>15</v>
      </c>
      <c r="E5" s="64" t="s">
        <v>68</v>
      </c>
      <c r="F5" s="65">
        <v>0.15</v>
      </c>
    </row>
    <row r="6" spans="2:6" ht="46.8" x14ac:dyDescent="0.3">
      <c r="B6" s="650"/>
      <c r="C6" s="652"/>
      <c r="D6" s="63" t="s">
        <v>16</v>
      </c>
      <c r="E6" s="64" t="s">
        <v>69</v>
      </c>
      <c r="F6" s="65">
        <v>0.1</v>
      </c>
    </row>
    <row r="7" spans="2:6" ht="62.4" x14ac:dyDescent="0.3">
      <c r="B7" s="650"/>
      <c r="C7" s="652" t="s">
        <v>17</v>
      </c>
      <c r="D7" s="63" t="s">
        <v>10</v>
      </c>
      <c r="E7" s="64" t="s">
        <v>70</v>
      </c>
      <c r="F7" s="65">
        <v>0.25</v>
      </c>
    </row>
    <row r="8" spans="2:6" ht="31.2" x14ac:dyDescent="0.3">
      <c r="B8" s="650"/>
      <c r="C8" s="652"/>
      <c r="D8" s="63" t="s">
        <v>9</v>
      </c>
      <c r="E8" s="64" t="s">
        <v>71</v>
      </c>
      <c r="F8" s="65">
        <v>0.15</v>
      </c>
    </row>
    <row r="9" spans="2:6" ht="46.8" x14ac:dyDescent="0.3">
      <c r="B9" s="650" t="s">
        <v>150</v>
      </c>
      <c r="C9" s="652" t="s">
        <v>18</v>
      </c>
      <c r="D9" s="63" t="s">
        <v>19</v>
      </c>
      <c r="E9" s="64" t="s">
        <v>72</v>
      </c>
      <c r="F9" s="66" t="s">
        <v>73</v>
      </c>
    </row>
    <row r="10" spans="2:6" ht="46.8" x14ac:dyDescent="0.3">
      <c r="B10" s="650"/>
      <c r="C10" s="652"/>
      <c r="D10" s="63" t="s">
        <v>20</v>
      </c>
      <c r="E10" s="64" t="s">
        <v>74</v>
      </c>
      <c r="F10" s="66" t="s">
        <v>73</v>
      </c>
    </row>
    <row r="11" spans="2:6" ht="46.8" x14ac:dyDescent="0.3">
      <c r="B11" s="650"/>
      <c r="C11" s="652" t="s">
        <v>21</v>
      </c>
      <c r="D11" s="63" t="s">
        <v>22</v>
      </c>
      <c r="E11" s="64" t="s">
        <v>75</v>
      </c>
      <c r="F11" s="66" t="s">
        <v>73</v>
      </c>
    </row>
    <row r="12" spans="2:6" ht="46.8" x14ac:dyDescent="0.3">
      <c r="B12" s="650"/>
      <c r="C12" s="652"/>
      <c r="D12" s="63" t="s">
        <v>23</v>
      </c>
      <c r="E12" s="64" t="s">
        <v>76</v>
      </c>
      <c r="F12" s="66" t="s">
        <v>73</v>
      </c>
    </row>
    <row r="13" spans="2:6" ht="31.2" x14ac:dyDescent="0.3">
      <c r="B13" s="650"/>
      <c r="C13" s="652" t="s">
        <v>24</v>
      </c>
      <c r="D13" s="63" t="s">
        <v>114</v>
      </c>
      <c r="E13" s="64" t="s">
        <v>117</v>
      </c>
      <c r="F13" s="66" t="s">
        <v>73</v>
      </c>
    </row>
    <row r="14" spans="2:6" ht="16.2" thickBot="1" x14ac:dyDescent="0.35">
      <c r="B14" s="653"/>
      <c r="C14" s="654"/>
      <c r="D14" s="67" t="s">
        <v>115</v>
      </c>
      <c r="E14" s="68" t="s">
        <v>116</v>
      </c>
      <c r="F14" s="69" t="s">
        <v>73</v>
      </c>
    </row>
    <row r="15" spans="2:6" ht="49.5" customHeight="1" x14ac:dyDescent="0.3">
      <c r="B15" s="646" t="s">
        <v>147</v>
      </c>
      <c r="C15" s="646"/>
      <c r="D15" s="646"/>
      <c r="E15" s="646"/>
      <c r="F15" s="646"/>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ColWidth="11.5546875"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40</v>
      </c>
    </row>
    <row r="21" spans="1:1" x14ac:dyDescent="0.3">
      <c r="A21" s="2"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BFF7-94F3-4C92-9B4D-01C6A7F88898}">
  <dimension ref="A1:J53"/>
  <sheetViews>
    <sheetView topLeftCell="A8" workbookViewId="0">
      <selection activeCell="E17" sqref="E17"/>
    </sheetView>
  </sheetViews>
  <sheetFormatPr baseColWidth="10" defaultColWidth="11.44140625" defaultRowHeight="13.8" x14ac:dyDescent="0.25"/>
  <cols>
    <col min="1" max="1" width="29.44140625" style="165" customWidth="1"/>
    <col min="2" max="2" width="29.109375" style="165" customWidth="1"/>
    <col min="3" max="3" width="30.33203125" style="165" customWidth="1"/>
    <col min="4" max="4" width="31.88671875" style="165" customWidth="1"/>
    <col min="5" max="5" width="32.5546875" style="165" customWidth="1"/>
    <col min="6" max="6" width="32" style="165" customWidth="1"/>
    <col min="7" max="16384" width="11.44140625" style="165"/>
  </cols>
  <sheetData>
    <row r="1" spans="1:10" ht="15" customHeight="1" x14ac:dyDescent="0.25">
      <c r="A1" s="296"/>
      <c r="B1" s="298" t="s">
        <v>257</v>
      </c>
      <c r="C1" s="298"/>
      <c r="D1" s="298"/>
      <c r="E1" s="163" t="s">
        <v>258</v>
      </c>
      <c r="F1" s="300"/>
      <c r="G1" s="164"/>
      <c r="J1" s="302"/>
    </row>
    <row r="2" spans="1:10" ht="15" customHeight="1" x14ac:dyDescent="0.25">
      <c r="A2" s="297"/>
      <c r="B2" s="299"/>
      <c r="C2" s="299"/>
      <c r="D2" s="299"/>
      <c r="E2" s="167" t="s">
        <v>259</v>
      </c>
      <c r="F2" s="301"/>
      <c r="G2" s="164"/>
      <c r="J2" s="302"/>
    </row>
    <row r="3" spans="1:10" ht="15" customHeight="1" x14ac:dyDescent="0.25">
      <c r="A3" s="297"/>
      <c r="B3" s="299" t="s">
        <v>260</v>
      </c>
      <c r="C3" s="299"/>
      <c r="D3" s="299"/>
      <c r="E3" s="167" t="s">
        <v>261</v>
      </c>
      <c r="F3" s="301"/>
      <c r="G3" s="164"/>
      <c r="J3" s="302"/>
    </row>
    <row r="4" spans="1:10" ht="15.75" customHeight="1" x14ac:dyDescent="0.25">
      <c r="A4" s="297"/>
      <c r="B4" s="299"/>
      <c r="C4" s="299"/>
      <c r="D4" s="299"/>
      <c r="E4" s="167" t="s">
        <v>262</v>
      </c>
      <c r="F4" s="301"/>
      <c r="G4" s="164"/>
      <c r="J4" s="302"/>
    </row>
    <row r="5" spans="1:10" ht="15.75" customHeight="1" x14ac:dyDescent="0.25">
      <c r="A5" s="303"/>
      <c r="B5" s="304"/>
      <c r="C5" s="304"/>
      <c r="D5" s="304"/>
      <c r="E5" s="304"/>
      <c r="F5" s="305"/>
      <c r="G5" s="164"/>
      <c r="J5" s="166"/>
    </row>
    <row r="6" spans="1:10" ht="15" customHeight="1" x14ac:dyDescent="0.25">
      <c r="A6" s="286" t="s">
        <v>263</v>
      </c>
      <c r="B6" s="287"/>
      <c r="C6" s="287"/>
      <c r="D6" s="287"/>
      <c r="E6" s="287"/>
      <c r="F6" s="288"/>
    </row>
    <row r="7" spans="1:10" ht="15.75" customHeight="1" x14ac:dyDescent="0.25">
      <c r="A7" s="286"/>
      <c r="B7" s="287"/>
      <c r="C7" s="287"/>
      <c r="D7" s="287"/>
      <c r="E7" s="287"/>
      <c r="F7" s="288"/>
    </row>
    <row r="8" spans="1:10" ht="27" customHeight="1" x14ac:dyDescent="0.25">
      <c r="A8" s="289" t="s">
        <v>297</v>
      </c>
      <c r="B8" s="290"/>
      <c r="C8" s="290"/>
      <c r="D8" s="290"/>
      <c r="E8" s="290"/>
      <c r="F8" s="291"/>
    </row>
    <row r="9" spans="1:10" ht="77.25" customHeight="1" thickBot="1" x14ac:dyDescent="0.3">
      <c r="A9" s="292" t="s">
        <v>312</v>
      </c>
      <c r="B9" s="293"/>
      <c r="C9" s="293"/>
      <c r="D9" s="293"/>
      <c r="E9" s="293"/>
      <c r="F9" s="294"/>
    </row>
    <row r="10" spans="1:10" ht="18.75" customHeight="1" thickBot="1" x14ac:dyDescent="0.3">
      <c r="A10" s="295"/>
      <c r="B10" s="295"/>
      <c r="C10" s="295"/>
      <c r="D10" s="295"/>
      <c r="E10" s="295"/>
      <c r="F10" s="295"/>
    </row>
    <row r="11" spans="1:10" ht="22.5" customHeight="1" thickBot="1" x14ac:dyDescent="0.3">
      <c r="A11" s="168" t="s">
        <v>264</v>
      </c>
      <c r="B11" s="169" t="s">
        <v>265</v>
      </c>
      <c r="C11" s="169" t="s">
        <v>266</v>
      </c>
      <c r="D11" s="169" t="s">
        <v>265</v>
      </c>
      <c r="E11" s="169" t="s">
        <v>267</v>
      </c>
      <c r="F11" s="170" t="s">
        <v>265</v>
      </c>
    </row>
    <row r="12" spans="1:10" ht="75" customHeight="1" x14ac:dyDescent="0.25">
      <c r="A12" s="171" t="s">
        <v>314</v>
      </c>
      <c r="B12" s="163" t="s">
        <v>315</v>
      </c>
      <c r="C12" s="172" t="s">
        <v>329</v>
      </c>
      <c r="D12" s="163" t="s">
        <v>330</v>
      </c>
      <c r="E12" s="172" t="s">
        <v>349</v>
      </c>
      <c r="F12" s="225" t="s">
        <v>350</v>
      </c>
    </row>
    <row r="13" spans="1:10" ht="60" customHeight="1" x14ac:dyDescent="0.25">
      <c r="A13" s="173" t="s">
        <v>269</v>
      </c>
      <c r="B13" s="176" t="s">
        <v>316</v>
      </c>
      <c r="C13" s="175" t="s">
        <v>329</v>
      </c>
      <c r="D13" s="167" t="s">
        <v>331</v>
      </c>
      <c r="E13" s="175" t="s">
        <v>349</v>
      </c>
      <c r="F13" s="226" t="s">
        <v>351</v>
      </c>
    </row>
    <row r="14" spans="1:10" ht="82.5" customHeight="1" x14ac:dyDescent="0.25">
      <c r="A14" s="173" t="s">
        <v>269</v>
      </c>
      <c r="B14" s="167" t="s">
        <v>317</v>
      </c>
      <c r="C14" s="175" t="s">
        <v>329</v>
      </c>
      <c r="D14" s="167" t="s">
        <v>332</v>
      </c>
      <c r="E14" s="175" t="s">
        <v>352</v>
      </c>
      <c r="F14" s="177" t="s">
        <v>353</v>
      </c>
    </row>
    <row r="15" spans="1:10" ht="73.5" customHeight="1" x14ac:dyDescent="0.25">
      <c r="A15" s="173" t="s">
        <v>318</v>
      </c>
      <c r="B15" s="218" t="s">
        <v>319</v>
      </c>
      <c r="C15" s="175" t="s">
        <v>329</v>
      </c>
      <c r="D15" s="176" t="s">
        <v>333</v>
      </c>
      <c r="E15" s="175" t="s">
        <v>354</v>
      </c>
      <c r="F15" s="177" t="s">
        <v>355</v>
      </c>
    </row>
    <row r="16" spans="1:10" ht="59.25" customHeight="1" x14ac:dyDescent="0.25">
      <c r="A16" s="173" t="s">
        <v>268</v>
      </c>
      <c r="B16" s="167" t="s">
        <v>320</v>
      </c>
      <c r="C16" s="175" t="s">
        <v>334</v>
      </c>
      <c r="D16" s="221" t="s">
        <v>335</v>
      </c>
      <c r="E16" s="175" t="s">
        <v>356</v>
      </c>
      <c r="F16" s="177" t="s">
        <v>357</v>
      </c>
    </row>
    <row r="17" spans="1:6" ht="69.75" customHeight="1" x14ac:dyDescent="0.25">
      <c r="A17" s="173" t="s">
        <v>270</v>
      </c>
      <c r="B17" s="167" t="s">
        <v>321</v>
      </c>
      <c r="C17" s="175" t="s">
        <v>272</v>
      </c>
      <c r="D17" s="167" t="s">
        <v>336</v>
      </c>
      <c r="E17" s="175"/>
      <c r="F17" s="177"/>
    </row>
    <row r="18" spans="1:6" ht="66.75" customHeight="1" x14ac:dyDescent="0.25">
      <c r="A18" s="173" t="s">
        <v>270</v>
      </c>
      <c r="B18" s="176" t="s">
        <v>322</v>
      </c>
      <c r="C18" s="175" t="s">
        <v>337</v>
      </c>
      <c r="D18" s="167" t="s">
        <v>338</v>
      </c>
      <c r="E18" s="175"/>
      <c r="F18" s="177"/>
    </row>
    <row r="19" spans="1:6" ht="73.5" customHeight="1" x14ac:dyDescent="0.25">
      <c r="A19" s="173" t="s">
        <v>270</v>
      </c>
      <c r="B19" s="176" t="s">
        <v>323</v>
      </c>
      <c r="C19" s="175" t="s">
        <v>339</v>
      </c>
      <c r="D19" s="222" t="s">
        <v>340</v>
      </c>
      <c r="E19" s="175"/>
      <c r="F19" s="177"/>
    </row>
    <row r="20" spans="1:6" ht="65.25" customHeight="1" x14ac:dyDescent="0.25">
      <c r="A20" s="173" t="s">
        <v>272</v>
      </c>
      <c r="B20" s="219" t="s">
        <v>324</v>
      </c>
      <c r="C20" s="175" t="s">
        <v>339</v>
      </c>
      <c r="D20" s="222" t="s">
        <v>341</v>
      </c>
      <c r="E20" s="175"/>
      <c r="F20" s="177"/>
    </row>
    <row r="21" spans="1:6" ht="66.75" customHeight="1" x14ac:dyDescent="0.25">
      <c r="A21" s="173" t="s">
        <v>271</v>
      </c>
      <c r="B21" s="219" t="s">
        <v>325</v>
      </c>
      <c r="C21" s="175" t="s">
        <v>339</v>
      </c>
      <c r="D21" s="223" t="s">
        <v>342</v>
      </c>
      <c r="E21" s="175"/>
      <c r="F21" s="177"/>
    </row>
    <row r="22" spans="1:6" ht="69" customHeight="1" x14ac:dyDescent="0.25">
      <c r="A22" s="173" t="s">
        <v>271</v>
      </c>
      <c r="B22" s="174" t="s">
        <v>326</v>
      </c>
      <c r="C22" s="175" t="s">
        <v>343</v>
      </c>
      <c r="D22" s="219" t="s">
        <v>344</v>
      </c>
      <c r="E22" s="175"/>
      <c r="F22" s="177"/>
    </row>
    <row r="23" spans="1:6" ht="61.5" customHeight="1" x14ac:dyDescent="0.25">
      <c r="A23" s="173" t="s">
        <v>314</v>
      </c>
      <c r="B23" s="220" t="s">
        <v>327</v>
      </c>
      <c r="C23" s="175" t="s">
        <v>345</v>
      </c>
      <c r="D23" s="176" t="s">
        <v>346</v>
      </c>
      <c r="E23" s="175"/>
      <c r="F23" s="177"/>
    </row>
    <row r="24" spans="1:6" ht="57.75" customHeight="1" x14ac:dyDescent="0.25">
      <c r="A24" s="173" t="s">
        <v>272</v>
      </c>
      <c r="B24" s="167" t="s">
        <v>328</v>
      </c>
      <c r="C24" s="175" t="s">
        <v>337</v>
      </c>
      <c r="D24" s="219" t="s">
        <v>347</v>
      </c>
      <c r="E24" s="175"/>
      <c r="F24" s="177"/>
    </row>
    <row r="25" spans="1:6" ht="62.25" customHeight="1" thickBot="1" x14ac:dyDescent="0.3">
      <c r="A25" s="173"/>
      <c r="B25" s="176"/>
      <c r="C25" s="180" t="s">
        <v>329</v>
      </c>
      <c r="D25" s="224" t="s">
        <v>348</v>
      </c>
      <c r="E25" s="175"/>
      <c r="F25" s="177"/>
    </row>
    <row r="26" spans="1:6" ht="56.25" customHeight="1" thickBot="1" x14ac:dyDescent="0.3">
      <c r="A26" s="178"/>
      <c r="B26" s="179"/>
      <c r="C26" s="180"/>
      <c r="D26" s="181"/>
      <c r="E26" s="180"/>
      <c r="F26" s="182"/>
    </row>
    <row r="27" spans="1:6" ht="65.25" customHeight="1" x14ac:dyDescent="0.25">
      <c r="A27" s="183"/>
      <c r="B27" s="184"/>
      <c r="C27" s="183"/>
      <c r="D27" s="185"/>
      <c r="E27" s="183"/>
      <c r="F27" s="185"/>
    </row>
    <row r="28" spans="1:6" ht="62.25" customHeight="1" x14ac:dyDescent="0.25">
      <c r="A28" s="183"/>
      <c r="B28" s="184"/>
      <c r="C28" s="183"/>
      <c r="D28" s="185"/>
      <c r="E28" s="183"/>
      <c r="F28" s="185"/>
    </row>
    <row r="29" spans="1:6" ht="63" customHeight="1" x14ac:dyDescent="0.25">
      <c r="A29" s="183"/>
      <c r="B29" s="184"/>
      <c r="C29" s="183"/>
      <c r="D29" s="185"/>
      <c r="E29" s="183"/>
      <c r="F29" s="184"/>
    </row>
    <row r="30" spans="1:6" ht="51.75" customHeight="1" x14ac:dyDescent="0.25">
      <c r="A30" s="183"/>
      <c r="B30" s="184"/>
      <c r="C30" s="183"/>
      <c r="D30" s="185"/>
      <c r="E30" s="183"/>
      <c r="F30" s="184"/>
    </row>
    <row r="31" spans="1:6" ht="52.5" customHeight="1" x14ac:dyDescent="0.25">
      <c r="A31" s="183"/>
      <c r="B31" s="185"/>
      <c r="C31" s="183"/>
      <c r="D31" s="185"/>
      <c r="E31" s="183"/>
      <c r="F31" s="185"/>
    </row>
    <row r="32" spans="1:6" ht="63.75" customHeight="1" x14ac:dyDescent="0.25">
      <c r="A32" s="183"/>
      <c r="B32" s="185"/>
      <c r="C32" s="183"/>
      <c r="D32" s="185"/>
      <c r="E32" s="183"/>
      <c r="F32" s="185"/>
    </row>
    <row r="33" spans="1:6" ht="66" customHeight="1" x14ac:dyDescent="0.25">
      <c r="A33" s="183"/>
      <c r="B33" s="186"/>
      <c r="C33" s="183"/>
      <c r="D33" s="187"/>
      <c r="E33" s="183"/>
      <c r="F33" s="186"/>
    </row>
    <row r="34" spans="1:6" ht="55.5" customHeight="1" x14ac:dyDescent="0.25">
      <c r="A34" s="183"/>
      <c r="B34" s="186"/>
      <c r="C34" s="183"/>
      <c r="D34" s="187"/>
      <c r="E34" s="183"/>
      <c r="F34" s="188"/>
    </row>
    <row r="35" spans="1:6" ht="51.75" customHeight="1" x14ac:dyDescent="0.25">
      <c r="A35" s="183"/>
      <c r="B35" s="188"/>
      <c r="C35" s="183"/>
      <c r="D35" s="189"/>
      <c r="E35" s="183"/>
      <c r="F35" s="188"/>
    </row>
    <row r="36" spans="1:6" ht="55.5" customHeight="1" x14ac:dyDescent="0.25">
      <c r="A36" s="183"/>
      <c r="B36" s="188"/>
      <c r="C36" s="183"/>
      <c r="D36" s="188"/>
      <c r="E36" s="183"/>
      <c r="F36" s="188"/>
    </row>
    <row r="37" spans="1:6" ht="55.5" customHeight="1" x14ac:dyDescent="0.25">
      <c r="A37" s="183"/>
      <c r="B37" s="188"/>
      <c r="C37" s="183"/>
      <c r="D37" s="188"/>
      <c r="E37" s="183"/>
      <c r="F37" s="188"/>
    </row>
    <row r="38" spans="1:6" ht="54.75" customHeight="1" x14ac:dyDescent="0.25">
      <c r="A38" s="183"/>
      <c r="B38" s="188"/>
      <c r="C38" s="183"/>
      <c r="D38" s="188"/>
      <c r="E38" s="183"/>
      <c r="F38" s="188"/>
    </row>
    <row r="39" spans="1:6" ht="56.25" customHeight="1" x14ac:dyDescent="0.25">
      <c r="A39" s="183"/>
      <c r="B39" s="188"/>
      <c r="C39" s="183"/>
      <c r="D39" s="188"/>
      <c r="E39" s="183"/>
      <c r="F39" s="188"/>
    </row>
    <row r="40" spans="1:6" ht="54.75" customHeight="1" x14ac:dyDescent="0.25">
      <c r="A40" s="183"/>
      <c r="B40" s="186"/>
      <c r="C40" s="183"/>
      <c r="D40" s="187"/>
      <c r="E40" s="183"/>
      <c r="F40" s="186"/>
    </row>
    <row r="41" spans="1:6" ht="55.5" customHeight="1" x14ac:dyDescent="0.25">
      <c r="A41" s="183"/>
      <c r="B41" s="186"/>
      <c r="C41" s="183"/>
      <c r="D41" s="187"/>
      <c r="E41" s="183"/>
      <c r="F41" s="188"/>
    </row>
    <row r="42" spans="1:6" ht="54.75" customHeight="1" x14ac:dyDescent="0.25">
      <c r="A42" s="183"/>
      <c r="B42" s="188"/>
      <c r="C42" s="183"/>
      <c r="D42" s="189"/>
      <c r="E42" s="183"/>
      <c r="F42" s="188"/>
    </row>
    <row r="43" spans="1:6" ht="55.5" customHeight="1" x14ac:dyDescent="0.25">
      <c r="A43" s="183"/>
      <c r="B43" s="188"/>
      <c r="C43" s="183"/>
      <c r="D43" s="188"/>
      <c r="E43" s="183"/>
      <c r="F43" s="188"/>
    </row>
    <row r="44" spans="1:6" ht="56.25" customHeight="1" x14ac:dyDescent="0.25">
      <c r="A44" s="183"/>
      <c r="B44" s="188"/>
      <c r="C44" s="183"/>
      <c r="D44" s="188"/>
      <c r="E44" s="183"/>
      <c r="F44" s="188"/>
    </row>
    <row r="45" spans="1:6" ht="59.25" customHeight="1" x14ac:dyDescent="0.25">
      <c r="A45" s="183"/>
      <c r="B45" s="188"/>
      <c r="C45" s="183"/>
      <c r="D45" s="188"/>
      <c r="E45" s="183"/>
      <c r="F45" s="188"/>
    </row>
    <row r="46" spans="1:6" ht="55.5" customHeight="1" x14ac:dyDescent="0.25">
      <c r="A46" s="183"/>
      <c r="B46" s="188"/>
      <c r="C46" s="183"/>
      <c r="D46" s="188"/>
      <c r="E46" s="183"/>
      <c r="F46" s="188"/>
    </row>
    <row r="47" spans="1:6" ht="55.5" customHeight="1" x14ac:dyDescent="0.25">
      <c r="A47" s="183"/>
      <c r="B47" s="186"/>
      <c r="C47" s="183"/>
      <c r="D47" s="187"/>
      <c r="E47" s="183"/>
      <c r="F47" s="186"/>
    </row>
    <row r="48" spans="1:6" ht="56.25" customHeight="1" x14ac:dyDescent="0.25">
      <c r="A48" s="183"/>
      <c r="B48" s="186"/>
      <c r="C48" s="183"/>
      <c r="D48" s="187"/>
      <c r="E48" s="183"/>
      <c r="F48" s="188"/>
    </row>
    <row r="49" spans="1:6" ht="54" customHeight="1" x14ac:dyDescent="0.25">
      <c r="A49" s="183"/>
      <c r="B49" s="188"/>
      <c r="C49" s="183"/>
      <c r="D49" s="189"/>
      <c r="E49" s="183"/>
      <c r="F49" s="188"/>
    </row>
    <row r="50" spans="1:6" ht="56.25" customHeight="1" x14ac:dyDescent="0.25">
      <c r="A50" s="183"/>
      <c r="B50" s="188"/>
      <c r="C50" s="183"/>
      <c r="D50" s="188"/>
      <c r="E50" s="183"/>
      <c r="F50" s="188"/>
    </row>
    <row r="51" spans="1:6" ht="59.25" customHeight="1" x14ac:dyDescent="0.25">
      <c r="A51" s="183"/>
      <c r="B51" s="188"/>
      <c r="C51" s="183"/>
      <c r="D51" s="188"/>
      <c r="E51" s="183"/>
      <c r="F51" s="188"/>
    </row>
    <row r="52" spans="1:6" ht="54.75" customHeight="1" x14ac:dyDescent="0.25">
      <c r="A52" s="183"/>
      <c r="B52" s="188"/>
      <c r="C52" s="183"/>
      <c r="D52" s="188"/>
      <c r="E52" s="183"/>
      <c r="F52" s="188"/>
    </row>
    <row r="53" spans="1:6" ht="55.5" customHeight="1" x14ac:dyDescent="0.25">
      <c r="A53" s="183"/>
      <c r="B53" s="188"/>
      <c r="C53" s="183"/>
      <c r="D53" s="188"/>
      <c r="E53" s="183"/>
      <c r="F53" s="188"/>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D317-9BC3-4391-AE45-4CB6F2798164}">
  <sheetPr codeName="Hoja1">
    <tabColor rgb="FFFFC000"/>
  </sheetPr>
  <dimension ref="A1:X47"/>
  <sheetViews>
    <sheetView zoomScale="70" zoomScaleNormal="70" workbookViewId="0">
      <selection activeCell="T4" sqref="T4:W4"/>
    </sheetView>
  </sheetViews>
  <sheetFormatPr baseColWidth="10" defaultColWidth="11.44140625" defaultRowHeight="14.4" x14ac:dyDescent="0.3"/>
  <cols>
    <col min="1" max="1" width="5.109375" style="214" customWidth="1"/>
    <col min="2" max="2" width="40.44140625" style="215" customWidth="1"/>
    <col min="3" max="17" width="6.44140625" style="215" customWidth="1"/>
    <col min="18" max="18" width="8.109375" style="215" customWidth="1"/>
    <col min="19" max="19" width="13" style="216" customWidth="1"/>
    <col min="20" max="20" width="19.6640625" customWidth="1"/>
    <col min="21" max="23" width="11.44140625" hidden="1" customWidth="1"/>
  </cols>
  <sheetData>
    <row r="1" spans="1:24" ht="30.75" customHeight="1" x14ac:dyDescent="0.3">
      <c r="A1" s="311"/>
      <c r="B1" s="313" t="str">
        <f>[1]CONTEXTO!B1</f>
        <v xml:space="preserve">PROCESO: </v>
      </c>
      <c r="C1" s="313"/>
      <c r="D1" s="313"/>
      <c r="E1" s="313"/>
      <c r="F1" s="313"/>
      <c r="G1" s="313"/>
      <c r="H1" s="313"/>
      <c r="I1" s="313"/>
      <c r="J1" s="313"/>
      <c r="K1" s="313"/>
      <c r="L1" s="313"/>
      <c r="M1" s="313"/>
      <c r="N1" s="313"/>
      <c r="O1" s="313"/>
      <c r="P1" s="313"/>
      <c r="Q1" s="313"/>
      <c r="R1" s="313"/>
      <c r="S1" s="314"/>
      <c r="T1" s="317" t="s">
        <v>258</v>
      </c>
      <c r="U1" s="317"/>
      <c r="V1" s="317"/>
      <c r="W1" s="318"/>
    </row>
    <row r="2" spans="1:24" ht="25.5" customHeight="1" x14ac:dyDescent="0.3">
      <c r="A2" s="312"/>
      <c r="B2" s="315"/>
      <c r="C2" s="315"/>
      <c r="D2" s="315"/>
      <c r="E2" s="315"/>
      <c r="F2" s="315"/>
      <c r="G2" s="315"/>
      <c r="H2" s="315"/>
      <c r="I2" s="315"/>
      <c r="J2" s="315"/>
      <c r="K2" s="315"/>
      <c r="L2" s="315"/>
      <c r="M2" s="315"/>
      <c r="N2" s="315"/>
      <c r="O2" s="315"/>
      <c r="P2" s="315"/>
      <c r="Q2" s="315"/>
      <c r="R2" s="315"/>
      <c r="S2" s="316"/>
      <c r="T2" s="319" t="s">
        <v>259</v>
      </c>
      <c r="U2" s="319"/>
      <c r="V2" s="319"/>
      <c r="W2" s="320"/>
    </row>
    <row r="3" spans="1:24" ht="15" customHeight="1" x14ac:dyDescent="0.3">
      <c r="A3" s="312"/>
      <c r="B3" s="315" t="s">
        <v>274</v>
      </c>
      <c r="C3" s="315"/>
      <c r="D3" s="315"/>
      <c r="E3" s="315"/>
      <c r="F3" s="315"/>
      <c r="G3" s="315"/>
      <c r="H3" s="315"/>
      <c r="I3" s="315"/>
      <c r="J3" s="315"/>
      <c r="K3" s="315"/>
      <c r="L3" s="315"/>
      <c r="M3" s="315"/>
      <c r="N3" s="315"/>
      <c r="O3" s="315"/>
      <c r="P3" s="315"/>
      <c r="Q3" s="315"/>
      <c r="R3" s="315"/>
      <c r="S3" s="316"/>
      <c r="T3" s="319" t="s">
        <v>275</v>
      </c>
      <c r="U3" s="319"/>
      <c r="V3" s="319"/>
      <c r="W3" s="320"/>
    </row>
    <row r="4" spans="1:24" ht="15.75" customHeight="1" x14ac:dyDescent="0.3">
      <c r="A4" s="307"/>
      <c r="B4" s="321"/>
      <c r="C4" s="321"/>
      <c r="D4" s="321"/>
      <c r="E4" s="321"/>
      <c r="F4" s="321"/>
      <c r="G4" s="321"/>
      <c r="H4" s="321"/>
      <c r="I4" s="321"/>
      <c r="J4" s="321"/>
      <c r="K4" s="321"/>
      <c r="L4" s="321"/>
      <c r="M4" s="321"/>
      <c r="N4" s="321"/>
      <c r="O4" s="321"/>
      <c r="P4" s="321"/>
      <c r="Q4" s="321"/>
      <c r="R4" s="321"/>
      <c r="S4" s="322"/>
      <c r="T4" s="319" t="s">
        <v>262</v>
      </c>
      <c r="U4" s="319"/>
      <c r="V4" s="319"/>
      <c r="W4" s="320"/>
    </row>
    <row r="5" spans="1:24" ht="15.75" customHeight="1" x14ac:dyDescent="0.3">
      <c r="A5" s="307"/>
      <c r="B5" s="307"/>
      <c r="C5" s="307"/>
      <c r="D5" s="307"/>
      <c r="E5" s="307"/>
      <c r="F5" s="307"/>
      <c r="G5" s="307"/>
      <c r="H5" s="307"/>
      <c r="I5" s="307"/>
      <c r="J5" s="307"/>
      <c r="K5" s="307"/>
      <c r="L5" s="307"/>
      <c r="M5" s="307"/>
      <c r="N5" s="307"/>
      <c r="O5" s="307"/>
      <c r="P5" s="307"/>
      <c r="Q5" s="307"/>
      <c r="R5" s="307"/>
      <c r="S5" s="307"/>
      <c r="T5" s="308"/>
      <c r="U5" s="184"/>
      <c r="V5" s="184"/>
      <c r="W5" s="190"/>
    </row>
    <row r="6" spans="1:24" s="165" customFormat="1" ht="27" customHeight="1" x14ac:dyDescent="0.25">
      <c r="A6" s="309" t="s">
        <v>298</v>
      </c>
      <c r="B6" s="309"/>
      <c r="C6" s="309"/>
      <c r="D6" s="309"/>
      <c r="E6" s="309"/>
      <c r="F6" s="309"/>
      <c r="G6" s="309"/>
      <c r="H6" s="309"/>
      <c r="I6" s="309"/>
      <c r="J6" s="309"/>
      <c r="K6" s="309"/>
      <c r="L6" s="309"/>
      <c r="M6" s="309"/>
      <c r="N6" s="309"/>
      <c r="O6" s="309"/>
      <c r="P6" s="309"/>
      <c r="Q6" s="309"/>
      <c r="R6" s="309"/>
      <c r="S6" s="309"/>
      <c r="T6" s="309"/>
      <c r="W6" s="191"/>
    </row>
    <row r="7" spans="1:24" s="165" customFormat="1" ht="81" customHeight="1" thickBot="1" x14ac:dyDescent="0.3">
      <c r="A7" s="310" t="s">
        <v>299</v>
      </c>
      <c r="B7" s="310"/>
      <c r="C7" s="310"/>
      <c r="D7" s="310"/>
      <c r="E7" s="310"/>
      <c r="F7" s="310"/>
      <c r="G7" s="310"/>
      <c r="H7" s="310"/>
      <c r="I7" s="310"/>
      <c r="J7" s="310"/>
      <c r="K7" s="310"/>
      <c r="L7" s="310"/>
      <c r="M7" s="310"/>
      <c r="N7" s="310"/>
      <c r="O7" s="310"/>
      <c r="P7" s="310"/>
      <c r="Q7" s="310"/>
      <c r="R7" s="310"/>
      <c r="S7" s="310"/>
      <c r="T7" s="310"/>
      <c r="U7" s="192"/>
      <c r="V7" s="192"/>
      <c r="W7" s="193"/>
    </row>
    <row r="8" spans="1:24" s="165" customFormat="1" ht="26.25" customHeight="1" thickBot="1" x14ac:dyDescent="0.3">
      <c r="A8" s="194"/>
      <c r="B8" s="194"/>
      <c r="C8" s="194"/>
      <c r="D8" s="194"/>
      <c r="E8" s="194"/>
      <c r="F8" s="194"/>
      <c r="G8" s="194"/>
      <c r="H8" s="194"/>
      <c r="I8" s="194"/>
      <c r="J8" s="194"/>
      <c r="K8" s="194"/>
      <c r="L8" s="194"/>
      <c r="M8" s="194"/>
      <c r="N8" s="194"/>
      <c r="O8" s="194"/>
      <c r="P8" s="194"/>
      <c r="Q8" s="194"/>
      <c r="R8" s="194"/>
      <c r="S8" s="194"/>
      <c r="T8" s="195"/>
      <c r="X8" s="196"/>
    </row>
    <row r="9" spans="1:24" s="165" customFormat="1" ht="39.75" customHeight="1" thickBot="1" x14ac:dyDescent="0.3">
      <c r="A9" s="323"/>
      <c r="B9" s="323"/>
      <c r="C9" s="323" t="b">
        <v>0</v>
      </c>
      <c r="D9" s="323"/>
      <c r="E9" s="323"/>
      <c r="F9" s="323"/>
      <c r="G9" s="323"/>
      <c r="H9" s="323"/>
      <c r="I9" s="323"/>
      <c r="J9" s="323"/>
      <c r="K9" s="323"/>
      <c r="L9" s="323"/>
      <c r="M9" s="323"/>
      <c r="N9" s="323"/>
      <c r="O9" s="323"/>
      <c r="P9" s="323"/>
      <c r="Q9" s="323"/>
      <c r="R9" s="323"/>
      <c r="S9" s="323"/>
      <c r="T9" s="324"/>
    </row>
    <row r="10" spans="1:24" s="201" customFormat="1" ht="50.25" customHeight="1" thickBot="1" x14ac:dyDescent="0.35">
      <c r="A10" s="197" t="s">
        <v>276</v>
      </c>
      <c r="B10" s="198" t="s">
        <v>277</v>
      </c>
      <c r="C10" s="198" t="s">
        <v>278</v>
      </c>
      <c r="D10" s="198" t="s">
        <v>279</v>
      </c>
      <c r="E10" s="198" t="s">
        <v>280</v>
      </c>
      <c r="F10" s="198" t="s">
        <v>281</v>
      </c>
      <c r="G10" s="198" t="s">
        <v>282</v>
      </c>
      <c r="H10" s="198" t="s">
        <v>283</v>
      </c>
      <c r="I10" s="198" t="s">
        <v>284</v>
      </c>
      <c r="J10" s="198" t="s">
        <v>285</v>
      </c>
      <c r="K10" s="198" t="s">
        <v>286</v>
      </c>
      <c r="L10" s="198" t="s">
        <v>287</v>
      </c>
      <c r="M10" s="198" t="s">
        <v>288</v>
      </c>
      <c r="N10" s="198" t="s">
        <v>289</v>
      </c>
      <c r="O10" s="198" t="s">
        <v>290</v>
      </c>
      <c r="P10" s="198" t="s">
        <v>291</v>
      </c>
      <c r="Q10" s="198" t="s">
        <v>292</v>
      </c>
      <c r="R10" s="199" t="s">
        <v>293</v>
      </c>
      <c r="S10" s="200" t="s">
        <v>294</v>
      </c>
      <c r="T10" s="240" t="s">
        <v>295</v>
      </c>
    </row>
    <row r="11" spans="1:24" ht="39.75" customHeight="1" x14ac:dyDescent="0.3">
      <c r="A11" s="202">
        <v>1</v>
      </c>
      <c r="B11" s="227" t="s">
        <v>315</v>
      </c>
      <c r="C11" s="203">
        <v>3</v>
      </c>
      <c r="D11" s="203">
        <v>2</v>
      </c>
      <c r="E11" s="203">
        <v>4</v>
      </c>
      <c r="F11" s="203">
        <v>3</v>
      </c>
      <c r="G11" s="203">
        <v>4</v>
      </c>
      <c r="H11" s="203"/>
      <c r="I11" s="203"/>
      <c r="J11" s="203"/>
      <c r="K11" s="203"/>
      <c r="L11" s="203"/>
      <c r="M11" s="203"/>
      <c r="N11" s="203"/>
      <c r="O11" s="203"/>
      <c r="P11" s="203"/>
      <c r="Q11" s="203"/>
      <c r="R11" s="202">
        <f>SUM(C11:Q11)</f>
        <v>16</v>
      </c>
      <c r="S11" s="204">
        <f>IF(ISERROR(AVERAGE(C11:Q11)),0,AVERAGE(C11:Q11))</f>
        <v>3.2</v>
      </c>
      <c r="T11" s="205"/>
    </row>
    <row r="12" spans="1:24" ht="45.75" customHeight="1" x14ac:dyDescent="0.3">
      <c r="A12" s="202">
        <v>2</v>
      </c>
      <c r="B12" s="228" t="s">
        <v>316</v>
      </c>
      <c r="C12" s="203">
        <v>4</v>
      </c>
      <c r="D12" s="203">
        <v>4</v>
      </c>
      <c r="E12" s="203">
        <v>2</v>
      </c>
      <c r="F12" s="203">
        <v>4</v>
      </c>
      <c r="G12" s="203">
        <v>3</v>
      </c>
      <c r="H12" s="203"/>
      <c r="I12" s="203"/>
      <c r="J12" s="203"/>
      <c r="K12" s="203"/>
      <c r="L12" s="203"/>
      <c r="M12" s="203"/>
      <c r="N12" s="203"/>
      <c r="O12" s="203"/>
      <c r="P12" s="203"/>
      <c r="Q12" s="203"/>
      <c r="R12" s="202">
        <f>SUM(C12:Q12)</f>
        <v>17</v>
      </c>
      <c r="S12" s="204">
        <f t="shared" ref="S12:S42" si="0">IF(ISERROR(AVERAGE(C12:Q12)),0,AVERAGE(C12:Q12))</f>
        <v>3.4</v>
      </c>
      <c r="T12" s="206"/>
    </row>
    <row r="13" spans="1:24" ht="39.75" customHeight="1" x14ac:dyDescent="0.3">
      <c r="A13" s="202">
        <v>3</v>
      </c>
      <c r="B13" s="229" t="s">
        <v>317</v>
      </c>
      <c r="C13" s="203">
        <v>3</v>
      </c>
      <c r="D13" s="203">
        <v>2</v>
      </c>
      <c r="E13" s="203">
        <v>3</v>
      </c>
      <c r="F13" s="203">
        <v>2</v>
      </c>
      <c r="G13" s="203">
        <v>2</v>
      </c>
      <c r="H13" s="203"/>
      <c r="I13" s="203"/>
      <c r="J13" s="203"/>
      <c r="K13" s="203"/>
      <c r="L13" s="203"/>
      <c r="M13" s="203"/>
      <c r="N13" s="203"/>
      <c r="O13" s="203"/>
      <c r="P13" s="203"/>
      <c r="Q13" s="203"/>
      <c r="R13" s="202">
        <f t="shared" ref="R13:R37" si="1">SUM(C13:Q13)</f>
        <v>12</v>
      </c>
      <c r="S13" s="204">
        <f t="shared" si="0"/>
        <v>2.4</v>
      </c>
      <c r="T13" s="207"/>
    </row>
    <row r="14" spans="1:24" ht="39.75" customHeight="1" x14ac:dyDescent="0.3">
      <c r="A14" s="202">
        <v>4</v>
      </c>
      <c r="B14" s="230" t="s">
        <v>319</v>
      </c>
      <c r="C14" s="203">
        <v>5</v>
      </c>
      <c r="D14" s="203">
        <v>5</v>
      </c>
      <c r="E14" s="203">
        <v>3</v>
      </c>
      <c r="F14" s="203">
        <v>4</v>
      </c>
      <c r="G14" s="203">
        <v>4</v>
      </c>
      <c r="H14" s="203"/>
      <c r="I14" s="203"/>
      <c r="J14" s="203"/>
      <c r="K14" s="203"/>
      <c r="L14" s="203"/>
      <c r="M14" s="203"/>
      <c r="N14" s="203"/>
      <c r="O14" s="203"/>
      <c r="P14" s="203"/>
      <c r="Q14" s="203"/>
      <c r="R14" s="202">
        <f t="shared" si="1"/>
        <v>21</v>
      </c>
      <c r="S14" s="204">
        <f t="shared" si="0"/>
        <v>4.2</v>
      </c>
      <c r="T14" s="207"/>
    </row>
    <row r="15" spans="1:24" ht="39.75" customHeight="1" x14ac:dyDescent="0.3">
      <c r="A15" s="202">
        <v>5</v>
      </c>
      <c r="B15" s="229" t="s">
        <v>320</v>
      </c>
      <c r="C15" s="203">
        <v>3</v>
      </c>
      <c r="D15" s="203">
        <v>2</v>
      </c>
      <c r="E15" s="203">
        <v>2</v>
      </c>
      <c r="F15" s="203">
        <v>2</v>
      </c>
      <c r="G15" s="203">
        <v>3</v>
      </c>
      <c r="H15" s="203"/>
      <c r="I15" s="203"/>
      <c r="J15" s="203"/>
      <c r="K15" s="203"/>
      <c r="L15" s="203"/>
      <c r="M15" s="203"/>
      <c r="N15" s="203"/>
      <c r="O15" s="203"/>
      <c r="P15" s="203"/>
      <c r="Q15" s="203"/>
      <c r="R15" s="202">
        <f t="shared" si="1"/>
        <v>12</v>
      </c>
      <c r="S15" s="204">
        <f t="shared" si="0"/>
        <v>2.4</v>
      </c>
      <c r="T15" s="207"/>
    </row>
    <row r="16" spans="1:24" ht="39.75" customHeight="1" x14ac:dyDescent="0.3">
      <c r="A16" s="202">
        <v>6</v>
      </c>
      <c r="B16" s="229" t="s">
        <v>321</v>
      </c>
      <c r="C16" s="203">
        <v>1</v>
      </c>
      <c r="D16" s="203">
        <v>4</v>
      </c>
      <c r="E16" s="203">
        <v>4</v>
      </c>
      <c r="F16" s="203">
        <v>4</v>
      </c>
      <c r="G16" s="203">
        <v>4</v>
      </c>
      <c r="H16" s="203"/>
      <c r="I16" s="203"/>
      <c r="J16" s="203"/>
      <c r="K16" s="203"/>
      <c r="L16" s="203"/>
      <c r="M16" s="203"/>
      <c r="N16" s="203"/>
      <c r="O16" s="203"/>
      <c r="P16" s="203"/>
      <c r="Q16" s="203"/>
      <c r="R16" s="202">
        <f t="shared" si="1"/>
        <v>17</v>
      </c>
      <c r="S16" s="204">
        <f t="shared" si="0"/>
        <v>3.4</v>
      </c>
      <c r="T16" s="207"/>
    </row>
    <row r="17" spans="1:20" ht="39.75" customHeight="1" x14ac:dyDescent="0.3">
      <c r="A17" s="202">
        <v>7</v>
      </c>
      <c r="B17" s="228" t="s">
        <v>322</v>
      </c>
      <c r="C17" s="203">
        <v>3</v>
      </c>
      <c r="D17" s="203">
        <v>5</v>
      </c>
      <c r="E17" s="203">
        <v>3</v>
      </c>
      <c r="F17" s="203">
        <v>4</v>
      </c>
      <c r="G17" s="203">
        <v>4</v>
      </c>
      <c r="H17" s="203"/>
      <c r="I17" s="203"/>
      <c r="J17" s="203"/>
      <c r="K17" s="203"/>
      <c r="L17" s="203"/>
      <c r="M17" s="203"/>
      <c r="N17" s="203"/>
      <c r="O17" s="203"/>
      <c r="P17" s="203"/>
      <c r="Q17" s="203"/>
      <c r="R17" s="202">
        <f t="shared" si="1"/>
        <v>19</v>
      </c>
      <c r="S17" s="204">
        <f t="shared" si="0"/>
        <v>3.8</v>
      </c>
      <c r="T17" s="207"/>
    </row>
    <row r="18" spans="1:20" ht="46.5" customHeight="1" x14ac:dyDescent="0.3">
      <c r="A18" s="202">
        <v>8</v>
      </c>
      <c r="B18" s="228" t="s">
        <v>323</v>
      </c>
      <c r="C18" s="203">
        <v>3</v>
      </c>
      <c r="D18" s="203">
        <v>3</v>
      </c>
      <c r="E18" s="203">
        <v>2</v>
      </c>
      <c r="F18" s="203">
        <v>2</v>
      </c>
      <c r="G18" s="203">
        <v>3</v>
      </c>
      <c r="H18" s="203"/>
      <c r="I18" s="203"/>
      <c r="J18" s="203"/>
      <c r="K18" s="203"/>
      <c r="L18" s="203"/>
      <c r="M18" s="203"/>
      <c r="N18" s="203"/>
      <c r="O18" s="203"/>
      <c r="P18" s="203"/>
      <c r="Q18" s="203"/>
      <c r="R18" s="202">
        <f t="shared" si="1"/>
        <v>13</v>
      </c>
      <c r="S18" s="204">
        <f t="shared" si="0"/>
        <v>2.6</v>
      </c>
      <c r="T18" s="207"/>
    </row>
    <row r="19" spans="1:20" ht="47.25" customHeight="1" x14ac:dyDescent="0.3">
      <c r="A19" s="202">
        <v>9</v>
      </c>
      <c r="B19" s="229" t="s">
        <v>324</v>
      </c>
      <c r="C19" s="203">
        <v>4</v>
      </c>
      <c r="D19" s="203">
        <v>2</v>
      </c>
      <c r="E19" s="203">
        <v>3</v>
      </c>
      <c r="F19" s="203">
        <v>4</v>
      </c>
      <c r="G19" s="203">
        <v>5</v>
      </c>
      <c r="H19" s="203"/>
      <c r="I19" s="203"/>
      <c r="J19" s="203"/>
      <c r="K19" s="203"/>
      <c r="L19" s="203"/>
      <c r="M19" s="203"/>
      <c r="N19" s="203"/>
      <c r="O19" s="203"/>
      <c r="P19" s="203"/>
      <c r="Q19" s="203"/>
      <c r="R19" s="202">
        <f t="shared" si="1"/>
        <v>18</v>
      </c>
      <c r="S19" s="204">
        <f t="shared" si="0"/>
        <v>3.6</v>
      </c>
      <c r="T19" s="207"/>
    </row>
    <row r="20" spans="1:20" ht="39.75" customHeight="1" x14ac:dyDescent="0.3">
      <c r="A20" s="202">
        <v>10</v>
      </c>
      <c r="B20" s="229" t="s">
        <v>359</v>
      </c>
      <c r="C20" s="203">
        <v>3</v>
      </c>
      <c r="D20" s="203">
        <v>4</v>
      </c>
      <c r="E20" s="203">
        <v>3</v>
      </c>
      <c r="F20" s="203">
        <v>4</v>
      </c>
      <c r="G20" s="203">
        <v>5</v>
      </c>
      <c r="H20" s="203"/>
      <c r="I20" s="203"/>
      <c r="J20" s="203"/>
      <c r="K20" s="203"/>
      <c r="L20" s="203"/>
      <c r="M20" s="203"/>
      <c r="N20" s="203"/>
      <c r="O20" s="203"/>
      <c r="P20" s="203"/>
      <c r="Q20" s="203"/>
      <c r="R20" s="202">
        <f t="shared" si="1"/>
        <v>19</v>
      </c>
      <c r="S20" s="204">
        <f t="shared" si="0"/>
        <v>3.8</v>
      </c>
      <c r="T20" s="207"/>
    </row>
    <row r="21" spans="1:20" ht="39.75" customHeight="1" x14ac:dyDescent="0.3">
      <c r="A21" s="202">
        <v>11</v>
      </c>
      <c r="B21" s="228" t="s">
        <v>326</v>
      </c>
      <c r="C21" s="203">
        <v>5</v>
      </c>
      <c r="D21" s="203">
        <v>4</v>
      </c>
      <c r="E21" s="203">
        <v>4</v>
      </c>
      <c r="F21" s="203">
        <v>5</v>
      </c>
      <c r="G21" s="203">
        <v>5</v>
      </c>
      <c r="H21" s="203"/>
      <c r="I21" s="203"/>
      <c r="J21" s="203"/>
      <c r="K21" s="203"/>
      <c r="L21" s="203"/>
      <c r="M21" s="203"/>
      <c r="N21" s="203"/>
      <c r="O21" s="203"/>
      <c r="P21" s="203"/>
      <c r="Q21" s="203"/>
      <c r="R21" s="202">
        <f t="shared" si="1"/>
        <v>23</v>
      </c>
      <c r="S21" s="204">
        <f t="shared" si="0"/>
        <v>4.5999999999999996</v>
      </c>
      <c r="T21" s="207"/>
    </row>
    <row r="22" spans="1:20" ht="45.75" customHeight="1" x14ac:dyDescent="0.3">
      <c r="A22" s="202">
        <v>12</v>
      </c>
      <c r="B22" s="231" t="s">
        <v>327</v>
      </c>
      <c r="C22" s="203">
        <v>3</v>
      </c>
      <c r="D22" s="203">
        <v>3</v>
      </c>
      <c r="E22" s="203">
        <v>4</v>
      </c>
      <c r="F22" s="203">
        <v>5</v>
      </c>
      <c r="G22" s="203">
        <v>4</v>
      </c>
      <c r="H22" s="203"/>
      <c r="I22" s="203"/>
      <c r="J22" s="203"/>
      <c r="K22" s="203"/>
      <c r="L22" s="203"/>
      <c r="M22" s="203"/>
      <c r="N22" s="203"/>
      <c r="O22" s="203"/>
      <c r="P22" s="203"/>
      <c r="Q22" s="203"/>
      <c r="R22" s="202">
        <f t="shared" si="1"/>
        <v>19</v>
      </c>
      <c r="S22" s="204">
        <f t="shared" si="0"/>
        <v>3.8</v>
      </c>
      <c r="T22" s="207"/>
    </row>
    <row r="23" spans="1:20" ht="49.5" customHeight="1" x14ac:dyDescent="0.3">
      <c r="A23" s="202">
        <v>13</v>
      </c>
      <c r="B23" s="229" t="s">
        <v>328</v>
      </c>
      <c r="C23" s="203">
        <v>4</v>
      </c>
      <c r="D23" s="203">
        <v>4</v>
      </c>
      <c r="E23" s="203">
        <v>3</v>
      </c>
      <c r="F23" s="203">
        <v>4</v>
      </c>
      <c r="G23" s="203">
        <v>4</v>
      </c>
      <c r="H23" s="203"/>
      <c r="I23" s="203"/>
      <c r="J23" s="203"/>
      <c r="K23" s="203"/>
      <c r="L23" s="203"/>
      <c r="M23" s="203"/>
      <c r="N23" s="203"/>
      <c r="O23" s="203"/>
      <c r="P23" s="203"/>
      <c r="Q23" s="203"/>
      <c r="R23" s="202">
        <f t="shared" si="1"/>
        <v>19</v>
      </c>
      <c r="S23" s="204">
        <f t="shared" si="0"/>
        <v>3.8</v>
      </c>
      <c r="T23" s="207"/>
    </row>
    <row r="24" spans="1:20" ht="39.75" customHeight="1" thickBot="1" x14ac:dyDescent="0.35">
      <c r="A24" s="202">
        <v>14</v>
      </c>
      <c r="B24" s="232" t="s">
        <v>358</v>
      </c>
      <c r="C24" s="203">
        <v>5</v>
      </c>
      <c r="D24" s="203">
        <v>4</v>
      </c>
      <c r="E24" s="203">
        <v>3</v>
      </c>
      <c r="F24" s="203">
        <v>4</v>
      </c>
      <c r="G24" s="203">
        <v>5</v>
      </c>
      <c r="H24" s="203"/>
      <c r="I24" s="203"/>
      <c r="J24" s="203"/>
      <c r="K24" s="203"/>
      <c r="L24" s="203"/>
      <c r="M24" s="203"/>
      <c r="N24" s="203"/>
      <c r="O24" s="203"/>
      <c r="P24" s="203"/>
      <c r="Q24" s="203"/>
      <c r="R24" s="202">
        <f t="shared" si="1"/>
        <v>21</v>
      </c>
      <c r="S24" s="204">
        <f t="shared" si="0"/>
        <v>4.2</v>
      </c>
      <c r="T24" s="207"/>
    </row>
    <row r="25" spans="1:20" ht="39.75" customHeight="1" x14ac:dyDescent="0.3">
      <c r="A25" s="202">
        <v>15</v>
      </c>
      <c r="B25" s="233" t="s">
        <v>330</v>
      </c>
      <c r="C25" s="203">
        <v>2</v>
      </c>
      <c r="D25" s="203">
        <v>3</v>
      </c>
      <c r="E25" s="203">
        <v>4</v>
      </c>
      <c r="F25" s="203">
        <v>4</v>
      </c>
      <c r="G25" s="203">
        <v>4</v>
      </c>
      <c r="H25" s="203"/>
      <c r="I25" s="203"/>
      <c r="J25" s="203"/>
      <c r="K25" s="203"/>
      <c r="L25" s="203"/>
      <c r="M25" s="203"/>
      <c r="N25" s="203"/>
      <c r="O25" s="203"/>
      <c r="P25" s="203"/>
      <c r="Q25" s="203"/>
      <c r="R25" s="202">
        <f t="shared" si="1"/>
        <v>17</v>
      </c>
      <c r="S25" s="204">
        <f t="shared" si="0"/>
        <v>3.4</v>
      </c>
      <c r="T25" s="207"/>
    </row>
    <row r="26" spans="1:20" ht="48.75" customHeight="1" x14ac:dyDescent="0.3">
      <c r="A26" s="202">
        <v>16</v>
      </c>
      <c r="B26" s="234" t="s">
        <v>331</v>
      </c>
      <c r="C26" s="203">
        <v>3</v>
      </c>
      <c r="D26" s="203">
        <v>4</v>
      </c>
      <c r="E26" s="203">
        <v>3</v>
      </c>
      <c r="F26" s="203">
        <v>4</v>
      </c>
      <c r="G26" s="203">
        <v>3</v>
      </c>
      <c r="H26" s="203"/>
      <c r="I26" s="203"/>
      <c r="J26" s="203"/>
      <c r="K26" s="203"/>
      <c r="L26" s="203"/>
      <c r="M26" s="203"/>
      <c r="N26" s="203"/>
      <c r="O26" s="203"/>
      <c r="P26" s="203"/>
      <c r="Q26" s="203"/>
      <c r="R26" s="202">
        <f t="shared" si="1"/>
        <v>17</v>
      </c>
      <c r="S26" s="204">
        <f t="shared" si="0"/>
        <v>3.4</v>
      </c>
      <c r="T26" s="207"/>
    </row>
    <row r="27" spans="1:20" ht="77.25" customHeight="1" x14ac:dyDescent="0.3">
      <c r="A27" s="202">
        <v>17</v>
      </c>
      <c r="B27" s="234" t="s">
        <v>332</v>
      </c>
      <c r="C27" s="203">
        <v>3</v>
      </c>
      <c r="D27" s="203">
        <v>3</v>
      </c>
      <c r="E27" s="203">
        <v>3</v>
      </c>
      <c r="F27" s="203">
        <v>4</v>
      </c>
      <c r="G27" s="203">
        <v>4</v>
      </c>
      <c r="H27" s="203"/>
      <c r="I27" s="203"/>
      <c r="J27" s="203"/>
      <c r="K27" s="203"/>
      <c r="L27" s="203"/>
      <c r="M27" s="203"/>
      <c r="N27" s="203"/>
      <c r="O27" s="203"/>
      <c r="P27" s="203"/>
      <c r="Q27" s="203"/>
      <c r="R27" s="202">
        <f t="shared" si="1"/>
        <v>17</v>
      </c>
      <c r="S27" s="204">
        <f t="shared" si="0"/>
        <v>3.4</v>
      </c>
      <c r="T27" s="207"/>
    </row>
    <row r="28" spans="1:20" ht="41.4" x14ac:dyDescent="0.3">
      <c r="A28" s="202">
        <v>18</v>
      </c>
      <c r="B28" s="235" t="s">
        <v>333</v>
      </c>
      <c r="C28" s="203">
        <v>3</v>
      </c>
      <c r="D28" s="203">
        <v>3</v>
      </c>
      <c r="E28" s="203">
        <v>4</v>
      </c>
      <c r="F28" s="203">
        <v>4</v>
      </c>
      <c r="G28" s="203">
        <v>5</v>
      </c>
      <c r="H28" s="203"/>
      <c r="I28" s="203"/>
      <c r="J28" s="203"/>
      <c r="K28" s="203"/>
      <c r="L28" s="203"/>
      <c r="M28" s="203"/>
      <c r="N28" s="203"/>
      <c r="O28" s="203"/>
      <c r="P28" s="203"/>
      <c r="Q28" s="203"/>
      <c r="R28" s="202">
        <f t="shared" si="1"/>
        <v>19</v>
      </c>
      <c r="S28" s="204">
        <f t="shared" si="0"/>
        <v>3.8</v>
      </c>
      <c r="T28" s="207"/>
    </row>
    <row r="29" spans="1:20" ht="48" customHeight="1" x14ac:dyDescent="0.3">
      <c r="A29" s="202">
        <v>19</v>
      </c>
      <c r="B29" s="236" t="s">
        <v>335</v>
      </c>
      <c r="C29" s="203">
        <v>5</v>
      </c>
      <c r="D29" s="203">
        <v>4</v>
      </c>
      <c r="E29" s="203">
        <v>3</v>
      </c>
      <c r="F29" s="203">
        <v>4</v>
      </c>
      <c r="G29" s="203">
        <v>5</v>
      </c>
      <c r="H29" s="203"/>
      <c r="I29" s="203"/>
      <c r="J29" s="203"/>
      <c r="K29" s="203"/>
      <c r="L29" s="203"/>
      <c r="M29" s="203"/>
      <c r="N29" s="203"/>
      <c r="O29" s="203"/>
      <c r="P29" s="203"/>
      <c r="Q29" s="203"/>
      <c r="R29" s="202">
        <f t="shared" si="1"/>
        <v>21</v>
      </c>
      <c r="S29" s="204">
        <f t="shared" si="0"/>
        <v>4.2</v>
      </c>
      <c r="T29" s="207"/>
    </row>
    <row r="30" spans="1:20" ht="60" customHeight="1" x14ac:dyDescent="0.3">
      <c r="A30" s="202">
        <v>20</v>
      </c>
      <c r="B30" s="236" t="s">
        <v>336</v>
      </c>
      <c r="C30" s="203">
        <v>4</v>
      </c>
      <c r="D30" s="203">
        <v>3</v>
      </c>
      <c r="E30" s="203">
        <v>3</v>
      </c>
      <c r="F30" s="203">
        <v>3</v>
      </c>
      <c r="G30" s="203">
        <v>4</v>
      </c>
      <c r="H30" s="203"/>
      <c r="I30" s="203"/>
      <c r="J30" s="203"/>
      <c r="K30" s="203"/>
      <c r="L30" s="203"/>
      <c r="M30" s="203"/>
      <c r="N30" s="203"/>
      <c r="O30" s="203"/>
      <c r="P30" s="203"/>
      <c r="Q30" s="203"/>
      <c r="R30" s="202">
        <f t="shared" si="1"/>
        <v>17</v>
      </c>
      <c r="S30" s="204">
        <f t="shared" si="0"/>
        <v>3.4</v>
      </c>
      <c r="T30" s="207"/>
    </row>
    <row r="31" spans="1:20" ht="49.5" customHeight="1" x14ac:dyDescent="0.3">
      <c r="A31" s="202">
        <v>21</v>
      </c>
      <c r="B31" s="234" t="s">
        <v>338</v>
      </c>
      <c r="C31" s="203">
        <v>3</v>
      </c>
      <c r="D31" s="203">
        <v>3</v>
      </c>
      <c r="E31" s="203">
        <v>2</v>
      </c>
      <c r="F31" s="203">
        <v>2</v>
      </c>
      <c r="G31" s="203">
        <v>2</v>
      </c>
      <c r="H31" s="203"/>
      <c r="I31" s="203"/>
      <c r="J31" s="203"/>
      <c r="K31" s="203"/>
      <c r="L31" s="203"/>
      <c r="M31" s="203"/>
      <c r="N31" s="203"/>
      <c r="O31" s="203"/>
      <c r="P31" s="203"/>
      <c r="Q31" s="203"/>
      <c r="R31" s="202">
        <f t="shared" si="1"/>
        <v>12</v>
      </c>
      <c r="S31" s="204">
        <f t="shared" si="0"/>
        <v>2.4</v>
      </c>
      <c r="T31" s="207"/>
    </row>
    <row r="32" spans="1:20" ht="42" customHeight="1" x14ac:dyDescent="0.3">
      <c r="A32" s="202">
        <v>22</v>
      </c>
      <c r="B32" s="236" t="s">
        <v>340</v>
      </c>
      <c r="C32" s="203">
        <v>4</v>
      </c>
      <c r="D32" s="203">
        <v>4</v>
      </c>
      <c r="E32" s="203">
        <v>2</v>
      </c>
      <c r="F32" s="203">
        <v>4</v>
      </c>
      <c r="G32" s="203">
        <v>5</v>
      </c>
      <c r="H32" s="203"/>
      <c r="I32" s="203"/>
      <c r="J32" s="203"/>
      <c r="K32" s="203"/>
      <c r="L32" s="203"/>
      <c r="M32" s="203"/>
      <c r="N32" s="203"/>
      <c r="O32" s="203"/>
      <c r="P32" s="203"/>
      <c r="Q32" s="203"/>
      <c r="R32" s="202">
        <f t="shared" si="1"/>
        <v>19</v>
      </c>
      <c r="S32" s="208">
        <f t="shared" si="0"/>
        <v>3.8</v>
      </c>
      <c r="T32" s="207"/>
    </row>
    <row r="33" spans="1:20" ht="48" customHeight="1" x14ac:dyDescent="0.3">
      <c r="A33" s="202">
        <v>23</v>
      </c>
      <c r="B33" s="236" t="s">
        <v>341</v>
      </c>
      <c r="C33" s="203">
        <v>3</v>
      </c>
      <c r="D33" s="203">
        <v>3</v>
      </c>
      <c r="E33" s="203">
        <v>1</v>
      </c>
      <c r="F33" s="203">
        <v>2</v>
      </c>
      <c r="G33" s="203">
        <v>3</v>
      </c>
      <c r="H33" s="203"/>
      <c r="I33" s="203"/>
      <c r="J33" s="203"/>
      <c r="K33" s="203"/>
      <c r="L33" s="203"/>
      <c r="M33" s="203"/>
      <c r="N33" s="203"/>
      <c r="O33" s="203"/>
      <c r="P33" s="203"/>
      <c r="Q33" s="203"/>
      <c r="R33" s="202">
        <f t="shared" si="1"/>
        <v>12</v>
      </c>
      <c r="S33" s="208">
        <f t="shared" si="0"/>
        <v>2.4</v>
      </c>
      <c r="T33" s="207"/>
    </row>
    <row r="34" spans="1:20" ht="55.2" x14ac:dyDescent="0.3">
      <c r="A34" s="202">
        <v>24</v>
      </c>
      <c r="B34" s="237" t="s">
        <v>360</v>
      </c>
      <c r="C34" s="203">
        <v>3</v>
      </c>
      <c r="D34" s="203">
        <v>2</v>
      </c>
      <c r="E34" s="203">
        <v>4</v>
      </c>
      <c r="F34" s="203">
        <v>4</v>
      </c>
      <c r="G34" s="203">
        <v>3</v>
      </c>
      <c r="H34" s="203"/>
      <c r="I34" s="203"/>
      <c r="J34" s="203"/>
      <c r="K34" s="203"/>
      <c r="L34" s="203"/>
      <c r="M34" s="203"/>
      <c r="N34" s="203"/>
      <c r="O34" s="203"/>
      <c r="P34" s="203"/>
      <c r="Q34" s="203"/>
      <c r="R34" s="202">
        <f t="shared" si="1"/>
        <v>16</v>
      </c>
      <c r="S34" s="208">
        <f t="shared" si="0"/>
        <v>3.2</v>
      </c>
      <c r="T34" s="207"/>
    </row>
    <row r="35" spans="1:20" ht="44.25" customHeight="1" x14ac:dyDescent="0.3">
      <c r="A35" s="202">
        <v>25</v>
      </c>
      <c r="B35" s="234" t="s">
        <v>344</v>
      </c>
      <c r="C35" s="203">
        <v>2</v>
      </c>
      <c r="D35" s="203">
        <v>4</v>
      </c>
      <c r="E35" s="203">
        <v>3</v>
      </c>
      <c r="F35" s="203">
        <v>2</v>
      </c>
      <c r="G35" s="203">
        <v>3</v>
      </c>
      <c r="H35" s="203"/>
      <c r="I35" s="203"/>
      <c r="J35" s="203"/>
      <c r="K35" s="203"/>
      <c r="L35" s="203"/>
      <c r="M35" s="203"/>
      <c r="N35" s="203"/>
      <c r="O35" s="203"/>
      <c r="P35" s="203"/>
      <c r="Q35" s="203"/>
      <c r="R35" s="202">
        <f t="shared" si="1"/>
        <v>14</v>
      </c>
      <c r="S35" s="208">
        <f t="shared" si="0"/>
        <v>2.8</v>
      </c>
      <c r="T35" s="207"/>
    </row>
    <row r="36" spans="1:20" ht="42.75" customHeight="1" x14ac:dyDescent="0.3">
      <c r="A36" s="202">
        <v>26</v>
      </c>
      <c r="B36" s="235" t="s">
        <v>346</v>
      </c>
      <c r="C36" s="203">
        <v>4</v>
      </c>
      <c r="D36" s="203">
        <v>3</v>
      </c>
      <c r="E36" s="203">
        <v>4</v>
      </c>
      <c r="F36" s="203">
        <v>4</v>
      </c>
      <c r="G36" s="203">
        <v>3</v>
      </c>
      <c r="H36" s="203"/>
      <c r="I36" s="203"/>
      <c r="J36" s="203"/>
      <c r="K36" s="203"/>
      <c r="L36" s="203"/>
      <c r="M36" s="203"/>
      <c r="N36" s="203"/>
      <c r="O36" s="203"/>
      <c r="P36" s="203"/>
      <c r="Q36" s="203"/>
      <c r="R36" s="202">
        <f t="shared" si="1"/>
        <v>18</v>
      </c>
      <c r="S36" s="208">
        <f t="shared" si="0"/>
        <v>3.6</v>
      </c>
      <c r="T36" s="207"/>
    </row>
    <row r="37" spans="1:20" ht="42" customHeight="1" x14ac:dyDescent="0.3">
      <c r="A37" s="202">
        <v>27</v>
      </c>
      <c r="B37" s="234" t="s">
        <v>347</v>
      </c>
      <c r="C37" s="203">
        <v>4</v>
      </c>
      <c r="D37" s="203">
        <v>4</v>
      </c>
      <c r="E37" s="203">
        <v>3</v>
      </c>
      <c r="F37" s="203">
        <v>4</v>
      </c>
      <c r="G37" s="203">
        <v>5</v>
      </c>
      <c r="H37" s="203"/>
      <c r="I37" s="203"/>
      <c r="J37" s="203"/>
      <c r="K37" s="203"/>
      <c r="L37" s="203"/>
      <c r="M37" s="203"/>
      <c r="N37" s="203"/>
      <c r="O37" s="203"/>
      <c r="P37" s="203"/>
      <c r="Q37" s="203"/>
      <c r="R37" s="202">
        <f t="shared" si="1"/>
        <v>20</v>
      </c>
      <c r="S37" s="208">
        <f t="shared" si="0"/>
        <v>4</v>
      </c>
      <c r="T37" s="207"/>
    </row>
    <row r="38" spans="1:20" ht="69" x14ac:dyDescent="0.3">
      <c r="A38" s="202">
        <v>28</v>
      </c>
      <c r="B38" s="234" t="s">
        <v>348</v>
      </c>
      <c r="C38" s="243">
        <v>5</v>
      </c>
      <c r="D38" s="203">
        <v>5</v>
      </c>
      <c r="E38" s="203">
        <v>4</v>
      </c>
      <c r="F38" s="203">
        <v>5</v>
      </c>
      <c r="G38" s="203">
        <v>5</v>
      </c>
      <c r="H38" s="203"/>
      <c r="I38" s="203"/>
      <c r="J38" s="203"/>
      <c r="K38" s="203"/>
      <c r="L38" s="203"/>
      <c r="M38" s="203"/>
      <c r="N38" s="203"/>
      <c r="O38" s="203"/>
      <c r="P38" s="203"/>
      <c r="Q38" s="203"/>
      <c r="R38" s="202">
        <f t="shared" ref="R38:R42" si="2">SUM(C38:Q38)</f>
        <v>24</v>
      </c>
      <c r="S38" s="208">
        <f t="shared" si="0"/>
        <v>4.8</v>
      </c>
      <c r="T38" s="207"/>
    </row>
    <row r="39" spans="1:20" ht="42.75" customHeight="1" x14ac:dyDescent="0.3">
      <c r="A39" s="202">
        <v>29</v>
      </c>
      <c r="B39" s="245" t="s">
        <v>350</v>
      </c>
      <c r="C39" s="243">
        <v>3</v>
      </c>
      <c r="D39" s="203">
        <v>2</v>
      </c>
      <c r="E39" s="203">
        <v>3</v>
      </c>
      <c r="F39" s="203">
        <v>2</v>
      </c>
      <c r="G39" s="203">
        <v>3</v>
      </c>
      <c r="H39" s="203"/>
      <c r="I39" s="203"/>
      <c r="J39" s="203"/>
      <c r="K39" s="203"/>
      <c r="L39" s="203"/>
      <c r="M39" s="203"/>
      <c r="N39" s="203"/>
      <c r="O39" s="203"/>
      <c r="P39" s="203"/>
      <c r="Q39" s="203"/>
      <c r="R39" s="202">
        <f t="shared" si="2"/>
        <v>13</v>
      </c>
      <c r="S39" s="208">
        <f t="shared" si="0"/>
        <v>2.6</v>
      </c>
      <c r="T39" s="207"/>
    </row>
    <row r="40" spans="1:20" ht="42.75" customHeight="1" x14ac:dyDescent="0.3">
      <c r="A40" s="202">
        <v>30</v>
      </c>
      <c r="B40" s="245" t="s">
        <v>351</v>
      </c>
      <c r="C40" s="243">
        <v>4</v>
      </c>
      <c r="D40" s="203">
        <v>4</v>
      </c>
      <c r="E40" s="203">
        <v>3</v>
      </c>
      <c r="F40" s="203">
        <v>3</v>
      </c>
      <c r="G40" s="203">
        <v>3</v>
      </c>
      <c r="H40" s="203"/>
      <c r="I40" s="203"/>
      <c r="J40" s="203"/>
      <c r="K40" s="203"/>
      <c r="L40" s="203"/>
      <c r="M40" s="203"/>
      <c r="N40" s="203"/>
      <c r="O40" s="203"/>
      <c r="P40" s="203"/>
      <c r="Q40" s="203"/>
      <c r="R40" s="202">
        <f t="shared" si="2"/>
        <v>17</v>
      </c>
      <c r="S40" s="208">
        <f t="shared" si="0"/>
        <v>3.4</v>
      </c>
      <c r="T40" s="238" t="s">
        <v>361</v>
      </c>
    </row>
    <row r="41" spans="1:20" ht="42.75" customHeight="1" x14ac:dyDescent="0.3">
      <c r="A41" s="202">
        <v>31</v>
      </c>
      <c r="B41" s="246" t="s">
        <v>353</v>
      </c>
      <c r="C41" s="243">
        <v>3</v>
      </c>
      <c r="D41" s="203">
        <v>3</v>
      </c>
      <c r="E41" s="203">
        <v>2</v>
      </c>
      <c r="F41" s="203">
        <v>2</v>
      </c>
      <c r="G41" s="203">
        <v>2</v>
      </c>
      <c r="H41" s="203"/>
      <c r="I41" s="203"/>
      <c r="J41" s="203"/>
      <c r="K41" s="203"/>
      <c r="L41" s="203"/>
      <c r="M41" s="203"/>
      <c r="N41" s="203"/>
      <c r="O41" s="203"/>
      <c r="P41" s="203"/>
      <c r="Q41" s="203"/>
      <c r="R41" s="202">
        <f t="shared" si="2"/>
        <v>12</v>
      </c>
      <c r="S41" s="208">
        <f t="shared" si="0"/>
        <v>2.4</v>
      </c>
      <c r="T41" s="207"/>
    </row>
    <row r="42" spans="1:20" ht="42.75" customHeight="1" x14ac:dyDescent="0.3">
      <c r="A42" s="202">
        <v>32</v>
      </c>
      <c r="B42" s="246" t="s">
        <v>355</v>
      </c>
      <c r="C42" s="243">
        <v>4</v>
      </c>
      <c r="D42" s="203">
        <v>3</v>
      </c>
      <c r="E42" s="203">
        <v>3</v>
      </c>
      <c r="F42" s="203">
        <v>4</v>
      </c>
      <c r="G42" s="203">
        <v>3</v>
      </c>
      <c r="H42" s="203"/>
      <c r="I42" s="203"/>
      <c r="J42" s="203"/>
      <c r="K42" s="203"/>
      <c r="L42" s="203"/>
      <c r="M42" s="203"/>
      <c r="N42" s="203"/>
      <c r="O42" s="203"/>
      <c r="P42" s="203"/>
      <c r="Q42" s="203"/>
      <c r="R42" s="202">
        <f t="shared" si="2"/>
        <v>17</v>
      </c>
      <c r="S42" s="208">
        <f t="shared" si="0"/>
        <v>3.4</v>
      </c>
      <c r="T42" s="207"/>
    </row>
    <row r="43" spans="1:20" ht="47.25" customHeight="1" x14ac:dyDescent="0.3">
      <c r="A43" s="209">
        <v>33</v>
      </c>
      <c r="B43" s="246" t="s">
        <v>362</v>
      </c>
      <c r="C43" s="244">
        <v>3</v>
      </c>
      <c r="D43" s="210">
        <v>3</v>
      </c>
      <c r="E43" s="210">
        <v>4</v>
      </c>
      <c r="F43" s="210">
        <v>4</v>
      </c>
      <c r="G43" s="210">
        <v>3</v>
      </c>
      <c r="H43" s="210"/>
      <c r="I43" s="210"/>
      <c r="J43" s="210"/>
      <c r="K43" s="210"/>
      <c r="L43" s="210"/>
      <c r="M43" s="210"/>
      <c r="N43" s="210"/>
      <c r="O43" s="210"/>
      <c r="P43" s="210"/>
      <c r="Q43" s="210"/>
      <c r="R43" s="209">
        <f>SUM(C43:Q43)</f>
        <v>17</v>
      </c>
      <c r="S43" s="211">
        <f>IF(ISERROR(AVERAGE(C43:Q43)),0,AVERAGE(C43:Q43))</f>
        <v>3.4</v>
      </c>
      <c r="T43" s="241"/>
    </row>
    <row r="44" spans="1:20" ht="47.25" customHeight="1" x14ac:dyDescent="0.3">
      <c r="A44" s="202">
        <v>34</v>
      </c>
      <c r="B44" s="239"/>
      <c r="C44" s="210"/>
      <c r="D44" s="210"/>
      <c r="E44" s="210"/>
      <c r="F44" s="210"/>
      <c r="G44" s="210"/>
      <c r="H44" s="210"/>
      <c r="I44" s="210"/>
      <c r="J44" s="210"/>
      <c r="K44" s="210"/>
      <c r="L44" s="210"/>
      <c r="M44" s="210"/>
      <c r="N44" s="210"/>
      <c r="O44" s="210"/>
      <c r="P44" s="210"/>
      <c r="Q44" s="210"/>
      <c r="R44" s="209"/>
      <c r="S44" s="211"/>
      <c r="T44" s="241"/>
    </row>
    <row r="45" spans="1:20" ht="47.25" customHeight="1" thickBot="1" x14ac:dyDescent="0.35">
      <c r="A45" s="202">
        <v>35</v>
      </c>
      <c r="B45" s="239"/>
      <c r="C45" s="210"/>
      <c r="D45" s="210"/>
      <c r="E45" s="210"/>
      <c r="F45" s="210"/>
      <c r="G45" s="210"/>
      <c r="H45" s="210"/>
      <c r="I45" s="210"/>
      <c r="J45" s="210"/>
      <c r="K45" s="210"/>
      <c r="L45" s="210"/>
      <c r="M45" s="210"/>
      <c r="N45" s="210"/>
      <c r="O45" s="210"/>
      <c r="P45" s="210"/>
      <c r="Q45" s="210"/>
      <c r="R45" s="209"/>
      <c r="S45" s="211"/>
      <c r="T45" s="242"/>
    </row>
    <row r="46" spans="1:20" ht="24" customHeight="1" x14ac:dyDescent="0.3">
      <c r="A46" s="306" t="s">
        <v>296</v>
      </c>
      <c r="B46" s="306"/>
      <c r="C46" s="306"/>
      <c r="D46" s="306"/>
      <c r="E46" s="306"/>
      <c r="F46" s="306"/>
      <c r="G46" s="306"/>
      <c r="H46" s="306"/>
      <c r="I46" s="306"/>
      <c r="J46" s="306"/>
      <c r="K46" s="306"/>
      <c r="L46" s="306"/>
      <c r="M46" s="306"/>
      <c r="N46" s="306"/>
      <c r="O46" s="306"/>
      <c r="P46" s="306"/>
      <c r="Q46" s="306"/>
      <c r="R46" s="306"/>
      <c r="S46" s="212">
        <f>SUM(S11:S45)</f>
        <v>113.00000000000001</v>
      </c>
    </row>
    <row r="47" spans="1:20" ht="28.5" customHeight="1" thickBot="1" x14ac:dyDescent="0.35">
      <c r="A47" s="306" t="s">
        <v>294</v>
      </c>
      <c r="B47" s="306"/>
      <c r="C47" s="306"/>
      <c r="D47" s="306"/>
      <c r="E47" s="306"/>
      <c r="F47" s="306"/>
      <c r="G47" s="306"/>
      <c r="H47" s="306"/>
      <c r="I47" s="306"/>
      <c r="J47" s="306"/>
      <c r="K47" s="306"/>
      <c r="L47" s="306"/>
      <c r="M47" s="306"/>
      <c r="N47" s="306"/>
      <c r="O47" s="306"/>
      <c r="P47" s="306"/>
      <c r="Q47" s="306"/>
      <c r="R47" s="306"/>
      <c r="S47" s="213">
        <f>S46/A45</f>
        <v>3.2285714285714291</v>
      </c>
    </row>
  </sheetData>
  <sheetProtection selectLockedCells="1"/>
  <mergeCells count="13">
    <mergeCell ref="A1:A4"/>
    <mergeCell ref="B1:S2"/>
    <mergeCell ref="T1:W1"/>
    <mergeCell ref="T2:W2"/>
    <mergeCell ref="B3:S4"/>
    <mergeCell ref="T3:W3"/>
    <mergeCell ref="T4:W4"/>
    <mergeCell ref="A47:R47"/>
    <mergeCell ref="A5:T5"/>
    <mergeCell ref="A6:T6"/>
    <mergeCell ref="A7:T7"/>
    <mergeCell ref="A46:R46"/>
    <mergeCell ref="A9:T9"/>
  </mergeCells>
  <conditionalFormatting sqref="Z14">
    <cfRule type="dataBar" priority="1">
      <dataBar>
        <cfvo type="min"/>
        <cfvo type="max"/>
        <color rgb="FFFFB628"/>
      </dataBar>
      <extLst>
        <ext xmlns:x14="http://schemas.microsoft.com/office/spreadsheetml/2009/9/main" uri="{B025F937-C7B1-47D3-B67F-A62EFF666E3E}">
          <x14:id>{E4B16296-56D2-4D93-BA2C-CB3D8E5BC98A}</x14:id>
        </ext>
      </extLst>
    </cfRule>
  </conditionalFormatting>
  <dataValidations count="1">
    <dataValidation type="whole" showErrorMessage="1" error="DATO INVÁLIDO_x000a_Tenga en cuenta que la escala de calificación va de 1 a 5" sqref="C11:Q45" xr:uid="{7250F546-5323-41FC-9C3E-084D1D87111B}">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4337" r:id="rId4" name="CheckBox1">
          <controlPr defaultSize="0" autoLine="0" r:id="rId5">
            <anchor moveWithCells="1">
              <from>
                <xdr:col>19</xdr:col>
                <xdr:colOff>632460</xdr:colOff>
                <xdr:row>10</xdr:row>
                <xdr:rowOff>60960</xdr:rowOff>
              </from>
              <to>
                <xdr:col>19</xdr:col>
                <xdr:colOff>876300</xdr:colOff>
                <xdr:row>10</xdr:row>
                <xdr:rowOff>457200</xdr:rowOff>
              </to>
            </anchor>
          </controlPr>
        </control>
      </mc:Choice>
      <mc:Fallback>
        <control shapeId="14337" r:id="rId4" name="CheckBox1"/>
      </mc:Fallback>
    </mc:AlternateContent>
    <mc:AlternateContent xmlns:mc="http://schemas.openxmlformats.org/markup-compatibility/2006">
      <mc:Choice Requires="x14">
        <control shapeId="14338" r:id="rId6" name="CheckBox2">
          <controlPr defaultSize="0" autoLine="0" r:id="rId7">
            <anchor moveWithCells="1">
              <from>
                <xdr:col>19</xdr:col>
                <xdr:colOff>617220</xdr:colOff>
                <xdr:row>11</xdr:row>
                <xdr:rowOff>160020</xdr:rowOff>
              </from>
              <to>
                <xdr:col>19</xdr:col>
                <xdr:colOff>906780</xdr:colOff>
                <xdr:row>11</xdr:row>
                <xdr:rowOff>419100</xdr:rowOff>
              </to>
            </anchor>
          </controlPr>
        </control>
      </mc:Choice>
      <mc:Fallback>
        <control shapeId="14338" r:id="rId6" name="CheckBox2"/>
      </mc:Fallback>
    </mc:AlternateContent>
    <mc:AlternateContent xmlns:mc="http://schemas.openxmlformats.org/markup-compatibility/2006">
      <mc:Choice Requires="x14">
        <control shapeId="14339" r:id="rId8" name="CheckBox3">
          <controlPr defaultSize="0" autoLine="0" r:id="rId9">
            <anchor moveWithCells="1">
              <from>
                <xdr:col>19</xdr:col>
                <xdr:colOff>617220</xdr:colOff>
                <xdr:row>12</xdr:row>
                <xdr:rowOff>160020</xdr:rowOff>
              </from>
              <to>
                <xdr:col>19</xdr:col>
                <xdr:colOff>906780</xdr:colOff>
                <xdr:row>12</xdr:row>
                <xdr:rowOff>419100</xdr:rowOff>
              </to>
            </anchor>
          </controlPr>
        </control>
      </mc:Choice>
      <mc:Fallback>
        <control shapeId="14339" r:id="rId8" name="CheckBox3"/>
      </mc:Fallback>
    </mc:AlternateContent>
    <mc:AlternateContent xmlns:mc="http://schemas.openxmlformats.org/markup-compatibility/2006">
      <mc:Choice Requires="x14">
        <control shapeId="14340" r:id="rId10" name="CheckBox4">
          <controlPr defaultSize="0" autoLine="0" r:id="rId7">
            <anchor moveWithCells="1">
              <from>
                <xdr:col>19</xdr:col>
                <xdr:colOff>617220</xdr:colOff>
                <xdr:row>13</xdr:row>
                <xdr:rowOff>160020</xdr:rowOff>
              </from>
              <to>
                <xdr:col>19</xdr:col>
                <xdr:colOff>906780</xdr:colOff>
                <xdr:row>13</xdr:row>
                <xdr:rowOff>419100</xdr:rowOff>
              </to>
            </anchor>
          </controlPr>
        </control>
      </mc:Choice>
      <mc:Fallback>
        <control shapeId="14340" r:id="rId10" name="CheckBox4"/>
      </mc:Fallback>
    </mc:AlternateContent>
    <mc:AlternateContent xmlns:mc="http://schemas.openxmlformats.org/markup-compatibility/2006">
      <mc:Choice Requires="x14">
        <control shapeId="14341" r:id="rId11" name="CheckBox5">
          <controlPr defaultSize="0" autoLine="0" r:id="rId12">
            <anchor moveWithCells="1">
              <from>
                <xdr:col>19</xdr:col>
                <xdr:colOff>617220</xdr:colOff>
                <xdr:row>14</xdr:row>
                <xdr:rowOff>175260</xdr:rowOff>
              </from>
              <to>
                <xdr:col>19</xdr:col>
                <xdr:colOff>906780</xdr:colOff>
                <xdr:row>14</xdr:row>
                <xdr:rowOff>426720</xdr:rowOff>
              </to>
            </anchor>
          </controlPr>
        </control>
      </mc:Choice>
      <mc:Fallback>
        <control shapeId="14341" r:id="rId11" name="CheckBox5"/>
      </mc:Fallback>
    </mc:AlternateContent>
    <mc:AlternateContent xmlns:mc="http://schemas.openxmlformats.org/markup-compatibility/2006">
      <mc:Choice Requires="x14">
        <control shapeId="14342" r:id="rId13" name="CheckBox6">
          <controlPr defaultSize="0" autoLine="0" r:id="rId7">
            <anchor moveWithCells="1">
              <from>
                <xdr:col>19</xdr:col>
                <xdr:colOff>617220</xdr:colOff>
                <xdr:row>15</xdr:row>
                <xdr:rowOff>160020</xdr:rowOff>
              </from>
              <to>
                <xdr:col>19</xdr:col>
                <xdr:colOff>906780</xdr:colOff>
                <xdr:row>15</xdr:row>
                <xdr:rowOff>419100</xdr:rowOff>
              </to>
            </anchor>
          </controlPr>
        </control>
      </mc:Choice>
      <mc:Fallback>
        <control shapeId="14342" r:id="rId13" name="CheckBox6"/>
      </mc:Fallback>
    </mc:AlternateContent>
    <mc:AlternateContent xmlns:mc="http://schemas.openxmlformats.org/markup-compatibility/2006">
      <mc:Choice Requires="x14">
        <control shapeId="14343" r:id="rId14" name="CheckBox7">
          <controlPr defaultSize="0" autoLine="0" r:id="rId7">
            <anchor moveWithCells="1">
              <from>
                <xdr:col>19</xdr:col>
                <xdr:colOff>617220</xdr:colOff>
                <xdr:row>16</xdr:row>
                <xdr:rowOff>160020</xdr:rowOff>
              </from>
              <to>
                <xdr:col>19</xdr:col>
                <xdr:colOff>906780</xdr:colOff>
                <xdr:row>16</xdr:row>
                <xdr:rowOff>419100</xdr:rowOff>
              </to>
            </anchor>
          </controlPr>
        </control>
      </mc:Choice>
      <mc:Fallback>
        <control shapeId="14343" r:id="rId14" name="CheckBox7"/>
      </mc:Fallback>
    </mc:AlternateContent>
    <mc:AlternateContent xmlns:mc="http://schemas.openxmlformats.org/markup-compatibility/2006">
      <mc:Choice Requires="x14">
        <control shapeId="14344" r:id="rId15" name="CheckBox8">
          <controlPr defaultSize="0" autoLine="0" r:id="rId9">
            <anchor moveWithCells="1">
              <from>
                <xdr:col>19</xdr:col>
                <xdr:colOff>617220</xdr:colOff>
                <xdr:row>17</xdr:row>
                <xdr:rowOff>160020</xdr:rowOff>
              </from>
              <to>
                <xdr:col>19</xdr:col>
                <xdr:colOff>906780</xdr:colOff>
                <xdr:row>17</xdr:row>
                <xdr:rowOff>419100</xdr:rowOff>
              </to>
            </anchor>
          </controlPr>
        </control>
      </mc:Choice>
      <mc:Fallback>
        <control shapeId="14344" r:id="rId15" name="CheckBox8"/>
      </mc:Fallback>
    </mc:AlternateContent>
    <mc:AlternateContent xmlns:mc="http://schemas.openxmlformats.org/markup-compatibility/2006">
      <mc:Choice Requires="x14">
        <control shapeId="14345" r:id="rId16" name="CheckBox9">
          <controlPr defaultSize="0" autoLine="0" r:id="rId7">
            <anchor moveWithCells="1">
              <from>
                <xdr:col>19</xdr:col>
                <xdr:colOff>617220</xdr:colOff>
                <xdr:row>18</xdr:row>
                <xdr:rowOff>160020</xdr:rowOff>
              </from>
              <to>
                <xdr:col>19</xdr:col>
                <xdr:colOff>906780</xdr:colOff>
                <xdr:row>18</xdr:row>
                <xdr:rowOff>419100</xdr:rowOff>
              </to>
            </anchor>
          </controlPr>
        </control>
      </mc:Choice>
      <mc:Fallback>
        <control shapeId="14345" r:id="rId16" name="CheckBox9"/>
      </mc:Fallback>
    </mc:AlternateContent>
    <mc:AlternateContent xmlns:mc="http://schemas.openxmlformats.org/markup-compatibility/2006">
      <mc:Choice Requires="x14">
        <control shapeId="14346" r:id="rId17" name="CheckBox10">
          <controlPr defaultSize="0" autoLine="0" r:id="rId7">
            <anchor moveWithCells="1">
              <from>
                <xdr:col>19</xdr:col>
                <xdr:colOff>617220</xdr:colOff>
                <xdr:row>19</xdr:row>
                <xdr:rowOff>160020</xdr:rowOff>
              </from>
              <to>
                <xdr:col>19</xdr:col>
                <xdr:colOff>906780</xdr:colOff>
                <xdr:row>19</xdr:row>
                <xdr:rowOff>419100</xdr:rowOff>
              </to>
            </anchor>
          </controlPr>
        </control>
      </mc:Choice>
      <mc:Fallback>
        <control shapeId="14346" r:id="rId17" name="CheckBox10"/>
      </mc:Fallback>
    </mc:AlternateContent>
    <mc:AlternateContent xmlns:mc="http://schemas.openxmlformats.org/markup-compatibility/2006">
      <mc:Choice Requires="x14">
        <control shapeId="14347" r:id="rId18" name="CheckBox11">
          <controlPr defaultSize="0" autoLine="0" r:id="rId7">
            <anchor moveWithCells="1">
              <from>
                <xdr:col>19</xdr:col>
                <xdr:colOff>617220</xdr:colOff>
                <xdr:row>20</xdr:row>
                <xdr:rowOff>160020</xdr:rowOff>
              </from>
              <to>
                <xdr:col>19</xdr:col>
                <xdr:colOff>906780</xdr:colOff>
                <xdr:row>20</xdr:row>
                <xdr:rowOff>419100</xdr:rowOff>
              </to>
            </anchor>
          </controlPr>
        </control>
      </mc:Choice>
      <mc:Fallback>
        <control shapeId="14347" r:id="rId18" name="CheckBox11"/>
      </mc:Fallback>
    </mc:AlternateContent>
    <mc:AlternateContent xmlns:mc="http://schemas.openxmlformats.org/markup-compatibility/2006">
      <mc:Choice Requires="x14">
        <control shapeId="14348" r:id="rId19" name="CheckBox12">
          <controlPr defaultSize="0" autoLine="0" r:id="rId7">
            <anchor moveWithCells="1">
              <from>
                <xdr:col>19</xdr:col>
                <xdr:colOff>617220</xdr:colOff>
                <xdr:row>21</xdr:row>
                <xdr:rowOff>160020</xdr:rowOff>
              </from>
              <to>
                <xdr:col>19</xdr:col>
                <xdr:colOff>906780</xdr:colOff>
                <xdr:row>21</xdr:row>
                <xdr:rowOff>419100</xdr:rowOff>
              </to>
            </anchor>
          </controlPr>
        </control>
      </mc:Choice>
      <mc:Fallback>
        <control shapeId="14348" r:id="rId19" name="CheckBox12"/>
      </mc:Fallback>
    </mc:AlternateContent>
    <mc:AlternateContent xmlns:mc="http://schemas.openxmlformats.org/markup-compatibility/2006">
      <mc:Choice Requires="x14">
        <control shapeId="14349" r:id="rId20" name="CheckBox13">
          <controlPr defaultSize="0" autoLine="0" r:id="rId7">
            <anchor moveWithCells="1">
              <from>
                <xdr:col>19</xdr:col>
                <xdr:colOff>617220</xdr:colOff>
                <xdr:row>22</xdr:row>
                <xdr:rowOff>160020</xdr:rowOff>
              </from>
              <to>
                <xdr:col>19</xdr:col>
                <xdr:colOff>906780</xdr:colOff>
                <xdr:row>22</xdr:row>
                <xdr:rowOff>419100</xdr:rowOff>
              </to>
            </anchor>
          </controlPr>
        </control>
      </mc:Choice>
      <mc:Fallback>
        <control shapeId="14349" r:id="rId20" name="CheckBox13"/>
      </mc:Fallback>
    </mc:AlternateContent>
    <mc:AlternateContent xmlns:mc="http://schemas.openxmlformats.org/markup-compatibility/2006">
      <mc:Choice Requires="x14">
        <control shapeId="14350" r:id="rId21" name="CheckBox14">
          <controlPr defaultSize="0" autoLine="0" r:id="rId7">
            <anchor moveWithCells="1">
              <from>
                <xdr:col>19</xdr:col>
                <xdr:colOff>617220</xdr:colOff>
                <xdr:row>23</xdr:row>
                <xdr:rowOff>160020</xdr:rowOff>
              </from>
              <to>
                <xdr:col>19</xdr:col>
                <xdr:colOff>906780</xdr:colOff>
                <xdr:row>23</xdr:row>
                <xdr:rowOff>419100</xdr:rowOff>
              </to>
            </anchor>
          </controlPr>
        </control>
      </mc:Choice>
      <mc:Fallback>
        <control shapeId="14350" r:id="rId21" name="CheckBox14"/>
      </mc:Fallback>
    </mc:AlternateContent>
    <mc:AlternateContent xmlns:mc="http://schemas.openxmlformats.org/markup-compatibility/2006">
      <mc:Choice Requires="x14">
        <control shapeId="14351" r:id="rId22" name="CheckBox15">
          <controlPr defaultSize="0" autoLine="0" r:id="rId7">
            <anchor moveWithCells="1">
              <from>
                <xdr:col>19</xdr:col>
                <xdr:colOff>617220</xdr:colOff>
                <xdr:row>24</xdr:row>
                <xdr:rowOff>160020</xdr:rowOff>
              </from>
              <to>
                <xdr:col>19</xdr:col>
                <xdr:colOff>906780</xdr:colOff>
                <xdr:row>24</xdr:row>
                <xdr:rowOff>419100</xdr:rowOff>
              </to>
            </anchor>
          </controlPr>
        </control>
      </mc:Choice>
      <mc:Fallback>
        <control shapeId="14351" r:id="rId22" name="CheckBox15"/>
      </mc:Fallback>
    </mc:AlternateContent>
    <mc:AlternateContent xmlns:mc="http://schemas.openxmlformats.org/markup-compatibility/2006">
      <mc:Choice Requires="x14">
        <control shapeId="14352" r:id="rId23" name="CheckBox16">
          <controlPr defaultSize="0" autoLine="0" r:id="rId7">
            <anchor moveWithCells="1">
              <from>
                <xdr:col>19</xdr:col>
                <xdr:colOff>617220</xdr:colOff>
                <xdr:row>25</xdr:row>
                <xdr:rowOff>160020</xdr:rowOff>
              </from>
              <to>
                <xdr:col>19</xdr:col>
                <xdr:colOff>906780</xdr:colOff>
                <xdr:row>25</xdr:row>
                <xdr:rowOff>419100</xdr:rowOff>
              </to>
            </anchor>
          </controlPr>
        </control>
      </mc:Choice>
      <mc:Fallback>
        <control shapeId="14352" r:id="rId23" name="CheckBox16"/>
      </mc:Fallback>
    </mc:AlternateContent>
    <mc:AlternateContent xmlns:mc="http://schemas.openxmlformats.org/markup-compatibility/2006">
      <mc:Choice Requires="x14">
        <control shapeId="14353" r:id="rId24" name="CheckBox17">
          <controlPr defaultSize="0" autoLine="0" r:id="rId7">
            <anchor moveWithCells="1">
              <from>
                <xdr:col>19</xdr:col>
                <xdr:colOff>617220</xdr:colOff>
                <xdr:row>26</xdr:row>
                <xdr:rowOff>160020</xdr:rowOff>
              </from>
              <to>
                <xdr:col>19</xdr:col>
                <xdr:colOff>906780</xdr:colOff>
                <xdr:row>26</xdr:row>
                <xdr:rowOff>419100</xdr:rowOff>
              </to>
            </anchor>
          </controlPr>
        </control>
      </mc:Choice>
      <mc:Fallback>
        <control shapeId="14353" r:id="rId24" name="CheckBox17"/>
      </mc:Fallback>
    </mc:AlternateContent>
    <mc:AlternateContent xmlns:mc="http://schemas.openxmlformats.org/markup-compatibility/2006">
      <mc:Choice Requires="x14">
        <control shapeId="14354" r:id="rId25" name="CheckBox18">
          <controlPr defaultSize="0" autoLine="0" r:id="rId7">
            <anchor moveWithCells="1">
              <from>
                <xdr:col>19</xdr:col>
                <xdr:colOff>617220</xdr:colOff>
                <xdr:row>27</xdr:row>
                <xdr:rowOff>160020</xdr:rowOff>
              </from>
              <to>
                <xdr:col>19</xdr:col>
                <xdr:colOff>906780</xdr:colOff>
                <xdr:row>27</xdr:row>
                <xdr:rowOff>419100</xdr:rowOff>
              </to>
            </anchor>
          </controlPr>
        </control>
      </mc:Choice>
      <mc:Fallback>
        <control shapeId="14354" r:id="rId25" name="CheckBox18"/>
      </mc:Fallback>
    </mc:AlternateContent>
    <mc:AlternateContent xmlns:mc="http://schemas.openxmlformats.org/markup-compatibility/2006">
      <mc:Choice Requires="x14">
        <control shapeId="14355" r:id="rId26" name="CheckBox19">
          <controlPr defaultSize="0" autoLine="0" r:id="rId7">
            <anchor moveWithCells="1">
              <from>
                <xdr:col>19</xdr:col>
                <xdr:colOff>617220</xdr:colOff>
                <xdr:row>28</xdr:row>
                <xdr:rowOff>160020</xdr:rowOff>
              </from>
              <to>
                <xdr:col>19</xdr:col>
                <xdr:colOff>906780</xdr:colOff>
                <xdr:row>28</xdr:row>
                <xdr:rowOff>419100</xdr:rowOff>
              </to>
            </anchor>
          </controlPr>
        </control>
      </mc:Choice>
      <mc:Fallback>
        <control shapeId="14355" r:id="rId26" name="CheckBox19"/>
      </mc:Fallback>
    </mc:AlternateContent>
    <mc:AlternateContent xmlns:mc="http://schemas.openxmlformats.org/markup-compatibility/2006">
      <mc:Choice Requires="x14">
        <control shapeId="14356" r:id="rId27" name="CheckBox20">
          <controlPr defaultSize="0" autoLine="0" r:id="rId7">
            <anchor moveWithCells="1">
              <from>
                <xdr:col>19</xdr:col>
                <xdr:colOff>617220</xdr:colOff>
                <xdr:row>29</xdr:row>
                <xdr:rowOff>160020</xdr:rowOff>
              </from>
              <to>
                <xdr:col>19</xdr:col>
                <xdr:colOff>906780</xdr:colOff>
                <xdr:row>29</xdr:row>
                <xdr:rowOff>419100</xdr:rowOff>
              </to>
            </anchor>
          </controlPr>
        </control>
      </mc:Choice>
      <mc:Fallback>
        <control shapeId="14356" r:id="rId27" name="CheckBox20"/>
      </mc:Fallback>
    </mc:AlternateContent>
    <mc:AlternateContent xmlns:mc="http://schemas.openxmlformats.org/markup-compatibility/2006">
      <mc:Choice Requires="x14">
        <control shapeId="14357" r:id="rId28" name="CheckBox21">
          <controlPr defaultSize="0" autoLine="0" r:id="rId9">
            <anchor moveWithCells="1">
              <from>
                <xdr:col>19</xdr:col>
                <xdr:colOff>617220</xdr:colOff>
                <xdr:row>30</xdr:row>
                <xdr:rowOff>160020</xdr:rowOff>
              </from>
              <to>
                <xdr:col>19</xdr:col>
                <xdr:colOff>906780</xdr:colOff>
                <xdr:row>30</xdr:row>
                <xdr:rowOff>419100</xdr:rowOff>
              </to>
            </anchor>
          </controlPr>
        </control>
      </mc:Choice>
      <mc:Fallback>
        <control shapeId="14357" r:id="rId28" name="CheckBox21"/>
      </mc:Fallback>
    </mc:AlternateContent>
    <mc:AlternateContent xmlns:mc="http://schemas.openxmlformats.org/markup-compatibility/2006">
      <mc:Choice Requires="x14">
        <control shapeId="14358" r:id="rId29" name="CheckBox22">
          <controlPr defaultSize="0" autoLine="0" r:id="rId7">
            <anchor moveWithCells="1">
              <from>
                <xdr:col>19</xdr:col>
                <xdr:colOff>617220</xdr:colOff>
                <xdr:row>31</xdr:row>
                <xdr:rowOff>160020</xdr:rowOff>
              </from>
              <to>
                <xdr:col>19</xdr:col>
                <xdr:colOff>906780</xdr:colOff>
                <xdr:row>31</xdr:row>
                <xdr:rowOff>419100</xdr:rowOff>
              </to>
            </anchor>
          </controlPr>
        </control>
      </mc:Choice>
      <mc:Fallback>
        <control shapeId="14358" r:id="rId29" name="CheckBox22"/>
      </mc:Fallback>
    </mc:AlternateContent>
    <mc:AlternateContent xmlns:mc="http://schemas.openxmlformats.org/markup-compatibility/2006">
      <mc:Choice Requires="x14">
        <control shapeId="14359" r:id="rId30" name="CheckBox23">
          <controlPr defaultSize="0" autoLine="0" r:id="rId9">
            <anchor moveWithCells="1">
              <from>
                <xdr:col>19</xdr:col>
                <xdr:colOff>617220</xdr:colOff>
                <xdr:row>32</xdr:row>
                <xdr:rowOff>160020</xdr:rowOff>
              </from>
              <to>
                <xdr:col>19</xdr:col>
                <xdr:colOff>906780</xdr:colOff>
                <xdr:row>32</xdr:row>
                <xdr:rowOff>419100</xdr:rowOff>
              </to>
            </anchor>
          </controlPr>
        </control>
      </mc:Choice>
      <mc:Fallback>
        <control shapeId="14359" r:id="rId30" name="CheckBox23"/>
      </mc:Fallback>
    </mc:AlternateContent>
    <mc:AlternateContent xmlns:mc="http://schemas.openxmlformats.org/markup-compatibility/2006">
      <mc:Choice Requires="x14">
        <control shapeId="14360" r:id="rId31" name="CheckBox24">
          <controlPr defaultSize="0" autoLine="0" r:id="rId7">
            <anchor moveWithCells="1">
              <from>
                <xdr:col>19</xdr:col>
                <xdr:colOff>617220</xdr:colOff>
                <xdr:row>33</xdr:row>
                <xdr:rowOff>160020</xdr:rowOff>
              </from>
              <to>
                <xdr:col>19</xdr:col>
                <xdr:colOff>906780</xdr:colOff>
                <xdr:row>33</xdr:row>
                <xdr:rowOff>419100</xdr:rowOff>
              </to>
            </anchor>
          </controlPr>
        </control>
      </mc:Choice>
      <mc:Fallback>
        <control shapeId="14360" r:id="rId31" name="CheckBox24"/>
      </mc:Fallback>
    </mc:AlternateContent>
    <mc:AlternateContent xmlns:mc="http://schemas.openxmlformats.org/markup-compatibility/2006">
      <mc:Choice Requires="x14">
        <control shapeId="14361" r:id="rId32" name="CheckBox25">
          <controlPr defaultSize="0" autoLine="0" r:id="rId9">
            <anchor moveWithCells="1">
              <from>
                <xdr:col>19</xdr:col>
                <xdr:colOff>617220</xdr:colOff>
                <xdr:row>34</xdr:row>
                <xdr:rowOff>160020</xdr:rowOff>
              </from>
              <to>
                <xdr:col>19</xdr:col>
                <xdr:colOff>906780</xdr:colOff>
                <xdr:row>34</xdr:row>
                <xdr:rowOff>419100</xdr:rowOff>
              </to>
            </anchor>
          </controlPr>
        </control>
      </mc:Choice>
      <mc:Fallback>
        <control shapeId="14361" r:id="rId32" name="CheckBox25"/>
      </mc:Fallback>
    </mc:AlternateContent>
    <mc:AlternateContent xmlns:mc="http://schemas.openxmlformats.org/markup-compatibility/2006">
      <mc:Choice Requires="x14">
        <control shapeId="14362" r:id="rId33" name="CheckBox26">
          <controlPr defaultSize="0" autoLine="0" r:id="rId7">
            <anchor moveWithCells="1">
              <from>
                <xdr:col>19</xdr:col>
                <xdr:colOff>617220</xdr:colOff>
                <xdr:row>35</xdr:row>
                <xdr:rowOff>160020</xdr:rowOff>
              </from>
              <to>
                <xdr:col>19</xdr:col>
                <xdr:colOff>906780</xdr:colOff>
                <xdr:row>35</xdr:row>
                <xdr:rowOff>419100</xdr:rowOff>
              </to>
            </anchor>
          </controlPr>
        </control>
      </mc:Choice>
      <mc:Fallback>
        <control shapeId="14362" r:id="rId33" name="CheckBox26"/>
      </mc:Fallback>
    </mc:AlternateContent>
    <mc:AlternateContent xmlns:mc="http://schemas.openxmlformats.org/markup-compatibility/2006">
      <mc:Choice Requires="x14">
        <control shapeId="14363" r:id="rId34" name="CheckBox27">
          <controlPr defaultSize="0" autoLine="0" r:id="rId7">
            <anchor moveWithCells="1">
              <from>
                <xdr:col>19</xdr:col>
                <xdr:colOff>617220</xdr:colOff>
                <xdr:row>36</xdr:row>
                <xdr:rowOff>160020</xdr:rowOff>
              </from>
              <to>
                <xdr:col>19</xdr:col>
                <xdr:colOff>906780</xdr:colOff>
                <xdr:row>36</xdr:row>
                <xdr:rowOff>419100</xdr:rowOff>
              </to>
            </anchor>
          </controlPr>
        </control>
      </mc:Choice>
      <mc:Fallback>
        <control shapeId="14363" r:id="rId34" name="CheckBox27"/>
      </mc:Fallback>
    </mc:AlternateContent>
    <mc:AlternateContent xmlns:mc="http://schemas.openxmlformats.org/markup-compatibility/2006">
      <mc:Choice Requires="x14">
        <control shapeId="14364" r:id="rId35" name="CheckBox28">
          <controlPr defaultSize="0" autoLine="0" r:id="rId7">
            <anchor moveWithCells="1">
              <from>
                <xdr:col>19</xdr:col>
                <xdr:colOff>617220</xdr:colOff>
                <xdr:row>37</xdr:row>
                <xdr:rowOff>160020</xdr:rowOff>
              </from>
              <to>
                <xdr:col>19</xdr:col>
                <xdr:colOff>906780</xdr:colOff>
                <xdr:row>37</xdr:row>
                <xdr:rowOff>419100</xdr:rowOff>
              </to>
            </anchor>
          </controlPr>
        </control>
      </mc:Choice>
      <mc:Fallback>
        <control shapeId="14364" r:id="rId35" name="CheckBox28"/>
      </mc:Fallback>
    </mc:AlternateContent>
    <mc:AlternateContent xmlns:mc="http://schemas.openxmlformats.org/markup-compatibility/2006">
      <mc:Choice Requires="x14">
        <control shapeId="14365" r:id="rId36" name="CheckBox29">
          <controlPr defaultSize="0" autoLine="0" r:id="rId7">
            <anchor moveWithCells="1">
              <from>
                <xdr:col>19</xdr:col>
                <xdr:colOff>617220</xdr:colOff>
                <xdr:row>41</xdr:row>
                <xdr:rowOff>160020</xdr:rowOff>
              </from>
              <to>
                <xdr:col>19</xdr:col>
                <xdr:colOff>906780</xdr:colOff>
                <xdr:row>41</xdr:row>
                <xdr:rowOff>419100</xdr:rowOff>
              </to>
            </anchor>
          </controlPr>
        </control>
      </mc:Choice>
      <mc:Fallback>
        <control shapeId="14365" r:id="rId36" name="CheckBox29"/>
      </mc:Fallback>
    </mc:AlternateContent>
    <mc:AlternateContent xmlns:mc="http://schemas.openxmlformats.org/markup-compatibility/2006">
      <mc:Choice Requires="x14">
        <control shapeId="14366" r:id="rId37" name="CheckBox30">
          <controlPr defaultSize="0" autoLine="0" r:id="rId7">
            <anchor moveWithCells="1">
              <from>
                <xdr:col>19</xdr:col>
                <xdr:colOff>617220</xdr:colOff>
                <xdr:row>42</xdr:row>
                <xdr:rowOff>160020</xdr:rowOff>
              </from>
              <to>
                <xdr:col>19</xdr:col>
                <xdr:colOff>906780</xdr:colOff>
                <xdr:row>42</xdr:row>
                <xdr:rowOff>419100</xdr:rowOff>
              </to>
            </anchor>
          </controlPr>
        </control>
      </mc:Choice>
      <mc:Fallback>
        <control shapeId="14366" r:id="rId37" name="CheckBox30"/>
      </mc:Fallback>
    </mc:AlternateContent>
    <mc:AlternateContent xmlns:mc="http://schemas.openxmlformats.org/markup-compatibility/2006">
      <mc:Choice Requires="x14">
        <control shapeId="14367" r:id="rId38" name="CheckBox31">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67" r:id="rId38" name="CheckBox31"/>
      </mc:Fallback>
    </mc:AlternateContent>
    <mc:AlternateContent xmlns:mc="http://schemas.openxmlformats.org/markup-compatibility/2006">
      <mc:Choice Requires="x14">
        <control shapeId="14368" r:id="rId39" name="CheckBox32">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68" r:id="rId39" name="CheckBox32"/>
      </mc:Fallback>
    </mc:AlternateContent>
    <mc:AlternateContent xmlns:mc="http://schemas.openxmlformats.org/markup-compatibility/2006">
      <mc:Choice Requires="x14">
        <control shapeId="14369" r:id="rId40" name="CheckBox33">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69" r:id="rId40" name="CheckBox33"/>
      </mc:Fallback>
    </mc:AlternateContent>
    <mc:AlternateContent xmlns:mc="http://schemas.openxmlformats.org/markup-compatibility/2006">
      <mc:Choice Requires="x14">
        <control shapeId="14370" r:id="rId41" name="CheckBox34">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0" r:id="rId41" name="CheckBox34"/>
      </mc:Fallback>
    </mc:AlternateContent>
    <mc:AlternateContent xmlns:mc="http://schemas.openxmlformats.org/markup-compatibility/2006">
      <mc:Choice Requires="x14">
        <control shapeId="14371" r:id="rId42" name="CheckBox35">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1" r:id="rId42" name="CheckBox35"/>
      </mc:Fallback>
    </mc:AlternateContent>
    <mc:AlternateContent xmlns:mc="http://schemas.openxmlformats.org/markup-compatibility/2006">
      <mc:Choice Requires="x14">
        <control shapeId="14372" r:id="rId43" name="CheckBox36">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2" r:id="rId43" name="CheckBox36"/>
      </mc:Fallback>
    </mc:AlternateContent>
    <mc:AlternateContent xmlns:mc="http://schemas.openxmlformats.org/markup-compatibility/2006">
      <mc:Choice Requires="x14">
        <control shapeId="14373" r:id="rId44" name="CheckBox38">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3" r:id="rId44" name="CheckBox38"/>
      </mc:Fallback>
    </mc:AlternateContent>
    <mc:AlternateContent xmlns:mc="http://schemas.openxmlformats.org/markup-compatibility/2006">
      <mc:Choice Requires="x14">
        <control shapeId="14374" r:id="rId45" name="CheckBox39">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4" r:id="rId45" name="CheckBox39"/>
      </mc:Fallback>
    </mc:AlternateContent>
    <mc:AlternateContent xmlns:mc="http://schemas.openxmlformats.org/markup-compatibility/2006">
      <mc:Choice Requires="x14">
        <control shapeId="14375" r:id="rId46" name="CheckBox40">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5" r:id="rId46" name="CheckBox40"/>
      </mc:Fallback>
    </mc:AlternateContent>
    <mc:AlternateContent xmlns:mc="http://schemas.openxmlformats.org/markup-compatibility/2006">
      <mc:Choice Requires="x14">
        <control shapeId="14376" r:id="rId47" name="CheckBox41">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6" r:id="rId47" name="CheckBox41"/>
      </mc:Fallback>
    </mc:AlternateContent>
    <mc:AlternateContent xmlns:mc="http://schemas.openxmlformats.org/markup-compatibility/2006">
      <mc:Choice Requires="x14">
        <control shapeId="14377" r:id="rId48" name="CheckBox42">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7" r:id="rId48" name="CheckBox42"/>
      </mc:Fallback>
    </mc:AlternateContent>
    <mc:AlternateContent xmlns:mc="http://schemas.openxmlformats.org/markup-compatibility/2006">
      <mc:Choice Requires="x14">
        <control shapeId="14378" r:id="rId49" name="CheckBox43">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8" r:id="rId49" name="CheckBox43"/>
      </mc:Fallback>
    </mc:AlternateContent>
    <mc:AlternateContent xmlns:mc="http://schemas.openxmlformats.org/markup-compatibility/2006">
      <mc:Choice Requires="x14">
        <control shapeId="14379" r:id="rId50" name="CheckBox44">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79" r:id="rId50" name="CheckBox44"/>
      </mc:Fallback>
    </mc:AlternateContent>
    <mc:AlternateContent xmlns:mc="http://schemas.openxmlformats.org/markup-compatibility/2006">
      <mc:Choice Requires="x14">
        <control shapeId="14380" r:id="rId51" name="CheckBox45">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80" r:id="rId51" name="CheckBox45"/>
      </mc:Fallback>
    </mc:AlternateContent>
    <mc:AlternateContent xmlns:mc="http://schemas.openxmlformats.org/markup-compatibility/2006">
      <mc:Choice Requires="x14">
        <control shapeId="14381" r:id="rId52" name="CheckBox46">
          <controlPr defaultSize="0" autoLine="0" r:id="rId9">
            <anchor moveWithCells="1">
              <from>
                <xdr:col>19</xdr:col>
                <xdr:colOff>617220</xdr:colOff>
                <xdr:row>45</xdr:row>
                <xdr:rowOff>0</xdr:rowOff>
              </from>
              <to>
                <xdr:col>19</xdr:col>
                <xdr:colOff>906780</xdr:colOff>
                <xdr:row>45</xdr:row>
                <xdr:rowOff>259080</xdr:rowOff>
              </to>
            </anchor>
          </controlPr>
        </control>
      </mc:Choice>
      <mc:Fallback>
        <control shapeId="14381" r:id="rId52" name="CheckBox46"/>
      </mc:Fallback>
    </mc:AlternateContent>
  </controls>
  <extLst>
    <ext xmlns:x14="http://schemas.microsoft.com/office/spreadsheetml/2009/9/main" uri="{78C0D931-6437-407d-A8EE-F0AAD7539E65}">
      <x14:conditionalFormattings>
        <x14:conditionalFormatting xmlns:xm="http://schemas.microsoft.com/office/excel/2006/main">
          <x14:cfRule type="dataBar" id="{E4B16296-56D2-4D93-BA2C-CB3D8E5BC98A}">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E487-B7EC-47D5-9A70-A4398CF724DF}">
  <dimension ref="A1:N132"/>
  <sheetViews>
    <sheetView zoomScale="55" zoomScaleNormal="55" workbookViewId="0">
      <selection activeCell="O51" sqref="O51"/>
    </sheetView>
  </sheetViews>
  <sheetFormatPr baseColWidth="10" defaultColWidth="11.44140625" defaultRowHeight="13.8" x14ac:dyDescent="0.25"/>
  <cols>
    <col min="1" max="2" width="6.5546875" style="165" customWidth="1"/>
    <col min="3" max="3" width="32.6640625" style="165" customWidth="1"/>
    <col min="4" max="4" width="27.5546875" style="165" customWidth="1"/>
    <col min="5" max="5" width="38" style="165" customWidth="1"/>
    <col min="6" max="6" width="30.33203125" style="165" customWidth="1"/>
    <col min="7" max="7" width="18.33203125" style="165" customWidth="1"/>
    <col min="8" max="8" width="15.5546875" style="165" customWidth="1"/>
    <col min="9" max="9" width="19.33203125" style="165" customWidth="1"/>
    <col min="10" max="10" width="14.5546875" style="165" customWidth="1"/>
    <col min="11" max="16384" width="11.44140625" style="165"/>
  </cols>
  <sheetData>
    <row r="1" spans="1:14" ht="15" customHeight="1" x14ac:dyDescent="0.25">
      <c r="A1" s="402" t="str">
        <f>[1]CONTEXTO!B1</f>
        <v xml:space="preserve">PROCESO: </v>
      </c>
      <c r="B1" s="313"/>
      <c r="C1" s="313"/>
      <c r="D1" s="313"/>
      <c r="E1" s="313"/>
      <c r="F1" s="313"/>
      <c r="G1" s="314"/>
      <c r="H1" s="404" t="s">
        <v>258</v>
      </c>
      <c r="I1" s="405"/>
      <c r="J1" s="406"/>
      <c r="K1" s="164"/>
      <c r="N1" s="302"/>
    </row>
    <row r="2" spans="1:14" ht="15" customHeight="1" x14ac:dyDescent="0.25">
      <c r="A2" s="403"/>
      <c r="B2" s="315"/>
      <c r="C2" s="315"/>
      <c r="D2" s="315"/>
      <c r="E2" s="315"/>
      <c r="F2" s="315"/>
      <c r="G2" s="316"/>
      <c r="H2" s="409" t="s">
        <v>259</v>
      </c>
      <c r="I2" s="410"/>
      <c r="J2" s="407"/>
      <c r="K2" s="164"/>
      <c r="N2" s="302"/>
    </row>
    <row r="3" spans="1:14" ht="15" customHeight="1" x14ac:dyDescent="0.25">
      <c r="A3" s="403" t="s">
        <v>300</v>
      </c>
      <c r="B3" s="315"/>
      <c r="C3" s="315"/>
      <c r="D3" s="315"/>
      <c r="E3" s="315"/>
      <c r="F3" s="315"/>
      <c r="G3" s="316"/>
      <c r="H3" s="409" t="s">
        <v>275</v>
      </c>
      <c r="I3" s="410"/>
      <c r="J3" s="407"/>
      <c r="K3" s="164"/>
      <c r="N3" s="302"/>
    </row>
    <row r="4" spans="1:14" ht="15.75" customHeight="1" x14ac:dyDescent="0.25">
      <c r="A4" s="411"/>
      <c r="B4" s="321"/>
      <c r="C4" s="321"/>
      <c r="D4" s="321"/>
      <c r="E4" s="321"/>
      <c r="F4" s="321"/>
      <c r="G4" s="322"/>
      <c r="H4" s="409" t="s">
        <v>262</v>
      </c>
      <c r="I4" s="410"/>
      <c r="J4" s="408"/>
      <c r="K4" s="164"/>
      <c r="N4" s="302"/>
    </row>
    <row r="5" spans="1:14" ht="15.75" customHeight="1" x14ac:dyDescent="0.25">
      <c r="A5" s="384"/>
      <c r="B5" s="385"/>
      <c r="C5" s="385"/>
      <c r="D5" s="385"/>
      <c r="E5" s="385"/>
      <c r="F5" s="385"/>
      <c r="G5" s="385"/>
      <c r="H5" s="385"/>
      <c r="I5" s="385"/>
      <c r="J5" s="386"/>
      <c r="K5" s="164"/>
      <c r="N5" s="166"/>
    </row>
    <row r="6" spans="1:14" ht="15" customHeight="1" x14ac:dyDescent="0.25">
      <c r="A6" s="387" t="str">
        <f>[1]CONTEXTO!A8</f>
        <v xml:space="preserve">PROCESO: </v>
      </c>
      <c r="B6" s="388"/>
      <c r="C6" s="388"/>
      <c r="D6" s="388"/>
      <c r="E6" s="388"/>
      <c r="F6" s="388"/>
      <c r="G6" s="388"/>
      <c r="H6" s="388"/>
      <c r="I6" s="388"/>
      <c r="J6" s="389"/>
    </row>
    <row r="7" spans="1:14" ht="32.25" customHeight="1" thickBot="1" x14ac:dyDescent="0.3">
      <c r="A7" s="390"/>
      <c r="B7" s="391"/>
      <c r="C7" s="391"/>
      <c r="D7" s="391"/>
      <c r="E7" s="391"/>
      <c r="F7" s="391"/>
      <c r="G7" s="391"/>
      <c r="H7" s="391"/>
      <c r="I7" s="391"/>
      <c r="J7" s="392"/>
    </row>
    <row r="8" spans="1:14" ht="23.25" customHeight="1" x14ac:dyDescent="0.25">
      <c r="A8" s="393" t="s">
        <v>301</v>
      </c>
      <c r="B8" s="393"/>
      <c r="C8" s="393"/>
      <c r="D8" s="393"/>
      <c r="E8" s="373" t="s">
        <v>266</v>
      </c>
      <c r="F8" s="394"/>
      <c r="G8" s="394"/>
      <c r="H8" s="394"/>
      <c r="I8" s="394"/>
      <c r="J8" s="395"/>
    </row>
    <row r="9" spans="1:14" ht="23.25" customHeight="1" x14ac:dyDescent="0.25">
      <c r="A9" s="393"/>
      <c r="B9" s="393"/>
      <c r="C9" s="393"/>
      <c r="D9" s="393"/>
      <c r="E9" s="372" t="s">
        <v>302</v>
      </c>
      <c r="F9" s="372"/>
      <c r="G9" s="372" t="s">
        <v>303</v>
      </c>
      <c r="H9" s="372"/>
      <c r="I9" s="372"/>
      <c r="J9" s="372"/>
    </row>
    <row r="10" spans="1:14" ht="23.25" customHeight="1" x14ac:dyDescent="0.3">
      <c r="A10" s="393"/>
      <c r="B10" s="393"/>
      <c r="C10" s="393"/>
      <c r="D10" s="393"/>
      <c r="E10" s="349" t="s">
        <v>304</v>
      </c>
      <c r="F10" s="349"/>
      <c r="G10" s="396" t="s">
        <v>305</v>
      </c>
      <c r="H10" s="397"/>
      <c r="I10" s="397"/>
      <c r="J10" s="398"/>
    </row>
    <row r="11" spans="1:14" ht="43.5" customHeight="1" x14ac:dyDescent="0.25">
      <c r="A11" s="393"/>
      <c r="B11" s="393"/>
      <c r="C11" s="393"/>
      <c r="D11" s="393"/>
      <c r="E11" s="362" t="s">
        <v>363</v>
      </c>
      <c r="F11" s="363"/>
      <c r="G11" s="399" t="s">
        <v>364</v>
      </c>
      <c r="H11" s="400"/>
      <c r="I11" s="400"/>
      <c r="J11" s="401"/>
    </row>
    <row r="12" spans="1:14" ht="58.2" customHeight="1" x14ac:dyDescent="0.25">
      <c r="A12" s="393"/>
      <c r="B12" s="393"/>
      <c r="C12" s="393"/>
      <c r="D12" s="393"/>
      <c r="E12" s="362" t="s">
        <v>365</v>
      </c>
      <c r="F12" s="363"/>
      <c r="G12" s="382" t="s">
        <v>366</v>
      </c>
      <c r="H12" s="382"/>
      <c r="I12" s="382"/>
      <c r="J12" s="382"/>
    </row>
    <row r="13" spans="1:14" ht="54" customHeight="1" x14ac:dyDescent="0.25">
      <c r="A13" s="393"/>
      <c r="B13" s="393"/>
      <c r="C13" s="393"/>
      <c r="D13" s="393"/>
      <c r="E13" s="341" t="s">
        <v>367</v>
      </c>
      <c r="F13" s="342"/>
      <c r="G13" s="355" t="s">
        <v>368</v>
      </c>
      <c r="H13" s="383"/>
      <c r="I13" s="383"/>
      <c r="J13" s="383"/>
    </row>
    <row r="14" spans="1:14" ht="43.5" customHeight="1" x14ac:dyDescent="0.25">
      <c r="A14" s="393"/>
      <c r="B14" s="393"/>
      <c r="C14" s="393"/>
      <c r="D14" s="393"/>
      <c r="E14" s="341" t="s">
        <v>369</v>
      </c>
      <c r="F14" s="342"/>
      <c r="G14" s="319" t="s">
        <v>370</v>
      </c>
      <c r="H14" s="319"/>
      <c r="I14" s="319"/>
      <c r="J14" s="319"/>
    </row>
    <row r="15" spans="1:14" ht="49.5" customHeight="1" x14ac:dyDescent="0.25">
      <c r="A15" s="393"/>
      <c r="B15" s="393"/>
      <c r="C15" s="393"/>
      <c r="D15" s="393"/>
      <c r="E15" s="362" t="s">
        <v>371</v>
      </c>
      <c r="F15" s="363"/>
      <c r="G15" s="381" t="s">
        <v>372</v>
      </c>
      <c r="H15" s="381"/>
      <c r="I15" s="381"/>
      <c r="J15" s="381"/>
    </row>
    <row r="16" spans="1:14" ht="49.5" customHeight="1" x14ac:dyDescent="0.25">
      <c r="A16" s="393"/>
      <c r="B16" s="393"/>
      <c r="C16" s="393"/>
      <c r="D16" s="393"/>
      <c r="E16" s="362" t="s">
        <v>373</v>
      </c>
      <c r="F16" s="363"/>
      <c r="G16" s="319" t="s">
        <v>374</v>
      </c>
      <c r="H16" s="319"/>
      <c r="I16" s="319"/>
      <c r="J16" s="319"/>
    </row>
    <row r="17" spans="1:10" ht="54.75" customHeight="1" x14ac:dyDescent="0.25">
      <c r="A17" s="393"/>
      <c r="B17" s="393"/>
      <c r="C17" s="393"/>
      <c r="D17" s="393"/>
      <c r="E17" s="362" t="s">
        <v>375</v>
      </c>
      <c r="F17" s="363"/>
      <c r="G17" s="319" t="s">
        <v>376</v>
      </c>
      <c r="H17" s="319"/>
      <c r="I17" s="319"/>
      <c r="J17" s="319"/>
    </row>
    <row r="18" spans="1:10" ht="64.8" customHeight="1" x14ac:dyDescent="0.25">
      <c r="A18" s="393"/>
      <c r="B18" s="393"/>
      <c r="C18" s="393"/>
      <c r="D18" s="393"/>
      <c r="E18" s="362" t="s">
        <v>377</v>
      </c>
      <c r="F18" s="363"/>
      <c r="G18" s="319" t="s">
        <v>378</v>
      </c>
      <c r="H18" s="319"/>
      <c r="I18" s="319"/>
      <c r="J18" s="319"/>
    </row>
    <row r="19" spans="1:10" ht="54.75" customHeight="1" x14ac:dyDescent="0.25">
      <c r="A19" s="393"/>
      <c r="B19" s="393"/>
      <c r="C19" s="393"/>
      <c r="D19" s="393"/>
      <c r="E19" s="362" t="s">
        <v>379</v>
      </c>
      <c r="F19" s="363"/>
      <c r="G19" s="319" t="s">
        <v>380</v>
      </c>
      <c r="H19" s="319"/>
      <c r="I19" s="319"/>
      <c r="J19" s="319"/>
    </row>
    <row r="20" spans="1:10" ht="59.25" customHeight="1" x14ac:dyDescent="0.25">
      <c r="A20" s="393"/>
      <c r="B20" s="393"/>
      <c r="C20" s="393"/>
      <c r="D20" s="393"/>
      <c r="E20" s="362" t="s">
        <v>381</v>
      </c>
      <c r="F20" s="363"/>
      <c r="G20" s="380" t="s">
        <v>382</v>
      </c>
      <c r="H20" s="380"/>
      <c r="I20" s="380"/>
      <c r="J20" s="380"/>
    </row>
    <row r="21" spans="1:10" ht="58.8" customHeight="1" x14ac:dyDescent="0.25">
      <c r="A21" s="393"/>
      <c r="B21" s="393"/>
      <c r="C21" s="393"/>
      <c r="D21" s="393"/>
      <c r="E21" s="362" t="s">
        <v>383</v>
      </c>
      <c r="F21" s="363"/>
      <c r="G21" s="377"/>
      <c r="H21" s="378"/>
      <c r="I21" s="378"/>
      <c r="J21" s="379"/>
    </row>
    <row r="22" spans="1:10" ht="49.5" customHeight="1" x14ac:dyDescent="0.25">
      <c r="A22" s="393"/>
      <c r="B22" s="393"/>
      <c r="C22" s="393"/>
      <c r="D22" s="393"/>
      <c r="E22" s="362" t="s">
        <v>384</v>
      </c>
      <c r="F22" s="363"/>
      <c r="G22" s="377"/>
      <c r="H22" s="378"/>
      <c r="I22" s="378"/>
      <c r="J22" s="379"/>
    </row>
    <row r="23" spans="1:10" ht="49.5" customHeight="1" x14ac:dyDescent="0.25">
      <c r="A23" s="393"/>
      <c r="B23" s="393"/>
      <c r="C23" s="393"/>
      <c r="D23" s="393"/>
      <c r="E23" s="362" t="s">
        <v>385</v>
      </c>
      <c r="F23" s="363"/>
      <c r="G23" s="377"/>
      <c r="H23" s="378"/>
      <c r="I23" s="378"/>
      <c r="J23" s="379"/>
    </row>
    <row r="24" spans="1:10" ht="49.5" customHeight="1" x14ac:dyDescent="0.25">
      <c r="A24" s="393"/>
      <c r="B24" s="393"/>
      <c r="C24" s="393"/>
      <c r="D24" s="393"/>
      <c r="E24" s="362" t="s">
        <v>386</v>
      </c>
      <c r="F24" s="363"/>
      <c r="G24" s="364"/>
      <c r="H24" s="365"/>
      <c r="I24" s="365"/>
      <c r="J24" s="366"/>
    </row>
    <row r="25" spans="1:10" ht="49.5" customHeight="1" x14ac:dyDescent="0.25">
      <c r="A25" s="393"/>
      <c r="B25" s="393"/>
      <c r="C25" s="393"/>
      <c r="D25" s="393"/>
      <c r="E25" s="367" t="s">
        <v>387</v>
      </c>
      <c r="F25" s="368"/>
      <c r="G25" s="369"/>
      <c r="H25" s="370"/>
      <c r="I25" s="370"/>
      <c r="J25" s="371"/>
    </row>
    <row r="26" spans="1:10" ht="51.75" customHeight="1" x14ac:dyDescent="0.25">
      <c r="A26" s="348" t="s">
        <v>264</v>
      </c>
      <c r="B26" s="348" t="s">
        <v>303</v>
      </c>
      <c r="C26" s="349" t="s">
        <v>306</v>
      </c>
      <c r="D26" s="349"/>
      <c r="E26" s="372" t="s">
        <v>307</v>
      </c>
      <c r="F26" s="349"/>
      <c r="G26" s="373" t="s">
        <v>308</v>
      </c>
      <c r="H26" s="374"/>
      <c r="I26" s="374"/>
      <c r="J26" s="375"/>
    </row>
    <row r="27" spans="1:10" ht="59.4" customHeight="1" x14ac:dyDescent="0.25">
      <c r="A27" s="348"/>
      <c r="B27" s="348"/>
      <c r="C27" s="357" t="s">
        <v>388</v>
      </c>
      <c r="D27" s="376"/>
      <c r="E27" s="341" t="s">
        <v>389</v>
      </c>
      <c r="F27" s="342"/>
      <c r="G27" s="341" t="s">
        <v>390</v>
      </c>
      <c r="H27" s="346"/>
      <c r="I27" s="346"/>
      <c r="J27" s="342"/>
    </row>
    <row r="28" spans="1:10" ht="76.2" customHeight="1" x14ac:dyDescent="0.25">
      <c r="A28" s="348"/>
      <c r="B28" s="348"/>
      <c r="C28" s="359" t="s">
        <v>391</v>
      </c>
      <c r="D28" s="360"/>
      <c r="E28" s="341" t="s">
        <v>392</v>
      </c>
      <c r="F28" s="342"/>
      <c r="G28" s="341" t="s">
        <v>393</v>
      </c>
      <c r="H28" s="346"/>
      <c r="I28" s="346"/>
      <c r="J28" s="342"/>
    </row>
    <row r="29" spans="1:10" ht="54.75" customHeight="1" x14ac:dyDescent="0.25">
      <c r="A29" s="348"/>
      <c r="B29" s="348"/>
      <c r="C29" s="359" t="s">
        <v>394</v>
      </c>
      <c r="D29" s="361"/>
      <c r="E29" s="341" t="s">
        <v>395</v>
      </c>
      <c r="F29" s="342"/>
      <c r="G29" s="341" t="s">
        <v>396</v>
      </c>
      <c r="H29" s="346"/>
      <c r="I29" s="346"/>
      <c r="J29" s="342"/>
    </row>
    <row r="30" spans="1:10" ht="70.8" customHeight="1" x14ac:dyDescent="0.25">
      <c r="A30" s="348"/>
      <c r="B30" s="348"/>
      <c r="C30" s="355" t="s">
        <v>397</v>
      </c>
      <c r="D30" s="356"/>
      <c r="E30" s="341" t="s">
        <v>398</v>
      </c>
      <c r="F30" s="342"/>
      <c r="G30" s="341" t="s">
        <v>399</v>
      </c>
      <c r="H30" s="346"/>
      <c r="I30" s="346"/>
      <c r="J30" s="342"/>
    </row>
    <row r="31" spans="1:10" ht="80.400000000000006" customHeight="1" x14ac:dyDescent="0.25">
      <c r="A31" s="348"/>
      <c r="B31" s="348"/>
      <c r="C31" s="357" t="s">
        <v>400</v>
      </c>
      <c r="D31" s="358"/>
      <c r="E31" s="341" t="s">
        <v>401</v>
      </c>
      <c r="F31" s="342"/>
      <c r="G31" s="327"/>
      <c r="H31" s="332"/>
      <c r="I31" s="332"/>
      <c r="J31" s="331"/>
    </row>
    <row r="32" spans="1:10" ht="75" customHeight="1" x14ac:dyDescent="0.25">
      <c r="A32" s="348"/>
      <c r="B32" s="348"/>
      <c r="C32" s="355" t="s">
        <v>402</v>
      </c>
      <c r="D32" s="355"/>
      <c r="E32" s="341" t="s">
        <v>403</v>
      </c>
      <c r="F32" s="342"/>
      <c r="G32" s="327"/>
      <c r="H32" s="327"/>
      <c r="I32" s="327"/>
      <c r="J32" s="327"/>
    </row>
    <row r="33" spans="1:10" ht="76.2" customHeight="1" x14ac:dyDescent="0.25">
      <c r="A33" s="348"/>
      <c r="B33" s="348"/>
      <c r="C33" s="356" t="s">
        <v>404</v>
      </c>
      <c r="D33" s="356"/>
      <c r="E33" s="341" t="s">
        <v>405</v>
      </c>
      <c r="F33" s="342"/>
      <c r="G33" s="330"/>
      <c r="H33" s="332"/>
      <c r="I33" s="332"/>
      <c r="J33" s="331"/>
    </row>
    <row r="34" spans="1:10" ht="51" customHeight="1" x14ac:dyDescent="0.25">
      <c r="A34" s="348"/>
      <c r="B34" s="348"/>
      <c r="C34" s="336" t="s">
        <v>406</v>
      </c>
      <c r="D34" s="336"/>
      <c r="E34" s="339"/>
      <c r="F34" s="340"/>
      <c r="G34" s="330"/>
      <c r="H34" s="332"/>
      <c r="I34" s="332"/>
      <c r="J34" s="331"/>
    </row>
    <row r="35" spans="1:10" ht="51" customHeight="1" x14ac:dyDescent="0.25">
      <c r="A35" s="348"/>
      <c r="B35" s="348"/>
      <c r="C35" s="338"/>
      <c r="D35" s="338"/>
      <c r="E35" s="327"/>
      <c r="F35" s="327"/>
      <c r="G35" s="327"/>
      <c r="H35" s="327"/>
      <c r="I35" s="327"/>
      <c r="J35" s="327"/>
    </row>
    <row r="36" spans="1:10" ht="51" customHeight="1" x14ac:dyDescent="0.25">
      <c r="A36" s="348"/>
      <c r="B36" s="348"/>
      <c r="C36" s="339"/>
      <c r="D36" s="340"/>
      <c r="E36" s="330"/>
      <c r="F36" s="331"/>
      <c r="G36" s="330"/>
      <c r="H36" s="332"/>
      <c r="I36" s="332"/>
      <c r="J36" s="331"/>
    </row>
    <row r="37" spans="1:10" ht="45.75" customHeight="1" x14ac:dyDescent="0.25">
      <c r="A37" s="348"/>
      <c r="B37" s="348"/>
      <c r="C37" s="339"/>
      <c r="D37" s="340"/>
      <c r="E37" s="330"/>
      <c r="F37" s="331"/>
      <c r="G37" s="330"/>
      <c r="H37" s="332"/>
      <c r="I37" s="332"/>
      <c r="J37" s="331"/>
    </row>
    <row r="38" spans="1:10" ht="41.25" customHeight="1" x14ac:dyDescent="0.25">
      <c r="A38" s="348"/>
      <c r="B38" s="348"/>
      <c r="C38" s="327"/>
      <c r="D38" s="327"/>
      <c r="E38" s="347"/>
      <c r="F38" s="347"/>
      <c r="G38" s="347"/>
      <c r="H38" s="347"/>
      <c r="I38" s="347"/>
      <c r="J38" s="347"/>
    </row>
    <row r="39" spans="1:10" ht="66" customHeight="1" x14ac:dyDescent="0.3">
      <c r="A39" s="348"/>
      <c r="B39" s="348" t="s">
        <v>302</v>
      </c>
      <c r="C39" s="349" t="s">
        <v>309</v>
      </c>
      <c r="D39" s="349"/>
      <c r="E39" s="350" t="s">
        <v>310</v>
      </c>
      <c r="F39" s="351"/>
      <c r="G39" s="352" t="s">
        <v>311</v>
      </c>
      <c r="H39" s="353"/>
      <c r="I39" s="353"/>
      <c r="J39" s="354"/>
    </row>
    <row r="40" spans="1:10" ht="79.8" customHeight="1" x14ac:dyDescent="0.25">
      <c r="A40" s="348"/>
      <c r="B40" s="348"/>
      <c r="C40" s="341" t="s">
        <v>407</v>
      </c>
      <c r="D40" s="342"/>
      <c r="E40" s="341" t="s">
        <v>408</v>
      </c>
      <c r="F40" s="342"/>
      <c r="G40" s="343" t="s">
        <v>409</v>
      </c>
      <c r="H40" s="344"/>
      <c r="I40" s="344"/>
      <c r="J40" s="345"/>
    </row>
    <row r="41" spans="1:10" ht="69.599999999999994" customHeight="1" x14ac:dyDescent="0.25">
      <c r="A41" s="348"/>
      <c r="B41" s="348"/>
      <c r="C41" s="341" t="s">
        <v>410</v>
      </c>
      <c r="D41" s="342"/>
      <c r="E41" s="341" t="s">
        <v>411</v>
      </c>
      <c r="F41" s="342"/>
      <c r="G41" s="343" t="s">
        <v>412</v>
      </c>
      <c r="H41" s="344"/>
      <c r="I41" s="344"/>
      <c r="J41" s="345"/>
    </row>
    <row r="42" spans="1:10" ht="65.400000000000006" customHeight="1" x14ac:dyDescent="0.25">
      <c r="A42" s="348"/>
      <c r="B42" s="348"/>
      <c r="C42" s="341" t="s">
        <v>413</v>
      </c>
      <c r="D42" s="342"/>
      <c r="E42" s="337" t="s">
        <v>414</v>
      </c>
      <c r="F42" s="337"/>
      <c r="G42" s="341" t="s">
        <v>415</v>
      </c>
      <c r="H42" s="346"/>
      <c r="I42" s="346"/>
      <c r="J42" s="342"/>
    </row>
    <row r="43" spans="1:10" ht="54.6" customHeight="1" x14ac:dyDescent="0.25">
      <c r="A43" s="348"/>
      <c r="B43" s="348"/>
      <c r="C43" s="336" t="s">
        <v>416</v>
      </c>
      <c r="D43" s="336"/>
      <c r="E43" s="337" t="s">
        <v>417</v>
      </c>
      <c r="F43" s="337"/>
      <c r="G43" s="337" t="s">
        <v>418</v>
      </c>
      <c r="H43" s="337"/>
      <c r="I43" s="337"/>
      <c r="J43" s="337"/>
    </row>
    <row r="44" spans="1:10" ht="69.599999999999994" customHeight="1" x14ac:dyDescent="0.25">
      <c r="A44" s="348"/>
      <c r="B44" s="348"/>
      <c r="C44" s="336" t="s">
        <v>419</v>
      </c>
      <c r="D44" s="336"/>
      <c r="E44" s="337" t="s">
        <v>420</v>
      </c>
      <c r="F44" s="337"/>
      <c r="G44" s="337" t="s">
        <v>421</v>
      </c>
      <c r="H44" s="337"/>
      <c r="I44" s="337"/>
      <c r="J44" s="337"/>
    </row>
    <row r="45" spans="1:10" ht="65.400000000000006" customHeight="1" x14ac:dyDescent="0.25">
      <c r="A45" s="348"/>
      <c r="B45" s="348"/>
      <c r="C45" s="336" t="s">
        <v>422</v>
      </c>
      <c r="D45" s="336"/>
      <c r="E45" s="337" t="s">
        <v>423</v>
      </c>
      <c r="F45" s="338"/>
      <c r="G45" s="327"/>
      <c r="H45" s="327"/>
      <c r="I45" s="327"/>
      <c r="J45" s="327"/>
    </row>
    <row r="46" spans="1:10" ht="45" customHeight="1" x14ac:dyDescent="0.25">
      <c r="A46" s="348"/>
      <c r="B46" s="348"/>
      <c r="C46" s="328" t="s">
        <v>424</v>
      </c>
      <c r="D46" s="329"/>
      <c r="E46" s="339"/>
      <c r="F46" s="340"/>
      <c r="G46" s="330"/>
      <c r="H46" s="332"/>
      <c r="I46" s="332"/>
      <c r="J46" s="331"/>
    </row>
    <row r="47" spans="1:10" ht="50.25" customHeight="1" x14ac:dyDescent="0.25">
      <c r="A47" s="348"/>
      <c r="B47" s="348"/>
      <c r="C47" s="328" t="s">
        <v>425</v>
      </c>
      <c r="D47" s="329"/>
      <c r="E47" s="330"/>
      <c r="F47" s="331"/>
      <c r="G47" s="330"/>
      <c r="H47" s="332"/>
      <c r="I47" s="332"/>
      <c r="J47" s="331"/>
    </row>
    <row r="48" spans="1:10" ht="52.5" customHeight="1" x14ac:dyDescent="0.25">
      <c r="A48" s="348"/>
      <c r="B48" s="348"/>
      <c r="C48" s="328" t="s">
        <v>426</v>
      </c>
      <c r="D48" s="329"/>
      <c r="E48" s="333"/>
      <c r="F48" s="334"/>
      <c r="G48" s="333"/>
      <c r="H48" s="335"/>
      <c r="I48" s="335"/>
      <c r="J48" s="334"/>
    </row>
    <row r="49" spans="1:10" ht="48" customHeight="1" x14ac:dyDescent="0.25">
      <c r="A49" s="348"/>
      <c r="B49" s="348"/>
      <c r="C49" s="328" t="s">
        <v>427</v>
      </c>
      <c r="D49" s="329"/>
      <c r="E49" s="330"/>
      <c r="F49" s="331"/>
      <c r="G49" s="330"/>
      <c r="H49" s="332"/>
      <c r="I49" s="332"/>
      <c r="J49" s="331"/>
    </row>
    <row r="50" spans="1:10" ht="46.5" customHeight="1" x14ac:dyDescent="0.25">
      <c r="A50" s="348"/>
      <c r="B50" s="348"/>
      <c r="C50" s="328" t="s">
        <v>428</v>
      </c>
      <c r="D50" s="329"/>
      <c r="E50" s="333"/>
      <c r="F50" s="334"/>
      <c r="G50" s="333"/>
      <c r="H50" s="335"/>
      <c r="I50" s="335"/>
      <c r="J50" s="334"/>
    </row>
    <row r="51" spans="1:10" ht="48" customHeight="1" x14ac:dyDescent="0.25">
      <c r="A51" s="348"/>
      <c r="B51" s="348"/>
      <c r="C51" s="328"/>
      <c r="D51" s="329"/>
      <c r="E51" s="330"/>
      <c r="F51" s="331"/>
      <c r="G51" s="330"/>
      <c r="H51" s="332"/>
      <c r="I51" s="332"/>
      <c r="J51" s="331"/>
    </row>
    <row r="52" spans="1:10" ht="53.25" customHeight="1" x14ac:dyDescent="0.25">
      <c r="A52" s="348"/>
      <c r="B52" s="348"/>
      <c r="C52" s="328"/>
      <c r="D52" s="329"/>
      <c r="E52" s="330"/>
      <c r="F52" s="331"/>
      <c r="G52" s="330"/>
      <c r="H52" s="332"/>
      <c r="I52" s="332"/>
      <c r="J52" s="331"/>
    </row>
    <row r="53" spans="1:10" ht="43.5" customHeight="1" x14ac:dyDescent="0.25">
      <c r="A53" s="348"/>
      <c r="B53" s="348"/>
      <c r="C53" s="327"/>
      <c r="D53" s="327"/>
      <c r="E53" s="327"/>
      <c r="F53" s="327"/>
      <c r="G53" s="327"/>
      <c r="H53" s="327"/>
      <c r="I53" s="327"/>
      <c r="J53" s="327"/>
    </row>
    <row r="54" spans="1:10" ht="48.75" customHeight="1" x14ac:dyDescent="0.25">
      <c r="A54" s="348"/>
      <c r="B54" s="348"/>
      <c r="C54" s="327"/>
      <c r="D54" s="327"/>
      <c r="E54" s="327"/>
      <c r="F54" s="327"/>
      <c r="G54" s="327"/>
      <c r="H54" s="327"/>
      <c r="I54" s="327"/>
      <c r="J54" s="327"/>
    </row>
    <row r="55" spans="1:10" x14ac:dyDescent="0.25">
      <c r="C55" s="217"/>
      <c r="D55" s="217"/>
      <c r="E55" s="326"/>
      <c r="F55" s="326"/>
      <c r="G55" s="326"/>
      <c r="H55" s="326"/>
      <c r="I55" s="326"/>
      <c r="J55" s="326"/>
    </row>
    <row r="56" spans="1:10" x14ac:dyDescent="0.25">
      <c r="C56" s="217"/>
      <c r="D56" s="217"/>
      <c r="E56" s="326"/>
      <c r="F56" s="326"/>
      <c r="G56" s="326"/>
      <c r="H56" s="326"/>
      <c r="I56" s="326"/>
      <c r="J56" s="326"/>
    </row>
    <row r="57" spans="1:10" x14ac:dyDescent="0.25">
      <c r="E57" s="325"/>
      <c r="F57" s="325"/>
      <c r="G57" s="325"/>
      <c r="H57" s="325"/>
      <c r="I57" s="325"/>
      <c r="J57" s="325"/>
    </row>
    <row r="58" spans="1:10" x14ac:dyDescent="0.25">
      <c r="E58" s="325"/>
      <c r="F58" s="325"/>
      <c r="G58" s="325"/>
      <c r="H58" s="325"/>
      <c r="I58" s="325"/>
      <c r="J58" s="325"/>
    </row>
    <row r="59" spans="1:10" x14ac:dyDescent="0.25">
      <c r="E59" s="325"/>
      <c r="F59" s="325"/>
      <c r="G59" s="325"/>
      <c r="H59" s="325"/>
      <c r="I59" s="325"/>
      <c r="J59" s="325"/>
    </row>
    <row r="60" spans="1:10" x14ac:dyDescent="0.25">
      <c r="E60" s="325"/>
      <c r="F60" s="325"/>
      <c r="G60" s="325"/>
      <c r="H60" s="325"/>
      <c r="I60" s="325"/>
      <c r="J60" s="325"/>
    </row>
    <row r="61" spans="1:10" x14ac:dyDescent="0.25">
      <c r="E61" s="325"/>
      <c r="F61" s="325"/>
      <c r="G61" s="325"/>
      <c r="H61" s="325"/>
      <c r="I61" s="325"/>
      <c r="J61" s="325"/>
    </row>
    <row r="62" spans="1:10" x14ac:dyDescent="0.25">
      <c r="E62" s="325"/>
      <c r="F62" s="325"/>
      <c r="G62" s="325"/>
      <c r="H62" s="325"/>
      <c r="I62" s="325"/>
      <c r="J62" s="325"/>
    </row>
    <row r="63" spans="1:10" x14ac:dyDescent="0.25">
      <c r="E63" s="325"/>
      <c r="F63" s="325"/>
      <c r="G63" s="325"/>
      <c r="H63" s="325"/>
      <c r="I63" s="325"/>
      <c r="J63" s="325"/>
    </row>
    <row r="64" spans="1:10" x14ac:dyDescent="0.25">
      <c r="E64" s="325"/>
      <c r="F64" s="325"/>
      <c r="G64" s="325"/>
      <c r="H64" s="325"/>
      <c r="I64" s="325"/>
      <c r="J64" s="325"/>
    </row>
    <row r="65" spans="5:10" x14ac:dyDescent="0.25">
      <c r="E65" s="325"/>
      <c r="F65" s="325"/>
      <c r="G65" s="325"/>
      <c r="H65" s="325"/>
      <c r="I65" s="325"/>
      <c r="J65" s="325"/>
    </row>
    <row r="66" spans="5:10" x14ac:dyDescent="0.25">
      <c r="E66" s="325"/>
      <c r="F66" s="325"/>
      <c r="G66" s="325"/>
      <c r="H66" s="325"/>
      <c r="I66" s="325"/>
      <c r="J66" s="325"/>
    </row>
    <row r="67" spans="5:10" x14ac:dyDescent="0.25">
      <c r="E67" s="325"/>
      <c r="F67" s="325"/>
      <c r="G67" s="325"/>
      <c r="H67" s="325"/>
      <c r="I67" s="325"/>
      <c r="J67" s="325"/>
    </row>
    <row r="68" spans="5:10" x14ac:dyDescent="0.25">
      <c r="E68" s="325"/>
      <c r="F68" s="325"/>
      <c r="G68" s="325"/>
      <c r="H68" s="325"/>
      <c r="I68" s="325"/>
      <c r="J68" s="325"/>
    </row>
    <row r="69" spans="5:10" x14ac:dyDescent="0.25">
      <c r="E69" s="325"/>
      <c r="F69" s="325"/>
      <c r="G69" s="325"/>
      <c r="H69" s="325"/>
      <c r="I69" s="325"/>
      <c r="J69" s="325"/>
    </row>
    <row r="70" spans="5:10" x14ac:dyDescent="0.25">
      <c r="E70" s="325"/>
      <c r="F70" s="325"/>
      <c r="G70" s="325"/>
      <c r="H70" s="325"/>
      <c r="I70" s="325"/>
      <c r="J70" s="325"/>
    </row>
    <row r="71" spans="5:10" x14ac:dyDescent="0.25">
      <c r="E71" s="325"/>
      <c r="F71" s="325"/>
      <c r="G71" s="325"/>
      <c r="H71" s="325"/>
      <c r="I71" s="325"/>
      <c r="J71" s="325"/>
    </row>
    <row r="72" spans="5:10" x14ac:dyDescent="0.25">
      <c r="E72" s="325"/>
      <c r="F72" s="325"/>
      <c r="G72" s="325"/>
      <c r="H72" s="325"/>
      <c r="I72" s="325"/>
      <c r="J72" s="325"/>
    </row>
    <row r="73" spans="5:10" x14ac:dyDescent="0.25">
      <c r="E73" s="325"/>
      <c r="F73" s="325"/>
      <c r="G73" s="325"/>
      <c r="H73" s="325"/>
      <c r="I73" s="325"/>
      <c r="J73" s="325"/>
    </row>
    <row r="74" spans="5:10" x14ac:dyDescent="0.25">
      <c r="E74" s="325"/>
      <c r="F74" s="325"/>
      <c r="G74" s="325"/>
      <c r="H74" s="325"/>
      <c r="I74" s="325"/>
      <c r="J74" s="325"/>
    </row>
    <row r="75" spans="5:10" x14ac:dyDescent="0.25">
      <c r="E75" s="325"/>
      <c r="F75" s="325"/>
      <c r="G75" s="325"/>
      <c r="H75" s="325"/>
      <c r="I75" s="325"/>
      <c r="J75" s="325"/>
    </row>
    <row r="76" spans="5:10" x14ac:dyDescent="0.25">
      <c r="E76" s="325"/>
      <c r="F76" s="325"/>
      <c r="G76" s="325"/>
      <c r="H76" s="325"/>
      <c r="I76" s="325"/>
      <c r="J76" s="325"/>
    </row>
    <row r="77" spans="5:10" x14ac:dyDescent="0.25">
      <c r="E77" s="325"/>
      <c r="F77" s="325"/>
      <c r="G77" s="325"/>
      <c r="H77" s="325"/>
      <c r="I77" s="325"/>
      <c r="J77" s="325"/>
    </row>
    <row r="78" spans="5:10" x14ac:dyDescent="0.25">
      <c r="E78" s="325"/>
      <c r="F78" s="325"/>
      <c r="G78" s="325"/>
      <c r="H78" s="325"/>
      <c r="I78" s="325"/>
      <c r="J78" s="325"/>
    </row>
    <row r="79" spans="5:10" x14ac:dyDescent="0.25">
      <c r="E79" s="325"/>
      <c r="F79" s="325"/>
      <c r="G79" s="325"/>
      <c r="H79" s="325"/>
      <c r="I79" s="325"/>
      <c r="J79" s="325"/>
    </row>
    <row r="80" spans="5:10" x14ac:dyDescent="0.25">
      <c r="E80" s="325"/>
      <c r="F80" s="325"/>
      <c r="G80" s="325"/>
      <c r="H80" s="325"/>
      <c r="I80" s="325"/>
      <c r="J80" s="325"/>
    </row>
    <row r="81" spans="5:10" x14ac:dyDescent="0.25">
      <c r="E81" s="325"/>
      <c r="F81" s="325"/>
      <c r="G81" s="325"/>
      <c r="H81" s="325"/>
      <c r="I81" s="325"/>
      <c r="J81" s="325"/>
    </row>
    <row r="82" spans="5:10" x14ac:dyDescent="0.25">
      <c r="E82" s="325"/>
      <c r="F82" s="325"/>
      <c r="G82" s="325"/>
      <c r="H82" s="325"/>
      <c r="I82" s="325"/>
      <c r="J82" s="325"/>
    </row>
    <row r="83" spans="5:10" x14ac:dyDescent="0.25">
      <c r="E83" s="325"/>
      <c r="F83" s="325"/>
      <c r="G83" s="325"/>
      <c r="H83" s="325"/>
      <c r="I83" s="325"/>
      <c r="J83" s="325"/>
    </row>
    <row r="84" spans="5:10" x14ac:dyDescent="0.25">
      <c r="E84" s="325"/>
      <c r="F84" s="325"/>
      <c r="G84" s="325"/>
      <c r="H84" s="325"/>
      <c r="I84" s="325"/>
      <c r="J84" s="325"/>
    </row>
    <row r="85" spans="5:10" x14ac:dyDescent="0.25">
      <c r="E85" s="325"/>
      <c r="F85" s="325"/>
      <c r="G85" s="325"/>
      <c r="H85" s="325"/>
      <c r="I85" s="325"/>
      <c r="J85" s="325"/>
    </row>
    <row r="86" spans="5:10" x14ac:dyDescent="0.25">
      <c r="E86" s="325"/>
      <c r="F86" s="325"/>
      <c r="G86" s="325"/>
      <c r="H86" s="325"/>
      <c r="I86" s="325"/>
      <c r="J86" s="325"/>
    </row>
    <row r="87" spans="5:10" x14ac:dyDescent="0.25">
      <c r="E87" s="325"/>
      <c r="F87" s="325"/>
      <c r="G87" s="325"/>
      <c r="H87" s="325"/>
      <c r="I87" s="325"/>
      <c r="J87" s="325"/>
    </row>
    <row r="88" spans="5:10" x14ac:dyDescent="0.25">
      <c r="E88" s="325"/>
      <c r="F88" s="325"/>
      <c r="G88" s="325"/>
      <c r="H88" s="325"/>
      <c r="I88" s="325"/>
      <c r="J88" s="325"/>
    </row>
    <row r="89" spans="5:10" x14ac:dyDescent="0.25">
      <c r="E89" s="325"/>
      <c r="F89" s="325"/>
      <c r="G89" s="325"/>
      <c r="H89" s="325"/>
      <c r="I89" s="325"/>
      <c r="J89" s="325"/>
    </row>
    <row r="90" spans="5:10" x14ac:dyDescent="0.25">
      <c r="E90" s="325"/>
      <c r="F90" s="325"/>
      <c r="G90" s="325"/>
      <c r="H90" s="325"/>
      <c r="I90" s="325"/>
      <c r="J90" s="325"/>
    </row>
    <row r="91" spans="5:10" x14ac:dyDescent="0.25">
      <c r="E91" s="325"/>
      <c r="F91" s="325"/>
      <c r="G91" s="325"/>
      <c r="H91" s="325"/>
      <c r="I91" s="325"/>
      <c r="J91" s="325"/>
    </row>
    <row r="92" spans="5:10" x14ac:dyDescent="0.25">
      <c r="E92" s="325"/>
      <c r="F92" s="325"/>
      <c r="G92" s="325"/>
      <c r="H92" s="325"/>
      <c r="I92" s="325"/>
      <c r="J92" s="325"/>
    </row>
    <row r="93" spans="5:10" x14ac:dyDescent="0.25">
      <c r="E93" s="325"/>
      <c r="F93" s="325"/>
      <c r="G93" s="325"/>
      <c r="H93" s="325"/>
      <c r="I93" s="325"/>
      <c r="J93" s="325"/>
    </row>
    <row r="94" spans="5:10" x14ac:dyDescent="0.25">
      <c r="E94" s="325"/>
      <c r="F94" s="325"/>
      <c r="G94" s="325"/>
      <c r="H94" s="325"/>
      <c r="I94" s="325"/>
      <c r="J94" s="325"/>
    </row>
    <row r="95" spans="5:10" x14ac:dyDescent="0.25">
      <c r="E95" s="325"/>
      <c r="F95" s="325"/>
      <c r="G95" s="325"/>
      <c r="H95" s="325"/>
      <c r="I95" s="325"/>
      <c r="J95" s="325"/>
    </row>
    <row r="96" spans="5:10" x14ac:dyDescent="0.25">
      <c r="E96" s="325"/>
      <c r="F96" s="325"/>
      <c r="G96" s="325"/>
      <c r="H96" s="325"/>
      <c r="I96" s="325"/>
      <c r="J96" s="325"/>
    </row>
    <row r="97" spans="5:10" x14ac:dyDescent="0.25">
      <c r="E97" s="325"/>
      <c r="F97" s="325"/>
      <c r="G97" s="325"/>
      <c r="H97" s="325"/>
      <c r="I97" s="325"/>
      <c r="J97" s="325"/>
    </row>
    <row r="98" spans="5:10" x14ac:dyDescent="0.25">
      <c r="E98" s="325"/>
      <c r="F98" s="325"/>
      <c r="G98" s="325"/>
      <c r="H98" s="325"/>
      <c r="I98" s="325"/>
      <c r="J98" s="325"/>
    </row>
    <row r="99" spans="5:10" x14ac:dyDescent="0.25">
      <c r="E99" s="325"/>
      <c r="F99" s="325"/>
      <c r="G99" s="325"/>
      <c r="H99" s="325"/>
      <c r="I99" s="325"/>
      <c r="J99" s="325"/>
    </row>
    <row r="100" spans="5:10" x14ac:dyDescent="0.25">
      <c r="E100" s="325"/>
      <c r="F100" s="325"/>
      <c r="G100" s="325"/>
      <c r="H100" s="325"/>
      <c r="I100" s="325"/>
      <c r="J100" s="325"/>
    </row>
    <row r="101" spans="5:10" x14ac:dyDescent="0.25">
      <c r="E101" s="325"/>
      <c r="F101" s="325"/>
      <c r="G101" s="325"/>
      <c r="H101" s="325"/>
      <c r="I101" s="325"/>
      <c r="J101" s="325"/>
    </row>
    <row r="102" spans="5:10" x14ac:dyDescent="0.25">
      <c r="E102" s="325"/>
      <c r="F102" s="325"/>
      <c r="G102" s="325"/>
      <c r="H102" s="325"/>
      <c r="I102" s="325"/>
      <c r="J102" s="325"/>
    </row>
    <row r="103" spans="5:10" x14ac:dyDescent="0.25">
      <c r="E103" s="325"/>
      <c r="F103" s="325"/>
      <c r="G103" s="325"/>
      <c r="H103" s="325"/>
      <c r="I103" s="325"/>
      <c r="J103" s="325"/>
    </row>
    <row r="104" spans="5:10" x14ac:dyDescent="0.25">
      <c r="E104" s="325"/>
      <c r="F104" s="325"/>
      <c r="G104" s="325"/>
      <c r="H104" s="325"/>
      <c r="I104" s="325"/>
      <c r="J104" s="325"/>
    </row>
    <row r="105" spans="5:10" x14ac:dyDescent="0.25">
      <c r="E105" s="325"/>
      <c r="F105" s="325"/>
      <c r="G105" s="325"/>
      <c r="H105" s="325"/>
      <c r="I105" s="325"/>
      <c r="J105" s="325"/>
    </row>
    <row r="106" spans="5:10" x14ac:dyDescent="0.25">
      <c r="E106" s="325"/>
      <c r="F106" s="325"/>
      <c r="G106" s="325"/>
      <c r="H106" s="325"/>
      <c r="I106" s="325"/>
      <c r="J106" s="325"/>
    </row>
    <row r="107" spans="5:10" x14ac:dyDescent="0.25">
      <c r="E107" s="325"/>
      <c r="F107" s="325"/>
      <c r="G107" s="325"/>
      <c r="H107" s="325"/>
      <c r="I107" s="325"/>
      <c r="J107" s="325"/>
    </row>
    <row r="108" spans="5:10" x14ac:dyDescent="0.25">
      <c r="E108" s="325"/>
      <c r="F108" s="325"/>
      <c r="G108" s="325"/>
      <c r="H108" s="325"/>
      <c r="I108" s="325"/>
      <c r="J108" s="325"/>
    </row>
    <row r="109" spans="5:10" x14ac:dyDescent="0.25">
      <c r="E109" s="325"/>
      <c r="F109" s="325"/>
      <c r="G109" s="325"/>
      <c r="H109" s="325"/>
      <c r="I109" s="325"/>
      <c r="J109" s="325"/>
    </row>
    <row r="110" spans="5:10" x14ac:dyDescent="0.25">
      <c r="E110" s="325"/>
      <c r="F110" s="325"/>
      <c r="G110" s="325"/>
      <c r="H110" s="325"/>
      <c r="I110" s="325"/>
      <c r="J110" s="325"/>
    </row>
    <row r="111" spans="5:10" x14ac:dyDescent="0.25">
      <c r="E111" s="325"/>
      <c r="F111" s="325"/>
      <c r="G111" s="325"/>
      <c r="H111" s="325"/>
      <c r="I111" s="325"/>
      <c r="J111" s="325"/>
    </row>
    <row r="112" spans="5:10" x14ac:dyDescent="0.25">
      <c r="E112" s="325"/>
      <c r="F112" s="325"/>
      <c r="G112" s="325"/>
      <c r="H112" s="325"/>
      <c r="I112" s="325"/>
      <c r="J112" s="325"/>
    </row>
    <row r="113" spans="5:10" x14ac:dyDescent="0.25">
      <c r="E113" s="325"/>
      <c r="F113" s="325"/>
      <c r="G113" s="325"/>
      <c r="H113" s="325"/>
      <c r="I113" s="325"/>
      <c r="J113" s="325"/>
    </row>
    <row r="114" spans="5:10" x14ac:dyDescent="0.25">
      <c r="E114" s="325"/>
      <c r="F114" s="325"/>
      <c r="G114" s="325"/>
      <c r="H114" s="325"/>
      <c r="I114" s="325"/>
      <c r="J114" s="325"/>
    </row>
    <row r="115" spans="5:10" x14ac:dyDescent="0.25">
      <c r="E115" s="325"/>
      <c r="F115" s="325"/>
      <c r="G115" s="325"/>
      <c r="H115" s="325"/>
      <c r="I115" s="325"/>
      <c r="J115" s="325"/>
    </row>
    <row r="116" spans="5:10" x14ac:dyDescent="0.25">
      <c r="E116" s="325"/>
      <c r="F116" s="325"/>
      <c r="G116" s="325"/>
      <c r="H116" s="325"/>
      <c r="I116" s="325"/>
      <c r="J116" s="325"/>
    </row>
    <row r="117" spans="5:10" x14ac:dyDescent="0.25">
      <c r="E117" s="325"/>
      <c r="F117" s="325"/>
      <c r="G117" s="325"/>
      <c r="H117" s="325"/>
      <c r="I117" s="325"/>
      <c r="J117" s="325"/>
    </row>
    <row r="118" spans="5:10" x14ac:dyDescent="0.25">
      <c r="E118" s="325"/>
      <c r="F118" s="325"/>
      <c r="G118" s="325"/>
      <c r="H118" s="325"/>
      <c r="I118" s="325"/>
      <c r="J118" s="325"/>
    </row>
    <row r="119" spans="5:10" x14ac:dyDescent="0.25">
      <c r="E119" s="325"/>
      <c r="F119" s="325"/>
      <c r="G119" s="325"/>
      <c r="H119" s="325"/>
      <c r="I119" s="325"/>
      <c r="J119" s="325"/>
    </row>
    <row r="120" spans="5:10" x14ac:dyDescent="0.25">
      <c r="E120" s="325"/>
      <c r="F120" s="325"/>
      <c r="G120" s="325"/>
      <c r="H120" s="325"/>
      <c r="I120" s="325"/>
      <c r="J120" s="325"/>
    </row>
    <row r="121" spans="5:10" x14ac:dyDescent="0.25">
      <c r="E121" s="325"/>
      <c r="F121" s="325"/>
      <c r="G121" s="325"/>
      <c r="H121" s="325"/>
      <c r="I121" s="325"/>
      <c r="J121" s="325"/>
    </row>
    <row r="122" spans="5:10" x14ac:dyDescent="0.25">
      <c r="E122" s="325"/>
      <c r="F122" s="325"/>
      <c r="G122" s="325"/>
      <c r="H122" s="325"/>
      <c r="I122" s="325"/>
      <c r="J122" s="325"/>
    </row>
    <row r="123" spans="5:10" x14ac:dyDescent="0.25">
      <c r="E123" s="325"/>
      <c r="F123" s="325"/>
      <c r="G123" s="325"/>
      <c r="H123" s="325"/>
      <c r="I123" s="325"/>
      <c r="J123" s="325"/>
    </row>
    <row r="124" spans="5:10" x14ac:dyDescent="0.25">
      <c r="E124" s="325"/>
      <c r="F124" s="325"/>
      <c r="G124" s="325"/>
      <c r="H124" s="325"/>
      <c r="I124" s="325"/>
      <c r="J124" s="325"/>
    </row>
    <row r="125" spans="5:10" x14ac:dyDescent="0.25">
      <c r="E125" s="325"/>
      <c r="F125" s="325"/>
      <c r="G125" s="325"/>
      <c r="H125" s="325"/>
      <c r="I125" s="325"/>
      <c r="J125" s="325"/>
    </row>
    <row r="126" spans="5:10" x14ac:dyDescent="0.25">
      <c r="E126" s="325"/>
      <c r="F126" s="325"/>
      <c r="G126" s="325"/>
      <c r="H126" s="325"/>
      <c r="I126" s="325"/>
      <c r="J126" s="325"/>
    </row>
    <row r="127" spans="5:10" x14ac:dyDescent="0.25">
      <c r="E127" s="325"/>
      <c r="F127" s="325"/>
      <c r="G127" s="325"/>
      <c r="H127" s="325"/>
      <c r="I127" s="325"/>
      <c r="J127" s="325"/>
    </row>
    <row r="128" spans="5:10" x14ac:dyDescent="0.25">
      <c r="E128" s="325"/>
      <c r="F128" s="325"/>
      <c r="G128" s="325"/>
      <c r="H128" s="325"/>
      <c r="I128" s="325"/>
      <c r="J128" s="325"/>
    </row>
    <row r="129" spans="5:10" x14ac:dyDescent="0.25">
      <c r="E129" s="325"/>
      <c r="F129" s="325"/>
      <c r="G129" s="325"/>
      <c r="H129" s="325"/>
      <c r="I129" s="325"/>
      <c r="J129" s="325"/>
    </row>
    <row r="130" spans="5:10" x14ac:dyDescent="0.25">
      <c r="E130" s="325"/>
      <c r="F130" s="325"/>
      <c r="G130" s="325"/>
      <c r="H130" s="325"/>
      <c r="I130" s="325"/>
      <c r="J130" s="325"/>
    </row>
    <row r="131" spans="5:10" x14ac:dyDescent="0.25">
      <c r="E131" s="325"/>
      <c r="F131" s="325"/>
      <c r="G131" s="325"/>
      <c r="H131" s="325"/>
      <c r="I131" s="325"/>
      <c r="J131" s="325"/>
    </row>
    <row r="132" spans="5:10" x14ac:dyDescent="0.25">
      <c r="E132" s="325"/>
      <c r="F132" s="325"/>
      <c r="G132" s="325"/>
      <c r="H132" s="325"/>
      <c r="I132" s="325"/>
      <c r="J132" s="325"/>
    </row>
  </sheetData>
  <mergeCells count="292">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N69"/>
  <sheetViews>
    <sheetView zoomScale="70" zoomScaleNormal="70" workbookViewId="0">
      <selection activeCell="AJ15" sqref="AJ15:AJ18"/>
    </sheetView>
  </sheetViews>
  <sheetFormatPr baseColWidth="10" defaultColWidth="11.44140625" defaultRowHeight="13.8" x14ac:dyDescent="0.3"/>
  <cols>
    <col min="1" max="1" width="4" style="156" bestFit="1" customWidth="1"/>
    <col min="2" max="2" width="14.109375" style="156" customWidth="1"/>
    <col min="3" max="3" width="16.5546875" style="156" customWidth="1"/>
    <col min="4" max="4" width="16.109375" style="156" customWidth="1"/>
    <col min="5" max="5" width="30.33203125" style="156" customWidth="1"/>
    <col min="6" max="7" width="35" style="112" customWidth="1"/>
    <col min="8" max="8" width="18.109375" style="157" customWidth="1"/>
    <col min="9" max="9" width="14.33203125" style="112" customWidth="1"/>
    <col min="10" max="10" width="12" style="112" customWidth="1"/>
    <col min="11" max="11" width="6.33203125" style="112" customWidth="1"/>
    <col min="12" max="12" width="24.44140625" style="112" customWidth="1"/>
    <col min="13" max="13" width="28.33203125" style="112" customWidth="1"/>
    <col min="14" max="14" width="17.5546875" style="112" customWidth="1"/>
    <col min="15" max="15" width="6.33203125" style="112" customWidth="1"/>
    <col min="16" max="16" width="16" style="112" customWidth="1"/>
    <col min="17" max="17" width="5.88671875" style="112" customWidth="1"/>
    <col min="18" max="18" width="55" style="112" customWidth="1"/>
    <col min="19" max="19" width="15.109375" style="112" customWidth="1"/>
    <col min="20" max="20" width="6.88671875" style="112" customWidth="1"/>
    <col min="21" max="21" width="5" style="112" customWidth="1"/>
    <col min="22" max="22" width="5.5546875" style="112" customWidth="1"/>
    <col min="23" max="23" width="7.109375" style="112" customWidth="1"/>
    <col min="24" max="24" width="6.6640625" style="112" customWidth="1"/>
    <col min="25" max="25" width="4.6640625" style="112" customWidth="1"/>
    <col min="26" max="26" width="38.5546875" style="112" customWidth="1"/>
    <col min="27" max="27" width="8.6640625" style="112" customWidth="1"/>
    <col min="28" max="28" width="10.44140625" style="112" customWidth="1"/>
    <col min="29" max="29" width="9.33203125" style="112" customWidth="1"/>
    <col min="30" max="30" width="9.109375" style="112" customWidth="1"/>
    <col min="31" max="31" width="8.44140625" style="112" customWidth="1"/>
    <col min="32" max="32" width="7.33203125" style="112" customWidth="1"/>
    <col min="33" max="33" width="28.6640625" style="112" customWidth="1"/>
    <col min="34" max="34" width="18.88671875" style="112" customWidth="1"/>
    <col min="35" max="35" width="16.88671875" style="112" customWidth="1"/>
    <col min="36" max="36" width="17.77734375" style="112" customWidth="1"/>
    <col min="37" max="37" width="18.5546875" style="112" customWidth="1"/>
    <col min="38" max="38" width="21" style="112" customWidth="1"/>
    <col min="39" max="16384" width="11.44140625" style="112"/>
  </cols>
  <sheetData>
    <row r="1" spans="1:66" ht="16.5" customHeight="1" x14ac:dyDescent="0.3">
      <c r="A1" s="414" t="s">
        <v>138</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6"/>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row>
    <row r="2" spans="1:66" ht="24" customHeight="1" x14ac:dyDescent="0.3">
      <c r="A2" s="417"/>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9"/>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row>
    <row r="3" spans="1:66" x14ac:dyDescent="0.3">
      <c r="A3" s="113"/>
      <c r="B3" s="114"/>
      <c r="C3" s="113"/>
      <c r="D3" s="113"/>
      <c r="E3" s="113"/>
      <c r="F3" s="111"/>
      <c r="G3" s="111"/>
      <c r="H3" s="115"/>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row>
    <row r="4" spans="1:66" ht="26.25" customHeight="1" x14ac:dyDescent="0.3">
      <c r="A4" s="422" t="s">
        <v>43</v>
      </c>
      <c r="B4" s="423"/>
      <c r="C4" s="412" t="s">
        <v>221</v>
      </c>
      <c r="D4" s="412"/>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c r="AG4" s="412"/>
      <c r="AH4" s="412"/>
      <c r="AI4" s="412"/>
      <c r="AJ4" s="412"/>
      <c r="AK4" s="412"/>
      <c r="AL4" s="412"/>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row>
    <row r="5" spans="1:66" ht="30" customHeight="1" x14ac:dyDescent="0.3">
      <c r="A5" s="422" t="s">
        <v>125</v>
      </c>
      <c r="B5" s="423"/>
      <c r="C5" s="413" t="s">
        <v>273</v>
      </c>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row>
    <row r="6" spans="1:66" ht="49.5" customHeight="1" x14ac:dyDescent="0.3">
      <c r="A6" s="422" t="s">
        <v>44</v>
      </c>
      <c r="B6" s="423"/>
      <c r="C6" s="413" t="s">
        <v>222</v>
      </c>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row>
    <row r="7" spans="1:66" x14ac:dyDescent="0.3">
      <c r="A7" s="420" t="s">
        <v>133</v>
      </c>
      <c r="B7" s="421"/>
      <c r="C7" s="418"/>
      <c r="D7" s="418"/>
      <c r="E7" s="418"/>
      <c r="F7" s="418"/>
      <c r="G7" s="418"/>
      <c r="H7" s="418"/>
      <c r="I7" s="419"/>
      <c r="J7" s="417" t="s">
        <v>134</v>
      </c>
      <c r="K7" s="418"/>
      <c r="L7" s="418"/>
      <c r="M7" s="418"/>
      <c r="N7" s="418"/>
      <c r="O7" s="418"/>
      <c r="P7" s="419"/>
      <c r="Q7" s="417" t="s">
        <v>135</v>
      </c>
      <c r="R7" s="418"/>
      <c r="S7" s="418"/>
      <c r="T7" s="418"/>
      <c r="U7" s="418"/>
      <c r="V7" s="418"/>
      <c r="W7" s="418"/>
      <c r="X7" s="418"/>
      <c r="Y7" s="419"/>
      <c r="Z7" s="417" t="s">
        <v>136</v>
      </c>
      <c r="AA7" s="418"/>
      <c r="AB7" s="418"/>
      <c r="AC7" s="418"/>
      <c r="AD7" s="418"/>
      <c r="AE7" s="418"/>
      <c r="AF7" s="419"/>
      <c r="AG7" s="417" t="s">
        <v>34</v>
      </c>
      <c r="AH7" s="418"/>
      <c r="AI7" s="418"/>
      <c r="AJ7" s="418"/>
      <c r="AK7" s="418"/>
      <c r="AL7" s="419"/>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row>
    <row r="8" spans="1:66" ht="16.5" customHeight="1" x14ac:dyDescent="0.3">
      <c r="A8" s="497" t="s">
        <v>0</v>
      </c>
      <c r="B8" s="464" t="s">
        <v>2</v>
      </c>
      <c r="C8" s="465" t="s">
        <v>3</v>
      </c>
      <c r="D8" s="465" t="s">
        <v>42</v>
      </c>
      <c r="E8" s="485" t="s">
        <v>202</v>
      </c>
      <c r="F8" s="486" t="s">
        <v>1</v>
      </c>
      <c r="G8" s="116"/>
      <c r="H8" s="485" t="s">
        <v>50</v>
      </c>
      <c r="I8" s="465" t="s">
        <v>129</v>
      </c>
      <c r="J8" s="491" t="s">
        <v>33</v>
      </c>
      <c r="K8" s="493" t="s">
        <v>5</v>
      </c>
      <c r="L8" s="485" t="s">
        <v>86</v>
      </c>
      <c r="M8" s="485" t="s">
        <v>91</v>
      </c>
      <c r="N8" s="492" t="s">
        <v>45</v>
      </c>
      <c r="O8" s="493" t="s">
        <v>5</v>
      </c>
      <c r="P8" s="465" t="s">
        <v>48</v>
      </c>
      <c r="Q8" s="488" t="s">
        <v>11</v>
      </c>
      <c r="R8" s="466" t="s">
        <v>151</v>
      </c>
      <c r="S8" s="485" t="s">
        <v>12</v>
      </c>
      <c r="T8" s="466" t="s">
        <v>8</v>
      </c>
      <c r="U8" s="466"/>
      <c r="V8" s="466"/>
      <c r="W8" s="466"/>
      <c r="X8" s="466"/>
      <c r="Y8" s="466"/>
      <c r="Z8" s="490" t="s">
        <v>132</v>
      </c>
      <c r="AA8" s="490" t="s">
        <v>46</v>
      </c>
      <c r="AB8" s="490" t="s">
        <v>5</v>
      </c>
      <c r="AC8" s="490" t="s">
        <v>47</v>
      </c>
      <c r="AD8" s="490" t="s">
        <v>5</v>
      </c>
      <c r="AE8" s="490" t="s">
        <v>49</v>
      </c>
      <c r="AF8" s="488" t="s">
        <v>29</v>
      </c>
      <c r="AG8" s="466" t="s">
        <v>34</v>
      </c>
      <c r="AH8" s="466" t="s">
        <v>35</v>
      </c>
      <c r="AI8" s="466" t="s">
        <v>36</v>
      </c>
      <c r="AJ8" s="466" t="s">
        <v>38</v>
      </c>
      <c r="AK8" s="466" t="s">
        <v>37</v>
      </c>
      <c r="AL8" s="505" t="s">
        <v>39</v>
      </c>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row>
    <row r="9" spans="1:66" s="119" customFormat="1" ht="55.2" customHeight="1" x14ac:dyDescent="0.3">
      <c r="A9" s="498"/>
      <c r="B9" s="464"/>
      <c r="C9" s="466"/>
      <c r="D9" s="466"/>
      <c r="E9" s="491"/>
      <c r="F9" s="487"/>
      <c r="G9" s="116" t="s">
        <v>203</v>
      </c>
      <c r="H9" s="465"/>
      <c r="I9" s="466"/>
      <c r="J9" s="465"/>
      <c r="K9" s="417"/>
      <c r="L9" s="465"/>
      <c r="M9" s="465"/>
      <c r="N9" s="417"/>
      <c r="O9" s="417"/>
      <c r="P9" s="466"/>
      <c r="Q9" s="489"/>
      <c r="R9" s="466"/>
      <c r="S9" s="465"/>
      <c r="T9" s="117" t="s">
        <v>13</v>
      </c>
      <c r="U9" s="117" t="s">
        <v>17</v>
      </c>
      <c r="V9" s="117" t="s">
        <v>28</v>
      </c>
      <c r="W9" s="117" t="s">
        <v>18</v>
      </c>
      <c r="X9" s="117" t="s">
        <v>21</v>
      </c>
      <c r="Y9" s="117" t="s">
        <v>24</v>
      </c>
      <c r="Z9" s="490"/>
      <c r="AA9" s="490"/>
      <c r="AB9" s="490"/>
      <c r="AC9" s="490"/>
      <c r="AD9" s="490"/>
      <c r="AE9" s="490"/>
      <c r="AF9" s="489"/>
      <c r="AG9" s="466"/>
      <c r="AH9" s="466"/>
      <c r="AI9" s="466"/>
      <c r="AJ9" s="466"/>
      <c r="AK9" s="466"/>
      <c r="AL9" s="505"/>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row>
    <row r="10" spans="1:66" s="132" customFormat="1" ht="73.5" customHeight="1" x14ac:dyDescent="0.3">
      <c r="A10" s="433">
        <v>1</v>
      </c>
      <c r="B10" s="470" t="s">
        <v>126</v>
      </c>
      <c r="C10" s="470" t="s">
        <v>217</v>
      </c>
      <c r="D10" s="494" t="s">
        <v>214</v>
      </c>
      <c r="E10" s="120" t="s">
        <v>223</v>
      </c>
      <c r="F10" s="496" t="s">
        <v>216</v>
      </c>
      <c r="G10" s="496" t="s">
        <v>247</v>
      </c>
      <c r="H10" s="462" t="s">
        <v>118</v>
      </c>
      <c r="I10" s="481">
        <v>57</v>
      </c>
      <c r="J10" s="475" t="str">
        <f>IF(I10&lt;=0,"",IF(I10&lt;=2,"Muy Baja",IF(I10&lt;=24,"Baja",IF(I10&lt;=500,"Media",IF(I10&lt;=5000,"Alta","Muy Alta")))))</f>
        <v>Media</v>
      </c>
      <c r="K10" s="477">
        <f>IF(J10="","",IF(J10="Muy Baja",0.2,IF(J10="Baja",0.4,IF(J10="Media",0.6,IF(J10="Alta",0.8,IF(J10="Muy Alta",1,))))))</f>
        <v>0.6</v>
      </c>
      <c r="L10" s="483" t="s">
        <v>145</v>
      </c>
      <c r="M10" s="427" t="str">
        <f>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475" t="str">
        <f>IF(OR(M10='Tabla Impacto'!$C$11,M10='Tabla Impacto'!$D$11),"Leve",IF(OR(M10='Tabla Impacto'!$C$12,M10='Tabla Impacto'!$D$12),"Menor",IF(OR(M10='Tabla Impacto'!$C$13,M10='Tabla Impacto'!$D$13),"Moderado",IF(OR(M10='Tabla Impacto'!$C$14,M10='Tabla Impacto'!$D$14),"Mayor",IF(OR(M10='Tabla Impacto'!$C$15,M10='Tabla Impacto'!$D$15),"Catastrófico","")))))</f>
        <v>Mayor</v>
      </c>
      <c r="O10" s="477">
        <f>IF(N10="","",IF(N10="Leve",0.2,IF(N10="Menor",0.4,IF(N10="Moderado",0.6,IF(N10="Mayor",0.8,IF(N10="Catastrófico",1,))))))</f>
        <v>0.8</v>
      </c>
      <c r="P10" s="479"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1">
        <v>1</v>
      </c>
      <c r="R10" s="109" t="s">
        <v>225</v>
      </c>
      <c r="S10" s="122" t="str">
        <f>IF(OR(T10="Preventivo",T10="Detectivo"),"Probabilidad",IF(T10="Correctivo","Impacto",""))</f>
        <v>Probabilidad</v>
      </c>
      <c r="T10" s="123" t="s">
        <v>15</v>
      </c>
      <c r="U10" s="123" t="s">
        <v>9</v>
      </c>
      <c r="V10" s="124" t="str">
        <f>IF(AND(T10="Preventivo",U10="Automático"),"50%",IF(AND(T10="Preventivo",U10="Manual"),"40%",IF(AND(T10="Detectivo",U10="Automático"),"40%",IF(AND(T10="Detectivo",U10="Manual"),"30%",IF(AND(T10="Correctivo",U10="Automático"),"35%",IF(AND(T10="Correctivo",U10="Manual"),"25%",""))))))</f>
        <v>30%</v>
      </c>
      <c r="W10" s="123" t="s">
        <v>20</v>
      </c>
      <c r="X10" s="123" t="s">
        <v>22</v>
      </c>
      <c r="Y10" s="123" t="s">
        <v>114</v>
      </c>
      <c r="Z10" s="125">
        <f>IFERROR(IF(S10="Probabilidad",(K10-(+K10*V10)),IF(S10="Impacto",K10,"")),"")</f>
        <v>0.42</v>
      </c>
      <c r="AA10" s="126" t="str">
        <f>IFERROR(IF(Z10="","",IF(Z10&lt;=0.2,"Muy Baja",IF(Z10&lt;=0.4,"Baja",IF(Z10&lt;=0.6,"Media",IF(Z10&lt;=0.8,"Alta","Muy Alta"))))),"")</f>
        <v>Media</v>
      </c>
      <c r="AB10" s="127">
        <f>+Z10</f>
        <v>0.42</v>
      </c>
      <c r="AC10" s="126" t="str">
        <f>IFERROR(IF(AD10="","",IF(AD10&lt;=0.2,"Leve",IF(AD10&lt;=0.4,"Menor",IF(AD10&lt;=0.6,"Moderado",IF(AD10&lt;=0.8,"Mayor","Catastrófico"))))),"")</f>
        <v>Mayor</v>
      </c>
      <c r="AD10" s="127">
        <f>IFERROR(IF(S10="Impacto",(O10-(+O10*V10)),IF(S10="Probabilidad",O10,"")),"")</f>
        <v>0.8</v>
      </c>
      <c r="AE10" s="128"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467" t="s">
        <v>130</v>
      </c>
      <c r="AG10" s="470" t="s">
        <v>229</v>
      </c>
      <c r="AH10" s="470" t="s">
        <v>230</v>
      </c>
      <c r="AI10" s="459" t="s">
        <v>255</v>
      </c>
      <c r="AJ10" s="499" t="s">
        <v>313</v>
      </c>
      <c r="AK10" s="470" t="s">
        <v>240</v>
      </c>
      <c r="AL10" s="502" t="s">
        <v>41</v>
      </c>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row>
    <row r="11" spans="1:66" ht="69" customHeight="1" x14ac:dyDescent="0.3">
      <c r="A11" s="434"/>
      <c r="B11" s="471"/>
      <c r="C11" s="471"/>
      <c r="D11" s="495"/>
      <c r="E11" s="120" t="s">
        <v>215</v>
      </c>
      <c r="F11" s="496"/>
      <c r="G11" s="496"/>
      <c r="H11" s="463"/>
      <c r="I11" s="482"/>
      <c r="J11" s="476"/>
      <c r="K11" s="478"/>
      <c r="L11" s="484"/>
      <c r="M11" s="428">
        <f>IF(NOT(ISERROR(MATCH(L11,_xlfn.ANCHORARRAY(#REF!),0))),#REF!&amp;"Por favor no seleccionar los criterios de impacto",L11)</f>
        <v>0</v>
      </c>
      <c r="N11" s="476"/>
      <c r="O11" s="478"/>
      <c r="P11" s="480"/>
      <c r="Q11" s="121">
        <v>2</v>
      </c>
      <c r="R11" s="109" t="s">
        <v>228</v>
      </c>
      <c r="S11" s="122" t="str">
        <f>IF(OR(T11="Preventivo",T11="Detectivo"),"Probabilidad",IF(T11="Correctivo","Impacto",""))</f>
        <v>Probabilidad</v>
      </c>
      <c r="T11" s="123" t="s">
        <v>14</v>
      </c>
      <c r="U11" s="123" t="s">
        <v>9</v>
      </c>
      <c r="V11" s="124" t="str">
        <f t="shared" ref="V11" si="0">IF(AND(T11="Preventivo",U11="Automático"),"50%",IF(AND(T11="Preventivo",U11="Manual"),"40%",IF(AND(T11="Detectivo",U11="Automático"),"40%",IF(AND(T11="Detectivo",U11="Manual"),"30%",IF(AND(T11="Correctivo",U11="Automático"),"35%",IF(AND(T11="Correctivo",U11="Manual"),"25%",""))))))</f>
        <v>40%</v>
      </c>
      <c r="W11" s="123" t="s">
        <v>19</v>
      </c>
      <c r="X11" s="123" t="s">
        <v>22</v>
      </c>
      <c r="Y11" s="123" t="s">
        <v>114</v>
      </c>
      <c r="Z11" s="125">
        <f>IFERROR(IF(AND(S10="Probabilidad",S11="Probabilidad"),(AB10-(+AB10*V11)),IF(AND(S10="Impacto",S11="Probabilidad"),(K10-(+K10*V11)),IF(S11="Impacto",AB10,""))),"")</f>
        <v>0.252</v>
      </c>
      <c r="AA11" s="126" t="str">
        <f t="shared" ref="AA11" si="1">IFERROR(IF(Z11="","",IF(Z11&lt;=0.2,"Muy Baja",IF(Z11&lt;=0.4,"Baja",IF(Z11&lt;=0.6,"Media",IF(Z11&lt;=0.8,"Alta","Muy Alta"))))),"")</f>
        <v>Baja</v>
      </c>
      <c r="AB11" s="127">
        <f>+Z11</f>
        <v>0.252</v>
      </c>
      <c r="AC11" s="126" t="str">
        <f t="shared" ref="AC11" si="2">IFERROR(IF(AD11="","",IF(AD11&lt;=0.2,"Leve",IF(AD11&lt;=0.4,"Menor",IF(AD11&lt;=0.6,"Moderado",IF(AD11&lt;=0.8,"Mayor","Catastrófico"))))),"")</f>
        <v>Mayor</v>
      </c>
      <c r="AD11" s="127">
        <f>IFERROR(IF(AND(S10="Impacto",S11="Impacto"),(AD10-(+AD10*V11)),IF(AND(S10="Probabilidad",S11="Impacto"),(O10-(+O10*V11)),IF(S11="Probabilidad",AD10,""))),"")</f>
        <v>0.8</v>
      </c>
      <c r="AE11" s="128"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468"/>
      <c r="AG11" s="471"/>
      <c r="AH11" s="471"/>
      <c r="AI11" s="460"/>
      <c r="AJ11" s="500"/>
      <c r="AK11" s="471"/>
      <c r="AL11" s="503"/>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row>
    <row r="12" spans="1:66" ht="124.2" x14ac:dyDescent="0.3">
      <c r="A12" s="434"/>
      <c r="B12" s="471"/>
      <c r="C12" s="471"/>
      <c r="D12" s="495"/>
      <c r="E12" s="120" t="s">
        <v>218</v>
      </c>
      <c r="F12" s="496"/>
      <c r="G12" s="496"/>
      <c r="H12" s="463"/>
      <c r="I12" s="482"/>
      <c r="J12" s="476"/>
      <c r="K12" s="478"/>
      <c r="L12" s="484"/>
      <c r="M12" s="428">
        <f>IF(NOT(ISERROR(MATCH(L12,_xlfn.ANCHORARRAY(#REF!),0))),#REF!&amp;"Por favor no seleccionar los criterios de impacto",L12)</f>
        <v>0</v>
      </c>
      <c r="N12" s="476"/>
      <c r="O12" s="478"/>
      <c r="P12" s="480"/>
      <c r="Q12" s="121">
        <v>3</v>
      </c>
      <c r="R12" s="133" t="s">
        <v>248</v>
      </c>
      <c r="S12" s="122" t="str">
        <f t="shared" ref="S12:S14" si="4">IF(OR(T12="Preventivo",T12="Detectivo"),"Probabilidad",IF(T12="Correctivo","Impacto",""))</f>
        <v>Probabilidad</v>
      </c>
      <c r="T12" s="123" t="s">
        <v>14</v>
      </c>
      <c r="U12" s="123" t="s">
        <v>9</v>
      </c>
      <c r="V12" s="124" t="str">
        <f t="shared" ref="V12:V14" si="5">IF(AND(T12="Preventivo",U12="Automático"),"50%",IF(AND(T12="Preventivo",U12="Manual"),"40%",IF(AND(T12="Detectivo",U12="Automático"),"40%",IF(AND(T12="Detectivo",U12="Manual"),"30%",IF(AND(T12="Correctivo",U12="Automático"),"35%",IF(AND(T12="Correctivo",U12="Manual"),"25%",""))))))</f>
        <v>40%</v>
      </c>
      <c r="W12" s="123" t="s">
        <v>19</v>
      </c>
      <c r="X12" s="123" t="s">
        <v>22</v>
      </c>
      <c r="Y12" s="123" t="s">
        <v>114</v>
      </c>
      <c r="Z12" s="125">
        <f>IFERROR(IF(AND(S11="Probabilidad",S12="Probabilidad"),(AB11-(+AB11*V12)),IF(AND(S11="Impacto",S12="Probabilidad"),(AB10-(+AB10*V12)),IF(S12="Impacto",AB11,""))),"")</f>
        <v>0.1512</v>
      </c>
      <c r="AA12" s="126" t="str">
        <f t="shared" ref="AA12:AA14" si="6">IFERROR(IF(Z12="","",IF(Z12&lt;=0.2,"Muy Baja",IF(Z12&lt;=0.4,"Baja",IF(Z12&lt;=0.6,"Media",IF(Z12&lt;=0.8,"Alta","Muy Alta"))))),"")</f>
        <v>Muy Baja</v>
      </c>
      <c r="AB12" s="127">
        <f t="shared" ref="AB12:AB14" si="7">+Z12</f>
        <v>0.1512</v>
      </c>
      <c r="AC12" s="126" t="str">
        <f t="shared" ref="AC12:AC14" si="8">IFERROR(IF(AD12="","",IF(AD12&lt;=0.2,"Leve",IF(AD12&lt;=0.4,"Menor",IF(AD12&lt;=0.6,"Moderado",IF(AD12&lt;=0.8,"Mayor","Catastrófico"))))),"")</f>
        <v>Mayor</v>
      </c>
      <c r="AD12" s="127">
        <f t="shared" ref="AD12:AD14" si="9">IFERROR(IF(AND(S11="Impacto",S12="Impacto"),(AD11-(+AD11*V12)),IF(AND(S11="Probabilidad",S12="Impacto"),(AD10-(+AD10*V12)),IF(S12="Probabilidad",AD11,""))),"")</f>
        <v>0.8</v>
      </c>
      <c r="AE12" s="128" t="str">
        <f t="shared" ref="AE12:AE14"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468"/>
      <c r="AG12" s="471"/>
      <c r="AH12" s="471"/>
      <c r="AI12" s="460"/>
      <c r="AJ12" s="500"/>
      <c r="AK12" s="471"/>
      <c r="AL12" s="503"/>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row>
    <row r="13" spans="1:66" ht="57.6" x14ac:dyDescent="0.3">
      <c r="A13" s="434"/>
      <c r="B13" s="471"/>
      <c r="C13" s="471"/>
      <c r="D13" s="495"/>
      <c r="E13" s="120" t="s">
        <v>224</v>
      </c>
      <c r="F13" s="496"/>
      <c r="G13" s="496"/>
      <c r="H13" s="463"/>
      <c r="I13" s="482"/>
      <c r="J13" s="476"/>
      <c r="K13" s="478"/>
      <c r="L13" s="484"/>
      <c r="M13" s="428">
        <f>IF(NOT(ISERROR(MATCH(L13,_xlfn.ANCHORARRAY(#REF!),0))),#REF!&amp;"Por favor no seleccionar los criterios de impacto",L13)</f>
        <v>0</v>
      </c>
      <c r="N13" s="476"/>
      <c r="O13" s="478"/>
      <c r="P13" s="480"/>
      <c r="Q13" s="121">
        <v>4</v>
      </c>
      <c r="R13" s="109" t="s">
        <v>226</v>
      </c>
      <c r="S13" s="122" t="str">
        <f t="shared" si="4"/>
        <v>Probabilidad</v>
      </c>
      <c r="T13" s="123" t="s">
        <v>14</v>
      </c>
      <c r="U13" s="123" t="s">
        <v>9</v>
      </c>
      <c r="V13" s="124" t="str">
        <f t="shared" si="5"/>
        <v>40%</v>
      </c>
      <c r="W13" s="123" t="s">
        <v>19</v>
      </c>
      <c r="X13" s="123" t="s">
        <v>22</v>
      </c>
      <c r="Y13" s="123" t="s">
        <v>114</v>
      </c>
      <c r="Z13" s="125">
        <f t="shared" ref="Z13:Z14" si="11">IFERROR(IF(AND(S12="Probabilidad",S13="Probabilidad"),(AB12-(+AB12*V13)),IF(AND(S12="Impacto",S13="Probabilidad"),(AB11-(+AB11*V13)),IF(S13="Impacto",AB12,""))),"")</f>
        <v>9.0719999999999995E-2</v>
      </c>
      <c r="AA13" s="126" t="str">
        <f t="shared" si="6"/>
        <v>Muy Baja</v>
      </c>
      <c r="AB13" s="127">
        <f t="shared" si="7"/>
        <v>9.0719999999999995E-2</v>
      </c>
      <c r="AC13" s="126" t="str">
        <f t="shared" si="8"/>
        <v>Mayor</v>
      </c>
      <c r="AD13" s="127">
        <f t="shared" si="9"/>
        <v>0.8</v>
      </c>
      <c r="AE13" s="128" t="str">
        <f t="shared" si="10"/>
        <v>Alto</v>
      </c>
      <c r="AF13" s="468"/>
      <c r="AG13" s="471"/>
      <c r="AH13" s="471"/>
      <c r="AI13" s="460"/>
      <c r="AJ13" s="500"/>
      <c r="AK13" s="471"/>
      <c r="AL13" s="503"/>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row>
    <row r="14" spans="1:66" ht="57.6" x14ac:dyDescent="0.3">
      <c r="A14" s="434"/>
      <c r="B14" s="471"/>
      <c r="C14" s="471"/>
      <c r="D14" s="495"/>
      <c r="E14" s="120" t="s">
        <v>219</v>
      </c>
      <c r="F14" s="496"/>
      <c r="G14" s="496"/>
      <c r="H14" s="463"/>
      <c r="I14" s="482"/>
      <c r="J14" s="476"/>
      <c r="K14" s="478"/>
      <c r="L14" s="484"/>
      <c r="M14" s="428">
        <f>IF(NOT(ISERROR(MATCH(L14,_xlfn.ANCHORARRAY(#REF!),0))),#REF!&amp;"Por favor no seleccionar los criterios de impacto",L14)</f>
        <v>0</v>
      </c>
      <c r="N14" s="476"/>
      <c r="O14" s="478"/>
      <c r="P14" s="480"/>
      <c r="Q14" s="121">
        <v>5</v>
      </c>
      <c r="R14" s="109" t="s">
        <v>227</v>
      </c>
      <c r="S14" s="122" t="str">
        <f t="shared" si="4"/>
        <v>Probabilidad</v>
      </c>
      <c r="T14" s="123" t="s">
        <v>15</v>
      </c>
      <c r="U14" s="123" t="s">
        <v>9</v>
      </c>
      <c r="V14" s="124" t="str">
        <f t="shared" si="5"/>
        <v>30%</v>
      </c>
      <c r="W14" s="123" t="s">
        <v>19</v>
      </c>
      <c r="X14" s="123" t="s">
        <v>22</v>
      </c>
      <c r="Y14" s="123" t="s">
        <v>114</v>
      </c>
      <c r="Z14" s="125">
        <f t="shared" si="11"/>
        <v>6.3504000000000005E-2</v>
      </c>
      <c r="AA14" s="126" t="str">
        <f t="shared" si="6"/>
        <v>Muy Baja</v>
      </c>
      <c r="AB14" s="127">
        <f t="shared" si="7"/>
        <v>6.3504000000000005E-2</v>
      </c>
      <c r="AC14" s="126" t="str">
        <f t="shared" si="8"/>
        <v>Mayor</v>
      </c>
      <c r="AD14" s="127">
        <f t="shared" si="9"/>
        <v>0.8</v>
      </c>
      <c r="AE14" s="128" t="str">
        <f t="shared" si="10"/>
        <v>Alto</v>
      </c>
      <c r="AF14" s="469"/>
      <c r="AG14" s="472"/>
      <c r="AH14" s="472"/>
      <c r="AI14" s="461"/>
      <c r="AJ14" s="501"/>
      <c r="AK14" s="472"/>
      <c r="AL14" s="504"/>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row>
    <row r="15" spans="1:66" ht="91.5" customHeight="1" x14ac:dyDescent="0.3">
      <c r="A15" s="433">
        <v>2</v>
      </c>
      <c r="B15" s="470" t="s">
        <v>128</v>
      </c>
      <c r="C15" s="470" t="s">
        <v>220</v>
      </c>
      <c r="D15" s="494" t="s">
        <v>235</v>
      </c>
      <c r="E15" s="120" t="s">
        <v>231</v>
      </c>
      <c r="F15" s="496" t="s">
        <v>249</v>
      </c>
      <c r="G15" s="473" t="s">
        <v>234</v>
      </c>
      <c r="H15" s="462" t="s">
        <v>118</v>
      </c>
      <c r="I15" s="481">
        <v>360</v>
      </c>
      <c r="J15" s="475" t="str">
        <f>IF(I15&lt;=0,"",IF(I15&lt;=2,"Muy Baja",IF(I15&lt;=24,"Baja",IF(I15&lt;=500,"Media",IF(I15&lt;=5000,"Alta","Muy Alta")))))</f>
        <v>Media</v>
      </c>
      <c r="K15" s="477">
        <f>IF(J15="","",IF(J15="Muy Baja",0.2,IF(J15="Baja",0.4,IF(J15="Media",0.6,IF(J15="Alta",0.8,IF(J15="Muy Alta",1,))))))</f>
        <v>0.6</v>
      </c>
      <c r="L15" s="483" t="s">
        <v>145</v>
      </c>
      <c r="M15" s="477" t="str">
        <f>IF(NOT(ISERROR(MATCH(L15,'Tabla Impacto'!$B$221:$B$223,0))),'Tabla Impacto'!$F$223&amp;"Por favor no seleccionar los criterios de impacto(Afectación Económica o presupuestal y Pérdida Reputacional)",L15)</f>
        <v xml:space="preserve">     El riesgo afecta la imagen de de la entidad con efecto publicitario sostenido a nivel de sector administrativo, nivel departamental o municipal</v>
      </c>
      <c r="N15" s="475" t="str">
        <f>IF(OR(M15='Tabla Impacto'!$C$11,M15='Tabla Impacto'!$D$11),"Leve",IF(OR(M15='Tabla Impacto'!$C$12,M15='Tabla Impacto'!$D$12),"Menor",IF(OR(M15='Tabla Impacto'!$C$13,M15='Tabla Impacto'!$D$13),"Moderado",IF(OR(M15='Tabla Impacto'!$C$14,M15='Tabla Impacto'!$D$14),"Mayor",IF(OR(M15='Tabla Impacto'!$C$15,M15='Tabla Impacto'!$D$15),"Catastrófico","")))))</f>
        <v>Mayor</v>
      </c>
      <c r="O15" s="477">
        <f>IF(N15="","",IF(N15="Leve",0.2,IF(N15="Menor",0.4,IF(N15="Moderado",0.6,IF(N15="Mayor",0.8,IF(N15="Catastrófico",1,))))))</f>
        <v>0.8</v>
      </c>
      <c r="P15" s="479" t="str">
        <f>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Alto</v>
      </c>
      <c r="Q15" s="160">
        <v>1</v>
      </c>
      <c r="R15" s="161" t="s">
        <v>251</v>
      </c>
      <c r="S15" s="122" t="str">
        <f>IF(OR(T15="Preventivo",T15="Detectivo"),"Probabilidad",IF(T15="Correctivo","Impacto",""))</f>
        <v>Probabilidad</v>
      </c>
      <c r="T15" s="123" t="s">
        <v>14</v>
      </c>
      <c r="U15" s="123" t="s">
        <v>9</v>
      </c>
      <c r="V15" s="124" t="str">
        <f>IF(AND(T15="Preventivo",U15="Automático"),"50%",IF(AND(T15="Preventivo",U15="Manual"),"40%",IF(AND(T15="Detectivo",U15="Automático"),"40%",IF(AND(T15="Detectivo",U15="Manual"),"30%",IF(AND(T15="Correctivo",U15="Automático"),"35%",IF(AND(T15="Correctivo",U15="Manual"),"25%",""))))))</f>
        <v>40%</v>
      </c>
      <c r="W15" s="123" t="s">
        <v>20</v>
      </c>
      <c r="X15" s="123" t="s">
        <v>22</v>
      </c>
      <c r="Y15" s="123" t="s">
        <v>114</v>
      </c>
      <c r="Z15" s="137">
        <f>IFERROR(IF(S15="Probabilidad",(K15-(+K15*V15)),IF(S15="Impacto",K15,"")),"")</f>
        <v>0.36</v>
      </c>
      <c r="AA15" s="138" t="str">
        <f>IFERROR(IF(Z15="","",IF(Z15&lt;=0.2,"Muy Baja",IF(Z15&lt;=0.4,"Baja",IF(Z15&lt;=0.6,"Media",IF(Z15&lt;=0.8,"Alta","Muy Alta"))))),"")</f>
        <v>Baja</v>
      </c>
      <c r="AB15" s="139">
        <f t="shared" ref="AB15:AB18" si="12">+Z15</f>
        <v>0.36</v>
      </c>
      <c r="AC15" s="138" t="str">
        <f>IFERROR(IF(AD15="","",IF(AD15&lt;=0.2,"Leve",IF(AD15&lt;=0.4,"Menor",IF(AD15&lt;=0.6,"Moderado",IF(AD15&lt;=0.8,"Mayor","Catastrófico"))))),"")</f>
        <v>Mayor</v>
      </c>
      <c r="AD15" s="139">
        <f>IFERROR(IF(S15="Impacto",(O15-(+O15*V15)),IF(S15="Probabilidad",O15,"")),"")</f>
        <v>0.8</v>
      </c>
      <c r="AE15" s="140" t="str">
        <f>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467" t="s">
        <v>130</v>
      </c>
      <c r="AG15" s="470" t="s">
        <v>238</v>
      </c>
      <c r="AH15" s="470" t="s">
        <v>239</v>
      </c>
      <c r="AI15" s="459" t="s">
        <v>256</v>
      </c>
      <c r="AJ15" s="499" t="s">
        <v>313</v>
      </c>
      <c r="AK15" s="470" t="s">
        <v>254</v>
      </c>
      <c r="AL15" s="502" t="s">
        <v>41</v>
      </c>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row>
    <row r="16" spans="1:66" ht="104.25" customHeight="1" x14ac:dyDescent="0.3">
      <c r="A16" s="434"/>
      <c r="B16" s="471"/>
      <c r="C16" s="471"/>
      <c r="D16" s="495"/>
      <c r="E16" s="120" t="s">
        <v>236</v>
      </c>
      <c r="F16" s="496"/>
      <c r="G16" s="474"/>
      <c r="H16" s="463"/>
      <c r="I16" s="482"/>
      <c r="J16" s="476"/>
      <c r="K16" s="478"/>
      <c r="L16" s="484"/>
      <c r="M16" s="478">
        <f>IF(NOT(ISERROR(MATCH(L16,_xlfn.ANCHORARRAY(F15),0))),#REF!&amp;"Por favor no seleccionar los criterios de impacto",L16)</f>
        <v>0</v>
      </c>
      <c r="N16" s="476"/>
      <c r="O16" s="478"/>
      <c r="P16" s="480"/>
      <c r="Q16" s="160">
        <v>2</v>
      </c>
      <c r="R16" s="161" t="s">
        <v>250</v>
      </c>
      <c r="S16" s="122" t="str">
        <f>IF(OR(T16="Preventivo",T16="Detectivo"),"Probabilidad",IF(T16="Correctivo","Impacto",""))</f>
        <v>Probabilidad</v>
      </c>
      <c r="T16" s="123" t="s">
        <v>14</v>
      </c>
      <c r="U16" s="123" t="s">
        <v>9</v>
      </c>
      <c r="V16" s="124" t="str">
        <f t="shared" ref="V16" si="13">IF(AND(T16="Preventivo",U16="Automático"),"50%",IF(AND(T16="Preventivo",U16="Manual"),"40%",IF(AND(T16="Detectivo",U16="Automático"),"40%",IF(AND(T16="Detectivo",U16="Manual"),"30%",IF(AND(T16="Correctivo",U16="Automático"),"35%",IF(AND(T16="Correctivo",U16="Manual"),"25%",""))))))</f>
        <v>40%</v>
      </c>
      <c r="W16" s="123" t="s">
        <v>20</v>
      </c>
      <c r="X16" s="123" t="s">
        <v>23</v>
      </c>
      <c r="Y16" s="123" t="s">
        <v>114</v>
      </c>
      <c r="Z16" s="137">
        <f>IFERROR(IF(AND(S15="Probabilidad",S16="Probabilidad"),(AB15-(+AB15*V16)),IF(AND(S15="Impacto",S16="Probabilidad"),(K15-(+K15*V16)),IF(S16="Impacto",AB15,""))),"")</f>
        <v>0.216</v>
      </c>
      <c r="AA16" s="138" t="str">
        <f t="shared" ref="AA16" si="14">IFERROR(IF(Z16="","",IF(Z16&lt;=0.2,"Muy Baja",IF(Z16&lt;=0.4,"Baja",IF(Z16&lt;=0.6,"Media",IF(Z16&lt;=0.8,"Alta","Muy Alta"))))),"")</f>
        <v>Baja</v>
      </c>
      <c r="AB16" s="139">
        <f t="shared" si="12"/>
        <v>0.216</v>
      </c>
      <c r="AC16" s="138" t="str">
        <f t="shared" ref="AC16" si="15">IFERROR(IF(AD16="","",IF(AD16&lt;=0.2,"Leve",IF(AD16&lt;=0.4,"Menor",IF(AD16&lt;=0.6,"Moderado",IF(AD16&lt;=0.8,"Mayor","Catastrófico"))))),"")</f>
        <v>Mayor</v>
      </c>
      <c r="AD16" s="139">
        <f>IFERROR(IF(AND(S15="Impacto",S16="Impacto"),(AD15-(+AD15*V16)),IF(AND(S15="Probabilidad",S16="Impacto"),(O15-(+O15*V16)),IF(S16="Probabilidad",AD15,""))),"")</f>
        <v>0.8</v>
      </c>
      <c r="AE16" s="140" t="str">
        <f t="shared" ref="AE16" si="16">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Alto</v>
      </c>
      <c r="AF16" s="468"/>
      <c r="AG16" s="471"/>
      <c r="AH16" s="471"/>
      <c r="AI16" s="460"/>
      <c r="AJ16" s="500"/>
      <c r="AK16" s="471"/>
      <c r="AL16" s="503"/>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row>
    <row r="17" spans="1:66" ht="85.5" customHeight="1" x14ac:dyDescent="0.3">
      <c r="A17" s="434"/>
      <c r="B17" s="471"/>
      <c r="C17" s="471"/>
      <c r="D17" s="495"/>
      <c r="E17" s="120" t="s">
        <v>237</v>
      </c>
      <c r="F17" s="496"/>
      <c r="G17" s="474"/>
      <c r="H17" s="463"/>
      <c r="I17" s="482"/>
      <c r="J17" s="476"/>
      <c r="K17" s="478"/>
      <c r="L17" s="484"/>
      <c r="M17" s="478"/>
      <c r="N17" s="476"/>
      <c r="O17" s="478"/>
      <c r="P17" s="480"/>
      <c r="Q17" s="160">
        <v>3</v>
      </c>
      <c r="R17" s="162" t="s">
        <v>252</v>
      </c>
      <c r="S17" s="122" t="str">
        <f t="shared" ref="S17:S18" si="17">IF(OR(T17="Preventivo",T17="Detectivo"),"Probabilidad",IF(T17="Correctivo","Impacto",""))</f>
        <v>Probabilidad</v>
      </c>
      <c r="T17" s="123" t="s">
        <v>15</v>
      </c>
      <c r="U17" s="123" t="s">
        <v>10</v>
      </c>
      <c r="V17" s="124" t="str">
        <f t="shared" ref="V17:V18" si="18">IF(AND(T17="Preventivo",U17="Automático"),"50%",IF(AND(T17="Preventivo",U17="Manual"),"40%",IF(AND(T17="Detectivo",U17="Automático"),"40%",IF(AND(T17="Detectivo",U17="Manual"),"30%",IF(AND(T17="Correctivo",U17="Automático"),"35%",IF(AND(T17="Correctivo",U17="Manual"),"25%",""))))))</f>
        <v>40%</v>
      </c>
      <c r="W17" s="123" t="s">
        <v>19</v>
      </c>
      <c r="X17" s="123" t="s">
        <v>22</v>
      </c>
      <c r="Y17" s="123" t="s">
        <v>114</v>
      </c>
      <c r="Z17" s="137">
        <f>IFERROR(IF(AND(S16="Probabilidad",S17="Probabilidad"),(AB16-(+AB16*V17)),IF(AND(S16="Impacto",S17="Probabilidad"),(K16-(+K16*V17)),IF(S17="Impacto",AB16,""))),"")</f>
        <v>0.12959999999999999</v>
      </c>
      <c r="AA17" s="138" t="str">
        <f t="shared" ref="AA17" si="19">IFERROR(IF(Z17="","",IF(Z17&lt;=0.2,"Muy Baja",IF(Z17&lt;=0.4,"Baja",IF(Z17&lt;=0.6,"Media",IF(Z17&lt;=0.8,"Alta","Muy Alta"))))),"")</f>
        <v>Muy Baja</v>
      </c>
      <c r="AB17" s="139">
        <f t="shared" si="12"/>
        <v>0.12959999999999999</v>
      </c>
      <c r="AC17" s="138" t="str">
        <f t="shared" ref="AC17" si="20">IFERROR(IF(AD17="","",IF(AD17&lt;=0.2,"Leve",IF(AD17&lt;=0.4,"Menor",IF(AD17&lt;=0.6,"Moderado",IF(AD17&lt;=0.8,"Mayor","Catastrófico"))))),"")</f>
        <v>Mayor</v>
      </c>
      <c r="AD17" s="139">
        <f>IFERROR(IF(AND(S16="Impacto",S17="Impacto"),(AD16-(+AD16*V17)),IF(AND(S16="Probabilidad",S17="Impacto"),(O16-(+O16*V17)),IF(S17="Probabilidad",AD16,""))),"")</f>
        <v>0.8</v>
      </c>
      <c r="AE17" s="140" t="str">
        <f t="shared" ref="AE17" si="21">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Alto</v>
      </c>
      <c r="AF17" s="468"/>
      <c r="AG17" s="471"/>
      <c r="AH17" s="471"/>
      <c r="AI17" s="460"/>
      <c r="AJ17" s="500"/>
      <c r="AK17" s="471"/>
      <c r="AL17" s="503"/>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row>
    <row r="18" spans="1:66" ht="87" customHeight="1" x14ac:dyDescent="0.3">
      <c r="A18" s="434"/>
      <c r="B18" s="471"/>
      <c r="C18" s="471"/>
      <c r="D18" s="495"/>
      <c r="E18" s="120" t="s">
        <v>233</v>
      </c>
      <c r="F18" s="496"/>
      <c r="G18" s="474"/>
      <c r="H18" s="463"/>
      <c r="I18" s="482"/>
      <c r="J18" s="476"/>
      <c r="K18" s="478"/>
      <c r="L18" s="484"/>
      <c r="M18" s="478"/>
      <c r="N18" s="476"/>
      <c r="O18" s="478"/>
      <c r="P18" s="480"/>
      <c r="Q18" s="160">
        <v>4</v>
      </c>
      <c r="R18" s="162" t="s">
        <v>253</v>
      </c>
      <c r="S18" s="122" t="str">
        <f t="shared" si="17"/>
        <v>Probabilidad</v>
      </c>
      <c r="T18" s="123" t="s">
        <v>14</v>
      </c>
      <c r="U18" s="123" t="s">
        <v>9</v>
      </c>
      <c r="V18" s="124" t="str">
        <f t="shared" si="18"/>
        <v>40%</v>
      </c>
      <c r="W18" s="123" t="s">
        <v>20</v>
      </c>
      <c r="X18" s="123" t="s">
        <v>23</v>
      </c>
      <c r="Y18" s="123" t="s">
        <v>114</v>
      </c>
      <c r="Z18" s="137">
        <f>IFERROR(IF(AND(S17="Probabilidad",S18="Probabilidad"),(AB17-(+AB17*V18)),IF(AND(S17="Impacto",S18="Probabilidad"),(K17-(+K17*V18)),IF(S18="Impacto",AB17,""))),"")</f>
        <v>7.7759999999999996E-2</v>
      </c>
      <c r="AA18" s="138" t="str">
        <f t="shared" ref="AA18" si="22">IFERROR(IF(Z18="","",IF(Z18&lt;=0.2,"Muy Baja",IF(Z18&lt;=0.4,"Baja",IF(Z18&lt;=0.6,"Media",IF(Z18&lt;=0.8,"Alta","Muy Alta"))))),"")</f>
        <v>Muy Baja</v>
      </c>
      <c r="AB18" s="139">
        <f t="shared" si="12"/>
        <v>7.7759999999999996E-2</v>
      </c>
      <c r="AC18" s="138" t="str">
        <f t="shared" ref="AC18" si="23">IFERROR(IF(AD18="","",IF(AD18&lt;=0.2,"Leve",IF(AD18&lt;=0.4,"Menor",IF(AD18&lt;=0.6,"Moderado",IF(AD18&lt;=0.8,"Mayor","Catastrófico"))))),"")</f>
        <v>Mayor</v>
      </c>
      <c r="AD18" s="139">
        <f>IFERROR(IF(AND(S17="Impacto",S18="Impacto"),(AD17-(+AD17*V18)),IF(AND(S17="Probabilidad",S18="Impacto"),(O17-(+O17*V18)),IF(S18="Probabilidad",AD17,""))),"")</f>
        <v>0.8</v>
      </c>
      <c r="AE18" s="140" t="str">
        <f t="shared" ref="AE18" si="24">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Alto</v>
      </c>
      <c r="AF18" s="468"/>
      <c r="AG18" s="471"/>
      <c r="AH18" s="471"/>
      <c r="AI18" s="461"/>
      <c r="AJ18" s="501"/>
      <c r="AK18" s="472"/>
      <c r="AL18" s="504"/>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row>
    <row r="19" spans="1:66" ht="26.25" customHeight="1" x14ac:dyDescent="0.3">
      <c r="A19" s="433"/>
      <c r="B19" s="436"/>
      <c r="C19" s="436"/>
      <c r="D19" s="451"/>
      <c r="E19" s="142"/>
      <c r="F19" s="458"/>
      <c r="G19" s="148"/>
      <c r="H19" s="455"/>
      <c r="I19" s="442"/>
      <c r="J19" s="445" t="str">
        <f t="shared" ref="J19" si="25">IF(I19&lt;=0,"",IF(I19&lt;=2,"Muy Baja",IF(I19&lt;=24,"Baja",IF(I19&lt;=500,"Media",IF(I19&lt;=5000,"Alta","Muy Alta")))))</f>
        <v/>
      </c>
      <c r="K19" s="427" t="str">
        <f t="shared" ref="K19" si="26">IF(J19="","",IF(J19="Muy Baja",0.2,IF(J19="Baja",0.4,IF(J19="Media",0.6,IF(J19="Alta",0.8,IF(J19="Muy Alta",1,))))))</f>
        <v/>
      </c>
      <c r="L19" s="448"/>
      <c r="M19" s="427">
        <f>IF(NOT(ISERROR(MATCH(L19,'Tabla Impacto'!$B$221:$B$223,0))),'Tabla Impacto'!$F$223&amp;"Por favor no seleccionar los criterios de impacto(Afectación Económica o presupuestal y Pérdida Reputacional)",L19)</f>
        <v>0</v>
      </c>
      <c r="N19" s="445" t="str">
        <f>IF(OR(M19='Tabla Impacto'!$C$11,M19='Tabla Impacto'!$D$11),"Leve",IF(OR(M19='Tabla Impacto'!$C$12,M19='Tabla Impacto'!$D$12),"Menor",IF(OR(M19='Tabla Impacto'!$C$13,M19='Tabla Impacto'!$D$13),"Moderado",IF(OR(M19='Tabla Impacto'!$C$14,M19='Tabla Impacto'!$D$14),"Mayor",IF(OR(M19='Tabla Impacto'!$C$15,M19='Tabla Impacto'!$D$15),"Catastrófico","")))))</f>
        <v/>
      </c>
      <c r="O19" s="427" t="str">
        <f t="shared" ref="O19" si="27">IF(N19="","",IF(N19="Leve",0.2,IF(N19="Menor",0.4,IF(N19="Moderado",0.6,IF(N19="Mayor",0.8,IF(N19="Catastrófico",1,))))))</f>
        <v/>
      </c>
      <c r="P19" s="430" t="str">
        <f t="shared" ref="P19" si="28">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34">
        <v>1</v>
      </c>
      <c r="R19" s="91"/>
      <c r="S19" s="144" t="str">
        <f>IF(OR(T19="Preventivo",T19="Detectivo"),"Probabilidad",IF(T19="Correctivo","Impacto",""))</f>
        <v/>
      </c>
      <c r="T19" s="135"/>
      <c r="U19" s="135"/>
      <c r="V19" s="136" t="str">
        <f>IF(AND(T19="Preventivo",U19="Automático"),"50%",IF(AND(T19="Preventivo",U19="Manual"),"40%",IF(AND(T19="Detectivo",U19="Automático"),"40%",IF(AND(T19="Detectivo",U19="Manual"),"30%",IF(AND(T19="Correctivo",U19="Automático"),"35%",IF(AND(T19="Correctivo",U19="Manual"),"25%",""))))))</f>
        <v/>
      </c>
      <c r="W19" s="135"/>
      <c r="X19" s="135"/>
      <c r="Y19" s="135"/>
      <c r="Z19" s="137" t="str">
        <f>IFERROR(IF(S19="Probabilidad",(K19-(+K19*V19)),IF(S19="Impacto",K19,"")),"")</f>
        <v/>
      </c>
      <c r="AA19" s="138" t="str">
        <f>IFERROR(IF(Z19="","",IF(Z19&lt;=0.2,"Muy Baja",IF(Z19&lt;=0.4,"Baja",IF(Z19&lt;=0.6,"Media",IF(Z19&lt;=0.8,"Alta","Muy Alta"))))),"")</f>
        <v/>
      </c>
      <c r="AB19" s="139" t="str">
        <f>+Z19</f>
        <v/>
      </c>
      <c r="AC19" s="138" t="str">
        <f>IFERROR(IF(AD19="","",IF(AD19&lt;=0.2,"Leve",IF(AD19&lt;=0.4,"Menor",IF(AD19&lt;=0.6,"Moderado",IF(AD19&lt;=0.8,"Mayor","Catastrófico"))))),"")</f>
        <v/>
      </c>
      <c r="AD19" s="139" t="str">
        <f>IFERROR(IF(S19="Impacto",(O19-(+O19*V19)),IF(S19="Probabilidad",O19,"")),"")</f>
        <v/>
      </c>
      <c r="AE19" s="140"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41"/>
      <c r="AG19" s="110"/>
      <c r="AH19" s="130"/>
      <c r="AI19" s="129"/>
      <c r="AJ19" s="146"/>
      <c r="AK19" s="147"/>
      <c r="AL19" s="145"/>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row>
    <row r="20" spans="1:66" ht="26.25" customHeight="1" x14ac:dyDescent="0.3">
      <c r="A20" s="434"/>
      <c r="B20" s="437"/>
      <c r="C20" s="437"/>
      <c r="D20" s="452"/>
      <c r="E20" s="142"/>
      <c r="F20" s="458"/>
      <c r="G20" s="148"/>
      <c r="H20" s="456"/>
      <c r="I20" s="443"/>
      <c r="J20" s="446"/>
      <c r="K20" s="428"/>
      <c r="L20" s="449"/>
      <c r="M20" s="428">
        <f>IF(NOT(ISERROR(MATCH(L20,_xlfn.ANCHORARRAY(F31),0))),K33&amp;"Por favor no seleccionar los criterios de impacto",L20)</f>
        <v>0</v>
      </c>
      <c r="N20" s="446"/>
      <c r="O20" s="428"/>
      <c r="P20" s="431"/>
      <c r="Q20" s="134">
        <v>2</v>
      </c>
      <c r="R20" s="91"/>
      <c r="S20" s="144" t="str">
        <f>IF(OR(T20="Preventivo",T20="Detectivo"),"Probabilidad",IF(T20="Correctivo","Impacto",""))</f>
        <v/>
      </c>
      <c r="T20" s="135"/>
      <c r="U20" s="135"/>
      <c r="V20" s="136" t="str">
        <f t="shared" ref="V20:V24" si="29">IF(AND(T20="Preventivo",U20="Automático"),"50%",IF(AND(T20="Preventivo",U20="Manual"),"40%",IF(AND(T20="Detectivo",U20="Automático"),"40%",IF(AND(T20="Detectivo",U20="Manual"),"30%",IF(AND(T20="Correctivo",U20="Automático"),"35%",IF(AND(T20="Correctivo",U20="Manual"),"25%",""))))))</f>
        <v/>
      </c>
      <c r="W20" s="135"/>
      <c r="X20" s="135"/>
      <c r="Y20" s="135"/>
      <c r="Z20" s="137" t="str">
        <f>IFERROR(IF(AND(S19="Probabilidad",S20="Probabilidad"),(AB19-(+AB19*V20)),IF(AND(S19="Impacto",S20="Probabilidad"),(K19-(+K19*V20)),IF(S20="Impacto",AB19,""))),"")</f>
        <v/>
      </c>
      <c r="AA20" s="138" t="str">
        <f t="shared" ref="AA20:AA24" si="30">IFERROR(IF(Z20="","",IF(Z20&lt;=0.2,"Muy Baja",IF(Z20&lt;=0.4,"Baja",IF(Z20&lt;=0.6,"Media",IF(Z20&lt;=0.8,"Alta","Muy Alta"))))),"")</f>
        <v/>
      </c>
      <c r="AB20" s="139" t="str">
        <f>+Z20</f>
        <v/>
      </c>
      <c r="AC20" s="138" t="str">
        <f t="shared" ref="AC20:AC24" si="31">IFERROR(IF(AD20="","",IF(AD20&lt;=0.2,"Leve",IF(AD20&lt;=0.4,"Menor",IF(AD20&lt;=0.6,"Moderado",IF(AD20&lt;=0.8,"Mayor","Catastrófico"))))),"")</f>
        <v/>
      </c>
      <c r="AD20" s="139" t="str">
        <f>IFERROR(IF(AND(S19="Impacto",S20="Impacto"),(AD19-(+AD19*V20)),IF(AND(S19="Probabilidad",S20="Impacto"),(O19-(+O19*V20)),IF(S20="Probabilidad",AD19,""))),"")</f>
        <v/>
      </c>
      <c r="AE20" s="140" t="str">
        <f t="shared" ref="AE20:AE24" si="32">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41"/>
      <c r="AG20" s="110"/>
      <c r="AH20" s="130"/>
      <c r="AI20" s="129"/>
      <c r="AJ20" s="129"/>
      <c r="AK20" s="110"/>
      <c r="AL20" s="130"/>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row>
    <row r="21" spans="1:66" ht="26.25" customHeight="1" x14ac:dyDescent="0.3">
      <c r="A21" s="434"/>
      <c r="B21" s="437"/>
      <c r="C21" s="437"/>
      <c r="D21" s="452"/>
      <c r="E21" s="142"/>
      <c r="F21" s="458"/>
      <c r="G21" s="148"/>
      <c r="H21" s="456"/>
      <c r="I21" s="443"/>
      <c r="J21" s="446"/>
      <c r="K21" s="428"/>
      <c r="L21" s="449"/>
      <c r="M21" s="428">
        <f>IF(NOT(ISERROR(MATCH(L21,_xlfn.ANCHORARRAY(F32),0))),K34&amp;"Por favor no seleccionar los criterios de impacto",L21)</f>
        <v>0</v>
      </c>
      <c r="N21" s="446"/>
      <c r="O21" s="428"/>
      <c r="P21" s="431"/>
      <c r="Q21" s="134">
        <v>3</v>
      </c>
      <c r="R21" s="143"/>
      <c r="S21" s="144" t="str">
        <f t="shared" ref="S21:S24" si="33">IF(OR(T21="Preventivo",T21="Detectivo"),"Probabilidad",IF(T21="Correctivo","Impacto",""))</f>
        <v/>
      </c>
      <c r="T21" s="135"/>
      <c r="U21" s="135"/>
      <c r="V21" s="136" t="str">
        <f t="shared" si="29"/>
        <v/>
      </c>
      <c r="W21" s="135"/>
      <c r="X21" s="135"/>
      <c r="Y21" s="135"/>
      <c r="Z21" s="137" t="str">
        <f>IFERROR(IF(AND(S20="Probabilidad",S21="Probabilidad"),(AB20-(+AB20*V21)),IF(AND(S20="Impacto",S21="Probabilidad"),(AB19-(+AB19*V21)),IF(S21="Impacto",AB20,""))),"")</f>
        <v/>
      </c>
      <c r="AA21" s="138" t="str">
        <f t="shared" si="30"/>
        <v/>
      </c>
      <c r="AB21" s="139" t="str">
        <f t="shared" ref="AB21:AB24" si="34">+Z21</f>
        <v/>
      </c>
      <c r="AC21" s="138" t="str">
        <f t="shared" si="31"/>
        <v/>
      </c>
      <c r="AD21" s="139" t="str">
        <f t="shared" ref="AD21:AD24" si="35">IFERROR(IF(AND(S20="Impacto",S21="Impacto"),(AD20-(+AD20*V21)),IF(AND(S20="Probabilidad",S21="Impacto"),(AD19-(+AD19*V21)),IF(S21="Probabilidad",AD20,""))),"")</f>
        <v/>
      </c>
      <c r="AE21" s="140" t="str">
        <f t="shared" si="32"/>
        <v/>
      </c>
      <c r="AF21" s="141"/>
      <c r="AG21" s="110"/>
      <c r="AH21" s="130"/>
      <c r="AI21" s="129"/>
      <c r="AJ21" s="129"/>
      <c r="AK21" s="110"/>
      <c r="AL21" s="130"/>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row>
    <row r="22" spans="1:66" ht="26.25" customHeight="1" x14ac:dyDescent="0.3">
      <c r="A22" s="434"/>
      <c r="B22" s="437"/>
      <c r="C22" s="437"/>
      <c r="D22" s="452"/>
      <c r="E22" s="142"/>
      <c r="F22" s="458"/>
      <c r="G22" s="148"/>
      <c r="H22" s="456"/>
      <c r="I22" s="443"/>
      <c r="J22" s="446"/>
      <c r="K22" s="428"/>
      <c r="L22" s="449"/>
      <c r="M22" s="428">
        <f>IF(NOT(ISERROR(MATCH(L22,_xlfn.ANCHORARRAY(F33),0))),K35&amp;"Por favor no seleccionar los criterios de impacto",L22)</f>
        <v>0</v>
      </c>
      <c r="N22" s="446"/>
      <c r="O22" s="428"/>
      <c r="P22" s="431"/>
      <c r="Q22" s="134">
        <v>4</v>
      </c>
      <c r="R22" s="91"/>
      <c r="S22" s="144" t="str">
        <f t="shared" si="33"/>
        <v/>
      </c>
      <c r="T22" s="135"/>
      <c r="U22" s="135"/>
      <c r="V22" s="136" t="str">
        <f t="shared" si="29"/>
        <v/>
      </c>
      <c r="W22" s="135"/>
      <c r="X22" s="135"/>
      <c r="Y22" s="135"/>
      <c r="Z22" s="137" t="str">
        <f t="shared" ref="Z22:Z24" si="36">IFERROR(IF(AND(S21="Probabilidad",S22="Probabilidad"),(AB21-(+AB21*V22)),IF(AND(S21="Impacto",S22="Probabilidad"),(AB20-(+AB20*V22)),IF(S22="Impacto",AB21,""))),"")</f>
        <v/>
      </c>
      <c r="AA22" s="138" t="str">
        <f t="shared" si="30"/>
        <v/>
      </c>
      <c r="AB22" s="139" t="str">
        <f t="shared" si="34"/>
        <v/>
      </c>
      <c r="AC22" s="138" t="str">
        <f t="shared" si="31"/>
        <v/>
      </c>
      <c r="AD22" s="139" t="str">
        <f t="shared" si="35"/>
        <v/>
      </c>
      <c r="AE22" s="140" t="str">
        <f t="shared" si="32"/>
        <v/>
      </c>
      <c r="AF22" s="141"/>
      <c r="AG22" s="110"/>
      <c r="AH22" s="130"/>
      <c r="AI22" s="129"/>
      <c r="AJ22" s="129"/>
      <c r="AK22" s="110"/>
      <c r="AL22" s="130"/>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row>
    <row r="23" spans="1:66" ht="26.25" customHeight="1" x14ac:dyDescent="0.3">
      <c r="A23" s="434"/>
      <c r="B23" s="437"/>
      <c r="C23" s="437"/>
      <c r="D23" s="452"/>
      <c r="E23" s="142"/>
      <c r="F23" s="458"/>
      <c r="G23" s="148"/>
      <c r="H23" s="456"/>
      <c r="I23" s="443"/>
      <c r="J23" s="446"/>
      <c r="K23" s="428"/>
      <c r="L23" s="449"/>
      <c r="M23" s="428">
        <f>IF(NOT(ISERROR(MATCH(L23,_xlfn.ANCHORARRAY(F34),0))),K36&amp;"Por favor no seleccionar los criterios de impacto",L23)</f>
        <v>0</v>
      </c>
      <c r="N23" s="446"/>
      <c r="O23" s="428"/>
      <c r="P23" s="431"/>
      <c r="Q23" s="134">
        <v>5</v>
      </c>
      <c r="R23" s="91"/>
      <c r="S23" s="144" t="str">
        <f t="shared" si="33"/>
        <v/>
      </c>
      <c r="T23" s="135"/>
      <c r="U23" s="135"/>
      <c r="V23" s="136" t="str">
        <f t="shared" si="29"/>
        <v/>
      </c>
      <c r="W23" s="135"/>
      <c r="X23" s="135"/>
      <c r="Y23" s="135"/>
      <c r="Z23" s="137" t="str">
        <f t="shared" si="36"/>
        <v/>
      </c>
      <c r="AA23" s="138" t="str">
        <f t="shared" si="30"/>
        <v/>
      </c>
      <c r="AB23" s="139" t="str">
        <f t="shared" si="34"/>
        <v/>
      </c>
      <c r="AC23" s="138" t="str">
        <f t="shared" si="31"/>
        <v/>
      </c>
      <c r="AD23" s="139" t="str">
        <f t="shared" si="35"/>
        <v/>
      </c>
      <c r="AE23" s="140" t="str">
        <f t="shared" si="32"/>
        <v/>
      </c>
      <c r="AF23" s="141"/>
      <c r="AG23" s="110"/>
      <c r="AH23" s="130"/>
      <c r="AI23" s="129"/>
      <c r="AJ23" s="129"/>
      <c r="AK23" s="110"/>
      <c r="AL23" s="130"/>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row>
    <row r="24" spans="1:66" ht="26.25" customHeight="1" x14ac:dyDescent="0.3">
      <c r="A24" s="435"/>
      <c r="B24" s="438"/>
      <c r="C24" s="438"/>
      <c r="D24" s="453"/>
      <c r="E24" s="142"/>
      <c r="F24" s="458"/>
      <c r="G24" s="148"/>
      <c r="H24" s="457"/>
      <c r="I24" s="444"/>
      <c r="J24" s="447"/>
      <c r="K24" s="429"/>
      <c r="L24" s="450"/>
      <c r="M24" s="429">
        <f>IF(NOT(ISERROR(MATCH(L24,_xlfn.ANCHORARRAY(F35),0))),K37&amp;"Por favor no seleccionar los criterios de impacto",L24)</f>
        <v>0</v>
      </c>
      <c r="N24" s="447"/>
      <c r="O24" s="429"/>
      <c r="P24" s="432"/>
      <c r="Q24" s="134">
        <v>6</v>
      </c>
      <c r="R24" s="91"/>
      <c r="S24" s="144" t="str">
        <f t="shared" si="33"/>
        <v/>
      </c>
      <c r="T24" s="135"/>
      <c r="U24" s="135"/>
      <c r="V24" s="136" t="str">
        <f t="shared" si="29"/>
        <v/>
      </c>
      <c r="W24" s="135"/>
      <c r="X24" s="135"/>
      <c r="Y24" s="135"/>
      <c r="Z24" s="137" t="str">
        <f t="shared" si="36"/>
        <v/>
      </c>
      <c r="AA24" s="138" t="str">
        <f t="shared" si="30"/>
        <v/>
      </c>
      <c r="AB24" s="139" t="str">
        <f t="shared" si="34"/>
        <v/>
      </c>
      <c r="AC24" s="138" t="str">
        <f t="shared" si="31"/>
        <v/>
      </c>
      <c r="AD24" s="139" t="str">
        <f t="shared" si="35"/>
        <v/>
      </c>
      <c r="AE24" s="140" t="str">
        <f t="shared" si="32"/>
        <v/>
      </c>
      <c r="AF24" s="141"/>
      <c r="AG24" s="110"/>
      <c r="AH24" s="130"/>
      <c r="AI24" s="129"/>
      <c r="AJ24" s="129"/>
      <c r="AK24" s="110"/>
      <c r="AL24" s="130"/>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row>
    <row r="25" spans="1:66" ht="26.25" customHeight="1" x14ac:dyDescent="0.3">
      <c r="A25" s="433">
        <v>6</v>
      </c>
      <c r="B25" s="436"/>
      <c r="C25" s="436"/>
      <c r="D25" s="451"/>
      <c r="E25" s="142"/>
      <c r="F25" s="454"/>
      <c r="G25" s="148"/>
      <c r="H25" s="455"/>
      <c r="I25" s="442"/>
      <c r="J25" s="445" t="str">
        <f t="shared" ref="J25" si="37">IF(I25&lt;=0,"",IF(I25&lt;=2,"Muy Baja",IF(I25&lt;=24,"Baja",IF(I25&lt;=500,"Media",IF(I25&lt;=5000,"Alta","Muy Alta")))))</f>
        <v/>
      </c>
      <c r="K25" s="427" t="str">
        <f t="shared" ref="K25" si="38">IF(J25="","",IF(J25="Muy Baja",0.2,IF(J25="Baja",0.4,IF(J25="Media",0.6,IF(J25="Alta",0.8,IF(J25="Muy Alta",1,))))))</f>
        <v/>
      </c>
      <c r="L25" s="448"/>
      <c r="M25" s="427">
        <f>IF(NOT(ISERROR(MATCH(L25,'Tabla Impacto'!$B$221:$B$223,0))),'Tabla Impacto'!$F$223&amp;"Por favor no seleccionar los criterios de impacto(Afectación Económica o presupuestal y Pérdida Reputacional)",L25)</f>
        <v>0</v>
      </c>
      <c r="N25" s="445" t="str">
        <f>IF(OR(M25='Tabla Impacto'!$C$11,M25='Tabla Impacto'!$D$11),"Leve",IF(OR(M25='Tabla Impacto'!$C$12,M25='Tabla Impacto'!$D$12),"Menor",IF(OR(M25='Tabla Impacto'!$C$13,M25='Tabla Impacto'!$D$13),"Moderado",IF(OR(M25='Tabla Impacto'!$C$14,M25='Tabla Impacto'!$D$14),"Mayor",IF(OR(M25='Tabla Impacto'!$C$15,M25='Tabla Impacto'!$D$15),"Catastrófico","")))))</f>
        <v/>
      </c>
      <c r="O25" s="427" t="str">
        <f t="shared" ref="O25" si="39">IF(N25="","",IF(N25="Leve",0.2,IF(N25="Menor",0.4,IF(N25="Moderado",0.6,IF(N25="Mayor",0.8,IF(N25="Catastrófico",1,))))))</f>
        <v/>
      </c>
      <c r="P25" s="430" t="str">
        <f t="shared" ref="P25" si="40">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34">
        <v>1</v>
      </c>
      <c r="R25" s="91"/>
      <c r="S25" s="144" t="str">
        <f>IF(OR(T25="Preventivo",T25="Detectivo"),"Probabilidad",IF(T25="Correctivo","Impacto",""))</f>
        <v/>
      </c>
      <c r="T25" s="135"/>
      <c r="U25" s="135"/>
      <c r="V25" s="136" t="str">
        <f>IF(AND(T25="Preventivo",U25="Automático"),"50%",IF(AND(T25="Preventivo",U25="Manual"),"40%",IF(AND(T25="Detectivo",U25="Automático"),"40%",IF(AND(T25="Detectivo",U25="Manual"),"30%",IF(AND(T25="Correctivo",U25="Automático"),"35%",IF(AND(T25="Correctivo",U25="Manual"),"25%",""))))))</f>
        <v/>
      </c>
      <c r="W25" s="135"/>
      <c r="X25" s="135"/>
      <c r="Y25" s="135"/>
      <c r="Z25" s="137" t="str">
        <f>IFERROR(IF(S25="Probabilidad",(K25-(+K25*V25)),IF(S25="Impacto",K25,"")),"")</f>
        <v/>
      </c>
      <c r="AA25" s="138" t="str">
        <f>IFERROR(IF(Z25="","",IF(Z25&lt;=0.2,"Muy Baja",IF(Z25&lt;=0.4,"Baja",IF(Z25&lt;=0.6,"Media",IF(Z25&lt;=0.8,"Alta","Muy Alta"))))),"")</f>
        <v/>
      </c>
      <c r="AB25" s="139" t="str">
        <f>+Z25</f>
        <v/>
      </c>
      <c r="AC25" s="138" t="str">
        <f>IFERROR(IF(AD25="","",IF(AD25&lt;=0.2,"Leve",IF(AD25&lt;=0.4,"Menor",IF(AD25&lt;=0.6,"Moderado",IF(AD25&lt;=0.8,"Mayor","Catastrófico"))))),"")</f>
        <v/>
      </c>
      <c r="AD25" s="139" t="str">
        <f>IFERROR(IF(S25="Impacto",(O25-(+O25*V25)),IF(S25="Probabilidad",O25,"")),"")</f>
        <v/>
      </c>
      <c r="AE25" s="140"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41"/>
      <c r="AG25" s="110"/>
      <c r="AH25" s="130"/>
      <c r="AI25" s="129"/>
      <c r="AJ25" s="129"/>
      <c r="AK25" s="110"/>
      <c r="AL25" s="130"/>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row>
    <row r="26" spans="1:66" ht="26.25" customHeight="1" x14ac:dyDescent="0.3">
      <c r="A26" s="434"/>
      <c r="B26" s="437"/>
      <c r="C26" s="437"/>
      <c r="D26" s="452"/>
      <c r="E26" s="142"/>
      <c r="F26" s="454"/>
      <c r="G26" s="148"/>
      <c r="H26" s="456"/>
      <c r="I26" s="443"/>
      <c r="J26" s="446"/>
      <c r="K26" s="428"/>
      <c r="L26" s="449"/>
      <c r="M26" s="428">
        <f>IF(NOT(ISERROR(MATCH(L26,_xlfn.ANCHORARRAY(F37),0))),K39&amp;"Por favor no seleccionar los criterios de impacto",L26)</f>
        <v>0</v>
      </c>
      <c r="N26" s="446"/>
      <c r="O26" s="428"/>
      <c r="P26" s="431"/>
      <c r="Q26" s="134">
        <v>2</v>
      </c>
      <c r="R26" s="91"/>
      <c r="S26" s="144" t="str">
        <f>IF(OR(T26="Preventivo",T26="Detectivo"),"Probabilidad",IF(T26="Correctivo","Impacto",""))</f>
        <v/>
      </c>
      <c r="T26" s="135"/>
      <c r="U26" s="135"/>
      <c r="V26" s="136" t="str">
        <f t="shared" ref="V26:V30" si="41">IF(AND(T26="Preventivo",U26="Automático"),"50%",IF(AND(T26="Preventivo",U26="Manual"),"40%",IF(AND(T26="Detectivo",U26="Automático"),"40%",IF(AND(T26="Detectivo",U26="Manual"),"30%",IF(AND(T26="Correctivo",U26="Automático"),"35%",IF(AND(T26="Correctivo",U26="Manual"),"25%",""))))))</f>
        <v/>
      </c>
      <c r="W26" s="135"/>
      <c r="X26" s="135"/>
      <c r="Y26" s="135"/>
      <c r="Z26" s="137" t="str">
        <f>IFERROR(IF(AND(S25="Probabilidad",S26="Probabilidad"),(AB25-(+AB25*V26)),IF(AND(S25="Impacto",S26="Probabilidad"),(K25-(+K25*V26)),IF(S26="Impacto",AB25,""))),"")</f>
        <v/>
      </c>
      <c r="AA26" s="138" t="str">
        <f t="shared" ref="AA26:AA30" si="42">IFERROR(IF(Z26="","",IF(Z26&lt;=0.2,"Muy Baja",IF(Z26&lt;=0.4,"Baja",IF(Z26&lt;=0.6,"Media",IF(Z26&lt;=0.8,"Alta","Muy Alta"))))),"")</f>
        <v/>
      </c>
      <c r="AB26" s="139" t="str">
        <f>+Z26</f>
        <v/>
      </c>
      <c r="AC26" s="138" t="str">
        <f t="shared" ref="AC26:AC30" si="43">IFERROR(IF(AD26="","",IF(AD26&lt;=0.2,"Leve",IF(AD26&lt;=0.4,"Menor",IF(AD26&lt;=0.6,"Moderado",IF(AD26&lt;=0.8,"Mayor","Catastrófico"))))),"")</f>
        <v/>
      </c>
      <c r="AD26" s="139" t="str">
        <f>IFERROR(IF(AND(S25="Impacto",S26="Impacto"),(AD25-(+AD25*V26)),IF(AND(S25="Probabilidad",S26="Impacto"),(O25-(+O25*V26)),IF(S26="Probabilidad",AD25,""))),"")</f>
        <v/>
      </c>
      <c r="AE26" s="140" t="str">
        <f t="shared" ref="AE26:AE30" si="44">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41"/>
      <c r="AG26" s="110"/>
      <c r="AH26" s="130"/>
      <c r="AI26" s="129"/>
      <c r="AJ26" s="129"/>
      <c r="AK26" s="110"/>
      <c r="AL26" s="130"/>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row>
    <row r="27" spans="1:66" ht="26.25" customHeight="1" x14ac:dyDescent="0.3">
      <c r="A27" s="434"/>
      <c r="B27" s="437"/>
      <c r="C27" s="437"/>
      <c r="D27" s="452"/>
      <c r="E27" s="142"/>
      <c r="F27" s="454"/>
      <c r="G27" s="148"/>
      <c r="H27" s="456"/>
      <c r="I27" s="443"/>
      <c r="J27" s="446"/>
      <c r="K27" s="428"/>
      <c r="L27" s="449"/>
      <c r="M27" s="428">
        <f>IF(NOT(ISERROR(MATCH(L27,_xlfn.ANCHORARRAY(F38),0))),K40&amp;"Por favor no seleccionar los criterios de impacto",L27)</f>
        <v>0</v>
      </c>
      <c r="N27" s="446"/>
      <c r="O27" s="428"/>
      <c r="P27" s="431"/>
      <c r="Q27" s="134">
        <v>3</v>
      </c>
      <c r="R27" s="143"/>
      <c r="S27" s="144" t="str">
        <f t="shared" ref="S27:S30" si="45">IF(OR(T27="Preventivo",T27="Detectivo"),"Probabilidad",IF(T27="Correctivo","Impacto",""))</f>
        <v/>
      </c>
      <c r="T27" s="135"/>
      <c r="U27" s="135"/>
      <c r="V27" s="136" t="str">
        <f t="shared" si="41"/>
        <v/>
      </c>
      <c r="W27" s="135"/>
      <c r="X27" s="135"/>
      <c r="Y27" s="135"/>
      <c r="Z27" s="137" t="str">
        <f>IFERROR(IF(AND(S26="Probabilidad",S27="Probabilidad"),(AB26-(+AB26*V27)),IF(AND(S26="Impacto",S27="Probabilidad"),(AB25-(+AB25*V27)),IF(S27="Impacto",AB26,""))),"")</f>
        <v/>
      </c>
      <c r="AA27" s="138" t="str">
        <f t="shared" si="42"/>
        <v/>
      </c>
      <c r="AB27" s="139" t="str">
        <f t="shared" ref="AB27:AB30" si="46">+Z27</f>
        <v/>
      </c>
      <c r="AC27" s="138" t="str">
        <f t="shared" si="43"/>
        <v/>
      </c>
      <c r="AD27" s="139" t="str">
        <f t="shared" ref="AD27:AD30" si="47">IFERROR(IF(AND(S26="Impacto",S27="Impacto"),(AD26-(+AD26*V27)),IF(AND(S26="Probabilidad",S27="Impacto"),(AD25-(+AD25*V27)),IF(S27="Probabilidad",AD26,""))),"")</f>
        <v/>
      </c>
      <c r="AE27" s="140" t="str">
        <f t="shared" si="44"/>
        <v/>
      </c>
      <c r="AF27" s="141"/>
      <c r="AG27" s="110"/>
      <c r="AH27" s="130"/>
      <c r="AI27" s="129"/>
      <c r="AJ27" s="129"/>
      <c r="AK27" s="110"/>
      <c r="AL27" s="130"/>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row>
    <row r="28" spans="1:66" ht="26.25" customHeight="1" x14ac:dyDescent="0.3">
      <c r="A28" s="434"/>
      <c r="B28" s="437"/>
      <c r="C28" s="437"/>
      <c r="D28" s="452"/>
      <c r="E28" s="142"/>
      <c r="F28" s="454"/>
      <c r="G28" s="148"/>
      <c r="H28" s="456"/>
      <c r="I28" s="443"/>
      <c r="J28" s="446"/>
      <c r="K28" s="428"/>
      <c r="L28" s="449"/>
      <c r="M28" s="428">
        <f>IF(NOT(ISERROR(MATCH(L28,_xlfn.ANCHORARRAY(F39),0))),K41&amp;"Por favor no seleccionar los criterios de impacto",L28)</f>
        <v>0</v>
      </c>
      <c r="N28" s="446"/>
      <c r="O28" s="428"/>
      <c r="P28" s="431"/>
      <c r="Q28" s="134">
        <v>4</v>
      </c>
      <c r="R28" s="91"/>
      <c r="S28" s="144" t="str">
        <f t="shared" si="45"/>
        <v/>
      </c>
      <c r="T28" s="135"/>
      <c r="U28" s="135"/>
      <c r="V28" s="136" t="str">
        <f t="shared" si="41"/>
        <v/>
      </c>
      <c r="W28" s="135"/>
      <c r="X28" s="135"/>
      <c r="Y28" s="135"/>
      <c r="Z28" s="137" t="str">
        <f t="shared" ref="Z28:Z30" si="48">IFERROR(IF(AND(S27="Probabilidad",S28="Probabilidad"),(AB27-(+AB27*V28)),IF(AND(S27="Impacto",S28="Probabilidad"),(AB26-(+AB26*V28)),IF(S28="Impacto",AB27,""))),"")</f>
        <v/>
      </c>
      <c r="AA28" s="138" t="str">
        <f t="shared" si="42"/>
        <v/>
      </c>
      <c r="AB28" s="139" t="str">
        <f t="shared" si="46"/>
        <v/>
      </c>
      <c r="AC28" s="138" t="str">
        <f t="shared" si="43"/>
        <v/>
      </c>
      <c r="AD28" s="139" t="str">
        <f t="shared" si="47"/>
        <v/>
      </c>
      <c r="AE28" s="140" t="str">
        <f t="shared" si="44"/>
        <v/>
      </c>
      <c r="AF28" s="141"/>
      <c r="AG28" s="110"/>
      <c r="AH28" s="130"/>
      <c r="AI28" s="129"/>
      <c r="AJ28" s="129"/>
      <c r="AK28" s="110"/>
      <c r="AL28" s="130"/>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row>
    <row r="29" spans="1:66" ht="26.25" customHeight="1" x14ac:dyDescent="0.3">
      <c r="A29" s="434"/>
      <c r="B29" s="437"/>
      <c r="C29" s="437"/>
      <c r="D29" s="452"/>
      <c r="E29" s="142"/>
      <c r="F29" s="454"/>
      <c r="G29" s="148"/>
      <c r="H29" s="456"/>
      <c r="I29" s="443"/>
      <c r="J29" s="446"/>
      <c r="K29" s="428"/>
      <c r="L29" s="449"/>
      <c r="M29" s="428">
        <f>IF(NOT(ISERROR(MATCH(L29,_xlfn.ANCHORARRAY(F40),0))),K42&amp;"Por favor no seleccionar los criterios de impacto",L29)</f>
        <v>0</v>
      </c>
      <c r="N29" s="446"/>
      <c r="O29" s="428"/>
      <c r="P29" s="431"/>
      <c r="Q29" s="134">
        <v>5</v>
      </c>
      <c r="R29" s="91"/>
      <c r="S29" s="144" t="str">
        <f t="shared" si="45"/>
        <v/>
      </c>
      <c r="T29" s="135"/>
      <c r="U29" s="135"/>
      <c r="V29" s="136" t="str">
        <f t="shared" si="41"/>
        <v/>
      </c>
      <c r="W29" s="135"/>
      <c r="X29" s="135"/>
      <c r="Y29" s="135"/>
      <c r="Z29" s="137" t="str">
        <f t="shared" si="48"/>
        <v/>
      </c>
      <c r="AA29" s="138" t="str">
        <f t="shared" si="42"/>
        <v/>
      </c>
      <c r="AB29" s="139" t="str">
        <f t="shared" si="46"/>
        <v/>
      </c>
      <c r="AC29" s="138" t="str">
        <f t="shared" si="43"/>
        <v/>
      </c>
      <c r="AD29" s="139" t="str">
        <f t="shared" si="47"/>
        <v/>
      </c>
      <c r="AE29" s="140" t="str">
        <f t="shared" si="44"/>
        <v/>
      </c>
      <c r="AF29" s="141"/>
      <c r="AG29" s="110"/>
      <c r="AH29" s="130"/>
      <c r="AI29" s="129"/>
      <c r="AJ29" s="129"/>
      <c r="AK29" s="110"/>
      <c r="AL29" s="130"/>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row>
    <row r="30" spans="1:66" ht="26.25" customHeight="1" x14ac:dyDescent="0.3">
      <c r="A30" s="435"/>
      <c r="B30" s="438"/>
      <c r="C30" s="438"/>
      <c r="D30" s="453"/>
      <c r="E30" s="142"/>
      <c r="F30" s="454"/>
      <c r="G30" s="148"/>
      <c r="H30" s="457"/>
      <c r="I30" s="444"/>
      <c r="J30" s="447"/>
      <c r="K30" s="429"/>
      <c r="L30" s="450"/>
      <c r="M30" s="429">
        <f>IF(NOT(ISERROR(MATCH(L30,_xlfn.ANCHORARRAY(F41),0))),K43&amp;"Por favor no seleccionar los criterios de impacto",L30)</f>
        <v>0</v>
      </c>
      <c r="N30" s="447"/>
      <c r="O30" s="429"/>
      <c r="P30" s="432"/>
      <c r="Q30" s="134">
        <v>6</v>
      </c>
      <c r="R30" s="91"/>
      <c r="S30" s="144" t="str">
        <f t="shared" si="45"/>
        <v/>
      </c>
      <c r="T30" s="135"/>
      <c r="U30" s="135"/>
      <c r="V30" s="136" t="str">
        <f t="shared" si="41"/>
        <v/>
      </c>
      <c r="W30" s="135"/>
      <c r="X30" s="135"/>
      <c r="Y30" s="135"/>
      <c r="Z30" s="137" t="str">
        <f t="shared" si="48"/>
        <v/>
      </c>
      <c r="AA30" s="138" t="str">
        <f t="shared" si="42"/>
        <v/>
      </c>
      <c r="AB30" s="139" t="str">
        <f t="shared" si="46"/>
        <v/>
      </c>
      <c r="AC30" s="138" t="str">
        <f t="shared" si="43"/>
        <v/>
      </c>
      <c r="AD30" s="139" t="str">
        <f t="shared" si="47"/>
        <v/>
      </c>
      <c r="AE30" s="140" t="str">
        <f t="shared" si="44"/>
        <v/>
      </c>
      <c r="AF30" s="141"/>
      <c r="AG30" s="110"/>
      <c r="AH30" s="130"/>
      <c r="AI30" s="129"/>
      <c r="AJ30" s="129"/>
      <c r="AK30" s="110"/>
      <c r="AL30" s="130"/>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row>
    <row r="31" spans="1:66" ht="26.25" customHeight="1" x14ac:dyDescent="0.3">
      <c r="A31" s="433">
        <v>7</v>
      </c>
      <c r="B31" s="436"/>
      <c r="C31" s="436"/>
      <c r="D31" s="436"/>
      <c r="E31" s="149"/>
      <c r="F31" s="440"/>
      <c r="G31" s="150"/>
      <c r="H31" s="436"/>
      <c r="I31" s="442"/>
      <c r="J31" s="445" t="str">
        <f t="shared" ref="J31" si="49">IF(I31&lt;=0,"",IF(I31&lt;=2,"Muy Baja",IF(I31&lt;=24,"Baja",IF(I31&lt;=500,"Media",IF(I31&lt;=5000,"Alta","Muy Alta")))))</f>
        <v/>
      </c>
      <c r="K31" s="427" t="str">
        <f t="shared" ref="K31" si="50">IF(J31="","",IF(J31="Muy Baja",0.2,IF(J31="Baja",0.4,IF(J31="Media",0.6,IF(J31="Alta",0.8,IF(J31="Muy Alta",1,))))))</f>
        <v/>
      </c>
      <c r="L31" s="448"/>
      <c r="M31" s="427">
        <f>IF(NOT(ISERROR(MATCH(L31,'Tabla Impacto'!$B$221:$B$223,0))),'Tabla Impacto'!$F$223&amp;"Por favor no seleccionar los criterios de impacto(Afectación Económica o presupuestal y Pérdida Reputacional)",L31)</f>
        <v>0</v>
      </c>
      <c r="N31" s="445" t="str">
        <f>IF(OR(M31='Tabla Impacto'!$C$11,M31='Tabla Impacto'!$D$11),"Leve",IF(OR(M31='Tabla Impacto'!$C$12,M31='Tabla Impacto'!$D$12),"Menor",IF(OR(M31='Tabla Impacto'!$C$13,M31='Tabla Impacto'!$D$13),"Moderado",IF(OR(M31='Tabla Impacto'!$C$14,M31='Tabla Impacto'!$D$14),"Mayor",IF(OR(M31='Tabla Impacto'!$C$15,M31='Tabla Impacto'!$D$15),"Catastrófico","")))))</f>
        <v/>
      </c>
      <c r="O31" s="427" t="str">
        <f t="shared" ref="O31" si="51">IF(N31="","",IF(N31="Leve",0.2,IF(N31="Menor",0.4,IF(N31="Moderado",0.6,IF(N31="Mayor",0.8,IF(N31="Catastrófico",1,))))))</f>
        <v/>
      </c>
      <c r="P31" s="430" t="str">
        <f t="shared" ref="P31" si="52">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34">
        <v>1</v>
      </c>
      <c r="R31" s="91"/>
      <c r="S31" s="144" t="str">
        <f>IF(OR(T31="Preventivo",T31="Detectivo"),"Probabilidad",IF(T31="Correctivo","Impacto",""))</f>
        <v/>
      </c>
      <c r="T31" s="135"/>
      <c r="U31" s="135"/>
      <c r="V31" s="136" t="str">
        <f>IF(AND(T31="Preventivo",U31="Automático"),"50%",IF(AND(T31="Preventivo",U31="Manual"),"40%",IF(AND(T31="Detectivo",U31="Automático"),"40%",IF(AND(T31="Detectivo",U31="Manual"),"30%",IF(AND(T31="Correctivo",U31="Automático"),"35%",IF(AND(T31="Correctivo",U31="Manual"),"25%",""))))))</f>
        <v/>
      </c>
      <c r="W31" s="135"/>
      <c r="X31" s="135"/>
      <c r="Y31" s="135"/>
      <c r="Z31" s="137" t="str">
        <f>IFERROR(IF(S31="Probabilidad",(K31-(+K31*V31)),IF(S31="Impacto",K31,"")),"")</f>
        <v/>
      </c>
      <c r="AA31" s="138" t="str">
        <f>IFERROR(IF(Z31="","",IF(Z31&lt;=0.2,"Muy Baja",IF(Z31&lt;=0.4,"Baja",IF(Z31&lt;=0.6,"Media",IF(Z31&lt;=0.8,"Alta","Muy Alta"))))),"")</f>
        <v/>
      </c>
      <c r="AB31" s="139" t="str">
        <f>+Z31</f>
        <v/>
      </c>
      <c r="AC31" s="138" t="str">
        <f>IFERROR(IF(AD31="","",IF(AD31&lt;=0.2,"Leve",IF(AD31&lt;=0.4,"Menor",IF(AD31&lt;=0.6,"Moderado",IF(AD31&lt;=0.8,"Mayor","Catastrófico"))))),"")</f>
        <v/>
      </c>
      <c r="AD31" s="139" t="str">
        <f>IFERROR(IF(S31="Impacto",(O31-(+O31*V31)),IF(S31="Probabilidad",O31,"")),"")</f>
        <v/>
      </c>
      <c r="AE31" s="140"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41"/>
      <c r="AG31" s="110"/>
      <c r="AH31" s="130"/>
      <c r="AI31" s="129"/>
      <c r="AJ31" s="129"/>
      <c r="AK31" s="110"/>
      <c r="AL31" s="130"/>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ht="26.25" customHeight="1" x14ac:dyDescent="0.3">
      <c r="A32" s="434"/>
      <c r="B32" s="437"/>
      <c r="C32" s="437"/>
      <c r="D32" s="437"/>
      <c r="E32" s="149"/>
      <c r="F32" s="440"/>
      <c r="G32" s="150"/>
      <c r="H32" s="437"/>
      <c r="I32" s="443"/>
      <c r="J32" s="446"/>
      <c r="K32" s="428"/>
      <c r="L32" s="449"/>
      <c r="M32" s="428">
        <f>IF(NOT(ISERROR(MATCH(L32,_xlfn.ANCHORARRAY(F43),0))),K45&amp;"Por favor no seleccionar los criterios de impacto",L32)</f>
        <v>0</v>
      </c>
      <c r="N32" s="446"/>
      <c r="O32" s="428"/>
      <c r="P32" s="431"/>
      <c r="Q32" s="134">
        <v>2</v>
      </c>
      <c r="R32" s="91"/>
      <c r="S32" s="144" t="str">
        <f>IF(OR(T32="Preventivo",T32="Detectivo"),"Probabilidad",IF(T32="Correctivo","Impacto",""))</f>
        <v/>
      </c>
      <c r="T32" s="135"/>
      <c r="U32" s="135"/>
      <c r="V32" s="136" t="str">
        <f t="shared" ref="V32:V36" si="53">IF(AND(T32="Preventivo",U32="Automático"),"50%",IF(AND(T32="Preventivo",U32="Manual"),"40%",IF(AND(T32="Detectivo",U32="Automático"),"40%",IF(AND(T32="Detectivo",U32="Manual"),"30%",IF(AND(T32="Correctivo",U32="Automático"),"35%",IF(AND(T32="Correctivo",U32="Manual"),"25%",""))))))</f>
        <v/>
      </c>
      <c r="W32" s="135"/>
      <c r="X32" s="135"/>
      <c r="Y32" s="135"/>
      <c r="Z32" s="137" t="str">
        <f>IFERROR(IF(AND(S31="Probabilidad",S32="Probabilidad"),(AB31-(+AB31*V32)),IF(AND(S31="Impacto",S32="Probabilidad"),(K31-(+K31*V32)),IF(S32="Impacto",AB31,""))),"")</f>
        <v/>
      </c>
      <c r="AA32" s="138" t="str">
        <f t="shared" ref="AA32:AA36" si="54">IFERROR(IF(Z32="","",IF(Z32&lt;=0.2,"Muy Baja",IF(Z32&lt;=0.4,"Baja",IF(Z32&lt;=0.6,"Media",IF(Z32&lt;=0.8,"Alta","Muy Alta"))))),"")</f>
        <v/>
      </c>
      <c r="AB32" s="139" t="str">
        <f>+Z32</f>
        <v/>
      </c>
      <c r="AC32" s="138" t="str">
        <f t="shared" ref="AC32:AC36" si="55">IFERROR(IF(AD32="","",IF(AD32&lt;=0.2,"Leve",IF(AD32&lt;=0.4,"Menor",IF(AD32&lt;=0.6,"Moderado",IF(AD32&lt;=0.8,"Mayor","Catastrófico"))))),"")</f>
        <v/>
      </c>
      <c r="AD32" s="139" t="str">
        <f>IFERROR(IF(AND(S31="Impacto",S32="Impacto"),(AD31-(+AD31*V32)),IF(AND(S31="Probabilidad",S32="Impacto"),(O31-(+O31*V32)),IF(S32="Probabilidad",AD31,""))),"")</f>
        <v/>
      </c>
      <c r="AE32" s="140" t="str">
        <f t="shared" ref="AE32:AE36" si="56">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41"/>
      <c r="AG32" s="110"/>
      <c r="AH32" s="130"/>
      <c r="AI32" s="129"/>
      <c r="AJ32" s="129"/>
      <c r="AK32" s="110"/>
      <c r="AL32" s="130"/>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row>
    <row r="33" spans="1:66" ht="26.25" customHeight="1" x14ac:dyDescent="0.3">
      <c r="A33" s="434"/>
      <c r="B33" s="437"/>
      <c r="C33" s="437"/>
      <c r="D33" s="437"/>
      <c r="E33" s="149"/>
      <c r="F33" s="440"/>
      <c r="G33" s="150"/>
      <c r="H33" s="437"/>
      <c r="I33" s="443"/>
      <c r="J33" s="446"/>
      <c r="K33" s="428"/>
      <c r="L33" s="449"/>
      <c r="M33" s="428">
        <f>IF(NOT(ISERROR(MATCH(L33,_xlfn.ANCHORARRAY(F44),0))),K46&amp;"Por favor no seleccionar los criterios de impacto",L33)</f>
        <v>0</v>
      </c>
      <c r="N33" s="446"/>
      <c r="O33" s="428"/>
      <c r="P33" s="431"/>
      <c r="Q33" s="134">
        <v>3</v>
      </c>
      <c r="R33" s="143"/>
      <c r="S33" s="144" t="str">
        <f t="shared" ref="S33:S36" si="57">IF(OR(T33="Preventivo",T33="Detectivo"),"Probabilidad",IF(T33="Correctivo","Impacto",""))</f>
        <v/>
      </c>
      <c r="T33" s="135"/>
      <c r="U33" s="135"/>
      <c r="V33" s="136" t="str">
        <f t="shared" si="53"/>
        <v/>
      </c>
      <c r="W33" s="135"/>
      <c r="X33" s="135"/>
      <c r="Y33" s="135"/>
      <c r="Z33" s="137" t="str">
        <f>IFERROR(IF(AND(S32="Probabilidad",S33="Probabilidad"),(AB32-(+AB32*V33)),IF(AND(S32="Impacto",S33="Probabilidad"),(AB31-(+AB31*V33)),IF(S33="Impacto",AB32,""))),"")</f>
        <v/>
      </c>
      <c r="AA33" s="138" t="str">
        <f t="shared" si="54"/>
        <v/>
      </c>
      <c r="AB33" s="139" t="str">
        <f t="shared" ref="AB33:AB36" si="58">+Z33</f>
        <v/>
      </c>
      <c r="AC33" s="138" t="str">
        <f t="shared" si="55"/>
        <v/>
      </c>
      <c r="AD33" s="139" t="str">
        <f t="shared" ref="AD33:AD36" si="59">IFERROR(IF(AND(S32="Impacto",S33="Impacto"),(AD32-(+AD32*V33)),IF(AND(S32="Probabilidad",S33="Impacto"),(AD31-(+AD31*V33)),IF(S33="Probabilidad",AD32,""))),"")</f>
        <v/>
      </c>
      <c r="AE33" s="140" t="str">
        <f t="shared" si="56"/>
        <v/>
      </c>
      <c r="AF33" s="141"/>
      <c r="AG33" s="110"/>
      <c r="AH33" s="130"/>
      <c r="AI33" s="129"/>
      <c r="AJ33" s="129"/>
      <c r="AK33" s="110"/>
      <c r="AL33" s="130"/>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row>
    <row r="34" spans="1:66" ht="26.25" customHeight="1" x14ac:dyDescent="0.3">
      <c r="A34" s="434"/>
      <c r="B34" s="437"/>
      <c r="C34" s="437"/>
      <c r="D34" s="437"/>
      <c r="E34" s="149"/>
      <c r="F34" s="440"/>
      <c r="G34" s="150"/>
      <c r="H34" s="437"/>
      <c r="I34" s="443"/>
      <c r="J34" s="446"/>
      <c r="K34" s="428"/>
      <c r="L34" s="449"/>
      <c r="M34" s="428">
        <f>IF(NOT(ISERROR(MATCH(L34,_xlfn.ANCHORARRAY(F45),0))),K47&amp;"Por favor no seleccionar los criterios de impacto",L34)</f>
        <v>0</v>
      </c>
      <c r="N34" s="446"/>
      <c r="O34" s="428"/>
      <c r="P34" s="431"/>
      <c r="Q34" s="134">
        <v>4</v>
      </c>
      <c r="R34" s="91"/>
      <c r="S34" s="144" t="str">
        <f t="shared" si="57"/>
        <v/>
      </c>
      <c r="T34" s="135"/>
      <c r="U34" s="135"/>
      <c r="V34" s="136" t="str">
        <f t="shared" si="53"/>
        <v/>
      </c>
      <c r="W34" s="135"/>
      <c r="X34" s="135"/>
      <c r="Y34" s="135"/>
      <c r="Z34" s="137" t="str">
        <f t="shared" ref="Z34:Z36" si="60">IFERROR(IF(AND(S33="Probabilidad",S34="Probabilidad"),(AB33-(+AB33*V34)),IF(AND(S33="Impacto",S34="Probabilidad"),(AB32-(+AB32*V34)),IF(S34="Impacto",AB33,""))),"")</f>
        <v/>
      </c>
      <c r="AA34" s="138" t="str">
        <f t="shared" si="54"/>
        <v/>
      </c>
      <c r="AB34" s="139" t="str">
        <f t="shared" si="58"/>
        <v/>
      </c>
      <c r="AC34" s="138" t="str">
        <f t="shared" si="55"/>
        <v/>
      </c>
      <c r="AD34" s="139" t="str">
        <f t="shared" si="59"/>
        <v/>
      </c>
      <c r="AE34" s="140" t="str">
        <f t="shared" si="56"/>
        <v/>
      </c>
      <c r="AF34" s="141"/>
      <c r="AG34" s="110"/>
      <c r="AH34" s="130"/>
      <c r="AI34" s="129"/>
      <c r="AJ34" s="129"/>
      <c r="AK34" s="110"/>
      <c r="AL34" s="130"/>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row>
    <row r="35" spans="1:66" ht="26.25" customHeight="1" x14ac:dyDescent="0.3">
      <c r="A35" s="434"/>
      <c r="B35" s="437"/>
      <c r="C35" s="437"/>
      <c r="D35" s="437"/>
      <c r="E35" s="149"/>
      <c r="F35" s="440"/>
      <c r="G35" s="150"/>
      <c r="H35" s="437"/>
      <c r="I35" s="443"/>
      <c r="J35" s="446"/>
      <c r="K35" s="428"/>
      <c r="L35" s="449"/>
      <c r="M35" s="428">
        <f>IF(NOT(ISERROR(MATCH(L35,_xlfn.ANCHORARRAY(F46),0))),K48&amp;"Por favor no seleccionar los criterios de impacto",L35)</f>
        <v>0</v>
      </c>
      <c r="N35" s="446"/>
      <c r="O35" s="428"/>
      <c r="P35" s="431"/>
      <c r="Q35" s="134">
        <v>5</v>
      </c>
      <c r="R35" s="91"/>
      <c r="S35" s="144" t="str">
        <f t="shared" si="57"/>
        <v/>
      </c>
      <c r="T35" s="135"/>
      <c r="U35" s="135"/>
      <c r="V35" s="136" t="str">
        <f t="shared" si="53"/>
        <v/>
      </c>
      <c r="W35" s="135"/>
      <c r="X35" s="135"/>
      <c r="Y35" s="135"/>
      <c r="Z35" s="137" t="str">
        <f t="shared" si="60"/>
        <v/>
      </c>
      <c r="AA35" s="138" t="str">
        <f t="shared" si="54"/>
        <v/>
      </c>
      <c r="AB35" s="139" t="str">
        <f t="shared" si="58"/>
        <v/>
      </c>
      <c r="AC35" s="138" t="str">
        <f t="shared" si="55"/>
        <v/>
      </c>
      <c r="AD35" s="139" t="str">
        <f t="shared" si="59"/>
        <v/>
      </c>
      <c r="AE35" s="140" t="str">
        <f t="shared" si="56"/>
        <v/>
      </c>
      <c r="AF35" s="141"/>
      <c r="AG35" s="110"/>
      <c r="AH35" s="130"/>
      <c r="AI35" s="129"/>
      <c r="AJ35" s="129"/>
      <c r="AK35" s="110"/>
      <c r="AL35" s="130"/>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row>
    <row r="36" spans="1:66" ht="26.25" customHeight="1" x14ac:dyDescent="0.3">
      <c r="A36" s="435"/>
      <c r="B36" s="438"/>
      <c r="C36" s="438"/>
      <c r="D36" s="438"/>
      <c r="E36" s="151"/>
      <c r="F36" s="441"/>
      <c r="G36" s="152"/>
      <c r="H36" s="438"/>
      <c r="I36" s="444"/>
      <c r="J36" s="447"/>
      <c r="K36" s="429"/>
      <c r="L36" s="450"/>
      <c r="M36" s="429">
        <f>IF(NOT(ISERROR(MATCH(L36,_xlfn.ANCHORARRAY(F47),0))),K49&amp;"Por favor no seleccionar los criterios de impacto",L36)</f>
        <v>0</v>
      </c>
      <c r="N36" s="447"/>
      <c r="O36" s="429"/>
      <c r="P36" s="432"/>
      <c r="Q36" s="134">
        <v>6</v>
      </c>
      <c r="R36" s="91"/>
      <c r="S36" s="144" t="str">
        <f t="shared" si="57"/>
        <v/>
      </c>
      <c r="T36" s="135"/>
      <c r="U36" s="135"/>
      <c r="V36" s="136" t="str">
        <f t="shared" si="53"/>
        <v/>
      </c>
      <c r="W36" s="135"/>
      <c r="X36" s="135"/>
      <c r="Y36" s="135"/>
      <c r="Z36" s="137" t="str">
        <f t="shared" si="60"/>
        <v/>
      </c>
      <c r="AA36" s="138" t="str">
        <f t="shared" si="54"/>
        <v/>
      </c>
      <c r="AB36" s="139" t="str">
        <f t="shared" si="58"/>
        <v/>
      </c>
      <c r="AC36" s="138" t="str">
        <f t="shared" si="55"/>
        <v/>
      </c>
      <c r="AD36" s="139" t="str">
        <f t="shared" si="59"/>
        <v/>
      </c>
      <c r="AE36" s="140" t="str">
        <f t="shared" si="56"/>
        <v/>
      </c>
      <c r="AF36" s="141"/>
      <c r="AG36" s="110"/>
      <c r="AH36" s="130"/>
      <c r="AI36" s="129"/>
      <c r="AJ36" s="129"/>
      <c r="AK36" s="110"/>
      <c r="AL36" s="130"/>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66" ht="26.25" customHeight="1" x14ac:dyDescent="0.3">
      <c r="A37" s="433">
        <v>8</v>
      </c>
      <c r="B37" s="436"/>
      <c r="C37" s="436"/>
      <c r="D37" s="436"/>
      <c r="E37" s="153"/>
      <c r="F37" s="439"/>
      <c r="G37" s="154"/>
      <c r="H37" s="436"/>
      <c r="I37" s="442"/>
      <c r="J37" s="445" t="str">
        <f t="shared" ref="J37" si="61">IF(I37&lt;=0,"",IF(I37&lt;=2,"Muy Baja",IF(I37&lt;=24,"Baja",IF(I37&lt;=500,"Media",IF(I37&lt;=5000,"Alta","Muy Alta")))))</f>
        <v/>
      </c>
      <c r="K37" s="427" t="str">
        <f t="shared" ref="K37" si="62">IF(J37="","",IF(J37="Muy Baja",0.2,IF(J37="Baja",0.4,IF(J37="Media",0.6,IF(J37="Alta",0.8,IF(J37="Muy Alta",1,))))))</f>
        <v/>
      </c>
      <c r="L37" s="448"/>
      <c r="M37" s="427">
        <f>IF(NOT(ISERROR(MATCH(L37,'Tabla Impacto'!$B$221:$B$223,0))),'Tabla Impacto'!$F$223&amp;"Por favor no seleccionar los criterios de impacto(Afectación Económica o presupuestal y Pérdida Reputacional)",L37)</f>
        <v>0</v>
      </c>
      <c r="N37" s="445" t="str">
        <f>IF(OR(M37='Tabla Impacto'!$C$11,M37='Tabla Impacto'!$D$11),"Leve",IF(OR(M37='Tabla Impacto'!$C$12,M37='Tabla Impacto'!$D$12),"Menor",IF(OR(M37='Tabla Impacto'!$C$13,M37='Tabla Impacto'!$D$13),"Moderado",IF(OR(M37='Tabla Impacto'!$C$14,M37='Tabla Impacto'!$D$14),"Mayor",IF(OR(M37='Tabla Impacto'!$C$15,M37='Tabla Impacto'!$D$15),"Catastrófico","")))))</f>
        <v/>
      </c>
      <c r="O37" s="427" t="str">
        <f t="shared" ref="O37" si="63">IF(N37="","",IF(N37="Leve",0.2,IF(N37="Menor",0.4,IF(N37="Moderado",0.6,IF(N37="Mayor",0.8,IF(N37="Catastrófico",1,))))))</f>
        <v/>
      </c>
      <c r="P37" s="430" t="str">
        <f t="shared" ref="P37" si="64">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34">
        <v>1</v>
      </c>
      <c r="R37" s="91"/>
      <c r="S37" s="144" t="str">
        <f>IF(OR(T37="Preventivo",T37="Detectivo"),"Probabilidad",IF(T37="Correctivo","Impacto",""))</f>
        <v/>
      </c>
      <c r="T37" s="135"/>
      <c r="U37" s="135"/>
      <c r="V37" s="136" t="str">
        <f>IF(AND(T37="Preventivo",U37="Automático"),"50%",IF(AND(T37="Preventivo",U37="Manual"),"40%",IF(AND(T37="Detectivo",U37="Automático"),"40%",IF(AND(T37="Detectivo",U37="Manual"),"30%",IF(AND(T37="Correctivo",U37="Automático"),"35%",IF(AND(T37="Correctivo",U37="Manual"),"25%",""))))))</f>
        <v/>
      </c>
      <c r="W37" s="135"/>
      <c r="X37" s="135"/>
      <c r="Y37" s="135"/>
      <c r="Z37" s="137" t="str">
        <f>IFERROR(IF(S37="Probabilidad",(K37-(+K37*V37)),IF(S37="Impacto",K37,"")),"")</f>
        <v/>
      </c>
      <c r="AA37" s="138" t="str">
        <f>IFERROR(IF(Z37="","",IF(Z37&lt;=0.2,"Muy Baja",IF(Z37&lt;=0.4,"Baja",IF(Z37&lt;=0.6,"Media",IF(Z37&lt;=0.8,"Alta","Muy Alta"))))),"")</f>
        <v/>
      </c>
      <c r="AB37" s="139" t="str">
        <f>+Z37</f>
        <v/>
      </c>
      <c r="AC37" s="138" t="str">
        <f>IFERROR(IF(AD37="","",IF(AD37&lt;=0.2,"Leve",IF(AD37&lt;=0.4,"Menor",IF(AD37&lt;=0.6,"Moderado",IF(AD37&lt;=0.8,"Mayor","Catastrófico"))))),"")</f>
        <v/>
      </c>
      <c r="AD37" s="139" t="str">
        <f>IFERROR(IF(S37="Impacto",(O37-(+O37*V37)),IF(S37="Probabilidad",O37,"")),"")</f>
        <v/>
      </c>
      <c r="AE37" s="140"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41"/>
      <c r="AG37" s="110"/>
      <c r="AH37" s="130"/>
      <c r="AI37" s="129"/>
      <c r="AJ37" s="129"/>
      <c r="AK37" s="110"/>
      <c r="AL37" s="130"/>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66" ht="26.25" customHeight="1" x14ac:dyDescent="0.3">
      <c r="A38" s="434"/>
      <c r="B38" s="437"/>
      <c r="C38" s="437"/>
      <c r="D38" s="437"/>
      <c r="E38" s="149"/>
      <c r="F38" s="440"/>
      <c r="G38" s="150"/>
      <c r="H38" s="437"/>
      <c r="I38" s="443"/>
      <c r="J38" s="446"/>
      <c r="K38" s="428"/>
      <c r="L38" s="449"/>
      <c r="M38" s="428">
        <f>IF(NOT(ISERROR(MATCH(L38,_xlfn.ANCHORARRAY(F49),0))),K51&amp;"Por favor no seleccionar los criterios de impacto",L38)</f>
        <v>0</v>
      </c>
      <c r="N38" s="446"/>
      <c r="O38" s="428"/>
      <c r="P38" s="431"/>
      <c r="Q38" s="134">
        <v>2</v>
      </c>
      <c r="R38" s="91"/>
      <c r="S38" s="144" t="str">
        <f>IF(OR(T38="Preventivo",T38="Detectivo"),"Probabilidad",IF(T38="Correctivo","Impacto",""))</f>
        <v/>
      </c>
      <c r="T38" s="135"/>
      <c r="U38" s="135"/>
      <c r="V38" s="136" t="str">
        <f t="shared" ref="V38:V42" si="65">IF(AND(T38="Preventivo",U38="Automático"),"50%",IF(AND(T38="Preventivo",U38="Manual"),"40%",IF(AND(T38="Detectivo",U38="Automático"),"40%",IF(AND(T38="Detectivo",U38="Manual"),"30%",IF(AND(T38="Correctivo",U38="Automático"),"35%",IF(AND(T38="Correctivo",U38="Manual"),"25%",""))))))</f>
        <v/>
      </c>
      <c r="W38" s="135"/>
      <c r="X38" s="135"/>
      <c r="Y38" s="135"/>
      <c r="Z38" s="137" t="str">
        <f>IFERROR(IF(AND(S37="Probabilidad",S38="Probabilidad"),(AB37-(+AB37*V38)),IF(AND(S37="Impacto",S38="Probabilidad"),(K37-(+K37*V38)),IF(S38="Impacto",AB37,""))),"")</f>
        <v/>
      </c>
      <c r="AA38" s="138" t="str">
        <f t="shared" ref="AA38:AA42" si="66">IFERROR(IF(Z38="","",IF(Z38&lt;=0.2,"Muy Baja",IF(Z38&lt;=0.4,"Baja",IF(Z38&lt;=0.6,"Media",IF(Z38&lt;=0.8,"Alta","Muy Alta"))))),"")</f>
        <v/>
      </c>
      <c r="AB38" s="139" t="str">
        <f>+Z38</f>
        <v/>
      </c>
      <c r="AC38" s="138" t="str">
        <f t="shared" ref="AC38:AC42" si="67">IFERROR(IF(AD38="","",IF(AD38&lt;=0.2,"Leve",IF(AD38&lt;=0.4,"Menor",IF(AD38&lt;=0.6,"Moderado",IF(AD38&lt;=0.8,"Mayor","Catastrófico"))))),"")</f>
        <v/>
      </c>
      <c r="AD38" s="139" t="str">
        <f>IFERROR(IF(AND(S37="Impacto",S38="Impacto"),(AD37-(+AD37*V38)),IF(AND(S37="Probabilidad",S38="Impacto"),(O37-(+O37*V38)),IF(S38="Probabilidad",AD37,""))),"")</f>
        <v/>
      </c>
      <c r="AE38" s="140" t="str">
        <f t="shared" ref="AE38:AE42" si="68">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41"/>
      <c r="AG38" s="110"/>
      <c r="AH38" s="130"/>
      <c r="AI38" s="129"/>
      <c r="AJ38" s="129"/>
      <c r="AK38" s="110"/>
      <c r="AL38" s="130"/>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row>
    <row r="39" spans="1:66" ht="26.25" customHeight="1" x14ac:dyDescent="0.3">
      <c r="A39" s="434"/>
      <c r="B39" s="437"/>
      <c r="C39" s="437"/>
      <c r="D39" s="437"/>
      <c r="E39" s="149"/>
      <c r="F39" s="440"/>
      <c r="G39" s="150"/>
      <c r="H39" s="437"/>
      <c r="I39" s="443"/>
      <c r="J39" s="446"/>
      <c r="K39" s="428"/>
      <c r="L39" s="449"/>
      <c r="M39" s="428">
        <f>IF(NOT(ISERROR(MATCH(L39,_xlfn.ANCHORARRAY(F50),0))),K52&amp;"Por favor no seleccionar los criterios de impacto",L39)</f>
        <v>0</v>
      </c>
      <c r="N39" s="446"/>
      <c r="O39" s="428"/>
      <c r="P39" s="431"/>
      <c r="Q39" s="134">
        <v>3</v>
      </c>
      <c r="R39" s="143"/>
      <c r="S39" s="144" t="str">
        <f t="shared" ref="S39:S42" si="69">IF(OR(T39="Preventivo",T39="Detectivo"),"Probabilidad",IF(T39="Correctivo","Impacto",""))</f>
        <v/>
      </c>
      <c r="T39" s="135"/>
      <c r="U39" s="135"/>
      <c r="V39" s="136" t="str">
        <f t="shared" si="65"/>
        <v/>
      </c>
      <c r="W39" s="135"/>
      <c r="X39" s="135"/>
      <c r="Y39" s="135"/>
      <c r="Z39" s="137" t="str">
        <f>IFERROR(IF(AND(S38="Probabilidad",S39="Probabilidad"),(AB38-(+AB38*V39)),IF(AND(S38="Impacto",S39="Probabilidad"),(AB37-(+AB37*V39)),IF(S39="Impacto",AB38,""))),"")</f>
        <v/>
      </c>
      <c r="AA39" s="138" t="str">
        <f t="shared" si="66"/>
        <v/>
      </c>
      <c r="AB39" s="139" t="str">
        <f t="shared" ref="AB39:AB42" si="70">+Z39</f>
        <v/>
      </c>
      <c r="AC39" s="138" t="str">
        <f t="shared" si="67"/>
        <v/>
      </c>
      <c r="AD39" s="139" t="str">
        <f t="shared" ref="AD39:AD42" si="71">IFERROR(IF(AND(S38="Impacto",S39="Impacto"),(AD38-(+AD38*V39)),IF(AND(S38="Probabilidad",S39="Impacto"),(AD37-(+AD37*V39)),IF(S39="Probabilidad",AD38,""))),"")</f>
        <v/>
      </c>
      <c r="AE39" s="140" t="str">
        <f t="shared" si="68"/>
        <v/>
      </c>
      <c r="AF39" s="141"/>
      <c r="AG39" s="110"/>
      <c r="AH39" s="130"/>
      <c r="AI39" s="129"/>
      <c r="AJ39" s="129"/>
      <c r="AK39" s="110"/>
      <c r="AL39" s="130"/>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row>
    <row r="40" spans="1:66" ht="26.25" customHeight="1" x14ac:dyDescent="0.3">
      <c r="A40" s="434"/>
      <c r="B40" s="437"/>
      <c r="C40" s="437"/>
      <c r="D40" s="437"/>
      <c r="E40" s="149"/>
      <c r="F40" s="440"/>
      <c r="G40" s="150"/>
      <c r="H40" s="437"/>
      <c r="I40" s="443"/>
      <c r="J40" s="446"/>
      <c r="K40" s="428"/>
      <c r="L40" s="449"/>
      <c r="M40" s="428">
        <f>IF(NOT(ISERROR(MATCH(L40,_xlfn.ANCHORARRAY(F51),0))),K53&amp;"Por favor no seleccionar los criterios de impacto",L40)</f>
        <v>0</v>
      </c>
      <c r="N40" s="446"/>
      <c r="O40" s="428"/>
      <c r="P40" s="431"/>
      <c r="Q40" s="134">
        <v>4</v>
      </c>
      <c r="R40" s="91"/>
      <c r="S40" s="144" t="str">
        <f t="shared" si="69"/>
        <v/>
      </c>
      <c r="T40" s="135"/>
      <c r="U40" s="135"/>
      <c r="V40" s="136" t="str">
        <f t="shared" si="65"/>
        <v/>
      </c>
      <c r="W40" s="135"/>
      <c r="X40" s="135"/>
      <c r="Y40" s="135"/>
      <c r="Z40" s="137" t="str">
        <f t="shared" ref="Z40:Z42" si="72">IFERROR(IF(AND(S39="Probabilidad",S40="Probabilidad"),(AB39-(+AB39*V40)),IF(AND(S39="Impacto",S40="Probabilidad"),(AB38-(+AB38*V40)),IF(S40="Impacto",AB39,""))),"")</f>
        <v/>
      </c>
      <c r="AA40" s="138" t="str">
        <f t="shared" si="66"/>
        <v/>
      </c>
      <c r="AB40" s="139" t="str">
        <f t="shared" si="70"/>
        <v/>
      </c>
      <c r="AC40" s="138" t="str">
        <f t="shared" si="67"/>
        <v/>
      </c>
      <c r="AD40" s="139" t="str">
        <f t="shared" si="71"/>
        <v/>
      </c>
      <c r="AE40" s="140" t="str">
        <f t="shared" si="68"/>
        <v/>
      </c>
      <c r="AF40" s="141"/>
      <c r="AG40" s="110"/>
      <c r="AH40" s="130"/>
      <c r="AI40" s="129"/>
      <c r="AJ40" s="129"/>
      <c r="AK40" s="110"/>
      <c r="AL40" s="130"/>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row>
    <row r="41" spans="1:66" ht="26.25" customHeight="1" x14ac:dyDescent="0.3">
      <c r="A41" s="434"/>
      <c r="B41" s="437"/>
      <c r="C41" s="437"/>
      <c r="D41" s="437"/>
      <c r="E41" s="149"/>
      <c r="F41" s="440"/>
      <c r="G41" s="150"/>
      <c r="H41" s="437"/>
      <c r="I41" s="443"/>
      <c r="J41" s="446"/>
      <c r="K41" s="428"/>
      <c r="L41" s="449"/>
      <c r="M41" s="428">
        <f>IF(NOT(ISERROR(MATCH(L41,_xlfn.ANCHORARRAY(F52),0))),K54&amp;"Por favor no seleccionar los criterios de impacto",L41)</f>
        <v>0</v>
      </c>
      <c r="N41" s="446"/>
      <c r="O41" s="428"/>
      <c r="P41" s="431"/>
      <c r="Q41" s="134">
        <v>5</v>
      </c>
      <c r="R41" s="91"/>
      <c r="S41" s="144" t="str">
        <f t="shared" si="69"/>
        <v/>
      </c>
      <c r="T41" s="135"/>
      <c r="U41" s="135"/>
      <c r="V41" s="136" t="str">
        <f t="shared" si="65"/>
        <v/>
      </c>
      <c r="W41" s="135"/>
      <c r="X41" s="135"/>
      <c r="Y41" s="135"/>
      <c r="Z41" s="137" t="str">
        <f t="shared" si="72"/>
        <v/>
      </c>
      <c r="AA41" s="138" t="str">
        <f t="shared" si="66"/>
        <v/>
      </c>
      <c r="AB41" s="139" t="str">
        <f t="shared" si="70"/>
        <v/>
      </c>
      <c r="AC41" s="138" t="str">
        <f t="shared" si="67"/>
        <v/>
      </c>
      <c r="AD41" s="139" t="str">
        <f t="shared" si="71"/>
        <v/>
      </c>
      <c r="AE41" s="140" t="str">
        <f t="shared" si="68"/>
        <v/>
      </c>
      <c r="AF41" s="141"/>
      <c r="AG41" s="110"/>
      <c r="AH41" s="130"/>
      <c r="AI41" s="129"/>
      <c r="AJ41" s="129"/>
      <c r="AK41" s="110"/>
      <c r="AL41" s="130"/>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row>
    <row r="42" spans="1:66" ht="26.25" customHeight="1" x14ac:dyDescent="0.3">
      <c r="A42" s="435"/>
      <c r="B42" s="438"/>
      <c r="C42" s="438"/>
      <c r="D42" s="438"/>
      <c r="E42" s="151"/>
      <c r="F42" s="441"/>
      <c r="G42" s="152"/>
      <c r="H42" s="438"/>
      <c r="I42" s="444"/>
      <c r="J42" s="447"/>
      <c r="K42" s="429"/>
      <c r="L42" s="450"/>
      <c r="M42" s="429">
        <f>IF(NOT(ISERROR(MATCH(L42,_xlfn.ANCHORARRAY(F53),0))),K55&amp;"Por favor no seleccionar los criterios de impacto",L42)</f>
        <v>0</v>
      </c>
      <c r="N42" s="447"/>
      <c r="O42" s="429"/>
      <c r="P42" s="432"/>
      <c r="Q42" s="134">
        <v>6</v>
      </c>
      <c r="R42" s="91"/>
      <c r="S42" s="144" t="str">
        <f t="shared" si="69"/>
        <v/>
      </c>
      <c r="T42" s="135"/>
      <c r="U42" s="135"/>
      <c r="V42" s="136" t="str">
        <f t="shared" si="65"/>
        <v/>
      </c>
      <c r="W42" s="135"/>
      <c r="X42" s="135"/>
      <c r="Y42" s="135"/>
      <c r="Z42" s="137" t="str">
        <f t="shared" si="72"/>
        <v/>
      </c>
      <c r="AA42" s="138" t="str">
        <f t="shared" si="66"/>
        <v/>
      </c>
      <c r="AB42" s="139" t="str">
        <f t="shared" si="70"/>
        <v/>
      </c>
      <c r="AC42" s="138" t="str">
        <f t="shared" si="67"/>
        <v/>
      </c>
      <c r="AD42" s="139" t="str">
        <f t="shared" si="71"/>
        <v/>
      </c>
      <c r="AE42" s="140" t="str">
        <f t="shared" si="68"/>
        <v/>
      </c>
      <c r="AF42" s="141"/>
      <c r="AG42" s="110"/>
      <c r="AH42" s="130"/>
      <c r="AI42" s="129"/>
      <c r="AJ42" s="129"/>
      <c r="AK42" s="110"/>
      <c r="AL42" s="130"/>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row>
    <row r="43" spans="1:66" ht="26.25" customHeight="1" x14ac:dyDescent="0.3">
      <c r="A43" s="433">
        <v>9</v>
      </c>
      <c r="B43" s="436"/>
      <c r="C43" s="436"/>
      <c r="D43" s="436"/>
      <c r="E43" s="153"/>
      <c r="F43" s="439"/>
      <c r="G43" s="154"/>
      <c r="H43" s="436"/>
      <c r="I43" s="442"/>
      <c r="J43" s="445" t="str">
        <f t="shared" ref="J43" si="73">IF(I43&lt;=0,"",IF(I43&lt;=2,"Muy Baja",IF(I43&lt;=24,"Baja",IF(I43&lt;=500,"Media",IF(I43&lt;=5000,"Alta","Muy Alta")))))</f>
        <v/>
      </c>
      <c r="K43" s="427" t="str">
        <f t="shared" ref="K43" si="74">IF(J43="","",IF(J43="Muy Baja",0.2,IF(J43="Baja",0.4,IF(J43="Media",0.6,IF(J43="Alta",0.8,IF(J43="Muy Alta",1,))))))</f>
        <v/>
      </c>
      <c r="L43" s="448"/>
      <c r="M43" s="427">
        <f>IF(NOT(ISERROR(MATCH(L43,'Tabla Impacto'!$B$221:$B$223,0))),'Tabla Impacto'!$F$223&amp;"Por favor no seleccionar los criterios de impacto(Afectación Económica o presupuestal y Pérdida Reputacional)",L43)</f>
        <v>0</v>
      </c>
      <c r="N43" s="445" t="str">
        <f>IF(OR(M43='Tabla Impacto'!$C$11,M43='Tabla Impacto'!$D$11),"Leve",IF(OR(M43='Tabla Impacto'!$C$12,M43='Tabla Impacto'!$D$12),"Menor",IF(OR(M43='Tabla Impacto'!$C$13,M43='Tabla Impacto'!$D$13),"Moderado",IF(OR(M43='Tabla Impacto'!$C$14,M43='Tabla Impacto'!$D$14),"Mayor",IF(OR(M43='Tabla Impacto'!$C$15,M43='Tabla Impacto'!$D$15),"Catastrófico","")))))</f>
        <v/>
      </c>
      <c r="O43" s="427" t="str">
        <f t="shared" ref="O43" si="75">IF(N43="","",IF(N43="Leve",0.2,IF(N43="Menor",0.4,IF(N43="Moderado",0.6,IF(N43="Mayor",0.8,IF(N43="Catastrófico",1,))))))</f>
        <v/>
      </c>
      <c r="P43" s="430" t="str">
        <f t="shared" ref="P43" si="76">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34">
        <v>1</v>
      </c>
      <c r="R43" s="91"/>
      <c r="S43" s="144" t="str">
        <f>IF(OR(T43="Preventivo",T43="Detectivo"),"Probabilidad",IF(T43="Correctivo","Impacto",""))</f>
        <v/>
      </c>
      <c r="T43" s="135"/>
      <c r="U43" s="135"/>
      <c r="V43" s="136" t="str">
        <f>IF(AND(T43="Preventivo",U43="Automático"),"50%",IF(AND(T43="Preventivo",U43="Manual"),"40%",IF(AND(T43="Detectivo",U43="Automático"),"40%",IF(AND(T43="Detectivo",U43="Manual"),"30%",IF(AND(T43="Correctivo",U43="Automático"),"35%",IF(AND(T43="Correctivo",U43="Manual"),"25%",""))))))</f>
        <v/>
      </c>
      <c r="W43" s="135"/>
      <c r="X43" s="135"/>
      <c r="Y43" s="135"/>
      <c r="Z43" s="137" t="str">
        <f>IFERROR(IF(S43="Probabilidad",(K43-(+K43*V43)),IF(S43="Impacto",K43,"")),"")</f>
        <v/>
      </c>
      <c r="AA43" s="138" t="str">
        <f>IFERROR(IF(Z43="","",IF(Z43&lt;=0.2,"Muy Baja",IF(Z43&lt;=0.4,"Baja",IF(Z43&lt;=0.6,"Media",IF(Z43&lt;=0.8,"Alta","Muy Alta"))))),"")</f>
        <v/>
      </c>
      <c r="AB43" s="139" t="str">
        <f>+Z43</f>
        <v/>
      </c>
      <c r="AC43" s="138" t="str">
        <f>IFERROR(IF(AD43="","",IF(AD43&lt;=0.2,"Leve",IF(AD43&lt;=0.4,"Menor",IF(AD43&lt;=0.6,"Moderado",IF(AD43&lt;=0.8,"Mayor","Catastrófico"))))),"")</f>
        <v/>
      </c>
      <c r="AD43" s="139" t="str">
        <f>IFERROR(IF(S43="Impacto",(O43-(+O43*V43)),IF(S43="Probabilidad",O43,"")),"")</f>
        <v/>
      </c>
      <c r="AE43" s="140"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41"/>
      <c r="AG43" s="110"/>
      <c r="AH43" s="130"/>
      <c r="AI43" s="129"/>
      <c r="AJ43" s="129"/>
      <c r="AK43" s="110"/>
      <c r="AL43" s="130"/>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row>
    <row r="44" spans="1:66" ht="26.25" customHeight="1" x14ac:dyDescent="0.3">
      <c r="A44" s="434"/>
      <c r="B44" s="437"/>
      <c r="C44" s="437"/>
      <c r="D44" s="437"/>
      <c r="E44" s="149"/>
      <c r="F44" s="440"/>
      <c r="G44" s="150"/>
      <c r="H44" s="437"/>
      <c r="I44" s="443"/>
      <c r="J44" s="446"/>
      <c r="K44" s="428"/>
      <c r="L44" s="449"/>
      <c r="M44" s="428">
        <f>IF(NOT(ISERROR(MATCH(L44,_xlfn.ANCHORARRAY(F55),0))),K57&amp;"Por favor no seleccionar los criterios de impacto",L44)</f>
        <v>0</v>
      </c>
      <c r="N44" s="446"/>
      <c r="O44" s="428"/>
      <c r="P44" s="431"/>
      <c r="Q44" s="134">
        <v>2</v>
      </c>
      <c r="R44" s="91"/>
      <c r="S44" s="144" t="str">
        <f>IF(OR(T44="Preventivo",T44="Detectivo"),"Probabilidad",IF(T44="Correctivo","Impacto",""))</f>
        <v/>
      </c>
      <c r="T44" s="135"/>
      <c r="U44" s="135"/>
      <c r="V44" s="136" t="str">
        <f t="shared" ref="V44:V48" si="77">IF(AND(T44="Preventivo",U44="Automático"),"50%",IF(AND(T44="Preventivo",U44="Manual"),"40%",IF(AND(T44="Detectivo",U44="Automático"),"40%",IF(AND(T44="Detectivo",U44="Manual"),"30%",IF(AND(T44="Correctivo",U44="Automático"),"35%",IF(AND(T44="Correctivo",U44="Manual"),"25%",""))))))</f>
        <v/>
      </c>
      <c r="W44" s="135"/>
      <c r="X44" s="135"/>
      <c r="Y44" s="135"/>
      <c r="Z44" s="137" t="str">
        <f>IFERROR(IF(AND(S43="Probabilidad",S44="Probabilidad"),(AB43-(+AB43*V44)),IF(AND(S43="Impacto",S44="Probabilidad"),(K43-(+K43*V44)),IF(S44="Impacto",AB43,""))),"")</f>
        <v/>
      </c>
      <c r="AA44" s="138" t="str">
        <f t="shared" ref="AA44:AA48" si="78">IFERROR(IF(Z44="","",IF(Z44&lt;=0.2,"Muy Baja",IF(Z44&lt;=0.4,"Baja",IF(Z44&lt;=0.6,"Media",IF(Z44&lt;=0.8,"Alta","Muy Alta"))))),"")</f>
        <v/>
      </c>
      <c r="AB44" s="139" t="str">
        <f>+Z44</f>
        <v/>
      </c>
      <c r="AC44" s="138" t="str">
        <f t="shared" ref="AC44:AC48" si="79">IFERROR(IF(AD44="","",IF(AD44&lt;=0.2,"Leve",IF(AD44&lt;=0.4,"Menor",IF(AD44&lt;=0.6,"Moderado",IF(AD44&lt;=0.8,"Mayor","Catastrófico"))))),"")</f>
        <v/>
      </c>
      <c r="AD44" s="139" t="str">
        <f>IFERROR(IF(AND(S43="Impacto",S44="Impacto"),(AD43-(+AD43*V44)),IF(AND(S43="Probabilidad",S44="Impacto"),(O43-(+O43*V44)),IF(S44="Probabilidad",AD43,""))),"")</f>
        <v/>
      </c>
      <c r="AE44" s="140" t="str">
        <f t="shared" ref="AE44:AE48" si="80">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41"/>
      <c r="AG44" s="110"/>
      <c r="AH44" s="130"/>
      <c r="AI44" s="129"/>
      <c r="AJ44" s="129"/>
      <c r="AK44" s="110"/>
      <c r="AL44" s="130"/>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row>
    <row r="45" spans="1:66" ht="26.25" customHeight="1" x14ac:dyDescent="0.3">
      <c r="A45" s="434"/>
      <c r="B45" s="437"/>
      <c r="C45" s="437"/>
      <c r="D45" s="437"/>
      <c r="E45" s="149"/>
      <c r="F45" s="440"/>
      <c r="G45" s="150"/>
      <c r="H45" s="437"/>
      <c r="I45" s="443"/>
      <c r="J45" s="446"/>
      <c r="K45" s="428"/>
      <c r="L45" s="449"/>
      <c r="M45" s="428">
        <f>IF(NOT(ISERROR(MATCH(L45,_xlfn.ANCHORARRAY(F56),0))),K58&amp;"Por favor no seleccionar los criterios de impacto",L45)</f>
        <v>0</v>
      </c>
      <c r="N45" s="446"/>
      <c r="O45" s="428"/>
      <c r="P45" s="431"/>
      <c r="Q45" s="134">
        <v>3</v>
      </c>
      <c r="R45" s="143"/>
      <c r="S45" s="144" t="str">
        <f t="shared" ref="S45:S48" si="81">IF(OR(T45="Preventivo",T45="Detectivo"),"Probabilidad",IF(T45="Correctivo","Impacto",""))</f>
        <v/>
      </c>
      <c r="T45" s="135"/>
      <c r="U45" s="135"/>
      <c r="V45" s="136" t="str">
        <f t="shared" si="77"/>
        <v/>
      </c>
      <c r="W45" s="135"/>
      <c r="X45" s="135"/>
      <c r="Y45" s="135"/>
      <c r="Z45" s="137" t="str">
        <f>IFERROR(IF(AND(S44="Probabilidad",S45="Probabilidad"),(AB44-(+AB44*V45)),IF(AND(S44="Impacto",S45="Probabilidad"),(AB43-(+AB43*V45)),IF(S45="Impacto",AB44,""))),"")</f>
        <v/>
      </c>
      <c r="AA45" s="138" t="str">
        <f t="shared" si="78"/>
        <v/>
      </c>
      <c r="AB45" s="139" t="str">
        <f t="shared" ref="AB45:AB48" si="82">+Z45</f>
        <v/>
      </c>
      <c r="AC45" s="138" t="str">
        <f t="shared" si="79"/>
        <v/>
      </c>
      <c r="AD45" s="139" t="str">
        <f t="shared" ref="AD45:AD48" si="83">IFERROR(IF(AND(S44="Impacto",S45="Impacto"),(AD44-(+AD44*V45)),IF(AND(S44="Probabilidad",S45="Impacto"),(AD43-(+AD43*V45)),IF(S45="Probabilidad",AD44,""))),"")</f>
        <v/>
      </c>
      <c r="AE45" s="140" t="str">
        <f t="shared" si="80"/>
        <v/>
      </c>
      <c r="AF45" s="141"/>
      <c r="AG45" s="110"/>
      <c r="AH45" s="130"/>
      <c r="AI45" s="129"/>
      <c r="AJ45" s="129"/>
      <c r="AK45" s="110"/>
      <c r="AL45" s="130"/>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row>
    <row r="46" spans="1:66" ht="26.25" customHeight="1" x14ac:dyDescent="0.3">
      <c r="A46" s="434"/>
      <c r="B46" s="437"/>
      <c r="C46" s="437"/>
      <c r="D46" s="437"/>
      <c r="E46" s="149"/>
      <c r="F46" s="440"/>
      <c r="G46" s="150"/>
      <c r="H46" s="437"/>
      <c r="I46" s="443"/>
      <c r="J46" s="446"/>
      <c r="K46" s="428"/>
      <c r="L46" s="449"/>
      <c r="M46" s="428">
        <f>IF(NOT(ISERROR(MATCH(L46,_xlfn.ANCHORARRAY(F57),0))),K59&amp;"Por favor no seleccionar los criterios de impacto",L46)</f>
        <v>0</v>
      </c>
      <c r="N46" s="446"/>
      <c r="O46" s="428"/>
      <c r="P46" s="431"/>
      <c r="Q46" s="134">
        <v>4</v>
      </c>
      <c r="R46" s="91"/>
      <c r="S46" s="144" t="str">
        <f t="shared" si="81"/>
        <v/>
      </c>
      <c r="T46" s="135"/>
      <c r="U46" s="135"/>
      <c r="V46" s="136" t="str">
        <f t="shared" si="77"/>
        <v/>
      </c>
      <c r="W46" s="135"/>
      <c r="X46" s="135"/>
      <c r="Y46" s="135"/>
      <c r="Z46" s="137" t="str">
        <f t="shared" ref="Z46:Z48" si="84">IFERROR(IF(AND(S45="Probabilidad",S46="Probabilidad"),(AB45-(+AB45*V46)),IF(AND(S45="Impacto",S46="Probabilidad"),(AB44-(+AB44*V46)),IF(S46="Impacto",AB45,""))),"")</f>
        <v/>
      </c>
      <c r="AA46" s="138" t="str">
        <f t="shared" si="78"/>
        <v/>
      </c>
      <c r="AB46" s="139" t="str">
        <f t="shared" si="82"/>
        <v/>
      </c>
      <c r="AC46" s="138" t="str">
        <f t="shared" si="79"/>
        <v/>
      </c>
      <c r="AD46" s="139" t="str">
        <f t="shared" si="83"/>
        <v/>
      </c>
      <c r="AE46" s="140" t="str">
        <f t="shared" si="80"/>
        <v/>
      </c>
      <c r="AF46" s="141"/>
      <c r="AG46" s="110"/>
      <c r="AH46" s="130"/>
      <c r="AI46" s="129"/>
      <c r="AJ46" s="129"/>
      <c r="AK46" s="110"/>
      <c r="AL46" s="130"/>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row>
    <row r="47" spans="1:66" ht="26.25" customHeight="1" x14ac:dyDescent="0.3">
      <c r="A47" s="434"/>
      <c r="B47" s="437"/>
      <c r="C47" s="437"/>
      <c r="D47" s="437"/>
      <c r="E47" s="149"/>
      <c r="F47" s="440"/>
      <c r="G47" s="150"/>
      <c r="H47" s="437"/>
      <c r="I47" s="443"/>
      <c r="J47" s="446"/>
      <c r="K47" s="428"/>
      <c r="L47" s="449"/>
      <c r="M47" s="428">
        <f>IF(NOT(ISERROR(MATCH(L47,_xlfn.ANCHORARRAY(F58),0))),K60&amp;"Por favor no seleccionar los criterios de impacto",L47)</f>
        <v>0</v>
      </c>
      <c r="N47" s="446"/>
      <c r="O47" s="428"/>
      <c r="P47" s="431"/>
      <c r="Q47" s="134">
        <v>5</v>
      </c>
      <c r="R47" s="91"/>
      <c r="S47" s="144" t="str">
        <f t="shared" si="81"/>
        <v/>
      </c>
      <c r="T47" s="135"/>
      <c r="U47" s="135"/>
      <c r="V47" s="136" t="str">
        <f t="shared" si="77"/>
        <v/>
      </c>
      <c r="W47" s="135"/>
      <c r="X47" s="135"/>
      <c r="Y47" s="135"/>
      <c r="Z47" s="137" t="str">
        <f t="shared" si="84"/>
        <v/>
      </c>
      <c r="AA47" s="138" t="str">
        <f t="shared" si="78"/>
        <v/>
      </c>
      <c r="AB47" s="139" t="str">
        <f t="shared" si="82"/>
        <v/>
      </c>
      <c r="AC47" s="138" t="str">
        <f t="shared" si="79"/>
        <v/>
      </c>
      <c r="AD47" s="139" t="str">
        <f t="shared" si="83"/>
        <v/>
      </c>
      <c r="AE47" s="140" t="str">
        <f t="shared" si="80"/>
        <v/>
      </c>
      <c r="AF47" s="141"/>
      <c r="AG47" s="110"/>
      <c r="AH47" s="130"/>
      <c r="AI47" s="129"/>
      <c r="AJ47" s="129"/>
      <c r="AK47" s="110"/>
      <c r="AL47" s="130"/>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row>
    <row r="48" spans="1:66" ht="26.25" customHeight="1" x14ac:dyDescent="0.3">
      <c r="A48" s="435"/>
      <c r="B48" s="438"/>
      <c r="C48" s="438"/>
      <c r="D48" s="438"/>
      <c r="E48" s="151"/>
      <c r="F48" s="441"/>
      <c r="G48" s="152"/>
      <c r="H48" s="438"/>
      <c r="I48" s="444"/>
      <c r="J48" s="447"/>
      <c r="K48" s="429"/>
      <c r="L48" s="450"/>
      <c r="M48" s="429">
        <f>IF(NOT(ISERROR(MATCH(L48,_xlfn.ANCHORARRAY(F59),0))),K61&amp;"Por favor no seleccionar los criterios de impacto",L48)</f>
        <v>0</v>
      </c>
      <c r="N48" s="447"/>
      <c r="O48" s="429"/>
      <c r="P48" s="432"/>
      <c r="Q48" s="134">
        <v>6</v>
      </c>
      <c r="R48" s="91"/>
      <c r="S48" s="144" t="str">
        <f t="shared" si="81"/>
        <v/>
      </c>
      <c r="T48" s="135"/>
      <c r="U48" s="135"/>
      <c r="V48" s="136" t="str">
        <f t="shared" si="77"/>
        <v/>
      </c>
      <c r="W48" s="135"/>
      <c r="X48" s="135"/>
      <c r="Y48" s="135"/>
      <c r="Z48" s="137" t="str">
        <f t="shared" si="84"/>
        <v/>
      </c>
      <c r="AA48" s="138" t="str">
        <f t="shared" si="78"/>
        <v/>
      </c>
      <c r="AB48" s="139" t="str">
        <f t="shared" si="82"/>
        <v/>
      </c>
      <c r="AC48" s="138" t="str">
        <f t="shared" si="79"/>
        <v/>
      </c>
      <c r="AD48" s="139" t="str">
        <f t="shared" si="83"/>
        <v/>
      </c>
      <c r="AE48" s="140" t="str">
        <f t="shared" si="80"/>
        <v/>
      </c>
      <c r="AF48" s="141"/>
      <c r="AG48" s="110"/>
      <c r="AH48" s="130"/>
      <c r="AI48" s="129"/>
      <c r="AJ48" s="129"/>
      <c r="AK48" s="110"/>
      <c r="AL48" s="130"/>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row>
    <row r="49" spans="1:66" ht="19.5" customHeight="1" x14ac:dyDescent="0.3">
      <c r="A49" s="433">
        <v>10</v>
      </c>
      <c r="B49" s="436"/>
      <c r="C49" s="436"/>
      <c r="D49" s="436"/>
      <c r="E49" s="153"/>
      <c r="F49" s="439"/>
      <c r="G49" s="154"/>
      <c r="H49" s="436"/>
      <c r="I49" s="442"/>
      <c r="J49" s="445" t="str">
        <f t="shared" ref="J49" si="85">IF(I49&lt;=0,"",IF(I49&lt;=2,"Muy Baja",IF(I49&lt;=24,"Baja",IF(I49&lt;=500,"Media",IF(I49&lt;=5000,"Alta","Muy Alta")))))</f>
        <v/>
      </c>
      <c r="K49" s="427" t="str">
        <f t="shared" ref="K49" si="86">IF(J49="","",IF(J49="Muy Baja",0.2,IF(J49="Baja",0.4,IF(J49="Media",0.6,IF(J49="Alta",0.8,IF(J49="Muy Alta",1,))))))</f>
        <v/>
      </c>
      <c r="L49" s="448"/>
      <c r="M49" s="427">
        <f>IF(NOT(ISERROR(MATCH(L49,'Tabla Impacto'!$B$221:$B$223,0))),'Tabla Impacto'!$F$223&amp;"Por favor no seleccionar los criterios de impacto(Afectación Económica o presupuestal y Pérdida Reputacional)",L49)</f>
        <v>0</v>
      </c>
      <c r="N49" s="445" t="str">
        <f>IF(OR(M49='Tabla Impacto'!$C$11,M49='Tabla Impacto'!$D$11),"Leve",IF(OR(M49='Tabla Impacto'!$C$12,M49='Tabla Impacto'!$D$12),"Menor",IF(OR(M49='Tabla Impacto'!$C$13,M49='Tabla Impacto'!$D$13),"Moderado",IF(OR(M49='Tabla Impacto'!$C$14,M49='Tabla Impacto'!$D$14),"Mayor",IF(OR(M49='Tabla Impacto'!$C$15,M49='Tabla Impacto'!$D$15),"Catastrófico","")))))</f>
        <v/>
      </c>
      <c r="O49" s="427" t="str">
        <f t="shared" ref="O49" si="87">IF(N49="","",IF(N49="Leve",0.2,IF(N49="Menor",0.4,IF(N49="Moderado",0.6,IF(N49="Mayor",0.8,IF(N49="Catastrófico",1,))))))</f>
        <v/>
      </c>
      <c r="P49" s="430" t="str">
        <f t="shared" ref="P49" si="88">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34">
        <v>1</v>
      </c>
      <c r="R49" s="91"/>
      <c r="S49" s="144" t="str">
        <f>IF(OR(T49="Preventivo",T49="Detectivo"),"Probabilidad",IF(T49="Correctivo","Impacto",""))</f>
        <v/>
      </c>
      <c r="T49" s="135"/>
      <c r="U49" s="135"/>
      <c r="V49" s="136" t="str">
        <f>IF(AND(T49="Preventivo",U49="Automático"),"50%",IF(AND(T49="Preventivo",U49="Manual"),"40%",IF(AND(T49="Detectivo",U49="Automático"),"40%",IF(AND(T49="Detectivo",U49="Manual"),"30%",IF(AND(T49="Correctivo",U49="Automático"),"35%",IF(AND(T49="Correctivo",U49="Manual"),"25%",""))))))</f>
        <v/>
      </c>
      <c r="W49" s="135"/>
      <c r="X49" s="135"/>
      <c r="Y49" s="135"/>
      <c r="Z49" s="137" t="str">
        <f>IFERROR(IF(S49="Probabilidad",(K49-(+K49*V49)),IF(S49="Impacto",K49,"")),"")</f>
        <v/>
      </c>
      <c r="AA49" s="138" t="str">
        <f>IFERROR(IF(Z49="","",IF(Z49&lt;=0.2,"Muy Baja",IF(Z49&lt;=0.4,"Baja",IF(Z49&lt;=0.6,"Media",IF(Z49&lt;=0.8,"Alta","Muy Alta"))))),"")</f>
        <v/>
      </c>
      <c r="AB49" s="139" t="str">
        <f>+Z49</f>
        <v/>
      </c>
      <c r="AC49" s="138" t="str">
        <f>IFERROR(IF(AD49="","",IF(AD49&lt;=0.2,"Leve",IF(AD49&lt;=0.4,"Menor",IF(AD49&lt;=0.6,"Moderado",IF(AD49&lt;=0.8,"Mayor","Catastrófico"))))),"")</f>
        <v/>
      </c>
      <c r="AD49" s="139" t="str">
        <f>IFERROR(IF(S49="Impacto",(O49-(+O49*V49)),IF(S49="Probabilidad",O49,"")),"")</f>
        <v/>
      </c>
      <c r="AE49" s="140"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41"/>
      <c r="AG49" s="110"/>
      <c r="AH49" s="130"/>
      <c r="AI49" s="129"/>
      <c r="AJ49" s="129"/>
      <c r="AK49" s="110"/>
      <c r="AL49" s="130"/>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row>
    <row r="50" spans="1:66" ht="19.5" customHeight="1" x14ac:dyDescent="0.3">
      <c r="A50" s="434"/>
      <c r="B50" s="437"/>
      <c r="C50" s="437"/>
      <c r="D50" s="437"/>
      <c r="E50" s="149"/>
      <c r="F50" s="440"/>
      <c r="G50" s="150"/>
      <c r="H50" s="437"/>
      <c r="I50" s="443"/>
      <c r="J50" s="446"/>
      <c r="K50" s="428"/>
      <c r="L50" s="449"/>
      <c r="M50" s="428">
        <f>IF(NOT(ISERROR(MATCH(L50,_xlfn.ANCHORARRAY(F61),0))),K63&amp;"Por favor no seleccionar los criterios de impacto",L50)</f>
        <v>0</v>
      </c>
      <c r="N50" s="446"/>
      <c r="O50" s="428"/>
      <c r="P50" s="431"/>
      <c r="Q50" s="134">
        <v>2</v>
      </c>
      <c r="R50" s="91"/>
      <c r="S50" s="144" t="str">
        <f>IF(OR(T50="Preventivo",T50="Detectivo"),"Probabilidad",IF(T50="Correctivo","Impacto",""))</f>
        <v/>
      </c>
      <c r="T50" s="135"/>
      <c r="U50" s="135"/>
      <c r="V50" s="136" t="str">
        <f t="shared" ref="V50:V54" si="89">IF(AND(T50="Preventivo",U50="Automático"),"50%",IF(AND(T50="Preventivo",U50="Manual"),"40%",IF(AND(T50="Detectivo",U50="Automático"),"40%",IF(AND(T50="Detectivo",U50="Manual"),"30%",IF(AND(T50="Correctivo",U50="Automático"),"35%",IF(AND(T50="Correctivo",U50="Manual"),"25%",""))))))</f>
        <v/>
      </c>
      <c r="W50" s="135"/>
      <c r="X50" s="135"/>
      <c r="Y50" s="135"/>
      <c r="Z50" s="137" t="str">
        <f>IFERROR(IF(AND(S49="Probabilidad",S50="Probabilidad"),(AB49-(+AB49*V50)),IF(AND(S49="Impacto",S50="Probabilidad"),(K49-(+K49*V50)),IF(S50="Impacto",AB49,""))),"")</f>
        <v/>
      </c>
      <c r="AA50" s="138" t="str">
        <f t="shared" ref="AA50:AA54" si="90">IFERROR(IF(Z50="","",IF(Z50&lt;=0.2,"Muy Baja",IF(Z50&lt;=0.4,"Baja",IF(Z50&lt;=0.6,"Media",IF(Z50&lt;=0.8,"Alta","Muy Alta"))))),"")</f>
        <v/>
      </c>
      <c r="AB50" s="139" t="str">
        <f>+Z50</f>
        <v/>
      </c>
      <c r="AC50" s="138" t="str">
        <f t="shared" ref="AC50:AC54" si="91">IFERROR(IF(AD50="","",IF(AD50&lt;=0.2,"Leve",IF(AD50&lt;=0.4,"Menor",IF(AD50&lt;=0.6,"Moderado",IF(AD50&lt;=0.8,"Mayor","Catastrófico"))))),"")</f>
        <v/>
      </c>
      <c r="AD50" s="139" t="str">
        <f>IFERROR(IF(AND(S49="Impacto",S50="Impacto"),(AD49-(+AD49*V50)),IF(AND(S49="Probabilidad",S50="Impacto"),(O49-(+O49*V50)),IF(S50="Probabilidad",AD49,""))),"")</f>
        <v/>
      </c>
      <c r="AE50" s="140" t="str">
        <f t="shared" ref="AE50:AE54" si="92">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41"/>
      <c r="AG50" s="110"/>
      <c r="AH50" s="130"/>
      <c r="AI50" s="129"/>
      <c r="AJ50" s="129"/>
      <c r="AK50" s="110"/>
      <c r="AL50" s="130"/>
    </row>
    <row r="51" spans="1:66" ht="19.5" customHeight="1" x14ac:dyDescent="0.3">
      <c r="A51" s="434"/>
      <c r="B51" s="437"/>
      <c r="C51" s="437"/>
      <c r="D51" s="437"/>
      <c r="E51" s="149"/>
      <c r="F51" s="440"/>
      <c r="G51" s="150"/>
      <c r="H51" s="437"/>
      <c r="I51" s="443"/>
      <c r="J51" s="446"/>
      <c r="K51" s="428"/>
      <c r="L51" s="449"/>
      <c r="M51" s="428">
        <f>IF(NOT(ISERROR(MATCH(L51,_xlfn.ANCHORARRAY(F62),0))),K64&amp;"Por favor no seleccionar los criterios de impacto",L51)</f>
        <v>0</v>
      </c>
      <c r="N51" s="446"/>
      <c r="O51" s="428"/>
      <c r="P51" s="431"/>
      <c r="Q51" s="134">
        <v>3</v>
      </c>
      <c r="R51" s="143"/>
      <c r="S51" s="144" t="str">
        <f t="shared" ref="S51:S54" si="93">IF(OR(T51="Preventivo",T51="Detectivo"),"Probabilidad",IF(T51="Correctivo","Impacto",""))</f>
        <v/>
      </c>
      <c r="T51" s="135"/>
      <c r="U51" s="135"/>
      <c r="V51" s="136" t="str">
        <f t="shared" si="89"/>
        <v/>
      </c>
      <c r="W51" s="135"/>
      <c r="X51" s="135"/>
      <c r="Y51" s="135"/>
      <c r="Z51" s="137" t="str">
        <f>IFERROR(IF(AND(S50="Probabilidad",S51="Probabilidad"),(AB50-(+AB50*V51)),IF(AND(S50="Impacto",S51="Probabilidad"),(AB49-(+AB49*V51)),IF(S51="Impacto",AB50,""))),"")</f>
        <v/>
      </c>
      <c r="AA51" s="138" t="str">
        <f t="shared" si="90"/>
        <v/>
      </c>
      <c r="AB51" s="139" t="str">
        <f t="shared" ref="AB51:AB54" si="94">+Z51</f>
        <v/>
      </c>
      <c r="AC51" s="138" t="str">
        <f t="shared" si="91"/>
        <v/>
      </c>
      <c r="AD51" s="139" t="str">
        <f t="shared" ref="AD51:AD54" si="95">IFERROR(IF(AND(S50="Impacto",S51="Impacto"),(AD50-(+AD50*V51)),IF(AND(S50="Probabilidad",S51="Impacto"),(AD49-(+AD49*V51)),IF(S51="Probabilidad",AD50,""))),"")</f>
        <v/>
      </c>
      <c r="AE51" s="140" t="str">
        <f t="shared" si="92"/>
        <v/>
      </c>
      <c r="AF51" s="141"/>
      <c r="AG51" s="110"/>
      <c r="AH51" s="130"/>
      <c r="AI51" s="129"/>
      <c r="AJ51" s="129"/>
      <c r="AK51" s="110"/>
      <c r="AL51" s="130"/>
    </row>
    <row r="52" spans="1:66" ht="19.5" customHeight="1" x14ac:dyDescent="0.3">
      <c r="A52" s="434"/>
      <c r="B52" s="437"/>
      <c r="C52" s="437"/>
      <c r="D52" s="437"/>
      <c r="E52" s="149"/>
      <c r="F52" s="440"/>
      <c r="G52" s="150"/>
      <c r="H52" s="437"/>
      <c r="I52" s="443"/>
      <c r="J52" s="446"/>
      <c r="K52" s="428"/>
      <c r="L52" s="449"/>
      <c r="M52" s="428">
        <f>IF(NOT(ISERROR(MATCH(L52,_xlfn.ANCHORARRAY(F63),0))),K65&amp;"Por favor no seleccionar los criterios de impacto",L52)</f>
        <v>0</v>
      </c>
      <c r="N52" s="446"/>
      <c r="O52" s="428"/>
      <c r="P52" s="431"/>
      <c r="Q52" s="134">
        <v>4</v>
      </c>
      <c r="R52" s="91"/>
      <c r="S52" s="144" t="str">
        <f t="shared" si="93"/>
        <v/>
      </c>
      <c r="T52" s="135"/>
      <c r="U52" s="135"/>
      <c r="V52" s="136" t="str">
        <f t="shared" si="89"/>
        <v/>
      </c>
      <c r="W52" s="135"/>
      <c r="X52" s="135"/>
      <c r="Y52" s="135"/>
      <c r="Z52" s="137" t="str">
        <f t="shared" ref="Z52:Z54" si="96">IFERROR(IF(AND(S51="Probabilidad",S52="Probabilidad"),(AB51-(+AB51*V52)),IF(AND(S51="Impacto",S52="Probabilidad"),(AB50-(+AB50*V52)),IF(S52="Impacto",AB51,""))),"")</f>
        <v/>
      </c>
      <c r="AA52" s="138" t="str">
        <f t="shared" si="90"/>
        <v/>
      </c>
      <c r="AB52" s="139" t="str">
        <f t="shared" si="94"/>
        <v/>
      </c>
      <c r="AC52" s="138" t="str">
        <f t="shared" si="91"/>
        <v/>
      </c>
      <c r="AD52" s="139" t="str">
        <f t="shared" si="95"/>
        <v/>
      </c>
      <c r="AE52" s="140" t="str">
        <f t="shared" si="92"/>
        <v/>
      </c>
      <c r="AF52" s="141"/>
      <c r="AG52" s="110"/>
      <c r="AH52" s="130"/>
      <c r="AI52" s="129"/>
      <c r="AJ52" s="129"/>
      <c r="AK52" s="110"/>
      <c r="AL52" s="130"/>
    </row>
    <row r="53" spans="1:66" ht="19.5" customHeight="1" x14ac:dyDescent="0.3">
      <c r="A53" s="434"/>
      <c r="B53" s="437"/>
      <c r="C53" s="437"/>
      <c r="D53" s="437"/>
      <c r="E53" s="149"/>
      <c r="F53" s="440"/>
      <c r="G53" s="150"/>
      <c r="H53" s="437"/>
      <c r="I53" s="443"/>
      <c r="J53" s="446"/>
      <c r="K53" s="428"/>
      <c r="L53" s="449"/>
      <c r="M53" s="428">
        <f>IF(NOT(ISERROR(MATCH(L53,_xlfn.ANCHORARRAY(F64),0))),K66&amp;"Por favor no seleccionar los criterios de impacto",L53)</f>
        <v>0</v>
      </c>
      <c r="N53" s="446"/>
      <c r="O53" s="428"/>
      <c r="P53" s="431"/>
      <c r="Q53" s="134">
        <v>5</v>
      </c>
      <c r="R53" s="91"/>
      <c r="S53" s="144" t="str">
        <f t="shared" si="93"/>
        <v/>
      </c>
      <c r="T53" s="135"/>
      <c r="U53" s="135"/>
      <c r="V53" s="136" t="str">
        <f t="shared" si="89"/>
        <v/>
      </c>
      <c r="W53" s="135"/>
      <c r="X53" s="135"/>
      <c r="Y53" s="135"/>
      <c r="Z53" s="137" t="str">
        <f t="shared" si="96"/>
        <v/>
      </c>
      <c r="AA53" s="138" t="str">
        <f t="shared" si="90"/>
        <v/>
      </c>
      <c r="AB53" s="139" t="str">
        <f t="shared" si="94"/>
        <v/>
      </c>
      <c r="AC53" s="138" t="str">
        <f t="shared" si="91"/>
        <v/>
      </c>
      <c r="AD53" s="139" t="str">
        <f t="shared" si="95"/>
        <v/>
      </c>
      <c r="AE53" s="140" t="str">
        <f t="shared" si="92"/>
        <v/>
      </c>
      <c r="AF53" s="141"/>
      <c r="AG53" s="110"/>
      <c r="AH53" s="130"/>
      <c r="AI53" s="129"/>
      <c r="AJ53" s="129"/>
      <c r="AK53" s="110"/>
      <c r="AL53" s="130"/>
    </row>
    <row r="54" spans="1:66" ht="19.5" customHeight="1" x14ac:dyDescent="0.3">
      <c r="A54" s="435"/>
      <c r="B54" s="438"/>
      <c r="C54" s="438"/>
      <c r="D54" s="438"/>
      <c r="E54" s="151"/>
      <c r="F54" s="441"/>
      <c r="G54" s="152"/>
      <c r="H54" s="438"/>
      <c r="I54" s="444"/>
      <c r="J54" s="447"/>
      <c r="K54" s="429"/>
      <c r="L54" s="450"/>
      <c r="M54" s="429">
        <f>IF(NOT(ISERROR(MATCH(L54,_xlfn.ANCHORARRAY(F65),0))),K67&amp;"Por favor no seleccionar los criterios de impacto",L54)</f>
        <v>0</v>
      </c>
      <c r="N54" s="447"/>
      <c r="O54" s="429"/>
      <c r="P54" s="432"/>
      <c r="Q54" s="134">
        <v>6</v>
      </c>
      <c r="R54" s="91"/>
      <c r="S54" s="144" t="str">
        <f t="shared" si="93"/>
        <v/>
      </c>
      <c r="T54" s="135"/>
      <c r="U54" s="135"/>
      <c r="V54" s="136" t="str">
        <f t="shared" si="89"/>
        <v/>
      </c>
      <c r="W54" s="135"/>
      <c r="X54" s="135"/>
      <c r="Y54" s="135"/>
      <c r="Z54" s="137" t="str">
        <f t="shared" si="96"/>
        <v/>
      </c>
      <c r="AA54" s="138" t="str">
        <f t="shared" si="90"/>
        <v/>
      </c>
      <c r="AB54" s="139" t="str">
        <f t="shared" si="94"/>
        <v/>
      </c>
      <c r="AC54" s="138" t="str">
        <f t="shared" si="91"/>
        <v/>
      </c>
      <c r="AD54" s="139" t="str">
        <f t="shared" si="95"/>
        <v/>
      </c>
      <c r="AE54" s="140" t="str">
        <f t="shared" si="92"/>
        <v/>
      </c>
      <c r="AF54" s="141"/>
      <c r="AG54" s="110"/>
      <c r="AH54" s="130"/>
      <c r="AI54" s="129"/>
      <c r="AJ54" s="129"/>
      <c r="AK54" s="110"/>
      <c r="AL54" s="130"/>
    </row>
    <row r="55" spans="1:66" ht="49.5" customHeight="1" x14ac:dyDescent="0.3">
      <c r="A55" s="121"/>
      <c r="B55" s="424" t="s">
        <v>232</v>
      </c>
      <c r="C55" s="425"/>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6"/>
    </row>
    <row r="57" spans="1:66" x14ac:dyDescent="0.3">
      <c r="A57" s="112"/>
      <c r="B57" s="155" t="s">
        <v>137</v>
      </c>
      <c r="C57" s="112"/>
      <c r="D57" s="112"/>
      <c r="E57" s="112"/>
      <c r="H57" s="112"/>
    </row>
    <row r="63" spans="1:66" x14ac:dyDescent="0.3">
      <c r="F63" s="112" t="s">
        <v>241</v>
      </c>
      <c r="G63" s="112">
        <v>4</v>
      </c>
    </row>
    <row r="64" spans="1:66" x14ac:dyDescent="0.3">
      <c r="F64" s="112" t="s">
        <v>242</v>
      </c>
      <c r="G64" s="112">
        <v>6</v>
      </c>
    </row>
    <row r="65" spans="4:7" x14ac:dyDescent="0.3">
      <c r="F65" s="112" t="s">
        <v>243</v>
      </c>
      <c r="G65" s="112">
        <v>6</v>
      </c>
    </row>
    <row r="66" spans="4:7" x14ac:dyDescent="0.3">
      <c r="F66" s="112" t="s">
        <v>244</v>
      </c>
      <c r="G66" s="112">
        <v>4</v>
      </c>
    </row>
    <row r="67" spans="4:7" x14ac:dyDescent="0.3">
      <c r="D67" s="158"/>
      <c r="F67" s="112" t="s">
        <v>245</v>
      </c>
      <c r="G67" s="112">
        <v>4</v>
      </c>
    </row>
    <row r="68" spans="4:7" x14ac:dyDescent="0.3">
      <c r="D68" s="158"/>
      <c r="F68" s="112" t="s">
        <v>246</v>
      </c>
      <c r="G68" s="112">
        <v>33</v>
      </c>
    </row>
    <row r="69" spans="4:7" x14ac:dyDescent="0.3">
      <c r="D69" s="159"/>
      <c r="G69" s="112">
        <f>SUM(G63:G68)</f>
        <v>57</v>
      </c>
    </row>
  </sheetData>
  <dataConsolidate/>
  <mergeCells count="173">
    <mergeCell ref="AJ15:AJ18"/>
    <mergeCell ref="AK15:AK18"/>
    <mergeCell ref="AL15:AL18"/>
    <mergeCell ref="AL8:AL9"/>
    <mergeCell ref="AK8:AK9"/>
    <mergeCell ref="AJ8:AJ9"/>
    <mergeCell ref="AJ10:AJ14"/>
    <mergeCell ref="AK10:AK14"/>
    <mergeCell ref="AL10:AL14"/>
    <mergeCell ref="B15:B18"/>
    <mergeCell ref="C15:C18"/>
    <mergeCell ref="D15:D18"/>
    <mergeCell ref="M8:M9"/>
    <mergeCell ref="S8:S9"/>
    <mergeCell ref="I10:I14"/>
    <mergeCell ref="J10:J14"/>
    <mergeCell ref="F15:F18"/>
    <mergeCell ref="A15:A18"/>
    <mergeCell ref="A10:A14"/>
    <mergeCell ref="B10:B14"/>
    <mergeCell ref="C10:C14"/>
    <mergeCell ref="D10:D14"/>
    <mergeCell ref="F10:F14"/>
    <mergeCell ref="P10:P14"/>
    <mergeCell ref="K10:K14"/>
    <mergeCell ref="L10:L14"/>
    <mergeCell ref="M10:M14"/>
    <mergeCell ref="N10:N14"/>
    <mergeCell ref="O10:O14"/>
    <mergeCell ref="G10:G14"/>
    <mergeCell ref="J8:J9"/>
    <mergeCell ref="K8:K9"/>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E8:E9"/>
    <mergeCell ref="N8:N9"/>
    <mergeCell ref="O8:O9"/>
    <mergeCell ref="B8:B9"/>
    <mergeCell ref="P8:P9"/>
    <mergeCell ref="AF10:AF14"/>
    <mergeCell ref="AG10:AG14"/>
    <mergeCell ref="AH10:AH14"/>
    <mergeCell ref="AI10:AI14"/>
    <mergeCell ref="G15:G18"/>
    <mergeCell ref="AF15:AF18"/>
    <mergeCell ref="AG8:AG9"/>
    <mergeCell ref="N15:N18"/>
    <mergeCell ref="O15:O18"/>
    <mergeCell ref="P15:P18"/>
    <mergeCell ref="H15:H18"/>
    <mergeCell ref="I15:I18"/>
    <mergeCell ref="J15:J18"/>
    <mergeCell ref="K15:K18"/>
    <mergeCell ref="L15:L18"/>
    <mergeCell ref="AI8:AI9"/>
    <mergeCell ref="AH8:AH9"/>
    <mergeCell ref="M15:M18"/>
    <mergeCell ref="L8:L9"/>
    <mergeCell ref="T8:Y8"/>
    <mergeCell ref="AG15:AG18"/>
    <mergeCell ref="AH15:AH18"/>
    <mergeCell ref="AI15:AI18"/>
    <mergeCell ref="H10:H14"/>
    <mergeCell ref="O19:O24"/>
    <mergeCell ref="P19:P24"/>
    <mergeCell ref="O25:O30"/>
    <mergeCell ref="P25:P30"/>
    <mergeCell ref="L31:L36"/>
    <mergeCell ref="M31:M36"/>
    <mergeCell ref="N31:N36"/>
    <mergeCell ref="L25:L30"/>
    <mergeCell ref="M25:M30"/>
    <mergeCell ref="N25:N30"/>
    <mergeCell ref="I19:I24"/>
    <mergeCell ref="J19:J24"/>
    <mergeCell ref="K19:K24"/>
    <mergeCell ref="L19:L24"/>
    <mergeCell ref="I25:I30"/>
    <mergeCell ref="J25:J30"/>
    <mergeCell ref="K25:K30"/>
    <mergeCell ref="M19:M24"/>
    <mergeCell ref="N19:N24"/>
    <mergeCell ref="A19:A24"/>
    <mergeCell ref="B19:B24"/>
    <mergeCell ref="C19:C24"/>
    <mergeCell ref="A25:A30"/>
    <mergeCell ref="B25:B30"/>
    <mergeCell ref="C25:C30"/>
    <mergeCell ref="D25:D30"/>
    <mergeCell ref="F25:F30"/>
    <mergeCell ref="H25:H30"/>
    <mergeCell ref="D19:D24"/>
    <mergeCell ref="F19:F24"/>
    <mergeCell ref="H19:H24"/>
    <mergeCell ref="A37:A42"/>
    <mergeCell ref="B37:B42"/>
    <mergeCell ref="C37:C42"/>
    <mergeCell ref="D37:D42"/>
    <mergeCell ref="F37:F42"/>
    <mergeCell ref="A31:A36"/>
    <mergeCell ref="B31:B36"/>
    <mergeCell ref="C31:C36"/>
    <mergeCell ref="D31:D36"/>
    <mergeCell ref="F31:F36"/>
    <mergeCell ref="F43:F48"/>
    <mergeCell ref="H43:H48"/>
    <mergeCell ref="I43:I48"/>
    <mergeCell ref="J43:J48"/>
    <mergeCell ref="K43:K48"/>
    <mergeCell ref="O31:O36"/>
    <mergeCell ref="P31:P36"/>
    <mergeCell ref="H37:H42"/>
    <mergeCell ref="I37:I42"/>
    <mergeCell ref="J37:J42"/>
    <mergeCell ref="K37:K42"/>
    <mergeCell ref="L37:L42"/>
    <mergeCell ref="H31:H36"/>
    <mergeCell ref="I31:I36"/>
    <mergeCell ref="J31:J36"/>
    <mergeCell ref="K31:K36"/>
    <mergeCell ref="M37:M42"/>
    <mergeCell ref="N37:N42"/>
    <mergeCell ref="O37:O42"/>
    <mergeCell ref="P37:P42"/>
    <mergeCell ref="B55:AL55"/>
    <mergeCell ref="O43:O48"/>
    <mergeCell ref="P43:P48"/>
    <mergeCell ref="A49:A54"/>
    <mergeCell ref="B49:B54"/>
    <mergeCell ref="C49:C54"/>
    <mergeCell ref="D49:D54"/>
    <mergeCell ref="F49:F54"/>
    <mergeCell ref="H49:H54"/>
    <mergeCell ref="I49:I54"/>
    <mergeCell ref="J49:J54"/>
    <mergeCell ref="K49:K54"/>
    <mergeCell ref="L49:L54"/>
    <mergeCell ref="M49:M54"/>
    <mergeCell ref="N49:N54"/>
    <mergeCell ref="O49:O54"/>
    <mergeCell ref="P49:P54"/>
    <mergeCell ref="L43:L48"/>
    <mergeCell ref="M43:M48"/>
    <mergeCell ref="N43:N48"/>
    <mergeCell ref="A43:A48"/>
    <mergeCell ref="B43:B48"/>
    <mergeCell ref="C43:C48"/>
    <mergeCell ref="D43:D48"/>
    <mergeCell ref="C4:AL4"/>
    <mergeCell ref="C5:AL5"/>
    <mergeCell ref="C6:AL6"/>
    <mergeCell ref="A1:AL2"/>
    <mergeCell ref="A7:I7"/>
    <mergeCell ref="J7:P7"/>
    <mergeCell ref="Q7:Y7"/>
    <mergeCell ref="Z7:AF7"/>
    <mergeCell ref="AG7:AL7"/>
    <mergeCell ref="A4:B4"/>
    <mergeCell ref="A5:B5"/>
    <mergeCell ref="A6:B6"/>
  </mergeCells>
  <conditionalFormatting sqref="J10 AA10:AA54 J15 J19 J25 J31 J37 J43 J49">
    <cfRule type="cellIs" dxfId="18" priority="683" operator="equal">
      <formula>"Muy Alta"</formula>
    </cfRule>
    <cfRule type="cellIs" dxfId="17" priority="684" operator="equal">
      <formula>"Alta"</formula>
    </cfRule>
    <cfRule type="cellIs" dxfId="16" priority="685" operator="equal">
      <formula>"Media"</formula>
    </cfRule>
    <cfRule type="cellIs" dxfId="15" priority="686" operator="equal">
      <formula>"Baja"</formula>
    </cfRule>
    <cfRule type="cellIs" dxfId="14" priority="687" operator="equal">
      <formula>"Muy Baja"</formula>
    </cfRule>
  </conditionalFormatting>
  <conditionalFormatting sqref="M10:M54">
    <cfRule type="containsText" dxfId="13" priority="365" operator="containsText" text="❌">
      <formula>NOT(ISERROR(SEARCH("❌",M10)))</formula>
    </cfRule>
  </conditionalFormatting>
  <conditionalFormatting sqref="N10 AC10:AC54 N15 N19 N25 N31 N37 N43 N49">
    <cfRule type="cellIs" dxfId="12" priority="678" operator="equal">
      <formula>"Catastrófico"</formula>
    </cfRule>
    <cfRule type="cellIs" dxfId="11" priority="679" operator="equal">
      <formula>"Mayor"</formula>
    </cfRule>
    <cfRule type="cellIs" dxfId="10" priority="680" operator="equal">
      <formula>"Moderado"</formula>
    </cfRule>
    <cfRule type="cellIs" dxfId="9" priority="681" operator="equal">
      <formula>"Menor"</formula>
    </cfRule>
    <cfRule type="cellIs" dxfId="8" priority="682" operator="equal">
      <formula>"Leve"</formula>
    </cfRule>
  </conditionalFormatting>
  <conditionalFormatting sqref="P10 AE10:AE54">
    <cfRule type="cellIs" dxfId="7" priority="674" operator="equal">
      <formula>"Extremo"</formula>
    </cfRule>
    <cfRule type="cellIs" dxfId="6" priority="675" operator="equal">
      <formula>"Alto"</formula>
    </cfRule>
    <cfRule type="cellIs" dxfId="5" priority="676" operator="equal">
      <formula>"Moderado"</formula>
    </cfRule>
    <cfRule type="cellIs" dxfId="4" priority="677" operator="equal">
      <formula>"Bajo"</formula>
    </cfRule>
  </conditionalFormatting>
  <conditionalFormatting sqref="P15 P19 P25 P31 P37 P43 P49">
    <cfRule type="cellIs" dxfId="3" priority="604" operator="equal">
      <formula>"Extremo"</formula>
    </cfRule>
    <cfRule type="cellIs" dxfId="2" priority="605" operator="equal">
      <formula>"Alto"</formula>
    </cfRule>
    <cfRule type="cellIs" dxfId="1" priority="606" operator="equal">
      <formula>"Moderado"</formula>
    </cfRule>
    <cfRule type="cellIs" dxfId="0" priority="607"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AL52:AL53 AL22:AL23 AL25:AL26 AL28:AL29 AL31:AL32 AL34:AL35 AL37:AL38 AL40:AL41 AL43:AL44 AL46:AL47 AL49:AL50 AL10 AL15 AL19:AL20</xm:sqref>
        </x14:dataValidation>
        <x14:dataValidation type="list" allowBlank="1" showInputMessage="1" showErrorMessage="1" xr:uid="{00000000-0002-0000-0100-000001000000}">
          <x14:formula1>
            <xm:f>'Opciones Tratamiento'!$B$2:$B$5</xm:f>
          </x14:formula1>
          <xm:sqref>AF10 AF51:AF54 AF21:AF25 AF27:AF31 AF33:AF37 AF39:AF43 AF45:AF49 AF19 AF15</xm:sqref>
        </x14:dataValidation>
        <x14:dataValidation type="list" allowBlank="1" showInputMessage="1" showErrorMessage="1" xr:uid="{00000000-0002-0000-0100-000002000000}">
          <x14:formula1>
            <xm:f>'C:\Users\HOME\Downloads\[Formato Matriz de Riesgos 2021 (1).xlsx]Opciones Tratamiento'!#REF!</xm:f>
          </x14:formula1>
          <xm:sqref>AF44 AF38 AF50 AF20 AF26 AF32</xm:sqref>
        </x14:dataValidation>
        <x14:dataValidation type="custom" allowBlank="1" showInputMessage="1" showErrorMessage="1" error="Recuerde que las acciones se generan bajo la medida de mitigar el riesgo" xr:uid="{00000000-0002-0000-0100-000003000000}">
          <x14:formula1>
            <xm:f>IF(OR(AF10='Opciones Tratamiento'!$B$2,AF10='Opciones Tratamiento'!$B$3,AF10='Opciones Tratamiento'!$B$4),ISBLANK(AF10),ISTEXT(AF10))</xm:f>
          </x14:formula1>
          <xm:sqref>AG10 AG15 AG19:AG54</xm:sqref>
        </x14:dataValidation>
        <x14:dataValidation type="custom" allowBlank="1" showInputMessage="1" showErrorMessage="1" error="Recuerde que las acciones se generan bajo la medida de mitigar el riesgo" xr:uid="{00000000-0002-0000-0100-000004000000}">
          <x14:formula1>
            <xm:f>IF(OR(AF10='Opciones Tratamiento'!$B$2,AF10='Opciones Tratamiento'!$B$3,AF10='Opciones Tratamiento'!$B$4),ISBLANK(AF10),ISTEXT(AF10))</xm:f>
          </x14:formula1>
          <xm:sqref>AH10 AH15 AH19:AH54</xm:sqref>
        </x14:dataValidation>
        <x14:dataValidation type="custom" allowBlank="1" showInputMessage="1" showErrorMessage="1" error="Recuerde que las acciones se generan bajo la medida de mitigar el riesgo" xr:uid="{00000000-0002-0000-0100-000005000000}">
          <x14:formula1>
            <xm:f>IF(OR(AF10='Opciones Tratamiento'!$B$2,AF10='Opciones Tratamiento'!$B$3,AF10='Opciones Tratamiento'!$B$4),ISBLANK(AF10),ISTEXT(AF10))</xm:f>
          </x14:formula1>
          <xm:sqref>AI10 AI15 AI19:AI54</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AJ10 AJ15 AJ19:AJ54</xm:sqref>
        </x14:dataValidation>
        <x14:dataValidation type="custom" allowBlank="1" showInputMessage="1" showErrorMessage="1" error="Recuerde que las acciones se generan bajo la medida de mitigar el riesgo" xr:uid="{00000000-0002-0000-0100-00000F000000}">
          <x14:formula1>
            <xm:f>IF(OR(AF10='Opciones Tratamiento'!$B$2,AF10='Opciones Tratamiento'!$B$3,AF10='Opciones Tratamiento'!$B$4),ISBLANK(AF10),ISTEXT(AF10))</xm:f>
          </x14:formula1>
          <xm:sqref>AK10 AK15 AK19:AK54</xm:sqref>
        </x14:dataValidation>
        <x14:dataValidation type="list" allowBlank="1" showInputMessage="1" showErrorMessage="1" xr:uid="{00000000-0002-0000-0100-000006000000}">
          <x14:formula1>
            <xm:f>'Tabla Valoración controles'!$D$4:$D$6</xm:f>
          </x14:formula1>
          <xm:sqref>T10:T54</xm:sqref>
        </x14:dataValidation>
        <x14:dataValidation type="list" allowBlank="1" showInputMessage="1" showErrorMessage="1" xr:uid="{00000000-0002-0000-0100-000007000000}">
          <x14:formula1>
            <xm:f>'Tabla Valoración controles'!$D$7:$D$8</xm:f>
          </x14:formula1>
          <xm:sqref>U10:U54</xm:sqref>
        </x14:dataValidation>
        <x14:dataValidation type="list" allowBlank="1" showInputMessage="1" showErrorMessage="1" xr:uid="{00000000-0002-0000-0100-000008000000}">
          <x14:formula1>
            <xm:f>'Tabla Valoración controles'!$D$9:$D$10</xm:f>
          </x14:formula1>
          <xm:sqref>W10:W54</xm:sqref>
        </x14:dataValidation>
        <x14:dataValidation type="list" allowBlank="1" showInputMessage="1" showErrorMessage="1" xr:uid="{00000000-0002-0000-0100-000009000000}">
          <x14:formula1>
            <xm:f>'Tabla Valoración controles'!$D$11:$D$12</xm:f>
          </x14:formula1>
          <xm:sqref>X10:X54</xm:sqref>
        </x14:dataValidation>
        <x14:dataValidation type="list" allowBlank="1" showInputMessage="1" showErrorMessage="1" xr:uid="{00000000-0002-0000-0100-00000A000000}">
          <x14:formula1>
            <xm:f>'Tabla Valoración controles'!$D$13:$D$14</xm:f>
          </x14:formula1>
          <xm:sqref>Y10:Y54</xm:sqref>
        </x14:dataValidation>
        <x14:dataValidation type="list" allowBlank="1" showInputMessage="1" showErrorMessage="1" xr:uid="{00000000-0002-0000-0100-00000B000000}">
          <x14:formula1>
            <xm:f>'Opciones Tratamiento'!$B$13:$B$19</xm:f>
          </x14:formula1>
          <xm:sqref>H10:H54</xm:sqref>
        </x14:dataValidation>
        <x14:dataValidation type="list" allowBlank="1" showInputMessage="1" showErrorMessage="1" xr:uid="{00000000-0002-0000-0100-00000C000000}">
          <x14:formula1>
            <xm:f>'Opciones Tratamiento'!$E$2:$E$4</xm:f>
          </x14:formula1>
          <xm:sqref>B10:B54</xm:sqref>
        </x14:dataValidation>
        <x14:dataValidation type="list" allowBlank="1" showInputMessage="1" showErrorMessage="1" xr:uid="{00000000-0002-0000-0100-00000D000000}">
          <x14:formula1>
            <xm:f>'Tabla Impacto'!$F$210:$F$221</xm:f>
          </x14:formula1>
          <xm:sqref>L10:L54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baseColWidth="10" defaultColWidth="11.5546875"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591" t="s">
        <v>149</v>
      </c>
      <c r="C2" s="591"/>
      <c r="D2" s="591"/>
      <c r="E2" s="591"/>
      <c r="F2" s="591"/>
      <c r="G2" s="591"/>
      <c r="H2" s="591"/>
      <c r="I2" s="591"/>
      <c r="J2" s="559" t="s">
        <v>2</v>
      </c>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591"/>
      <c r="C3" s="591"/>
      <c r="D3" s="591"/>
      <c r="E3" s="591"/>
      <c r="F3" s="591"/>
      <c r="G3" s="591"/>
      <c r="H3" s="591"/>
      <c r="I3" s="591"/>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591"/>
      <c r="C4" s="591"/>
      <c r="D4" s="591"/>
      <c r="E4" s="591"/>
      <c r="F4" s="591"/>
      <c r="G4" s="591"/>
      <c r="H4" s="591"/>
      <c r="I4" s="591"/>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506" t="s">
        <v>4</v>
      </c>
      <c r="C6" s="506"/>
      <c r="D6" s="507"/>
      <c r="E6" s="544" t="s">
        <v>111</v>
      </c>
      <c r="F6" s="545"/>
      <c r="G6" s="545"/>
      <c r="H6" s="545"/>
      <c r="I6" s="546"/>
      <c r="J6" s="555" t="str">
        <f>IF(AND('Mapa final'!$J$10="Muy Alta",'Mapa final'!$N$10="Leve"),CONCATENATE("R",'Mapa final'!$A$10),"")</f>
        <v/>
      </c>
      <c r="K6" s="556"/>
      <c r="L6" s="556" t="str">
        <f>IF(AND('Mapa final'!$J$15="Muy Alta",'Mapa final'!$N$15="Leve"),CONCATENATE("R",'Mapa final'!$A$15),"")</f>
        <v/>
      </c>
      <c r="M6" s="556"/>
      <c r="N6" s="556" t="e">
        <f>IF(AND('Mapa final'!#REF!="Muy Alta",'Mapa final'!#REF!="Leve"),CONCATENATE("R",'Mapa final'!#REF!),"")</f>
        <v>#REF!</v>
      </c>
      <c r="O6" s="558"/>
      <c r="P6" s="555" t="str">
        <f>IF(AND('Mapa final'!$J$10="Muy Alta",'Mapa final'!$N$10="Menor"),CONCATENATE("R",'Mapa final'!$A$10),"")</f>
        <v/>
      </c>
      <c r="Q6" s="556"/>
      <c r="R6" s="556" t="str">
        <f>IF(AND('Mapa final'!$J$15="Muy Alta",'Mapa final'!$N$15="Menor"),CONCATENATE("R",'Mapa final'!$A$15),"")</f>
        <v/>
      </c>
      <c r="S6" s="556"/>
      <c r="T6" s="556" t="e">
        <f>IF(AND('Mapa final'!#REF!="Muy Alta",'Mapa final'!#REF!="Menor"),CONCATENATE("R",'Mapa final'!#REF!),"")</f>
        <v>#REF!</v>
      </c>
      <c r="U6" s="558"/>
      <c r="V6" s="555" t="str">
        <f>IF(AND('Mapa final'!$J$10="Muy Alta",'Mapa final'!$N$10="Moderado"),CONCATENATE("R",'Mapa final'!$A$10),"")</f>
        <v/>
      </c>
      <c r="W6" s="556"/>
      <c r="X6" s="556" t="str">
        <f>IF(AND('Mapa final'!$J$15="Muy Alta",'Mapa final'!$N$15="Moderado"),CONCATENATE("R",'Mapa final'!$A$15),"")</f>
        <v/>
      </c>
      <c r="Y6" s="556"/>
      <c r="Z6" s="556" t="e">
        <f>IF(AND('Mapa final'!#REF!="Muy Alta",'Mapa final'!#REF!="Moderado"),CONCATENATE("R",'Mapa final'!#REF!),"")</f>
        <v>#REF!</v>
      </c>
      <c r="AA6" s="558"/>
      <c r="AB6" s="555" t="str">
        <f>IF(AND('Mapa final'!$J$10="Muy Alta",'Mapa final'!$N$10="Mayor"),CONCATENATE("R",'Mapa final'!$A$10),"")</f>
        <v/>
      </c>
      <c r="AC6" s="556"/>
      <c r="AD6" s="556" t="str">
        <f>IF(AND('Mapa final'!$J$15="Muy Alta",'Mapa final'!$N$15="Mayor"),CONCATENATE("R",'Mapa final'!$A$15),"")</f>
        <v/>
      </c>
      <c r="AE6" s="556"/>
      <c r="AF6" s="556" t="e">
        <f>IF(AND('Mapa final'!#REF!="Muy Alta",'Mapa final'!#REF!="Mayor"),CONCATENATE("R",'Mapa final'!#REF!),"")</f>
        <v>#REF!</v>
      </c>
      <c r="AG6" s="558"/>
      <c r="AH6" s="570" t="str">
        <f>IF(AND('Mapa final'!$J$10="Muy Alta",'Mapa final'!$N$10="Catastrófico"),CONCATENATE("R",'Mapa final'!$A$10),"")</f>
        <v/>
      </c>
      <c r="AI6" s="571"/>
      <c r="AJ6" s="571" t="str">
        <f>IF(AND('Mapa final'!$J$15="Muy Alta",'Mapa final'!$N$15="Catastrófico"),CONCATENATE("R",'Mapa final'!$A$15),"")</f>
        <v/>
      </c>
      <c r="AK6" s="571"/>
      <c r="AL6" s="571" t="e">
        <f>IF(AND('Mapa final'!#REF!="Muy Alta",'Mapa final'!#REF!="Catastrófico"),CONCATENATE("R",'Mapa final'!#REF!),"")</f>
        <v>#REF!</v>
      </c>
      <c r="AM6" s="572"/>
      <c r="AO6" s="508" t="s">
        <v>78</v>
      </c>
      <c r="AP6" s="509"/>
      <c r="AQ6" s="509"/>
      <c r="AR6" s="509"/>
      <c r="AS6" s="509"/>
      <c r="AT6" s="510"/>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506"/>
      <c r="C7" s="506"/>
      <c r="D7" s="507"/>
      <c r="E7" s="547"/>
      <c r="F7" s="548"/>
      <c r="G7" s="548"/>
      <c r="H7" s="548"/>
      <c r="I7" s="549"/>
      <c r="J7" s="557"/>
      <c r="K7" s="553"/>
      <c r="L7" s="553"/>
      <c r="M7" s="553"/>
      <c r="N7" s="553"/>
      <c r="O7" s="554"/>
      <c r="P7" s="557"/>
      <c r="Q7" s="553"/>
      <c r="R7" s="553"/>
      <c r="S7" s="553"/>
      <c r="T7" s="553"/>
      <c r="U7" s="554"/>
      <c r="V7" s="557"/>
      <c r="W7" s="553"/>
      <c r="X7" s="553"/>
      <c r="Y7" s="553"/>
      <c r="Z7" s="553"/>
      <c r="AA7" s="554"/>
      <c r="AB7" s="557"/>
      <c r="AC7" s="553"/>
      <c r="AD7" s="553"/>
      <c r="AE7" s="553"/>
      <c r="AF7" s="553"/>
      <c r="AG7" s="554"/>
      <c r="AH7" s="564"/>
      <c r="AI7" s="565"/>
      <c r="AJ7" s="565"/>
      <c r="AK7" s="565"/>
      <c r="AL7" s="565"/>
      <c r="AM7" s="566"/>
      <c r="AN7" s="53"/>
      <c r="AO7" s="511"/>
      <c r="AP7" s="512"/>
      <c r="AQ7" s="512"/>
      <c r="AR7" s="512"/>
      <c r="AS7" s="512"/>
      <c r="AT7" s="51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506"/>
      <c r="C8" s="506"/>
      <c r="D8" s="507"/>
      <c r="E8" s="547"/>
      <c r="F8" s="548"/>
      <c r="G8" s="548"/>
      <c r="H8" s="548"/>
      <c r="I8" s="549"/>
      <c r="J8" s="557" t="e">
        <f>IF(AND('Mapa final'!#REF!="Muy Alta",'Mapa final'!#REF!="Leve"),CONCATENATE("R",'Mapa final'!#REF!),"")</f>
        <v>#REF!</v>
      </c>
      <c r="K8" s="553"/>
      <c r="L8" s="553" t="str">
        <f>IF(AND('Mapa final'!$J$19="Muy Alta",'Mapa final'!$N$19="Leve"),CONCATENATE("R",'Mapa final'!$A$19),"")</f>
        <v/>
      </c>
      <c r="M8" s="553"/>
      <c r="N8" s="553" t="str">
        <f>IF(AND('Mapa final'!$J$25="Muy Alta",'Mapa final'!$N$25="Leve"),CONCATENATE("R",'Mapa final'!$A$25),"")</f>
        <v/>
      </c>
      <c r="O8" s="554"/>
      <c r="P8" s="557" t="e">
        <f>IF(AND('Mapa final'!#REF!="Muy Alta",'Mapa final'!#REF!="Menor"),CONCATENATE("R",'Mapa final'!#REF!),"")</f>
        <v>#REF!</v>
      </c>
      <c r="Q8" s="553"/>
      <c r="R8" s="553" t="str">
        <f>IF(AND('Mapa final'!$J$19="Muy Alta",'Mapa final'!$N$19="Menor"),CONCATENATE("R",'Mapa final'!$A$19),"")</f>
        <v/>
      </c>
      <c r="S8" s="553"/>
      <c r="T8" s="553" t="str">
        <f>IF(AND('Mapa final'!$J$25="Muy Alta",'Mapa final'!$N$25="Menor"),CONCATENATE("R",'Mapa final'!$A$25),"")</f>
        <v/>
      </c>
      <c r="U8" s="554"/>
      <c r="V8" s="557" t="e">
        <f>IF(AND('Mapa final'!#REF!="Muy Alta",'Mapa final'!#REF!="Moderado"),CONCATENATE("R",'Mapa final'!#REF!),"")</f>
        <v>#REF!</v>
      </c>
      <c r="W8" s="553"/>
      <c r="X8" s="553" t="str">
        <f>IF(AND('Mapa final'!$J$19="Muy Alta",'Mapa final'!$N$19="Moderado"),CONCATENATE("R",'Mapa final'!$A$19),"")</f>
        <v/>
      </c>
      <c r="Y8" s="553"/>
      <c r="Z8" s="553" t="str">
        <f>IF(AND('Mapa final'!$J$25="Muy Alta",'Mapa final'!$N$25="Moderado"),CONCATENATE("R",'Mapa final'!$A$25),"")</f>
        <v/>
      </c>
      <c r="AA8" s="554"/>
      <c r="AB8" s="557" t="e">
        <f>IF(AND('Mapa final'!#REF!="Muy Alta",'Mapa final'!#REF!="Mayor"),CONCATENATE("R",'Mapa final'!#REF!),"")</f>
        <v>#REF!</v>
      </c>
      <c r="AC8" s="553"/>
      <c r="AD8" s="553" t="str">
        <f>IF(AND('Mapa final'!$J$19="Muy Alta",'Mapa final'!$N$19="Mayor"),CONCATENATE("R",'Mapa final'!$A$19),"")</f>
        <v/>
      </c>
      <c r="AE8" s="553"/>
      <c r="AF8" s="553" t="str">
        <f>IF(AND('Mapa final'!$J$25="Muy Alta",'Mapa final'!$N$25="Mayor"),CONCATENATE("R",'Mapa final'!$A$25),"")</f>
        <v/>
      </c>
      <c r="AG8" s="554"/>
      <c r="AH8" s="564" t="e">
        <f>IF(AND('Mapa final'!#REF!="Muy Alta",'Mapa final'!#REF!="Catastrófico"),CONCATENATE("R",'Mapa final'!#REF!),"")</f>
        <v>#REF!</v>
      </c>
      <c r="AI8" s="565"/>
      <c r="AJ8" s="565" t="str">
        <f>IF(AND('Mapa final'!$J$19="Muy Alta",'Mapa final'!$N$19="Catastrófico"),CONCATENATE("R",'Mapa final'!$A$19),"")</f>
        <v/>
      </c>
      <c r="AK8" s="565"/>
      <c r="AL8" s="565" t="str">
        <f>IF(AND('Mapa final'!$J$25="Muy Alta",'Mapa final'!$N$25="Catastrófico"),CONCATENATE("R",'Mapa final'!$A$25),"")</f>
        <v/>
      </c>
      <c r="AM8" s="566"/>
      <c r="AN8" s="53"/>
      <c r="AO8" s="511"/>
      <c r="AP8" s="512"/>
      <c r="AQ8" s="512"/>
      <c r="AR8" s="512"/>
      <c r="AS8" s="512"/>
      <c r="AT8" s="51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506"/>
      <c r="C9" s="506"/>
      <c r="D9" s="507"/>
      <c r="E9" s="547"/>
      <c r="F9" s="548"/>
      <c r="G9" s="548"/>
      <c r="H9" s="548"/>
      <c r="I9" s="549"/>
      <c r="J9" s="557"/>
      <c r="K9" s="553"/>
      <c r="L9" s="553"/>
      <c r="M9" s="553"/>
      <c r="N9" s="553"/>
      <c r="O9" s="554"/>
      <c r="P9" s="557"/>
      <c r="Q9" s="553"/>
      <c r="R9" s="553"/>
      <c r="S9" s="553"/>
      <c r="T9" s="553"/>
      <c r="U9" s="554"/>
      <c r="V9" s="557"/>
      <c r="W9" s="553"/>
      <c r="X9" s="553"/>
      <c r="Y9" s="553"/>
      <c r="Z9" s="553"/>
      <c r="AA9" s="554"/>
      <c r="AB9" s="557"/>
      <c r="AC9" s="553"/>
      <c r="AD9" s="553"/>
      <c r="AE9" s="553"/>
      <c r="AF9" s="553"/>
      <c r="AG9" s="554"/>
      <c r="AH9" s="564"/>
      <c r="AI9" s="565"/>
      <c r="AJ9" s="565"/>
      <c r="AK9" s="565"/>
      <c r="AL9" s="565"/>
      <c r="AM9" s="566"/>
      <c r="AN9" s="53"/>
      <c r="AO9" s="511"/>
      <c r="AP9" s="512"/>
      <c r="AQ9" s="512"/>
      <c r="AR9" s="512"/>
      <c r="AS9" s="512"/>
      <c r="AT9" s="51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506"/>
      <c r="C10" s="506"/>
      <c r="D10" s="507"/>
      <c r="E10" s="547"/>
      <c r="F10" s="548"/>
      <c r="G10" s="548"/>
      <c r="H10" s="548"/>
      <c r="I10" s="549"/>
      <c r="J10" s="557" t="str">
        <f>IF(AND('Mapa final'!$J$31="Muy Alta",'Mapa final'!$N$31="Leve"),CONCATENATE("R",'Mapa final'!$A$31),"")</f>
        <v/>
      </c>
      <c r="K10" s="553"/>
      <c r="L10" s="553" t="str">
        <f>IF(AND('Mapa final'!$J$37="Muy Alta",'Mapa final'!$N$37="Leve"),CONCATENATE("R",'Mapa final'!$A$37),"")</f>
        <v/>
      </c>
      <c r="M10" s="553"/>
      <c r="N10" s="553" t="str">
        <f>IF(AND('Mapa final'!$J$43="Muy Alta",'Mapa final'!$N$43="Leve"),CONCATENATE("R",'Mapa final'!$A$43),"")</f>
        <v/>
      </c>
      <c r="O10" s="554"/>
      <c r="P10" s="557" t="str">
        <f>IF(AND('Mapa final'!$J$31="Muy Alta",'Mapa final'!$N$31="Menor"),CONCATENATE("R",'Mapa final'!$A$31),"")</f>
        <v/>
      </c>
      <c r="Q10" s="553"/>
      <c r="R10" s="553" t="str">
        <f>IF(AND('Mapa final'!$J$37="Muy Alta",'Mapa final'!$N$37="Menor"),CONCATENATE("R",'Mapa final'!$A$37),"")</f>
        <v/>
      </c>
      <c r="S10" s="553"/>
      <c r="T10" s="553" t="str">
        <f>IF(AND('Mapa final'!$J$43="Muy Alta",'Mapa final'!$N$43="Menor"),CONCATENATE("R",'Mapa final'!$A$43),"")</f>
        <v/>
      </c>
      <c r="U10" s="554"/>
      <c r="V10" s="557" t="str">
        <f>IF(AND('Mapa final'!$J$31="Muy Alta",'Mapa final'!$N$31="Moderado"),CONCATENATE("R",'Mapa final'!$A$31),"")</f>
        <v/>
      </c>
      <c r="W10" s="553"/>
      <c r="X10" s="553" t="str">
        <f>IF(AND('Mapa final'!$J$37="Muy Alta",'Mapa final'!$N$37="Moderado"),CONCATENATE("R",'Mapa final'!$A$37),"")</f>
        <v/>
      </c>
      <c r="Y10" s="553"/>
      <c r="Z10" s="553" t="str">
        <f>IF(AND('Mapa final'!$J$43="Muy Alta",'Mapa final'!$N$43="Moderado"),CONCATENATE("R",'Mapa final'!$A$43),"")</f>
        <v/>
      </c>
      <c r="AA10" s="554"/>
      <c r="AB10" s="557" t="str">
        <f>IF(AND('Mapa final'!$J$31="Muy Alta",'Mapa final'!$N$31="Mayor"),CONCATENATE("R",'Mapa final'!$A$31),"")</f>
        <v/>
      </c>
      <c r="AC10" s="553"/>
      <c r="AD10" s="553" t="str">
        <f>IF(AND('Mapa final'!$J$37="Muy Alta",'Mapa final'!$N$37="Mayor"),CONCATENATE("R",'Mapa final'!$A$37),"")</f>
        <v/>
      </c>
      <c r="AE10" s="553"/>
      <c r="AF10" s="553" t="str">
        <f>IF(AND('Mapa final'!$J$43="Muy Alta",'Mapa final'!$N$43="Mayor"),CONCATENATE("R",'Mapa final'!$A$43),"")</f>
        <v/>
      </c>
      <c r="AG10" s="554"/>
      <c r="AH10" s="564" t="str">
        <f>IF(AND('Mapa final'!$J$31="Muy Alta",'Mapa final'!$N$31="Catastrófico"),CONCATENATE("R",'Mapa final'!$A$31),"")</f>
        <v/>
      </c>
      <c r="AI10" s="565"/>
      <c r="AJ10" s="565" t="str">
        <f>IF(AND('Mapa final'!$J$37="Muy Alta",'Mapa final'!$N$37="Catastrófico"),CONCATENATE("R",'Mapa final'!$A$37),"")</f>
        <v/>
      </c>
      <c r="AK10" s="565"/>
      <c r="AL10" s="565" t="str">
        <f>IF(AND('Mapa final'!$J$43="Muy Alta",'Mapa final'!$N$43="Catastrófico"),CONCATENATE("R",'Mapa final'!$A$43),"")</f>
        <v/>
      </c>
      <c r="AM10" s="566"/>
      <c r="AN10" s="53"/>
      <c r="AO10" s="511"/>
      <c r="AP10" s="512"/>
      <c r="AQ10" s="512"/>
      <c r="AR10" s="512"/>
      <c r="AS10" s="512"/>
      <c r="AT10" s="51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506"/>
      <c r="C11" s="506"/>
      <c r="D11" s="507"/>
      <c r="E11" s="547"/>
      <c r="F11" s="548"/>
      <c r="G11" s="548"/>
      <c r="H11" s="548"/>
      <c r="I11" s="549"/>
      <c r="J11" s="557"/>
      <c r="K11" s="553"/>
      <c r="L11" s="553"/>
      <c r="M11" s="553"/>
      <c r="N11" s="553"/>
      <c r="O11" s="554"/>
      <c r="P11" s="557"/>
      <c r="Q11" s="553"/>
      <c r="R11" s="553"/>
      <c r="S11" s="553"/>
      <c r="T11" s="553"/>
      <c r="U11" s="554"/>
      <c r="V11" s="557"/>
      <c r="W11" s="553"/>
      <c r="X11" s="553"/>
      <c r="Y11" s="553"/>
      <c r="Z11" s="553"/>
      <c r="AA11" s="554"/>
      <c r="AB11" s="557"/>
      <c r="AC11" s="553"/>
      <c r="AD11" s="553"/>
      <c r="AE11" s="553"/>
      <c r="AF11" s="553"/>
      <c r="AG11" s="554"/>
      <c r="AH11" s="564"/>
      <c r="AI11" s="565"/>
      <c r="AJ11" s="565"/>
      <c r="AK11" s="565"/>
      <c r="AL11" s="565"/>
      <c r="AM11" s="566"/>
      <c r="AN11" s="53"/>
      <c r="AO11" s="511"/>
      <c r="AP11" s="512"/>
      <c r="AQ11" s="512"/>
      <c r="AR11" s="512"/>
      <c r="AS11" s="512"/>
      <c r="AT11" s="51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506"/>
      <c r="C12" s="506"/>
      <c r="D12" s="507"/>
      <c r="E12" s="547"/>
      <c r="F12" s="548"/>
      <c r="G12" s="548"/>
      <c r="H12" s="548"/>
      <c r="I12" s="549"/>
      <c r="J12" s="557" t="str">
        <f>IF(AND('Mapa final'!$J$49="Muy Alta",'Mapa final'!$N$49="Leve"),CONCATENATE("R",'Mapa final'!$A$49),"")</f>
        <v/>
      </c>
      <c r="K12" s="553"/>
      <c r="L12" s="553" t="str">
        <f>IF(AND('Mapa final'!$J$55="Muy Alta",'Mapa final'!$N$55="Leve"),CONCATENATE("R",'Mapa final'!$A$55),"")</f>
        <v/>
      </c>
      <c r="M12" s="553"/>
      <c r="N12" s="553" t="str">
        <f>IF(AND('Mapa final'!$J$61="Muy Alta",'Mapa final'!$N$61="Leve"),CONCATENATE("R",'Mapa final'!$A$61),"")</f>
        <v/>
      </c>
      <c r="O12" s="554"/>
      <c r="P12" s="557" t="str">
        <f>IF(AND('Mapa final'!$J$49="Muy Alta",'Mapa final'!$N$49="Menor"),CONCATENATE("R",'Mapa final'!$A$49),"")</f>
        <v/>
      </c>
      <c r="Q12" s="553"/>
      <c r="R12" s="553" t="str">
        <f>IF(AND('Mapa final'!$J$55="Muy Alta",'Mapa final'!$N$55="Menor"),CONCATENATE("R",'Mapa final'!$A$55),"")</f>
        <v/>
      </c>
      <c r="S12" s="553"/>
      <c r="T12" s="553" t="str">
        <f>IF(AND('Mapa final'!$J$61="Muy Alta",'Mapa final'!$N$61="Menor"),CONCATENATE("R",'Mapa final'!$A$61),"")</f>
        <v/>
      </c>
      <c r="U12" s="554"/>
      <c r="V12" s="557" t="str">
        <f>IF(AND('Mapa final'!$J$49="Muy Alta",'Mapa final'!$N$49="Moderado"),CONCATENATE("R",'Mapa final'!$A$49),"")</f>
        <v/>
      </c>
      <c r="W12" s="553"/>
      <c r="X12" s="553" t="str">
        <f>IF(AND('Mapa final'!$J$55="Muy Alta",'Mapa final'!$N$55="Moderado"),CONCATENATE("R",'Mapa final'!$A$55),"")</f>
        <v/>
      </c>
      <c r="Y12" s="553"/>
      <c r="Z12" s="553" t="str">
        <f>IF(AND('Mapa final'!$J$61="Muy Alta",'Mapa final'!$N$61="Moderado"),CONCATENATE("R",'Mapa final'!$A$61),"")</f>
        <v/>
      </c>
      <c r="AA12" s="554"/>
      <c r="AB12" s="557" t="str">
        <f>IF(AND('Mapa final'!$J$49="Muy Alta",'Mapa final'!$N$49="Mayor"),CONCATENATE("R",'Mapa final'!$A$49),"")</f>
        <v/>
      </c>
      <c r="AC12" s="553"/>
      <c r="AD12" s="553" t="str">
        <f>IF(AND('Mapa final'!$J$55="Muy Alta",'Mapa final'!$N$55="Mayor"),CONCATENATE("R",'Mapa final'!$A$55),"")</f>
        <v/>
      </c>
      <c r="AE12" s="553"/>
      <c r="AF12" s="553" t="str">
        <f>IF(AND('Mapa final'!$J$61="Muy Alta",'Mapa final'!$N$61="Mayor"),CONCATENATE("R",'Mapa final'!$A$61),"")</f>
        <v/>
      </c>
      <c r="AG12" s="554"/>
      <c r="AH12" s="564" t="str">
        <f>IF(AND('Mapa final'!$J$49="Muy Alta",'Mapa final'!$N$49="Catastrófico"),CONCATENATE("R",'Mapa final'!$A$49),"")</f>
        <v/>
      </c>
      <c r="AI12" s="565"/>
      <c r="AJ12" s="565" t="str">
        <f>IF(AND('Mapa final'!$J$55="Muy Alta",'Mapa final'!$N$55="Catastrófico"),CONCATENATE("R",'Mapa final'!$A$55),"")</f>
        <v/>
      </c>
      <c r="AK12" s="565"/>
      <c r="AL12" s="565" t="str">
        <f>IF(AND('Mapa final'!$J$61="Muy Alta",'Mapa final'!$N$61="Catastrófico"),CONCATENATE("R",'Mapa final'!$A$61),"")</f>
        <v/>
      </c>
      <c r="AM12" s="566"/>
      <c r="AN12" s="53"/>
      <c r="AO12" s="511"/>
      <c r="AP12" s="512"/>
      <c r="AQ12" s="512"/>
      <c r="AR12" s="512"/>
      <c r="AS12" s="512"/>
      <c r="AT12" s="51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506"/>
      <c r="C13" s="506"/>
      <c r="D13" s="507"/>
      <c r="E13" s="550"/>
      <c r="F13" s="551"/>
      <c r="G13" s="551"/>
      <c r="H13" s="551"/>
      <c r="I13" s="552"/>
      <c r="J13" s="557"/>
      <c r="K13" s="553"/>
      <c r="L13" s="553"/>
      <c r="M13" s="553"/>
      <c r="N13" s="553"/>
      <c r="O13" s="554"/>
      <c r="P13" s="557"/>
      <c r="Q13" s="553"/>
      <c r="R13" s="553"/>
      <c r="S13" s="553"/>
      <c r="T13" s="553"/>
      <c r="U13" s="554"/>
      <c r="V13" s="557"/>
      <c r="W13" s="553"/>
      <c r="X13" s="553"/>
      <c r="Y13" s="553"/>
      <c r="Z13" s="553"/>
      <c r="AA13" s="554"/>
      <c r="AB13" s="557"/>
      <c r="AC13" s="553"/>
      <c r="AD13" s="553"/>
      <c r="AE13" s="553"/>
      <c r="AF13" s="553"/>
      <c r="AG13" s="554"/>
      <c r="AH13" s="567"/>
      <c r="AI13" s="568"/>
      <c r="AJ13" s="568"/>
      <c r="AK13" s="568"/>
      <c r="AL13" s="568"/>
      <c r="AM13" s="569"/>
      <c r="AN13" s="53"/>
      <c r="AO13" s="514"/>
      <c r="AP13" s="515"/>
      <c r="AQ13" s="515"/>
      <c r="AR13" s="515"/>
      <c r="AS13" s="515"/>
      <c r="AT13" s="516"/>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506"/>
      <c r="C14" s="506"/>
      <c r="D14" s="507"/>
      <c r="E14" s="544" t="s">
        <v>110</v>
      </c>
      <c r="F14" s="545"/>
      <c r="G14" s="545"/>
      <c r="H14" s="545"/>
      <c r="I14" s="545"/>
      <c r="J14" s="579" t="str">
        <f>IF(AND('Mapa final'!$J$10="Alta",'Mapa final'!$N$10="Leve"),CONCATENATE("R",'Mapa final'!$A$10),"")</f>
        <v/>
      </c>
      <c r="K14" s="580"/>
      <c r="L14" s="580" t="str">
        <f>IF(AND('Mapa final'!$J$15="Alta",'Mapa final'!$N$15="Leve"),CONCATENATE("R",'Mapa final'!$A$15),"")</f>
        <v/>
      </c>
      <c r="M14" s="580"/>
      <c r="N14" s="580" t="e">
        <f>IF(AND('Mapa final'!#REF!="Alta",'Mapa final'!#REF!="Leve"),CONCATENATE("R",'Mapa final'!#REF!),"")</f>
        <v>#REF!</v>
      </c>
      <c r="O14" s="581"/>
      <c r="P14" s="579" t="str">
        <f>IF(AND('Mapa final'!$J$10="Alta",'Mapa final'!$N$10="Menor"),CONCATENATE("R",'Mapa final'!$A$10),"")</f>
        <v/>
      </c>
      <c r="Q14" s="580"/>
      <c r="R14" s="580" t="str">
        <f>IF(AND('Mapa final'!$J$15="Alta",'Mapa final'!$N$15="Menor"),CONCATENATE("R",'Mapa final'!$A$15),"")</f>
        <v/>
      </c>
      <c r="S14" s="580"/>
      <c r="T14" s="580" t="e">
        <f>IF(AND('Mapa final'!#REF!="Alta",'Mapa final'!#REF!="Menor"),CONCATENATE("R",'Mapa final'!#REF!),"")</f>
        <v>#REF!</v>
      </c>
      <c r="U14" s="581"/>
      <c r="V14" s="555" t="str">
        <f>IF(AND('Mapa final'!$J$10="Alta",'Mapa final'!$N$10="Moderado"),CONCATENATE("R",'Mapa final'!$A$10),"")</f>
        <v/>
      </c>
      <c r="W14" s="556"/>
      <c r="X14" s="556" t="str">
        <f>IF(AND('Mapa final'!$J$15="Alta",'Mapa final'!$N$15="Moderado"),CONCATENATE("R",'Mapa final'!$A$15),"")</f>
        <v/>
      </c>
      <c r="Y14" s="556"/>
      <c r="Z14" s="556" t="e">
        <f>IF(AND('Mapa final'!#REF!="Alta",'Mapa final'!#REF!="Moderado"),CONCATENATE("R",'Mapa final'!#REF!),"")</f>
        <v>#REF!</v>
      </c>
      <c r="AA14" s="558"/>
      <c r="AB14" s="555" t="str">
        <f>IF(AND('Mapa final'!$J$10="Alta",'Mapa final'!$N$10="Mayor"),CONCATENATE("R",'Mapa final'!$A$10),"")</f>
        <v/>
      </c>
      <c r="AC14" s="556"/>
      <c r="AD14" s="556" t="str">
        <f>IF(AND('Mapa final'!$J$15="Alta",'Mapa final'!$N$15="Mayor"),CONCATENATE("R",'Mapa final'!$A$15),"")</f>
        <v/>
      </c>
      <c r="AE14" s="556"/>
      <c r="AF14" s="556" t="e">
        <f>IF(AND('Mapa final'!#REF!="Alta",'Mapa final'!#REF!="Mayor"),CONCATENATE("R",'Mapa final'!#REF!),"")</f>
        <v>#REF!</v>
      </c>
      <c r="AG14" s="558"/>
      <c r="AH14" s="570" t="str">
        <f>IF(AND('Mapa final'!$J$10="Alta",'Mapa final'!$N$10="Catastrófico"),CONCATENATE("R",'Mapa final'!$A$10),"")</f>
        <v/>
      </c>
      <c r="AI14" s="571"/>
      <c r="AJ14" s="571" t="str">
        <f>IF(AND('Mapa final'!$J$15="Alta",'Mapa final'!$N$15="Catastrófico"),CONCATENATE("R",'Mapa final'!$A$15),"")</f>
        <v/>
      </c>
      <c r="AK14" s="571"/>
      <c r="AL14" s="571" t="e">
        <f>IF(AND('Mapa final'!#REF!="Alta",'Mapa final'!#REF!="Catastrófico"),CONCATENATE("R",'Mapa final'!#REF!),"")</f>
        <v>#REF!</v>
      </c>
      <c r="AM14" s="572"/>
      <c r="AN14" s="53"/>
      <c r="AO14" s="517" t="s">
        <v>79</v>
      </c>
      <c r="AP14" s="518"/>
      <c r="AQ14" s="518"/>
      <c r="AR14" s="518"/>
      <c r="AS14" s="518"/>
      <c r="AT14" s="519"/>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506"/>
      <c r="C15" s="506"/>
      <c r="D15" s="507"/>
      <c r="E15" s="547"/>
      <c r="F15" s="548"/>
      <c r="G15" s="548"/>
      <c r="H15" s="548"/>
      <c r="I15" s="548"/>
      <c r="J15" s="573"/>
      <c r="K15" s="574"/>
      <c r="L15" s="574"/>
      <c r="M15" s="574"/>
      <c r="N15" s="574"/>
      <c r="O15" s="575"/>
      <c r="P15" s="573"/>
      <c r="Q15" s="574"/>
      <c r="R15" s="574"/>
      <c r="S15" s="574"/>
      <c r="T15" s="574"/>
      <c r="U15" s="575"/>
      <c r="V15" s="557"/>
      <c r="W15" s="553"/>
      <c r="X15" s="553"/>
      <c r="Y15" s="553"/>
      <c r="Z15" s="553"/>
      <c r="AA15" s="554"/>
      <c r="AB15" s="557"/>
      <c r="AC15" s="553"/>
      <c r="AD15" s="553"/>
      <c r="AE15" s="553"/>
      <c r="AF15" s="553"/>
      <c r="AG15" s="554"/>
      <c r="AH15" s="564"/>
      <c r="AI15" s="565"/>
      <c r="AJ15" s="565"/>
      <c r="AK15" s="565"/>
      <c r="AL15" s="565"/>
      <c r="AM15" s="566"/>
      <c r="AN15" s="53"/>
      <c r="AO15" s="520"/>
      <c r="AP15" s="521"/>
      <c r="AQ15" s="521"/>
      <c r="AR15" s="521"/>
      <c r="AS15" s="521"/>
      <c r="AT15" s="522"/>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506"/>
      <c r="C16" s="506"/>
      <c r="D16" s="507"/>
      <c r="E16" s="547"/>
      <c r="F16" s="548"/>
      <c r="G16" s="548"/>
      <c r="H16" s="548"/>
      <c r="I16" s="548"/>
      <c r="J16" s="573" t="e">
        <f>IF(AND('Mapa final'!#REF!="Alta",'Mapa final'!#REF!="Leve"),CONCATENATE("R",'Mapa final'!#REF!),"")</f>
        <v>#REF!</v>
      </c>
      <c r="K16" s="574"/>
      <c r="L16" s="574" t="str">
        <f>IF(AND('Mapa final'!$J$19="Alta",'Mapa final'!$N$19="Leve"),CONCATENATE("R",'Mapa final'!$A$19),"")</f>
        <v/>
      </c>
      <c r="M16" s="574"/>
      <c r="N16" s="574" t="str">
        <f>IF(AND('Mapa final'!$J$25="Alta",'Mapa final'!$N$25="Leve"),CONCATENATE("R",'Mapa final'!$A$25),"")</f>
        <v/>
      </c>
      <c r="O16" s="575"/>
      <c r="P16" s="573" t="e">
        <f>IF(AND('Mapa final'!#REF!="Alta",'Mapa final'!#REF!="Menor"),CONCATENATE("R",'Mapa final'!#REF!),"")</f>
        <v>#REF!</v>
      </c>
      <c r="Q16" s="574"/>
      <c r="R16" s="574" t="str">
        <f>IF(AND('Mapa final'!$J$19="Alta",'Mapa final'!$N$19="Menor"),CONCATENATE("R",'Mapa final'!$A$19),"")</f>
        <v/>
      </c>
      <c r="S16" s="574"/>
      <c r="T16" s="574" t="str">
        <f>IF(AND('Mapa final'!$J$25="Alta",'Mapa final'!$N$25="Menor"),CONCATENATE("R",'Mapa final'!$A$25),"")</f>
        <v/>
      </c>
      <c r="U16" s="575"/>
      <c r="V16" s="557" t="e">
        <f>IF(AND('Mapa final'!#REF!="Alta",'Mapa final'!#REF!="Moderado"),CONCATENATE("R",'Mapa final'!#REF!),"")</f>
        <v>#REF!</v>
      </c>
      <c r="W16" s="553"/>
      <c r="X16" s="553" t="str">
        <f>IF(AND('Mapa final'!$J$19="Alta",'Mapa final'!$N$19="Moderado"),CONCATENATE("R",'Mapa final'!$A$19),"")</f>
        <v/>
      </c>
      <c r="Y16" s="553"/>
      <c r="Z16" s="553" t="str">
        <f>IF(AND('Mapa final'!$J$25="Alta",'Mapa final'!$N$25="Moderado"),CONCATENATE("R",'Mapa final'!$A$25),"")</f>
        <v/>
      </c>
      <c r="AA16" s="554"/>
      <c r="AB16" s="557" t="e">
        <f>IF(AND('Mapa final'!#REF!="Alta",'Mapa final'!#REF!="Mayor"),CONCATENATE("R",'Mapa final'!#REF!),"")</f>
        <v>#REF!</v>
      </c>
      <c r="AC16" s="553"/>
      <c r="AD16" s="553" t="str">
        <f>IF(AND('Mapa final'!$J$19="Alta",'Mapa final'!$N$19="Mayor"),CONCATENATE("R",'Mapa final'!$A$19),"")</f>
        <v/>
      </c>
      <c r="AE16" s="553"/>
      <c r="AF16" s="553" t="str">
        <f>IF(AND('Mapa final'!$J$25="Alta",'Mapa final'!$N$25="Mayor"),CONCATENATE("R",'Mapa final'!$A$25),"")</f>
        <v/>
      </c>
      <c r="AG16" s="554"/>
      <c r="AH16" s="564" t="e">
        <f>IF(AND('Mapa final'!#REF!="Alta",'Mapa final'!#REF!="Catastrófico"),CONCATENATE("R",'Mapa final'!#REF!),"")</f>
        <v>#REF!</v>
      </c>
      <c r="AI16" s="565"/>
      <c r="AJ16" s="565" t="str">
        <f>IF(AND('Mapa final'!$J$19="Alta",'Mapa final'!$N$19="Catastrófico"),CONCATENATE("R",'Mapa final'!$A$19),"")</f>
        <v/>
      </c>
      <c r="AK16" s="565"/>
      <c r="AL16" s="565" t="str">
        <f>IF(AND('Mapa final'!$J$25="Alta",'Mapa final'!$N$25="Catastrófico"),CONCATENATE("R",'Mapa final'!$A$25),"")</f>
        <v/>
      </c>
      <c r="AM16" s="566"/>
      <c r="AN16" s="53"/>
      <c r="AO16" s="520"/>
      <c r="AP16" s="521"/>
      <c r="AQ16" s="521"/>
      <c r="AR16" s="521"/>
      <c r="AS16" s="521"/>
      <c r="AT16" s="522"/>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506"/>
      <c r="C17" s="506"/>
      <c r="D17" s="507"/>
      <c r="E17" s="547"/>
      <c r="F17" s="548"/>
      <c r="G17" s="548"/>
      <c r="H17" s="548"/>
      <c r="I17" s="548"/>
      <c r="J17" s="573"/>
      <c r="K17" s="574"/>
      <c r="L17" s="574"/>
      <c r="M17" s="574"/>
      <c r="N17" s="574"/>
      <c r="O17" s="575"/>
      <c r="P17" s="573"/>
      <c r="Q17" s="574"/>
      <c r="R17" s="574"/>
      <c r="S17" s="574"/>
      <c r="T17" s="574"/>
      <c r="U17" s="575"/>
      <c r="V17" s="557"/>
      <c r="W17" s="553"/>
      <c r="X17" s="553"/>
      <c r="Y17" s="553"/>
      <c r="Z17" s="553"/>
      <c r="AA17" s="554"/>
      <c r="AB17" s="557"/>
      <c r="AC17" s="553"/>
      <c r="AD17" s="553"/>
      <c r="AE17" s="553"/>
      <c r="AF17" s="553"/>
      <c r="AG17" s="554"/>
      <c r="AH17" s="564"/>
      <c r="AI17" s="565"/>
      <c r="AJ17" s="565"/>
      <c r="AK17" s="565"/>
      <c r="AL17" s="565"/>
      <c r="AM17" s="566"/>
      <c r="AN17" s="53"/>
      <c r="AO17" s="520"/>
      <c r="AP17" s="521"/>
      <c r="AQ17" s="521"/>
      <c r="AR17" s="521"/>
      <c r="AS17" s="521"/>
      <c r="AT17" s="522"/>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506"/>
      <c r="C18" s="506"/>
      <c r="D18" s="507"/>
      <c r="E18" s="547"/>
      <c r="F18" s="548"/>
      <c r="G18" s="548"/>
      <c r="H18" s="548"/>
      <c r="I18" s="548"/>
      <c r="J18" s="573" t="str">
        <f>IF(AND('Mapa final'!$J$31="Alta",'Mapa final'!$N$31="Leve"),CONCATENATE("R",'Mapa final'!$A$31),"")</f>
        <v/>
      </c>
      <c r="K18" s="574"/>
      <c r="L18" s="574" t="str">
        <f>IF(AND('Mapa final'!$J$37="Alta",'Mapa final'!$N$37="Leve"),CONCATENATE("R",'Mapa final'!$A$37),"")</f>
        <v/>
      </c>
      <c r="M18" s="574"/>
      <c r="N18" s="574" t="str">
        <f>IF(AND('Mapa final'!$J$43="Alta",'Mapa final'!$N$43="Leve"),CONCATENATE("R",'Mapa final'!$A$43),"")</f>
        <v/>
      </c>
      <c r="O18" s="575"/>
      <c r="P18" s="573" t="str">
        <f>IF(AND('Mapa final'!$J$31="Alta",'Mapa final'!$N$31="Menor"),CONCATENATE("R",'Mapa final'!$A$31),"")</f>
        <v/>
      </c>
      <c r="Q18" s="574"/>
      <c r="R18" s="574" t="str">
        <f>IF(AND('Mapa final'!$J$37="Alta",'Mapa final'!$N$37="Menor"),CONCATENATE("R",'Mapa final'!$A$37),"")</f>
        <v/>
      </c>
      <c r="S18" s="574"/>
      <c r="T18" s="574" t="str">
        <f>IF(AND('Mapa final'!$J$43="Alta",'Mapa final'!$N$43="Menor"),CONCATENATE("R",'Mapa final'!$A$43),"")</f>
        <v/>
      </c>
      <c r="U18" s="575"/>
      <c r="V18" s="557" t="str">
        <f>IF(AND('Mapa final'!$J$31="Alta",'Mapa final'!$N$31="Moderado"),CONCATENATE("R",'Mapa final'!$A$31),"")</f>
        <v/>
      </c>
      <c r="W18" s="553"/>
      <c r="X18" s="553" t="str">
        <f>IF(AND('Mapa final'!$J$37="Alta",'Mapa final'!$N$37="Moderado"),CONCATENATE("R",'Mapa final'!$A$37),"")</f>
        <v/>
      </c>
      <c r="Y18" s="553"/>
      <c r="Z18" s="553" t="str">
        <f>IF(AND('Mapa final'!$J$43="Alta",'Mapa final'!$N$43="Moderado"),CONCATENATE("R",'Mapa final'!$A$43),"")</f>
        <v/>
      </c>
      <c r="AA18" s="554"/>
      <c r="AB18" s="557" t="str">
        <f>IF(AND('Mapa final'!$J$31="Alta",'Mapa final'!$N$31="Mayor"),CONCATENATE("R",'Mapa final'!$A$31),"")</f>
        <v/>
      </c>
      <c r="AC18" s="553"/>
      <c r="AD18" s="553" t="str">
        <f>IF(AND('Mapa final'!$J$37="Alta",'Mapa final'!$N$37="Mayor"),CONCATENATE("R",'Mapa final'!$A$37),"")</f>
        <v/>
      </c>
      <c r="AE18" s="553"/>
      <c r="AF18" s="553" t="str">
        <f>IF(AND('Mapa final'!$J$43="Alta",'Mapa final'!$N$43="Mayor"),CONCATENATE("R",'Mapa final'!$A$43),"")</f>
        <v/>
      </c>
      <c r="AG18" s="554"/>
      <c r="AH18" s="564" t="str">
        <f>IF(AND('Mapa final'!$J$31="Alta",'Mapa final'!$N$31="Catastrófico"),CONCATENATE("R",'Mapa final'!$A$31),"")</f>
        <v/>
      </c>
      <c r="AI18" s="565"/>
      <c r="AJ18" s="565" t="str">
        <f>IF(AND('Mapa final'!$J$37="Alta",'Mapa final'!$N$37="Catastrófico"),CONCATENATE("R",'Mapa final'!$A$37),"")</f>
        <v/>
      </c>
      <c r="AK18" s="565"/>
      <c r="AL18" s="565" t="str">
        <f>IF(AND('Mapa final'!$J$43="Alta",'Mapa final'!$N$43="Catastrófico"),CONCATENATE("R",'Mapa final'!$A$43),"")</f>
        <v/>
      </c>
      <c r="AM18" s="566"/>
      <c r="AN18" s="53"/>
      <c r="AO18" s="520"/>
      <c r="AP18" s="521"/>
      <c r="AQ18" s="521"/>
      <c r="AR18" s="521"/>
      <c r="AS18" s="521"/>
      <c r="AT18" s="522"/>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506"/>
      <c r="C19" s="506"/>
      <c r="D19" s="507"/>
      <c r="E19" s="547"/>
      <c r="F19" s="548"/>
      <c r="G19" s="548"/>
      <c r="H19" s="548"/>
      <c r="I19" s="548"/>
      <c r="J19" s="573"/>
      <c r="K19" s="574"/>
      <c r="L19" s="574"/>
      <c r="M19" s="574"/>
      <c r="N19" s="574"/>
      <c r="O19" s="575"/>
      <c r="P19" s="573"/>
      <c r="Q19" s="574"/>
      <c r="R19" s="574"/>
      <c r="S19" s="574"/>
      <c r="T19" s="574"/>
      <c r="U19" s="575"/>
      <c r="V19" s="557"/>
      <c r="W19" s="553"/>
      <c r="X19" s="553"/>
      <c r="Y19" s="553"/>
      <c r="Z19" s="553"/>
      <c r="AA19" s="554"/>
      <c r="AB19" s="557"/>
      <c r="AC19" s="553"/>
      <c r="AD19" s="553"/>
      <c r="AE19" s="553"/>
      <c r="AF19" s="553"/>
      <c r="AG19" s="554"/>
      <c r="AH19" s="564"/>
      <c r="AI19" s="565"/>
      <c r="AJ19" s="565"/>
      <c r="AK19" s="565"/>
      <c r="AL19" s="565"/>
      <c r="AM19" s="566"/>
      <c r="AN19" s="53"/>
      <c r="AO19" s="520"/>
      <c r="AP19" s="521"/>
      <c r="AQ19" s="521"/>
      <c r="AR19" s="521"/>
      <c r="AS19" s="521"/>
      <c r="AT19" s="522"/>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506"/>
      <c r="C20" s="506"/>
      <c r="D20" s="507"/>
      <c r="E20" s="547"/>
      <c r="F20" s="548"/>
      <c r="G20" s="548"/>
      <c r="H20" s="548"/>
      <c r="I20" s="548"/>
      <c r="J20" s="573" t="str">
        <f>IF(AND('Mapa final'!$J$49="Alta",'Mapa final'!$N$49="Leve"),CONCATENATE("R",'Mapa final'!$A$49),"")</f>
        <v/>
      </c>
      <c r="K20" s="574"/>
      <c r="L20" s="574" t="str">
        <f>IF(AND('Mapa final'!$J$55="Alta",'Mapa final'!$N$55="Leve"),CONCATENATE("R",'Mapa final'!$A$55),"")</f>
        <v/>
      </c>
      <c r="M20" s="574"/>
      <c r="N20" s="574" t="str">
        <f>IF(AND('Mapa final'!$J$61="Alta",'Mapa final'!$N$61="Leve"),CONCATENATE("R",'Mapa final'!$A$61),"")</f>
        <v/>
      </c>
      <c r="O20" s="575"/>
      <c r="P20" s="573" t="str">
        <f>IF(AND('Mapa final'!$J$49="Alta",'Mapa final'!$N$49="Menor"),CONCATENATE("R",'Mapa final'!$A$49),"")</f>
        <v/>
      </c>
      <c r="Q20" s="574"/>
      <c r="R20" s="574" t="str">
        <f>IF(AND('Mapa final'!$J$55="Alta",'Mapa final'!$N$55="Menor"),CONCATENATE("R",'Mapa final'!$A$55),"")</f>
        <v/>
      </c>
      <c r="S20" s="574"/>
      <c r="T20" s="574" t="str">
        <f>IF(AND('Mapa final'!$J$61="Alta",'Mapa final'!$N$61="Menor"),CONCATENATE("R",'Mapa final'!$A$61),"")</f>
        <v/>
      </c>
      <c r="U20" s="575"/>
      <c r="V20" s="557" t="str">
        <f>IF(AND('Mapa final'!$J$49="Alta",'Mapa final'!$N$49="Moderado"),CONCATENATE("R",'Mapa final'!$A$49),"")</f>
        <v/>
      </c>
      <c r="W20" s="553"/>
      <c r="X20" s="553" t="str">
        <f>IF(AND('Mapa final'!$J$55="Alta",'Mapa final'!$N$55="Moderado"),CONCATENATE("R",'Mapa final'!$A$55),"")</f>
        <v/>
      </c>
      <c r="Y20" s="553"/>
      <c r="Z20" s="553" t="str">
        <f>IF(AND('Mapa final'!$J$61="Alta",'Mapa final'!$N$61="Moderado"),CONCATENATE("R",'Mapa final'!$A$61),"")</f>
        <v/>
      </c>
      <c r="AA20" s="554"/>
      <c r="AB20" s="557" t="str">
        <f>IF(AND('Mapa final'!$J$49="Alta",'Mapa final'!$N$49="Mayor"),CONCATENATE("R",'Mapa final'!$A$49),"")</f>
        <v/>
      </c>
      <c r="AC20" s="553"/>
      <c r="AD20" s="553" t="str">
        <f>IF(AND('Mapa final'!$J$55="Alta",'Mapa final'!$N$55="Mayor"),CONCATENATE("R",'Mapa final'!$A$55),"")</f>
        <v/>
      </c>
      <c r="AE20" s="553"/>
      <c r="AF20" s="553" t="str">
        <f>IF(AND('Mapa final'!$J$61="Alta",'Mapa final'!$N$61="Mayor"),CONCATENATE("R",'Mapa final'!$A$61),"")</f>
        <v/>
      </c>
      <c r="AG20" s="554"/>
      <c r="AH20" s="564" t="str">
        <f>IF(AND('Mapa final'!$J$49="Alta",'Mapa final'!$N$49="Catastrófico"),CONCATENATE("R",'Mapa final'!$A$49),"")</f>
        <v/>
      </c>
      <c r="AI20" s="565"/>
      <c r="AJ20" s="565" t="str">
        <f>IF(AND('Mapa final'!$J$55="Alta",'Mapa final'!$N$55="Catastrófico"),CONCATENATE("R",'Mapa final'!$A$55),"")</f>
        <v/>
      </c>
      <c r="AK20" s="565"/>
      <c r="AL20" s="565" t="str">
        <f>IF(AND('Mapa final'!$J$61="Alta",'Mapa final'!$N$61="Catastrófico"),CONCATENATE("R",'Mapa final'!$A$61),"")</f>
        <v/>
      </c>
      <c r="AM20" s="566"/>
      <c r="AN20" s="53"/>
      <c r="AO20" s="520"/>
      <c r="AP20" s="521"/>
      <c r="AQ20" s="521"/>
      <c r="AR20" s="521"/>
      <c r="AS20" s="521"/>
      <c r="AT20" s="522"/>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506"/>
      <c r="C21" s="506"/>
      <c r="D21" s="507"/>
      <c r="E21" s="550"/>
      <c r="F21" s="551"/>
      <c r="G21" s="551"/>
      <c r="H21" s="551"/>
      <c r="I21" s="551"/>
      <c r="J21" s="576"/>
      <c r="K21" s="577"/>
      <c r="L21" s="577"/>
      <c r="M21" s="577"/>
      <c r="N21" s="577"/>
      <c r="O21" s="578"/>
      <c r="P21" s="576"/>
      <c r="Q21" s="577"/>
      <c r="R21" s="577"/>
      <c r="S21" s="577"/>
      <c r="T21" s="577"/>
      <c r="U21" s="578"/>
      <c r="V21" s="561"/>
      <c r="W21" s="562"/>
      <c r="X21" s="562"/>
      <c r="Y21" s="562"/>
      <c r="Z21" s="562"/>
      <c r="AA21" s="563"/>
      <c r="AB21" s="561"/>
      <c r="AC21" s="562"/>
      <c r="AD21" s="562"/>
      <c r="AE21" s="562"/>
      <c r="AF21" s="562"/>
      <c r="AG21" s="563"/>
      <c r="AH21" s="567"/>
      <c r="AI21" s="568"/>
      <c r="AJ21" s="568"/>
      <c r="AK21" s="568"/>
      <c r="AL21" s="568"/>
      <c r="AM21" s="569"/>
      <c r="AN21" s="53"/>
      <c r="AO21" s="523"/>
      <c r="AP21" s="524"/>
      <c r="AQ21" s="524"/>
      <c r="AR21" s="524"/>
      <c r="AS21" s="524"/>
      <c r="AT21" s="525"/>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506"/>
      <c r="C22" s="506"/>
      <c r="D22" s="507"/>
      <c r="E22" s="544" t="s">
        <v>112</v>
      </c>
      <c r="F22" s="545"/>
      <c r="G22" s="545"/>
      <c r="H22" s="545"/>
      <c r="I22" s="546"/>
      <c r="J22" s="579" t="str">
        <f>IF(AND('Mapa final'!$J$10="Media",'Mapa final'!$N$10="Leve"),CONCATENATE("R",'Mapa final'!$A$10),"")</f>
        <v/>
      </c>
      <c r="K22" s="580"/>
      <c r="L22" s="580" t="str">
        <f>IF(AND('Mapa final'!$J$15="Media",'Mapa final'!$N$15="Leve"),CONCATENATE("R",'Mapa final'!$A$15),"")</f>
        <v/>
      </c>
      <c r="M22" s="580"/>
      <c r="N22" s="580" t="e">
        <f>IF(AND('Mapa final'!#REF!="Media",'Mapa final'!#REF!="Leve"),CONCATENATE("R",'Mapa final'!#REF!),"")</f>
        <v>#REF!</v>
      </c>
      <c r="O22" s="581"/>
      <c r="P22" s="579" t="str">
        <f>IF(AND('Mapa final'!$J$10="Media",'Mapa final'!$N$10="Menor"),CONCATENATE("R",'Mapa final'!$A$10),"")</f>
        <v/>
      </c>
      <c r="Q22" s="580"/>
      <c r="R22" s="580" t="str">
        <f>IF(AND('Mapa final'!$J$15="Media",'Mapa final'!$N$15="Menor"),CONCATENATE("R",'Mapa final'!$A$15),"")</f>
        <v/>
      </c>
      <c r="S22" s="580"/>
      <c r="T22" s="580" t="e">
        <f>IF(AND('Mapa final'!#REF!="Media",'Mapa final'!#REF!="Menor"),CONCATENATE("R",'Mapa final'!#REF!),"")</f>
        <v>#REF!</v>
      </c>
      <c r="U22" s="581"/>
      <c r="V22" s="579" t="str">
        <f>IF(AND('Mapa final'!$J$10="Media",'Mapa final'!$N$10="Moderado"),CONCATENATE("R",'Mapa final'!$A$10),"")</f>
        <v/>
      </c>
      <c r="W22" s="580"/>
      <c r="X22" s="580" t="str">
        <f>IF(AND('Mapa final'!$J$15="Media",'Mapa final'!$N$15="Moderado"),CONCATENATE("R",'Mapa final'!$A$15),"")</f>
        <v/>
      </c>
      <c r="Y22" s="580"/>
      <c r="Z22" s="580" t="e">
        <f>IF(AND('Mapa final'!#REF!="Media",'Mapa final'!#REF!="Moderado"),CONCATENATE("R",'Mapa final'!#REF!),"")</f>
        <v>#REF!</v>
      </c>
      <c r="AA22" s="581"/>
      <c r="AB22" s="555" t="str">
        <f>IF(AND('Mapa final'!$J$10="Media",'Mapa final'!$N$10="Mayor"),CONCATENATE("R",'Mapa final'!$A$10),"")</f>
        <v>R1</v>
      </c>
      <c r="AC22" s="556"/>
      <c r="AD22" s="556" t="str">
        <f>IF(AND('Mapa final'!$J$15="Media",'Mapa final'!$N$15="Mayor"),CONCATENATE("R",'Mapa final'!$A$15),"")</f>
        <v>R2</v>
      </c>
      <c r="AE22" s="556"/>
      <c r="AF22" s="556" t="e">
        <f>IF(AND('Mapa final'!#REF!="Media",'Mapa final'!#REF!="Mayor"),CONCATENATE("R",'Mapa final'!#REF!),"")</f>
        <v>#REF!</v>
      </c>
      <c r="AG22" s="558"/>
      <c r="AH22" s="570" t="str">
        <f>IF(AND('Mapa final'!$J$10="Media",'Mapa final'!$N$10="Catastrófico"),CONCATENATE("R",'Mapa final'!$A$10),"")</f>
        <v/>
      </c>
      <c r="AI22" s="571"/>
      <c r="AJ22" s="571" t="str">
        <f>IF(AND('Mapa final'!$J$15="Media",'Mapa final'!$N$15="Catastrófico"),CONCATENATE("R",'Mapa final'!$A$15),"")</f>
        <v/>
      </c>
      <c r="AK22" s="571"/>
      <c r="AL22" s="571" t="e">
        <f>IF(AND('Mapa final'!#REF!="Media",'Mapa final'!#REF!="Catastrófico"),CONCATENATE("R",'Mapa final'!#REF!),"")</f>
        <v>#REF!</v>
      </c>
      <c r="AM22" s="572"/>
      <c r="AN22" s="53"/>
      <c r="AO22" s="526" t="s">
        <v>80</v>
      </c>
      <c r="AP22" s="527"/>
      <c r="AQ22" s="527"/>
      <c r="AR22" s="527"/>
      <c r="AS22" s="527"/>
      <c r="AT22" s="528"/>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506"/>
      <c r="C23" s="506"/>
      <c r="D23" s="507"/>
      <c r="E23" s="547"/>
      <c r="F23" s="548"/>
      <c r="G23" s="548"/>
      <c r="H23" s="548"/>
      <c r="I23" s="549"/>
      <c r="J23" s="573"/>
      <c r="K23" s="574"/>
      <c r="L23" s="574"/>
      <c r="M23" s="574"/>
      <c r="N23" s="574"/>
      <c r="O23" s="575"/>
      <c r="P23" s="573"/>
      <c r="Q23" s="574"/>
      <c r="R23" s="574"/>
      <c r="S23" s="574"/>
      <c r="T23" s="574"/>
      <c r="U23" s="575"/>
      <c r="V23" s="573"/>
      <c r="W23" s="574"/>
      <c r="X23" s="574"/>
      <c r="Y23" s="574"/>
      <c r="Z23" s="574"/>
      <c r="AA23" s="575"/>
      <c r="AB23" s="557"/>
      <c r="AC23" s="553"/>
      <c r="AD23" s="553"/>
      <c r="AE23" s="553"/>
      <c r="AF23" s="553"/>
      <c r="AG23" s="554"/>
      <c r="AH23" s="564"/>
      <c r="AI23" s="565"/>
      <c r="AJ23" s="565"/>
      <c r="AK23" s="565"/>
      <c r="AL23" s="565"/>
      <c r="AM23" s="566"/>
      <c r="AN23" s="53"/>
      <c r="AO23" s="529"/>
      <c r="AP23" s="530"/>
      <c r="AQ23" s="530"/>
      <c r="AR23" s="530"/>
      <c r="AS23" s="530"/>
      <c r="AT23" s="531"/>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506"/>
      <c r="C24" s="506"/>
      <c r="D24" s="507"/>
      <c r="E24" s="547"/>
      <c r="F24" s="548"/>
      <c r="G24" s="548"/>
      <c r="H24" s="548"/>
      <c r="I24" s="549"/>
      <c r="J24" s="573" t="e">
        <f>IF(AND('Mapa final'!#REF!="Media",'Mapa final'!#REF!="Leve"),CONCATENATE("R",'Mapa final'!#REF!),"")</f>
        <v>#REF!</v>
      </c>
      <c r="K24" s="574"/>
      <c r="L24" s="574" t="str">
        <f>IF(AND('Mapa final'!$J$19="Media",'Mapa final'!$N$19="Leve"),CONCATENATE("R",'Mapa final'!$A$19),"")</f>
        <v/>
      </c>
      <c r="M24" s="574"/>
      <c r="N24" s="574" t="str">
        <f>IF(AND('Mapa final'!$J$25="Media",'Mapa final'!$N$25="Leve"),CONCATENATE("R",'Mapa final'!$A$25),"")</f>
        <v/>
      </c>
      <c r="O24" s="575"/>
      <c r="P24" s="573" t="e">
        <f>IF(AND('Mapa final'!#REF!="Media",'Mapa final'!#REF!="Menor"),CONCATENATE("R",'Mapa final'!#REF!),"")</f>
        <v>#REF!</v>
      </c>
      <c r="Q24" s="574"/>
      <c r="R24" s="574" t="str">
        <f>IF(AND('Mapa final'!$J$19="Media",'Mapa final'!$N$19="Menor"),CONCATENATE("R",'Mapa final'!$A$19),"")</f>
        <v/>
      </c>
      <c r="S24" s="574"/>
      <c r="T24" s="574" t="str">
        <f>IF(AND('Mapa final'!$J$25="Media",'Mapa final'!$N$25="Menor"),CONCATENATE("R",'Mapa final'!$A$25),"")</f>
        <v/>
      </c>
      <c r="U24" s="575"/>
      <c r="V24" s="573" t="e">
        <f>IF(AND('Mapa final'!#REF!="Media",'Mapa final'!#REF!="Moderado"),CONCATENATE("R",'Mapa final'!#REF!),"")</f>
        <v>#REF!</v>
      </c>
      <c r="W24" s="574"/>
      <c r="X24" s="574" t="str">
        <f>IF(AND('Mapa final'!$J$19="Media",'Mapa final'!$N$19="Moderado"),CONCATENATE("R",'Mapa final'!$A$19),"")</f>
        <v/>
      </c>
      <c r="Y24" s="574"/>
      <c r="Z24" s="574" t="str">
        <f>IF(AND('Mapa final'!$J$25="Media",'Mapa final'!$N$25="Moderado"),CONCATENATE("R",'Mapa final'!$A$25),"")</f>
        <v/>
      </c>
      <c r="AA24" s="575"/>
      <c r="AB24" s="557" t="e">
        <f>IF(AND('Mapa final'!#REF!="Media",'Mapa final'!#REF!="Mayor"),CONCATENATE("R",'Mapa final'!#REF!),"")</f>
        <v>#REF!</v>
      </c>
      <c r="AC24" s="553"/>
      <c r="AD24" s="553" t="str">
        <f>IF(AND('Mapa final'!$J$19="Media",'Mapa final'!$N$19="Mayor"),CONCATENATE("R",'Mapa final'!$A$19),"")</f>
        <v/>
      </c>
      <c r="AE24" s="553"/>
      <c r="AF24" s="553" t="str">
        <f>IF(AND('Mapa final'!$J$25="Media",'Mapa final'!$N$25="Mayor"),CONCATENATE("R",'Mapa final'!$A$25),"")</f>
        <v/>
      </c>
      <c r="AG24" s="554"/>
      <c r="AH24" s="564" t="e">
        <f>IF(AND('Mapa final'!#REF!="Media",'Mapa final'!#REF!="Catastrófico"),CONCATENATE("R",'Mapa final'!#REF!),"")</f>
        <v>#REF!</v>
      </c>
      <c r="AI24" s="565"/>
      <c r="AJ24" s="565" t="str">
        <f>IF(AND('Mapa final'!$J$19="Media",'Mapa final'!$N$19="Catastrófico"),CONCATENATE("R",'Mapa final'!$A$19),"")</f>
        <v/>
      </c>
      <c r="AK24" s="565"/>
      <c r="AL24" s="565" t="str">
        <f>IF(AND('Mapa final'!$J$25="Media",'Mapa final'!$N$25="Catastrófico"),CONCATENATE("R",'Mapa final'!$A$25),"")</f>
        <v/>
      </c>
      <c r="AM24" s="566"/>
      <c r="AN24" s="53"/>
      <c r="AO24" s="529"/>
      <c r="AP24" s="530"/>
      <c r="AQ24" s="530"/>
      <c r="AR24" s="530"/>
      <c r="AS24" s="530"/>
      <c r="AT24" s="531"/>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506"/>
      <c r="C25" s="506"/>
      <c r="D25" s="507"/>
      <c r="E25" s="547"/>
      <c r="F25" s="548"/>
      <c r="G25" s="548"/>
      <c r="H25" s="548"/>
      <c r="I25" s="549"/>
      <c r="J25" s="573"/>
      <c r="K25" s="574"/>
      <c r="L25" s="574"/>
      <c r="M25" s="574"/>
      <c r="N25" s="574"/>
      <c r="O25" s="575"/>
      <c r="P25" s="573"/>
      <c r="Q25" s="574"/>
      <c r="R25" s="574"/>
      <c r="S25" s="574"/>
      <c r="T25" s="574"/>
      <c r="U25" s="575"/>
      <c r="V25" s="573"/>
      <c r="W25" s="574"/>
      <c r="X25" s="574"/>
      <c r="Y25" s="574"/>
      <c r="Z25" s="574"/>
      <c r="AA25" s="575"/>
      <c r="AB25" s="557"/>
      <c r="AC25" s="553"/>
      <c r="AD25" s="553"/>
      <c r="AE25" s="553"/>
      <c r="AF25" s="553"/>
      <c r="AG25" s="554"/>
      <c r="AH25" s="564"/>
      <c r="AI25" s="565"/>
      <c r="AJ25" s="565"/>
      <c r="AK25" s="565"/>
      <c r="AL25" s="565"/>
      <c r="AM25" s="566"/>
      <c r="AN25" s="53"/>
      <c r="AO25" s="529"/>
      <c r="AP25" s="530"/>
      <c r="AQ25" s="530"/>
      <c r="AR25" s="530"/>
      <c r="AS25" s="530"/>
      <c r="AT25" s="531"/>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506"/>
      <c r="C26" s="506"/>
      <c r="D26" s="507"/>
      <c r="E26" s="547"/>
      <c r="F26" s="548"/>
      <c r="G26" s="548"/>
      <c r="H26" s="548"/>
      <c r="I26" s="549"/>
      <c r="J26" s="573" t="str">
        <f>IF(AND('Mapa final'!$J$31="Media",'Mapa final'!$N$31="Leve"),CONCATENATE("R",'Mapa final'!$A$31),"")</f>
        <v/>
      </c>
      <c r="K26" s="574"/>
      <c r="L26" s="574" t="str">
        <f>IF(AND('Mapa final'!$J$37="Media",'Mapa final'!$N$37="Leve"),CONCATENATE("R",'Mapa final'!$A$37),"")</f>
        <v/>
      </c>
      <c r="M26" s="574"/>
      <c r="N26" s="574" t="str">
        <f>IF(AND('Mapa final'!$J$43="Media",'Mapa final'!$N$43="Leve"),CONCATENATE("R",'Mapa final'!$A$43),"")</f>
        <v/>
      </c>
      <c r="O26" s="575"/>
      <c r="P26" s="573" t="str">
        <f>IF(AND('Mapa final'!$J$31="Media",'Mapa final'!$N$31="Menor"),CONCATENATE("R",'Mapa final'!$A$31),"")</f>
        <v/>
      </c>
      <c r="Q26" s="574"/>
      <c r="R26" s="574" t="str">
        <f>IF(AND('Mapa final'!$J$37="Media",'Mapa final'!$N$37="Menor"),CONCATENATE("R",'Mapa final'!$A$37),"")</f>
        <v/>
      </c>
      <c r="S26" s="574"/>
      <c r="T26" s="574" t="str">
        <f>IF(AND('Mapa final'!$J$43="Media",'Mapa final'!$N$43="Menor"),CONCATENATE("R",'Mapa final'!$A$43),"")</f>
        <v/>
      </c>
      <c r="U26" s="575"/>
      <c r="V26" s="573" t="str">
        <f>IF(AND('Mapa final'!$J$31="Media",'Mapa final'!$N$31="Moderado"),CONCATENATE("R",'Mapa final'!$A$31),"")</f>
        <v/>
      </c>
      <c r="W26" s="574"/>
      <c r="X26" s="574" t="str">
        <f>IF(AND('Mapa final'!$J$37="Media",'Mapa final'!$N$37="Moderado"),CONCATENATE("R",'Mapa final'!$A$37),"")</f>
        <v/>
      </c>
      <c r="Y26" s="574"/>
      <c r="Z26" s="574" t="str">
        <f>IF(AND('Mapa final'!$J$43="Media",'Mapa final'!$N$43="Moderado"),CONCATENATE("R",'Mapa final'!$A$43),"")</f>
        <v/>
      </c>
      <c r="AA26" s="575"/>
      <c r="AB26" s="557" t="str">
        <f>IF(AND('Mapa final'!$J$31="Media",'Mapa final'!$N$31="Mayor"),CONCATENATE("R",'Mapa final'!$A$31),"")</f>
        <v/>
      </c>
      <c r="AC26" s="553"/>
      <c r="AD26" s="553" t="str">
        <f>IF(AND('Mapa final'!$J$37="Media",'Mapa final'!$N$37="Mayor"),CONCATENATE("R",'Mapa final'!$A$37),"")</f>
        <v/>
      </c>
      <c r="AE26" s="553"/>
      <c r="AF26" s="553" t="str">
        <f>IF(AND('Mapa final'!$J$43="Media",'Mapa final'!$N$43="Mayor"),CONCATENATE("R",'Mapa final'!$A$43),"")</f>
        <v/>
      </c>
      <c r="AG26" s="554"/>
      <c r="AH26" s="564" t="str">
        <f>IF(AND('Mapa final'!$J$31="Media",'Mapa final'!$N$31="Catastrófico"),CONCATENATE("R",'Mapa final'!$A$31),"")</f>
        <v/>
      </c>
      <c r="AI26" s="565"/>
      <c r="AJ26" s="565" t="str">
        <f>IF(AND('Mapa final'!$J$37="Media",'Mapa final'!$N$37="Catastrófico"),CONCATENATE("R",'Mapa final'!$A$37),"")</f>
        <v/>
      </c>
      <c r="AK26" s="565"/>
      <c r="AL26" s="565" t="str">
        <f>IF(AND('Mapa final'!$J$43="Media",'Mapa final'!$N$43="Catastrófico"),CONCATENATE("R",'Mapa final'!$A$43),"")</f>
        <v/>
      </c>
      <c r="AM26" s="566"/>
      <c r="AN26" s="53"/>
      <c r="AO26" s="529"/>
      <c r="AP26" s="530"/>
      <c r="AQ26" s="530"/>
      <c r="AR26" s="530"/>
      <c r="AS26" s="530"/>
      <c r="AT26" s="531"/>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506"/>
      <c r="C27" s="506"/>
      <c r="D27" s="507"/>
      <c r="E27" s="547"/>
      <c r="F27" s="548"/>
      <c r="G27" s="548"/>
      <c r="H27" s="548"/>
      <c r="I27" s="549"/>
      <c r="J27" s="573"/>
      <c r="K27" s="574"/>
      <c r="L27" s="574"/>
      <c r="M27" s="574"/>
      <c r="N27" s="574"/>
      <c r="O27" s="575"/>
      <c r="P27" s="573"/>
      <c r="Q27" s="574"/>
      <c r="R27" s="574"/>
      <c r="S27" s="574"/>
      <c r="T27" s="574"/>
      <c r="U27" s="575"/>
      <c r="V27" s="573"/>
      <c r="W27" s="574"/>
      <c r="X27" s="574"/>
      <c r="Y27" s="574"/>
      <c r="Z27" s="574"/>
      <c r="AA27" s="575"/>
      <c r="AB27" s="557"/>
      <c r="AC27" s="553"/>
      <c r="AD27" s="553"/>
      <c r="AE27" s="553"/>
      <c r="AF27" s="553"/>
      <c r="AG27" s="554"/>
      <c r="AH27" s="564"/>
      <c r="AI27" s="565"/>
      <c r="AJ27" s="565"/>
      <c r="AK27" s="565"/>
      <c r="AL27" s="565"/>
      <c r="AM27" s="566"/>
      <c r="AN27" s="53"/>
      <c r="AO27" s="529"/>
      <c r="AP27" s="530"/>
      <c r="AQ27" s="530"/>
      <c r="AR27" s="530"/>
      <c r="AS27" s="530"/>
      <c r="AT27" s="531"/>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506"/>
      <c r="C28" s="506"/>
      <c r="D28" s="507"/>
      <c r="E28" s="547"/>
      <c r="F28" s="548"/>
      <c r="G28" s="548"/>
      <c r="H28" s="548"/>
      <c r="I28" s="549"/>
      <c r="J28" s="573" t="str">
        <f>IF(AND('Mapa final'!$J$49="Media",'Mapa final'!$N$49="Leve"),CONCATENATE("R",'Mapa final'!$A$49),"")</f>
        <v/>
      </c>
      <c r="K28" s="574"/>
      <c r="L28" s="574" t="str">
        <f>IF(AND('Mapa final'!$J$55="Media",'Mapa final'!$N$55="Leve"),CONCATENATE("R",'Mapa final'!$A$55),"")</f>
        <v/>
      </c>
      <c r="M28" s="574"/>
      <c r="N28" s="574" t="str">
        <f>IF(AND('Mapa final'!$J$61="Media",'Mapa final'!$N$61="Leve"),CONCATENATE("R",'Mapa final'!$A$61),"")</f>
        <v/>
      </c>
      <c r="O28" s="575"/>
      <c r="P28" s="573" t="str">
        <f>IF(AND('Mapa final'!$J$49="Media",'Mapa final'!$N$49="Menor"),CONCATENATE("R",'Mapa final'!$A$49),"")</f>
        <v/>
      </c>
      <c r="Q28" s="574"/>
      <c r="R28" s="574" t="str">
        <f>IF(AND('Mapa final'!$J$55="Media",'Mapa final'!$N$55="Menor"),CONCATENATE("R",'Mapa final'!$A$55),"")</f>
        <v/>
      </c>
      <c r="S28" s="574"/>
      <c r="T28" s="574" t="str">
        <f>IF(AND('Mapa final'!$J$61="Media",'Mapa final'!$N$61="Menor"),CONCATENATE("R",'Mapa final'!$A$61),"")</f>
        <v/>
      </c>
      <c r="U28" s="575"/>
      <c r="V28" s="573" t="str">
        <f>IF(AND('Mapa final'!$J$49="Media",'Mapa final'!$N$49="Moderado"),CONCATENATE("R",'Mapa final'!$A$49),"")</f>
        <v/>
      </c>
      <c r="W28" s="574"/>
      <c r="X28" s="574" t="str">
        <f>IF(AND('Mapa final'!$J$55="Media",'Mapa final'!$N$55="Moderado"),CONCATENATE("R",'Mapa final'!$A$55),"")</f>
        <v/>
      </c>
      <c r="Y28" s="574"/>
      <c r="Z28" s="574" t="str">
        <f>IF(AND('Mapa final'!$J$61="Media",'Mapa final'!$N$61="Moderado"),CONCATENATE("R",'Mapa final'!$A$61),"")</f>
        <v/>
      </c>
      <c r="AA28" s="575"/>
      <c r="AB28" s="557" t="str">
        <f>IF(AND('Mapa final'!$J$49="Media",'Mapa final'!$N$49="Mayor"),CONCATENATE("R",'Mapa final'!$A$49),"")</f>
        <v/>
      </c>
      <c r="AC28" s="553"/>
      <c r="AD28" s="553" t="str">
        <f>IF(AND('Mapa final'!$J$55="Media",'Mapa final'!$N$55="Mayor"),CONCATENATE("R",'Mapa final'!$A$55),"")</f>
        <v/>
      </c>
      <c r="AE28" s="553"/>
      <c r="AF28" s="553" t="str">
        <f>IF(AND('Mapa final'!$J$61="Media",'Mapa final'!$N$61="Mayor"),CONCATENATE("R",'Mapa final'!$A$61),"")</f>
        <v/>
      </c>
      <c r="AG28" s="554"/>
      <c r="AH28" s="564" t="str">
        <f>IF(AND('Mapa final'!$J$49="Media",'Mapa final'!$N$49="Catastrófico"),CONCATENATE("R",'Mapa final'!$A$49),"")</f>
        <v/>
      </c>
      <c r="AI28" s="565"/>
      <c r="AJ28" s="565" t="str">
        <f>IF(AND('Mapa final'!$J$55="Media",'Mapa final'!$N$55="Catastrófico"),CONCATENATE("R",'Mapa final'!$A$55),"")</f>
        <v/>
      </c>
      <c r="AK28" s="565"/>
      <c r="AL28" s="565" t="str">
        <f>IF(AND('Mapa final'!$J$61="Media",'Mapa final'!$N$61="Catastrófico"),CONCATENATE("R",'Mapa final'!$A$61),"")</f>
        <v/>
      </c>
      <c r="AM28" s="566"/>
      <c r="AN28" s="53"/>
      <c r="AO28" s="529"/>
      <c r="AP28" s="530"/>
      <c r="AQ28" s="530"/>
      <c r="AR28" s="530"/>
      <c r="AS28" s="530"/>
      <c r="AT28" s="531"/>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506"/>
      <c r="C29" s="506"/>
      <c r="D29" s="507"/>
      <c r="E29" s="550"/>
      <c r="F29" s="551"/>
      <c r="G29" s="551"/>
      <c r="H29" s="551"/>
      <c r="I29" s="552"/>
      <c r="J29" s="573"/>
      <c r="K29" s="574"/>
      <c r="L29" s="574"/>
      <c r="M29" s="574"/>
      <c r="N29" s="574"/>
      <c r="O29" s="575"/>
      <c r="P29" s="576"/>
      <c r="Q29" s="577"/>
      <c r="R29" s="577"/>
      <c r="S29" s="577"/>
      <c r="T29" s="577"/>
      <c r="U29" s="578"/>
      <c r="V29" s="576"/>
      <c r="W29" s="577"/>
      <c r="X29" s="577"/>
      <c r="Y29" s="577"/>
      <c r="Z29" s="577"/>
      <c r="AA29" s="578"/>
      <c r="AB29" s="561"/>
      <c r="AC29" s="562"/>
      <c r="AD29" s="562"/>
      <c r="AE29" s="562"/>
      <c r="AF29" s="562"/>
      <c r="AG29" s="563"/>
      <c r="AH29" s="567"/>
      <c r="AI29" s="568"/>
      <c r="AJ29" s="568"/>
      <c r="AK29" s="568"/>
      <c r="AL29" s="568"/>
      <c r="AM29" s="569"/>
      <c r="AN29" s="53"/>
      <c r="AO29" s="532"/>
      <c r="AP29" s="533"/>
      <c r="AQ29" s="533"/>
      <c r="AR29" s="533"/>
      <c r="AS29" s="533"/>
      <c r="AT29" s="534"/>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506"/>
      <c r="C30" s="506"/>
      <c r="D30" s="507"/>
      <c r="E30" s="544" t="s">
        <v>109</v>
      </c>
      <c r="F30" s="545"/>
      <c r="G30" s="545"/>
      <c r="H30" s="545"/>
      <c r="I30" s="545"/>
      <c r="J30" s="588" t="str">
        <f>IF(AND('Mapa final'!$J$10="Baja",'Mapa final'!$N$10="Leve"),CONCATENATE("R",'Mapa final'!$A$10),"")</f>
        <v/>
      </c>
      <c r="K30" s="589"/>
      <c r="L30" s="589" t="str">
        <f>IF(AND('Mapa final'!$J$15="Baja",'Mapa final'!$N$15="Leve"),CONCATENATE("R",'Mapa final'!$A$15),"")</f>
        <v/>
      </c>
      <c r="M30" s="589"/>
      <c r="N30" s="589" t="e">
        <f>IF(AND('Mapa final'!#REF!="Baja",'Mapa final'!#REF!="Leve"),CONCATENATE("R",'Mapa final'!#REF!),"")</f>
        <v>#REF!</v>
      </c>
      <c r="O30" s="590"/>
      <c r="P30" s="580" t="str">
        <f>IF(AND('Mapa final'!$J$10="Baja",'Mapa final'!$N$10="Menor"),CONCATENATE("R",'Mapa final'!$A$10),"")</f>
        <v/>
      </c>
      <c r="Q30" s="580"/>
      <c r="R30" s="580" t="str">
        <f>IF(AND('Mapa final'!$J$15="Baja",'Mapa final'!$N$15="Menor"),CONCATENATE("R",'Mapa final'!$A$15),"")</f>
        <v/>
      </c>
      <c r="S30" s="580"/>
      <c r="T30" s="580" t="e">
        <f>IF(AND('Mapa final'!#REF!="Baja",'Mapa final'!#REF!="Menor"),CONCATENATE("R",'Mapa final'!#REF!),"")</f>
        <v>#REF!</v>
      </c>
      <c r="U30" s="581"/>
      <c r="V30" s="579" t="str">
        <f>IF(AND('Mapa final'!$J$10="Baja",'Mapa final'!$N$10="Moderado"),CONCATENATE("R",'Mapa final'!$A$10),"")</f>
        <v/>
      </c>
      <c r="W30" s="580"/>
      <c r="X30" s="580" t="str">
        <f>IF(AND('Mapa final'!$J$15="Baja",'Mapa final'!$N$15="Moderado"),CONCATENATE("R",'Mapa final'!$A$15),"")</f>
        <v/>
      </c>
      <c r="Y30" s="580"/>
      <c r="Z30" s="580" t="e">
        <f>IF(AND('Mapa final'!#REF!="Baja",'Mapa final'!#REF!="Moderado"),CONCATENATE("R",'Mapa final'!#REF!),"")</f>
        <v>#REF!</v>
      </c>
      <c r="AA30" s="581"/>
      <c r="AB30" s="555" t="str">
        <f>IF(AND('Mapa final'!$J$10="Baja",'Mapa final'!$N$10="Mayor"),CONCATENATE("R",'Mapa final'!$A$10),"")</f>
        <v/>
      </c>
      <c r="AC30" s="556"/>
      <c r="AD30" s="556" t="str">
        <f>IF(AND('Mapa final'!$J$15="Baja",'Mapa final'!$N$15="Mayor"),CONCATENATE("R",'Mapa final'!$A$15),"")</f>
        <v/>
      </c>
      <c r="AE30" s="556"/>
      <c r="AF30" s="556" t="e">
        <f>IF(AND('Mapa final'!#REF!="Baja",'Mapa final'!#REF!="Mayor"),CONCATENATE("R",'Mapa final'!#REF!),"")</f>
        <v>#REF!</v>
      </c>
      <c r="AG30" s="558"/>
      <c r="AH30" s="570" t="str">
        <f>IF(AND('Mapa final'!$J$10="Baja",'Mapa final'!$N$10="Catastrófico"),CONCATENATE("R",'Mapa final'!$A$10),"")</f>
        <v/>
      </c>
      <c r="AI30" s="571"/>
      <c r="AJ30" s="571" t="str">
        <f>IF(AND('Mapa final'!$J$15="Baja",'Mapa final'!$N$15="Catastrófico"),CONCATENATE("R",'Mapa final'!$A$15),"")</f>
        <v/>
      </c>
      <c r="AK30" s="571"/>
      <c r="AL30" s="571" t="e">
        <f>IF(AND('Mapa final'!#REF!="Baja",'Mapa final'!#REF!="Catastrófico"),CONCATENATE("R",'Mapa final'!#REF!),"")</f>
        <v>#REF!</v>
      </c>
      <c r="AM30" s="572"/>
      <c r="AN30" s="53"/>
      <c r="AO30" s="535" t="s">
        <v>81</v>
      </c>
      <c r="AP30" s="536"/>
      <c r="AQ30" s="536"/>
      <c r="AR30" s="536"/>
      <c r="AS30" s="536"/>
      <c r="AT30" s="537"/>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506"/>
      <c r="C31" s="506"/>
      <c r="D31" s="507"/>
      <c r="E31" s="547"/>
      <c r="F31" s="548"/>
      <c r="G31" s="548"/>
      <c r="H31" s="548"/>
      <c r="I31" s="548"/>
      <c r="J31" s="584"/>
      <c r="K31" s="582"/>
      <c r="L31" s="582"/>
      <c r="M31" s="582"/>
      <c r="N31" s="582"/>
      <c r="O31" s="583"/>
      <c r="P31" s="574"/>
      <c r="Q31" s="574"/>
      <c r="R31" s="574"/>
      <c r="S31" s="574"/>
      <c r="T31" s="574"/>
      <c r="U31" s="575"/>
      <c r="V31" s="573"/>
      <c r="W31" s="574"/>
      <c r="X31" s="574"/>
      <c r="Y31" s="574"/>
      <c r="Z31" s="574"/>
      <c r="AA31" s="575"/>
      <c r="AB31" s="557"/>
      <c r="AC31" s="553"/>
      <c r="AD31" s="553"/>
      <c r="AE31" s="553"/>
      <c r="AF31" s="553"/>
      <c r="AG31" s="554"/>
      <c r="AH31" s="564"/>
      <c r="AI31" s="565"/>
      <c r="AJ31" s="565"/>
      <c r="AK31" s="565"/>
      <c r="AL31" s="565"/>
      <c r="AM31" s="566"/>
      <c r="AN31" s="53"/>
      <c r="AO31" s="538"/>
      <c r="AP31" s="539"/>
      <c r="AQ31" s="539"/>
      <c r="AR31" s="539"/>
      <c r="AS31" s="539"/>
      <c r="AT31" s="540"/>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506"/>
      <c r="C32" s="506"/>
      <c r="D32" s="507"/>
      <c r="E32" s="547"/>
      <c r="F32" s="548"/>
      <c r="G32" s="548"/>
      <c r="H32" s="548"/>
      <c r="I32" s="548"/>
      <c r="J32" s="584" t="e">
        <f>IF(AND('Mapa final'!#REF!="Baja",'Mapa final'!#REF!="Leve"),CONCATENATE("R",'Mapa final'!#REF!),"")</f>
        <v>#REF!</v>
      </c>
      <c r="K32" s="582"/>
      <c r="L32" s="582" t="str">
        <f>IF(AND('Mapa final'!$J$19="Baja",'Mapa final'!$N$19="Leve"),CONCATENATE("R",'Mapa final'!$A$19),"")</f>
        <v/>
      </c>
      <c r="M32" s="582"/>
      <c r="N32" s="582" t="str">
        <f>IF(AND('Mapa final'!$J$25="Baja",'Mapa final'!$N$25="Leve"),CONCATENATE("R",'Mapa final'!$A$25),"")</f>
        <v/>
      </c>
      <c r="O32" s="583"/>
      <c r="P32" s="574" t="e">
        <f>IF(AND('Mapa final'!#REF!="Baja",'Mapa final'!#REF!="Menor"),CONCATENATE("R",'Mapa final'!#REF!),"")</f>
        <v>#REF!</v>
      </c>
      <c r="Q32" s="574"/>
      <c r="R32" s="574" t="str">
        <f>IF(AND('Mapa final'!$J$19="Baja",'Mapa final'!$N$19="Menor"),CONCATENATE("R",'Mapa final'!$A$19),"")</f>
        <v/>
      </c>
      <c r="S32" s="574"/>
      <c r="T32" s="574" t="str">
        <f>IF(AND('Mapa final'!$J$25="Baja",'Mapa final'!$N$25="Menor"),CONCATENATE("R",'Mapa final'!$A$25),"")</f>
        <v/>
      </c>
      <c r="U32" s="575"/>
      <c r="V32" s="573" t="e">
        <f>IF(AND('Mapa final'!#REF!="Baja",'Mapa final'!#REF!="Moderado"),CONCATENATE("R",'Mapa final'!#REF!),"")</f>
        <v>#REF!</v>
      </c>
      <c r="W32" s="574"/>
      <c r="X32" s="574" t="str">
        <f>IF(AND('Mapa final'!$J$19="Baja",'Mapa final'!$N$19="Moderado"),CONCATENATE("R",'Mapa final'!$A$19),"")</f>
        <v/>
      </c>
      <c r="Y32" s="574"/>
      <c r="Z32" s="574" t="str">
        <f>IF(AND('Mapa final'!$J$25="Baja",'Mapa final'!$N$25="Moderado"),CONCATENATE("R",'Mapa final'!$A$25),"")</f>
        <v/>
      </c>
      <c r="AA32" s="575"/>
      <c r="AB32" s="557" t="e">
        <f>IF(AND('Mapa final'!#REF!="Baja",'Mapa final'!#REF!="Mayor"),CONCATENATE("R",'Mapa final'!#REF!),"")</f>
        <v>#REF!</v>
      </c>
      <c r="AC32" s="553"/>
      <c r="AD32" s="553" t="str">
        <f>IF(AND('Mapa final'!$J$19="Baja",'Mapa final'!$N$19="Mayor"),CONCATENATE("R",'Mapa final'!$A$19),"")</f>
        <v/>
      </c>
      <c r="AE32" s="553"/>
      <c r="AF32" s="553" t="str">
        <f>IF(AND('Mapa final'!$J$25="Baja",'Mapa final'!$N$25="Mayor"),CONCATENATE("R",'Mapa final'!$A$25),"")</f>
        <v/>
      </c>
      <c r="AG32" s="554"/>
      <c r="AH32" s="564" t="e">
        <f>IF(AND('Mapa final'!#REF!="Baja",'Mapa final'!#REF!="Catastrófico"),CONCATENATE("R",'Mapa final'!#REF!),"")</f>
        <v>#REF!</v>
      </c>
      <c r="AI32" s="565"/>
      <c r="AJ32" s="565" t="str">
        <f>IF(AND('Mapa final'!$J$19="Baja",'Mapa final'!$N$19="Catastrófico"),CONCATENATE("R",'Mapa final'!$A$19),"")</f>
        <v/>
      </c>
      <c r="AK32" s="565"/>
      <c r="AL32" s="565" t="str">
        <f>IF(AND('Mapa final'!$J$25="Baja",'Mapa final'!$N$25="Catastrófico"),CONCATENATE("R",'Mapa final'!$A$25),"")</f>
        <v/>
      </c>
      <c r="AM32" s="566"/>
      <c r="AN32" s="53"/>
      <c r="AO32" s="538"/>
      <c r="AP32" s="539"/>
      <c r="AQ32" s="539"/>
      <c r="AR32" s="539"/>
      <c r="AS32" s="539"/>
      <c r="AT32" s="540"/>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506"/>
      <c r="C33" s="506"/>
      <c r="D33" s="507"/>
      <c r="E33" s="547"/>
      <c r="F33" s="548"/>
      <c r="G33" s="548"/>
      <c r="H33" s="548"/>
      <c r="I33" s="548"/>
      <c r="J33" s="584"/>
      <c r="K33" s="582"/>
      <c r="L33" s="582"/>
      <c r="M33" s="582"/>
      <c r="N33" s="582"/>
      <c r="O33" s="583"/>
      <c r="P33" s="574"/>
      <c r="Q33" s="574"/>
      <c r="R33" s="574"/>
      <c r="S33" s="574"/>
      <c r="T33" s="574"/>
      <c r="U33" s="575"/>
      <c r="V33" s="573"/>
      <c r="W33" s="574"/>
      <c r="X33" s="574"/>
      <c r="Y33" s="574"/>
      <c r="Z33" s="574"/>
      <c r="AA33" s="575"/>
      <c r="AB33" s="557"/>
      <c r="AC33" s="553"/>
      <c r="AD33" s="553"/>
      <c r="AE33" s="553"/>
      <c r="AF33" s="553"/>
      <c r="AG33" s="554"/>
      <c r="AH33" s="564"/>
      <c r="AI33" s="565"/>
      <c r="AJ33" s="565"/>
      <c r="AK33" s="565"/>
      <c r="AL33" s="565"/>
      <c r="AM33" s="566"/>
      <c r="AN33" s="53"/>
      <c r="AO33" s="538"/>
      <c r="AP33" s="539"/>
      <c r="AQ33" s="539"/>
      <c r="AR33" s="539"/>
      <c r="AS33" s="539"/>
      <c r="AT33" s="540"/>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506"/>
      <c r="C34" s="506"/>
      <c r="D34" s="507"/>
      <c r="E34" s="547"/>
      <c r="F34" s="548"/>
      <c r="G34" s="548"/>
      <c r="H34" s="548"/>
      <c r="I34" s="548"/>
      <c r="J34" s="584" t="str">
        <f>IF(AND('Mapa final'!$J$31="Baja",'Mapa final'!$N$31="Leve"),CONCATENATE("R",'Mapa final'!$A$31),"")</f>
        <v/>
      </c>
      <c r="K34" s="582"/>
      <c r="L34" s="582" t="str">
        <f>IF(AND('Mapa final'!$J$37="Baja",'Mapa final'!$N$37="Leve"),CONCATENATE("R",'Mapa final'!$A$37),"")</f>
        <v/>
      </c>
      <c r="M34" s="582"/>
      <c r="N34" s="582" t="str">
        <f>IF(AND('Mapa final'!$J$43="Baja",'Mapa final'!$N$43="Leve"),CONCATENATE("R",'Mapa final'!$A$43),"")</f>
        <v/>
      </c>
      <c r="O34" s="583"/>
      <c r="P34" s="574" t="str">
        <f>IF(AND('Mapa final'!$J$31="Baja",'Mapa final'!$N$31="Menor"),CONCATENATE("R",'Mapa final'!$A$31),"")</f>
        <v/>
      </c>
      <c r="Q34" s="574"/>
      <c r="R34" s="574" t="str">
        <f>IF(AND('Mapa final'!$J$37="Baja",'Mapa final'!$N$37="Menor"),CONCATENATE("R",'Mapa final'!$A$37),"")</f>
        <v/>
      </c>
      <c r="S34" s="574"/>
      <c r="T34" s="574" t="str">
        <f>IF(AND('Mapa final'!$J$43="Baja",'Mapa final'!$N$43="Menor"),CONCATENATE("R",'Mapa final'!$A$43),"")</f>
        <v/>
      </c>
      <c r="U34" s="575"/>
      <c r="V34" s="573" t="str">
        <f>IF(AND('Mapa final'!$J$31="Baja",'Mapa final'!$N$31="Moderado"),CONCATENATE("R",'Mapa final'!$A$31),"")</f>
        <v/>
      </c>
      <c r="W34" s="574"/>
      <c r="X34" s="574" t="str">
        <f>IF(AND('Mapa final'!$J$37="Baja",'Mapa final'!$N$37="Moderado"),CONCATENATE("R",'Mapa final'!$A$37),"")</f>
        <v/>
      </c>
      <c r="Y34" s="574"/>
      <c r="Z34" s="574" t="str">
        <f>IF(AND('Mapa final'!$J$43="Baja",'Mapa final'!$N$43="Moderado"),CONCATENATE("R",'Mapa final'!$A$43),"")</f>
        <v/>
      </c>
      <c r="AA34" s="575"/>
      <c r="AB34" s="557" t="str">
        <f>IF(AND('Mapa final'!$J$31="Baja",'Mapa final'!$N$31="Mayor"),CONCATENATE("R",'Mapa final'!$A$31),"")</f>
        <v/>
      </c>
      <c r="AC34" s="553"/>
      <c r="AD34" s="553" t="str">
        <f>IF(AND('Mapa final'!$J$37="Baja",'Mapa final'!$N$37="Mayor"),CONCATENATE("R",'Mapa final'!$A$37),"")</f>
        <v/>
      </c>
      <c r="AE34" s="553"/>
      <c r="AF34" s="553" t="str">
        <f>IF(AND('Mapa final'!$J$43="Baja",'Mapa final'!$N$43="Mayor"),CONCATENATE("R",'Mapa final'!$A$43),"")</f>
        <v/>
      </c>
      <c r="AG34" s="554"/>
      <c r="AH34" s="564" t="str">
        <f>IF(AND('Mapa final'!$J$31="Baja",'Mapa final'!$N$31="Catastrófico"),CONCATENATE("R",'Mapa final'!$A$31),"")</f>
        <v/>
      </c>
      <c r="AI34" s="565"/>
      <c r="AJ34" s="565" t="str">
        <f>IF(AND('Mapa final'!$J$37="Baja",'Mapa final'!$N$37="Catastrófico"),CONCATENATE("R",'Mapa final'!$A$37),"")</f>
        <v/>
      </c>
      <c r="AK34" s="565"/>
      <c r="AL34" s="565" t="str">
        <f>IF(AND('Mapa final'!$J$43="Baja",'Mapa final'!$N$43="Catastrófico"),CONCATENATE("R",'Mapa final'!$A$43),"")</f>
        <v/>
      </c>
      <c r="AM34" s="566"/>
      <c r="AN34" s="53"/>
      <c r="AO34" s="538"/>
      <c r="AP34" s="539"/>
      <c r="AQ34" s="539"/>
      <c r="AR34" s="539"/>
      <c r="AS34" s="539"/>
      <c r="AT34" s="540"/>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506"/>
      <c r="C35" s="506"/>
      <c r="D35" s="507"/>
      <c r="E35" s="547"/>
      <c r="F35" s="548"/>
      <c r="G35" s="548"/>
      <c r="H35" s="548"/>
      <c r="I35" s="548"/>
      <c r="J35" s="584"/>
      <c r="K35" s="582"/>
      <c r="L35" s="582"/>
      <c r="M35" s="582"/>
      <c r="N35" s="582"/>
      <c r="O35" s="583"/>
      <c r="P35" s="574"/>
      <c r="Q35" s="574"/>
      <c r="R35" s="574"/>
      <c r="S35" s="574"/>
      <c r="T35" s="574"/>
      <c r="U35" s="575"/>
      <c r="V35" s="573"/>
      <c r="W35" s="574"/>
      <c r="X35" s="574"/>
      <c r="Y35" s="574"/>
      <c r="Z35" s="574"/>
      <c r="AA35" s="575"/>
      <c r="AB35" s="557"/>
      <c r="AC35" s="553"/>
      <c r="AD35" s="553"/>
      <c r="AE35" s="553"/>
      <c r="AF35" s="553"/>
      <c r="AG35" s="554"/>
      <c r="AH35" s="564"/>
      <c r="AI35" s="565"/>
      <c r="AJ35" s="565"/>
      <c r="AK35" s="565"/>
      <c r="AL35" s="565"/>
      <c r="AM35" s="566"/>
      <c r="AN35" s="53"/>
      <c r="AO35" s="538"/>
      <c r="AP35" s="539"/>
      <c r="AQ35" s="539"/>
      <c r="AR35" s="539"/>
      <c r="AS35" s="539"/>
      <c r="AT35" s="540"/>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506"/>
      <c r="C36" s="506"/>
      <c r="D36" s="507"/>
      <c r="E36" s="547"/>
      <c r="F36" s="548"/>
      <c r="G36" s="548"/>
      <c r="H36" s="548"/>
      <c r="I36" s="548"/>
      <c r="J36" s="584" t="str">
        <f>IF(AND('Mapa final'!$J$49="Baja",'Mapa final'!$N$49="Leve"),CONCATENATE("R",'Mapa final'!$A$49),"")</f>
        <v/>
      </c>
      <c r="K36" s="582"/>
      <c r="L36" s="582" t="str">
        <f>IF(AND('Mapa final'!$J$55="Baja",'Mapa final'!$N$55="Leve"),CONCATENATE("R",'Mapa final'!$A$55),"")</f>
        <v/>
      </c>
      <c r="M36" s="582"/>
      <c r="N36" s="582" t="str">
        <f>IF(AND('Mapa final'!$J$61="Baja",'Mapa final'!$N$61="Leve"),CONCATENATE("R",'Mapa final'!$A$61),"")</f>
        <v/>
      </c>
      <c r="O36" s="583"/>
      <c r="P36" s="574" t="str">
        <f>IF(AND('Mapa final'!$J$49="Baja",'Mapa final'!$N$49="Menor"),CONCATENATE("R",'Mapa final'!$A$49),"")</f>
        <v/>
      </c>
      <c r="Q36" s="574"/>
      <c r="R36" s="574" t="str">
        <f>IF(AND('Mapa final'!$J$55="Baja",'Mapa final'!$N$55="Menor"),CONCATENATE("R",'Mapa final'!$A$55),"")</f>
        <v/>
      </c>
      <c r="S36" s="574"/>
      <c r="T36" s="574" t="str">
        <f>IF(AND('Mapa final'!$J$61="Baja",'Mapa final'!$N$61="Menor"),CONCATENATE("R",'Mapa final'!$A$61),"")</f>
        <v/>
      </c>
      <c r="U36" s="575"/>
      <c r="V36" s="573" t="str">
        <f>IF(AND('Mapa final'!$J$49="Baja",'Mapa final'!$N$49="Moderado"),CONCATENATE("R",'Mapa final'!$A$49),"")</f>
        <v/>
      </c>
      <c r="W36" s="574"/>
      <c r="X36" s="574" t="str">
        <f>IF(AND('Mapa final'!$J$55="Baja",'Mapa final'!$N$55="Moderado"),CONCATENATE("R",'Mapa final'!$A$55),"")</f>
        <v/>
      </c>
      <c r="Y36" s="574"/>
      <c r="Z36" s="574" t="str">
        <f>IF(AND('Mapa final'!$J$61="Baja",'Mapa final'!$N$61="Moderado"),CONCATENATE("R",'Mapa final'!$A$61),"")</f>
        <v/>
      </c>
      <c r="AA36" s="575"/>
      <c r="AB36" s="557" t="str">
        <f>IF(AND('Mapa final'!$J$49="Baja",'Mapa final'!$N$49="Mayor"),CONCATENATE("R",'Mapa final'!$A$49),"")</f>
        <v/>
      </c>
      <c r="AC36" s="553"/>
      <c r="AD36" s="553" t="str">
        <f>IF(AND('Mapa final'!$J$55="Baja",'Mapa final'!$N$55="Mayor"),CONCATENATE("R",'Mapa final'!$A$55),"")</f>
        <v/>
      </c>
      <c r="AE36" s="553"/>
      <c r="AF36" s="553" t="str">
        <f>IF(AND('Mapa final'!$J$61="Baja",'Mapa final'!$N$61="Mayor"),CONCATENATE("R",'Mapa final'!$A$61),"")</f>
        <v/>
      </c>
      <c r="AG36" s="554"/>
      <c r="AH36" s="564" t="str">
        <f>IF(AND('Mapa final'!$J$49="Baja",'Mapa final'!$N$49="Catastrófico"),CONCATENATE("R",'Mapa final'!$A$49),"")</f>
        <v/>
      </c>
      <c r="AI36" s="565"/>
      <c r="AJ36" s="565" t="str">
        <f>IF(AND('Mapa final'!$J$55="Baja",'Mapa final'!$N$55="Catastrófico"),CONCATENATE("R",'Mapa final'!$A$55),"")</f>
        <v/>
      </c>
      <c r="AK36" s="565"/>
      <c r="AL36" s="565" t="str">
        <f>IF(AND('Mapa final'!$J$61="Baja",'Mapa final'!$N$61="Catastrófico"),CONCATENATE("R",'Mapa final'!$A$61),"")</f>
        <v/>
      </c>
      <c r="AM36" s="566"/>
      <c r="AN36" s="53"/>
      <c r="AO36" s="538"/>
      <c r="AP36" s="539"/>
      <c r="AQ36" s="539"/>
      <c r="AR36" s="539"/>
      <c r="AS36" s="539"/>
      <c r="AT36" s="540"/>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506"/>
      <c r="C37" s="506"/>
      <c r="D37" s="507"/>
      <c r="E37" s="550"/>
      <c r="F37" s="551"/>
      <c r="G37" s="551"/>
      <c r="H37" s="551"/>
      <c r="I37" s="551"/>
      <c r="J37" s="585"/>
      <c r="K37" s="586"/>
      <c r="L37" s="586"/>
      <c r="M37" s="586"/>
      <c r="N37" s="586"/>
      <c r="O37" s="587"/>
      <c r="P37" s="577"/>
      <c r="Q37" s="577"/>
      <c r="R37" s="577"/>
      <c r="S37" s="577"/>
      <c r="T37" s="577"/>
      <c r="U37" s="578"/>
      <c r="V37" s="576"/>
      <c r="W37" s="577"/>
      <c r="X37" s="577"/>
      <c r="Y37" s="577"/>
      <c r="Z37" s="577"/>
      <c r="AA37" s="578"/>
      <c r="AB37" s="561"/>
      <c r="AC37" s="562"/>
      <c r="AD37" s="562"/>
      <c r="AE37" s="562"/>
      <c r="AF37" s="562"/>
      <c r="AG37" s="563"/>
      <c r="AH37" s="567"/>
      <c r="AI37" s="568"/>
      <c r="AJ37" s="568"/>
      <c r="AK37" s="568"/>
      <c r="AL37" s="568"/>
      <c r="AM37" s="569"/>
      <c r="AN37" s="53"/>
      <c r="AO37" s="541"/>
      <c r="AP37" s="542"/>
      <c r="AQ37" s="542"/>
      <c r="AR37" s="542"/>
      <c r="AS37" s="542"/>
      <c r="AT37" s="54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506"/>
      <c r="C38" s="506"/>
      <c r="D38" s="507"/>
      <c r="E38" s="544" t="s">
        <v>108</v>
      </c>
      <c r="F38" s="545"/>
      <c r="G38" s="545"/>
      <c r="H38" s="545"/>
      <c r="I38" s="546"/>
      <c r="J38" s="588" t="str">
        <f>IF(AND('Mapa final'!$J$10="Muy Baja",'Mapa final'!$N$10="Leve"),CONCATENATE("R",'Mapa final'!$A$10),"")</f>
        <v/>
      </c>
      <c r="K38" s="589"/>
      <c r="L38" s="589" t="str">
        <f>IF(AND('Mapa final'!$J$15="Muy Baja",'Mapa final'!$N$15="Leve"),CONCATENATE("R",'Mapa final'!$A$15),"")</f>
        <v/>
      </c>
      <c r="M38" s="589"/>
      <c r="N38" s="589" t="e">
        <f>IF(AND('Mapa final'!#REF!="Muy Baja",'Mapa final'!#REF!="Leve"),CONCATENATE("R",'Mapa final'!#REF!),"")</f>
        <v>#REF!</v>
      </c>
      <c r="O38" s="590"/>
      <c r="P38" s="588" t="str">
        <f>IF(AND('Mapa final'!$J$10="Muy Baja",'Mapa final'!$N$10="Menor"),CONCATENATE("R",'Mapa final'!$A$10),"")</f>
        <v/>
      </c>
      <c r="Q38" s="589"/>
      <c r="R38" s="589" t="str">
        <f>IF(AND('Mapa final'!$J$15="Muy Baja",'Mapa final'!$N$15="Menor"),CONCATENATE("R",'Mapa final'!$A$15),"")</f>
        <v/>
      </c>
      <c r="S38" s="589"/>
      <c r="T38" s="589" t="e">
        <f>IF(AND('Mapa final'!#REF!="Muy Baja",'Mapa final'!#REF!="Menor"),CONCATENATE("R",'Mapa final'!#REF!),"")</f>
        <v>#REF!</v>
      </c>
      <c r="U38" s="590"/>
      <c r="V38" s="579" t="str">
        <f>IF(AND('Mapa final'!$J$10="Muy Baja",'Mapa final'!$N$10="Moderado"),CONCATENATE("R",'Mapa final'!$A$10),"")</f>
        <v/>
      </c>
      <c r="W38" s="580"/>
      <c r="X38" s="580" t="str">
        <f>IF(AND('Mapa final'!$J$15="Muy Baja",'Mapa final'!$N$15="Moderado"),CONCATENATE("R",'Mapa final'!$A$15),"")</f>
        <v/>
      </c>
      <c r="Y38" s="580"/>
      <c r="Z38" s="580" t="e">
        <f>IF(AND('Mapa final'!#REF!="Muy Baja",'Mapa final'!#REF!="Moderado"),CONCATENATE("R",'Mapa final'!#REF!),"")</f>
        <v>#REF!</v>
      </c>
      <c r="AA38" s="581"/>
      <c r="AB38" s="555" t="str">
        <f>IF(AND('Mapa final'!$J$10="Muy Baja",'Mapa final'!$N$10="Mayor"),CONCATENATE("R",'Mapa final'!$A$10),"")</f>
        <v/>
      </c>
      <c r="AC38" s="556"/>
      <c r="AD38" s="556" t="str">
        <f>IF(AND('Mapa final'!$J$15="Muy Baja",'Mapa final'!$N$15="Mayor"),CONCATENATE("R",'Mapa final'!$A$15),"")</f>
        <v/>
      </c>
      <c r="AE38" s="556"/>
      <c r="AF38" s="556" t="e">
        <f>IF(AND('Mapa final'!#REF!="Muy Baja",'Mapa final'!#REF!="Mayor"),CONCATENATE("R",'Mapa final'!#REF!),"")</f>
        <v>#REF!</v>
      </c>
      <c r="AG38" s="558"/>
      <c r="AH38" s="570" t="str">
        <f>IF(AND('Mapa final'!$J$10="Muy Baja",'Mapa final'!$N$10="Catastrófico"),CONCATENATE("R",'Mapa final'!$A$10),"")</f>
        <v/>
      </c>
      <c r="AI38" s="571"/>
      <c r="AJ38" s="571" t="str">
        <f>IF(AND('Mapa final'!$J$15="Muy Baja",'Mapa final'!$N$15="Catastrófico"),CONCATENATE("R",'Mapa final'!$A$15),"")</f>
        <v/>
      </c>
      <c r="AK38" s="571"/>
      <c r="AL38" s="571" t="e">
        <f>IF(AND('Mapa final'!#REF!="Muy Baja",'Mapa final'!#REF!="Catastrófico"),CONCATENATE("R",'Mapa final'!#REF!),"")</f>
        <v>#REF!</v>
      </c>
      <c r="AM38" s="572"/>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506"/>
      <c r="C39" s="506"/>
      <c r="D39" s="507"/>
      <c r="E39" s="547"/>
      <c r="F39" s="548"/>
      <c r="G39" s="548"/>
      <c r="H39" s="548"/>
      <c r="I39" s="549"/>
      <c r="J39" s="584"/>
      <c r="K39" s="582"/>
      <c r="L39" s="582"/>
      <c r="M39" s="582"/>
      <c r="N39" s="582"/>
      <c r="O39" s="583"/>
      <c r="P39" s="584"/>
      <c r="Q39" s="582"/>
      <c r="R39" s="582"/>
      <c r="S39" s="582"/>
      <c r="T39" s="582"/>
      <c r="U39" s="583"/>
      <c r="V39" s="573"/>
      <c r="W39" s="574"/>
      <c r="X39" s="574"/>
      <c r="Y39" s="574"/>
      <c r="Z39" s="574"/>
      <c r="AA39" s="575"/>
      <c r="AB39" s="557"/>
      <c r="AC39" s="553"/>
      <c r="AD39" s="553"/>
      <c r="AE39" s="553"/>
      <c r="AF39" s="553"/>
      <c r="AG39" s="554"/>
      <c r="AH39" s="564"/>
      <c r="AI39" s="565"/>
      <c r="AJ39" s="565"/>
      <c r="AK39" s="565"/>
      <c r="AL39" s="565"/>
      <c r="AM39" s="566"/>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506"/>
      <c r="C40" s="506"/>
      <c r="D40" s="507"/>
      <c r="E40" s="547"/>
      <c r="F40" s="548"/>
      <c r="G40" s="548"/>
      <c r="H40" s="548"/>
      <c r="I40" s="549"/>
      <c r="J40" s="584" t="e">
        <f>IF(AND('Mapa final'!#REF!="Muy Baja",'Mapa final'!#REF!="Leve"),CONCATENATE("R",'Mapa final'!#REF!),"")</f>
        <v>#REF!</v>
      </c>
      <c r="K40" s="582"/>
      <c r="L40" s="582" t="str">
        <f>IF(AND('Mapa final'!$J$19="Muy Baja",'Mapa final'!$N$19="Leve"),CONCATENATE("R",'Mapa final'!$A$19),"")</f>
        <v/>
      </c>
      <c r="M40" s="582"/>
      <c r="N40" s="582" t="str">
        <f>IF(AND('Mapa final'!$J$25="Muy Baja",'Mapa final'!$N$25="Leve"),CONCATENATE("R",'Mapa final'!$A$25),"")</f>
        <v/>
      </c>
      <c r="O40" s="583"/>
      <c r="P40" s="584" t="e">
        <f>IF(AND('Mapa final'!#REF!="Muy Baja",'Mapa final'!#REF!="Menor"),CONCATENATE("R",'Mapa final'!#REF!),"")</f>
        <v>#REF!</v>
      </c>
      <c r="Q40" s="582"/>
      <c r="R40" s="582" t="str">
        <f>IF(AND('Mapa final'!$J$19="Muy Baja",'Mapa final'!$N$19="Menor"),CONCATENATE("R",'Mapa final'!$A$19),"")</f>
        <v/>
      </c>
      <c r="S40" s="582"/>
      <c r="T40" s="582" t="str">
        <f>IF(AND('Mapa final'!$J$25="Muy Baja",'Mapa final'!$N$25="Menor"),CONCATENATE("R",'Mapa final'!$A$25),"")</f>
        <v/>
      </c>
      <c r="U40" s="583"/>
      <c r="V40" s="573" t="e">
        <f>IF(AND('Mapa final'!#REF!="Muy Baja",'Mapa final'!#REF!="Moderado"),CONCATENATE("R",'Mapa final'!#REF!),"")</f>
        <v>#REF!</v>
      </c>
      <c r="W40" s="574"/>
      <c r="X40" s="574" t="str">
        <f>IF(AND('Mapa final'!$J$19="Muy Baja",'Mapa final'!$N$19="Moderado"),CONCATENATE("R",'Mapa final'!$A$19),"")</f>
        <v/>
      </c>
      <c r="Y40" s="574"/>
      <c r="Z40" s="574" t="str">
        <f>IF(AND('Mapa final'!$J$25="Muy Baja",'Mapa final'!$N$25="Moderado"),CONCATENATE("R",'Mapa final'!$A$25),"")</f>
        <v/>
      </c>
      <c r="AA40" s="575"/>
      <c r="AB40" s="557" t="e">
        <f>IF(AND('Mapa final'!#REF!="Muy Baja",'Mapa final'!#REF!="Mayor"),CONCATENATE("R",'Mapa final'!#REF!),"")</f>
        <v>#REF!</v>
      </c>
      <c r="AC40" s="553"/>
      <c r="AD40" s="553" t="str">
        <f>IF(AND('Mapa final'!$J$19="Muy Baja",'Mapa final'!$N$19="Mayor"),CONCATENATE("R",'Mapa final'!$A$19),"")</f>
        <v/>
      </c>
      <c r="AE40" s="553"/>
      <c r="AF40" s="553" t="str">
        <f>IF(AND('Mapa final'!$J$25="Muy Baja",'Mapa final'!$N$25="Mayor"),CONCATENATE("R",'Mapa final'!$A$25),"")</f>
        <v/>
      </c>
      <c r="AG40" s="554"/>
      <c r="AH40" s="564" t="e">
        <f>IF(AND('Mapa final'!#REF!="Muy Baja",'Mapa final'!#REF!="Catastrófico"),CONCATENATE("R",'Mapa final'!#REF!),"")</f>
        <v>#REF!</v>
      </c>
      <c r="AI40" s="565"/>
      <c r="AJ40" s="565" t="str">
        <f>IF(AND('Mapa final'!$J$19="Muy Baja",'Mapa final'!$N$19="Catastrófico"),CONCATENATE("R",'Mapa final'!$A$19),"")</f>
        <v/>
      </c>
      <c r="AK40" s="565"/>
      <c r="AL40" s="565" t="str">
        <f>IF(AND('Mapa final'!$J$25="Muy Baja",'Mapa final'!$N$25="Catastrófico"),CONCATENATE("R",'Mapa final'!$A$25),"")</f>
        <v/>
      </c>
      <c r="AM40" s="566"/>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506"/>
      <c r="C41" s="506"/>
      <c r="D41" s="507"/>
      <c r="E41" s="547"/>
      <c r="F41" s="548"/>
      <c r="G41" s="548"/>
      <c r="H41" s="548"/>
      <c r="I41" s="549"/>
      <c r="J41" s="584"/>
      <c r="K41" s="582"/>
      <c r="L41" s="582"/>
      <c r="M41" s="582"/>
      <c r="N41" s="582"/>
      <c r="O41" s="583"/>
      <c r="P41" s="584"/>
      <c r="Q41" s="582"/>
      <c r="R41" s="582"/>
      <c r="S41" s="582"/>
      <c r="T41" s="582"/>
      <c r="U41" s="583"/>
      <c r="V41" s="573"/>
      <c r="W41" s="574"/>
      <c r="X41" s="574"/>
      <c r="Y41" s="574"/>
      <c r="Z41" s="574"/>
      <c r="AA41" s="575"/>
      <c r="AB41" s="557"/>
      <c r="AC41" s="553"/>
      <c r="AD41" s="553"/>
      <c r="AE41" s="553"/>
      <c r="AF41" s="553"/>
      <c r="AG41" s="554"/>
      <c r="AH41" s="564"/>
      <c r="AI41" s="565"/>
      <c r="AJ41" s="565"/>
      <c r="AK41" s="565"/>
      <c r="AL41" s="565"/>
      <c r="AM41" s="566"/>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506"/>
      <c r="C42" s="506"/>
      <c r="D42" s="507"/>
      <c r="E42" s="547"/>
      <c r="F42" s="548"/>
      <c r="G42" s="548"/>
      <c r="H42" s="548"/>
      <c r="I42" s="549"/>
      <c r="J42" s="584" t="str">
        <f>IF(AND('Mapa final'!$J$31="Muy Baja",'Mapa final'!$N$31="Leve"),CONCATENATE("R",'Mapa final'!$A$31),"")</f>
        <v/>
      </c>
      <c r="K42" s="582"/>
      <c r="L42" s="582" t="str">
        <f>IF(AND('Mapa final'!$J$37="Muy Baja",'Mapa final'!$N$37="Leve"),CONCATENATE("R",'Mapa final'!$A$37),"")</f>
        <v/>
      </c>
      <c r="M42" s="582"/>
      <c r="N42" s="582" t="str">
        <f>IF(AND('Mapa final'!$J$43="Muy Baja",'Mapa final'!$N$43="Leve"),CONCATENATE("R",'Mapa final'!$A$43),"")</f>
        <v/>
      </c>
      <c r="O42" s="583"/>
      <c r="P42" s="584" t="str">
        <f>IF(AND('Mapa final'!$J$31="Muy Baja",'Mapa final'!$N$31="Menor"),CONCATENATE("R",'Mapa final'!$A$31),"")</f>
        <v/>
      </c>
      <c r="Q42" s="582"/>
      <c r="R42" s="582" t="str">
        <f>IF(AND('Mapa final'!$J$37="Muy Baja",'Mapa final'!$N$37="Menor"),CONCATENATE("R",'Mapa final'!$A$37),"")</f>
        <v/>
      </c>
      <c r="S42" s="582"/>
      <c r="T42" s="582" t="str">
        <f>IF(AND('Mapa final'!$J$43="Muy Baja",'Mapa final'!$N$43="Menor"),CONCATENATE("R",'Mapa final'!$A$43),"")</f>
        <v/>
      </c>
      <c r="U42" s="583"/>
      <c r="V42" s="573" t="str">
        <f>IF(AND('Mapa final'!$J$31="Muy Baja",'Mapa final'!$N$31="Moderado"),CONCATENATE("R",'Mapa final'!$A$31),"")</f>
        <v/>
      </c>
      <c r="W42" s="574"/>
      <c r="X42" s="574" t="str">
        <f>IF(AND('Mapa final'!$J$37="Muy Baja",'Mapa final'!$N$37="Moderado"),CONCATENATE("R",'Mapa final'!$A$37),"")</f>
        <v/>
      </c>
      <c r="Y42" s="574"/>
      <c r="Z42" s="574" t="str">
        <f>IF(AND('Mapa final'!$J$43="Muy Baja",'Mapa final'!$N$43="Moderado"),CONCATENATE("R",'Mapa final'!$A$43),"")</f>
        <v/>
      </c>
      <c r="AA42" s="575"/>
      <c r="AB42" s="557" t="str">
        <f>IF(AND('Mapa final'!$J$31="Muy Baja",'Mapa final'!$N$31="Mayor"),CONCATENATE("R",'Mapa final'!$A$31),"")</f>
        <v/>
      </c>
      <c r="AC42" s="553"/>
      <c r="AD42" s="553" t="str">
        <f>IF(AND('Mapa final'!$J$37="Muy Baja",'Mapa final'!$N$37="Mayor"),CONCATENATE("R",'Mapa final'!$A$37),"")</f>
        <v/>
      </c>
      <c r="AE42" s="553"/>
      <c r="AF42" s="553" t="str">
        <f>IF(AND('Mapa final'!$J$43="Muy Baja",'Mapa final'!$N$43="Mayor"),CONCATENATE("R",'Mapa final'!$A$43),"")</f>
        <v/>
      </c>
      <c r="AG42" s="554"/>
      <c r="AH42" s="564" t="str">
        <f>IF(AND('Mapa final'!$J$31="Muy Baja",'Mapa final'!$N$31="Catastrófico"),CONCATENATE("R",'Mapa final'!$A$31),"")</f>
        <v/>
      </c>
      <c r="AI42" s="565"/>
      <c r="AJ42" s="565" t="str">
        <f>IF(AND('Mapa final'!$J$37="Muy Baja",'Mapa final'!$N$37="Catastrófico"),CONCATENATE("R",'Mapa final'!$A$37),"")</f>
        <v/>
      </c>
      <c r="AK42" s="565"/>
      <c r="AL42" s="565" t="str">
        <f>IF(AND('Mapa final'!$J$43="Muy Baja",'Mapa final'!$N$43="Catastrófico"),CONCATENATE("R",'Mapa final'!$A$43),"")</f>
        <v/>
      </c>
      <c r="AM42" s="566"/>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506"/>
      <c r="C43" s="506"/>
      <c r="D43" s="507"/>
      <c r="E43" s="547"/>
      <c r="F43" s="548"/>
      <c r="G43" s="548"/>
      <c r="H43" s="548"/>
      <c r="I43" s="549"/>
      <c r="J43" s="584"/>
      <c r="K43" s="582"/>
      <c r="L43" s="582"/>
      <c r="M43" s="582"/>
      <c r="N43" s="582"/>
      <c r="O43" s="583"/>
      <c r="P43" s="584"/>
      <c r="Q43" s="582"/>
      <c r="R43" s="582"/>
      <c r="S43" s="582"/>
      <c r="T43" s="582"/>
      <c r="U43" s="583"/>
      <c r="V43" s="573"/>
      <c r="W43" s="574"/>
      <c r="X43" s="574"/>
      <c r="Y43" s="574"/>
      <c r="Z43" s="574"/>
      <c r="AA43" s="575"/>
      <c r="AB43" s="557"/>
      <c r="AC43" s="553"/>
      <c r="AD43" s="553"/>
      <c r="AE43" s="553"/>
      <c r="AF43" s="553"/>
      <c r="AG43" s="554"/>
      <c r="AH43" s="564"/>
      <c r="AI43" s="565"/>
      <c r="AJ43" s="565"/>
      <c r="AK43" s="565"/>
      <c r="AL43" s="565"/>
      <c r="AM43" s="566"/>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506"/>
      <c r="C44" s="506"/>
      <c r="D44" s="507"/>
      <c r="E44" s="547"/>
      <c r="F44" s="548"/>
      <c r="G44" s="548"/>
      <c r="H44" s="548"/>
      <c r="I44" s="549"/>
      <c r="J44" s="584" t="str">
        <f>IF(AND('Mapa final'!$J$49="Muy Baja",'Mapa final'!$N$49="Leve"),CONCATENATE("R",'Mapa final'!$A$49),"")</f>
        <v/>
      </c>
      <c r="K44" s="582"/>
      <c r="L44" s="582" t="str">
        <f>IF(AND('Mapa final'!$J$55="Muy Baja",'Mapa final'!$N$55="Leve"),CONCATENATE("R",'Mapa final'!$A$55),"")</f>
        <v/>
      </c>
      <c r="M44" s="582"/>
      <c r="N44" s="582" t="str">
        <f>IF(AND('Mapa final'!$J$61="Muy Baja",'Mapa final'!$N$61="Leve"),CONCATENATE("R",'Mapa final'!$A$61),"")</f>
        <v/>
      </c>
      <c r="O44" s="583"/>
      <c r="P44" s="584" t="str">
        <f>IF(AND('Mapa final'!$J$49="Muy Baja",'Mapa final'!$N$49="Menor"),CONCATENATE("R",'Mapa final'!$A$49),"")</f>
        <v/>
      </c>
      <c r="Q44" s="582"/>
      <c r="R44" s="582" t="str">
        <f>IF(AND('Mapa final'!$J$55="Muy Baja",'Mapa final'!$N$55="Menor"),CONCATENATE("R",'Mapa final'!$A$55),"")</f>
        <v/>
      </c>
      <c r="S44" s="582"/>
      <c r="T44" s="582" t="str">
        <f>IF(AND('Mapa final'!$J$61="Muy Baja",'Mapa final'!$N$61="Menor"),CONCATENATE("R",'Mapa final'!$A$61),"")</f>
        <v/>
      </c>
      <c r="U44" s="583"/>
      <c r="V44" s="573" t="str">
        <f>IF(AND('Mapa final'!$J$49="Muy Baja",'Mapa final'!$N$49="Moderado"),CONCATENATE("R",'Mapa final'!$A$49),"")</f>
        <v/>
      </c>
      <c r="W44" s="574"/>
      <c r="X44" s="574" t="str">
        <f>IF(AND('Mapa final'!$J$55="Muy Baja",'Mapa final'!$N$55="Moderado"),CONCATENATE("R",'Mapa final'!$A$55),"")</f>
        <v/>
      </c>
      <c r="Y44" s="574"/>
      <c r="Z44" s="574" t="str">
        <f>IF(AND('Mapa final'!$J$61="Muy Baja",'Mapa final'!$N$61="Moderado"),CONCATENATE("R",'Mapa final'!$A$61),"")</f>
        <v/>
      </c>
      <c r="AA44" s="575"/>
      <c r="AB44" s="557" t="str">
        <f>IF(AND('Mapa final'!$J$49="Muy Baja",'Mapa final'!$N$49="Mayor"),CONCATENATE("R",'Mapa final'!$A$49),"")</f>
        <v/>
      </c>
      <c r="AC44" s="553"/>
      <c r="AD44" s="553" t="str">
        <f>IF(AND('Mapa final'!$J$55="Muy Baja",'Mapa final'!$N$55="Mayor"),CONCATENATE("R",'Mapa final'!$A$55),"")</f>
        <v/>
      </c>
      <c r="AE44" s="553"/>
      <c r="AF44" s="553" t="str">
        <f>IF(AND('Mapa final'!$J$61="Muy Baja",'Mapa final'!$N$61="Mayor"),CONCATENATE("R",'Mapa final'!$A$61),"")</f>
        <v/>
      </c>
      <c r="AG44" s="554"/>
      <c r="AH44" s="564" t="str">
        <f>IF(AND('Mapa final'!$J$49="Muy Baja",'Mapa final'!$N$49="Catastrófico"),CONCATENATE("R",'Mapa final'!$A$49),"")</f>
        <v/>
      </c>
      <c r="AI44" s="565"/>
      <c r="AJ44" s="565" t="str">
        <f>IF(AND('Mapa final'!$J$55="Muy Baja",'Mapa final'!$N$55="Catastrófico"),CONCATENATE("R",'Mapa final'!$A$55),"")</f>
        <v/>
      </c>
      <c r="AK44" s="565"/>
      <c r="AL44" s="565" t="str">
        <f>IF(AND('Mapa final'!$J$61="Muy Baja",'Mapa final'!$N$61="Catastrófico"),CONCATENATE("R",'Mapa final'!$A$61),"")</f>
        <v/>
      </c>
      <c r="AM44" s="566"/>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506"/>
      <c r="C45" s="506"/>
      <c r="D45" s="507"/>
      <c r="E45" s="550"/>
      <c r="F45" s="551"/>
      <c r="G45" s="551"/>
      <c r="H45" s="551"/>
      <c r="I45" s="552"/>
      <c r="J45" s="585"/>
      <c r="K45" s="586"/>
      <c r="L45" s="586"/>
      <c r="M45" s="586"/>
      <c r="N45" s="586"/>
      <c r="O45" s="587"/>
      <c r="P45" s="585"/>
      <c r="Q45" s="586"/>
      <c r="R45" s="586"/>
      <c r="S45" s="586"/>
      <c r="T45" s="586"/>
      <c r="U45" s="587"/>
      <c r="V45" s="576"/>
      <c r="W45" s="577"/>
      <c r="X45" s="577"/>
      <c r="Y45" s="577"/>
      <c r="Z45" s="577"/>
      <c r="AA45" s="578"/>
      <c r="AB45" s="561"/>
      <c r="AC45" s="562"/>
      <c r="AD45" s="562"/>
      <c r="AE45" s="562"/>
      <c r="AF45" s="562"/>
      <c r="AG45" s="563"/>
      <c r="AH45" s="567"/>
      <c r="AI45" s="568"/>
      <c r="AJ45" s="568"/>
      <c r="AK45" s="568"/>
      <c r="AL45" s="568"/>
      <c r="AM45" s="569"/>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544" t="s">
        <v>107</v>
      </c>
      <c r="K46" s="545"/>
      <c r="L46" s="545"/>
      <c r="M46" s="545"/>
      <c r="N46" s="545"/>
      <c r="O46" s="546"/>
      <c r="P46" s="544" t="s">
        <v>106</v>
      </c>
      <c r="Q46" s="545"/>
      <c r="R46" s="545"/>
      <c r="S46" s="545"/>
      <c r="T46" s="545"/>
      <c r="U46" s="546"/>
      <c r="V46" s="544" t="s">
        <v>105</v>
      </c>
      <c r="W46" s="545"/>
      <c r="X46" s="545"/>
      <c r="Y46" s="545"/>
      <c r="Z46" s="545"/>
      <c r="AA46" s="546"/>
      <c r="AB46" s="544" t="s">
        <v>104</v>
      </c>
      <c r="AC46" s="560"/>
      <c r="AD46" s="545"/>
      <c r="AE46" s="545"/>
      <c r="AF46" s="545"/>
      <c r="AG46" s="546"/>
      <c r="AH46" s="544" t="s">
        <v>103</v>
      </c>
      <c r="AI46" s="545"/>
      <c r="AJ46" s="545"/>
      <c r="AK46" s="545"/>
      <c r="AL46" s="545"/>
      <c r="AM46" s="546"/>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547"/>
      <c r="K47" s="548"/>
      <c r="L47" s="548"/>
      <c r="M47" s="548"/>
      <c r="N47" s="548"/>
      <c r="O47" s="549"/>
      <c r="P47" s="547"/>
      <c r="Q47" s="548"/>
      <c r="R47" s="548"/>
      <c r="S47" s="548"/>
      <c r="T47" s="548"/>
      <c r="U47" s="549"/>
      <c r="V47" s="547"/>
      <c r="W47" s="548"/>
      <c r="X47" s="548"/>
      <c r="Y47" s="548"/>
      <c r="Z47" s="548"/>
      <c r="AA47" s="549"/>
      <c r="AB47" s="547"/>
      <c r="AC47" s="548"/>
      <c r="AD47" s="548"/>
      <c r="AE47" s="548"/>
      <c r="AF47" s="548"/>
      <c r="AG47" s="549"/>
      <c r="AH47" s="547"/>
      <c r="AI47" s="548"/>
      <c r="AJ47" s="548"/>
      <c r="AK47" s="548"/>
      <c r="AL47" s="548"/>
      <c r="AM47" s="549"/>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547"/>
      <c r="K48" s="548"/>
      <c r="L48" s="548"/>
      <c r="M48" s="548"/>
      <c r="N48" s="548"/>
      <c r="O48" s="549"/>
      <c r="P48" s="547"/>
      <c r="Q48" s="548"/>
      <c r="R48" s="548"/>
      <c r="S48" s="548"/>
      <c r="T48" s="548"/>
      <c r="U48" s="549"/>
      <c r="V48" s="547"/>
      <c r="W48" s="548"/>
      <c r="X48" s="548"/>
      <c r="Y48" s="548"/>
      <c r="Z48" s="548"/>
      <c r="AA48" s="549"/>
      <c r="AB48" s="547"/>
      <c r="AC48" s="548"/>
      <c r="AD48" s="548"/>
      <c r="AE48" s="548"/>
      <c r="AF48" s="548"/>
      <c r="AG48" s="549"/>
      <c r="AH48" s="547"/>
      <c r="AI48" s="548"/>
      <c r="AJ48" s="548"/>
      <c r="AK48" s="548"/>
      <c r="AL48" s="548"/>
      <c r="AM48" s="549"/>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547"/>
      <c r="K49" s="548"/>
      <c r="L49" s="548"/>
      <c r="M49" s="548"/>
      <c r="N49" s="548"/>
      <c r="O49" s="549"/>
      <c r="P49" s="547"/>
      <c r="Q49" s="548"/>
      <c r="R49" s="548"/>
      <c r="S49" s="548"/>
      <c r="T49" s="548"/>
      <c r="U49" s="549"/>
      <c r="V49" s="547"/>
      <c r="W49" s="548"/>
      <c r="X49" s="548"/>
      <c r="Y49" s="548"/>
      <c r="Z49" s="548"/>
      <c r="AA49" s="549"/>
      <c r="AB49" s="547"/>
      <c r="AC49" s="548"/>
      <c r="AD49" s="548"/>
      <c r="AE49" s="548"/>
      <c r="AF49" s="548"/>
      <c r="AG49" s="549"/>
      <c r="AH49" s="547"/>
      <c r="AI49" s="548"/>
      <c r="AJ49" s="548"/>
      <c r="AK49" s="548"/>
      <c r="AL49" s="548"/>
      <c r="AM49" s="549"/>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547"/>
      <c r="K50" s="548"/>
      <c r="L50" s="548"/>
      <c r="M50" s="548"/>
      <c r="N50" s="548"/>
      <c r="O50" s="549"/>
      <c r="P50" s="547"/>
      <c r="Q50" s="548"/>
      <c r="R50" s="548"/>
      <c r="S50" s="548"/>
      <c r="T50" s="548"/>
      <c r="U50" s="549"/>
      <c r="V50" s="547"/>
      <c r="W50" s="548"/>
      <c r="X50" s="548"/>
      <c r="Y50" s="548"/>
      <c r="Z50" s="548"/>
      <c r="AA50" s="549"/>
      <c r="AB50" s="547"/>
      <c r="AC50" s="548"/>
      <c r="AD50" s="548"/>
      <c r="AE50" s="548"/>
      <c r="AF50" s="548"/>
      <c r="AG50" s="549"/>
      <c r="AH50" s="547"/>
      <c r="AI50" s="548"/>
      <c r="AJ50" s="548"/>
      <c r="AK50" s="548"/>
      <c r="AL50" s="548"/>
      <c r="AM50" s="549"/>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550"/>
      <c r="K51" s="551"/>
      <c r="L51" s="551"/>
      <c r="M51" s="551"/>
      <c r="N51" s="551"/>
      <c r="O51" s="552"/>
      <c r="P51" s="550"/>
      <c r="Q51" s="551"/>
      <c r="R51" s="551"/>
      <c r="S51" s="551"/>
      <c r="T51" s="551"/>
      <c r="U51" s="552"/>
      <c r="V51" s="550"/>
      <c r="W51" s="551"/>
      <c r="X51" s="551"/>
      <c r="Y51" s="551"/>
      <c r="Z51" s="551"/>
      <c r="AA51" s="552"/>
      <c r="AB51" s="550"/>
      <c r="AC51" s="551"/>
      <c r="AD51" s="551"/>
      <c r="AE51" s="551"/>
      <c r="AF51" s="551"/>
      <c r="AG51" s="552"/>
      <c r="AH51" s="550"/>
      <c r="AI51" s="551"/>
      <c r="AJ51" s="551"/>
      <c r="AK51" s="551"/>
      <c r="AL51" s="551"/>
      <c r="AM51" s="552"/>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5" zoomScaleNormal="55" workbookViewId="0">
      <selection activeCell="T28" sqref="T28"/>
    </sheetView>
  </sheetViews>
  <sheetFormatPr baseColWidth="10" defaultColWidth="11.554687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617" t="s">
        <v>148</v>
      </c>
      <c r="C2" s="618"/>
      <c r="D2" s="618"/>
      <c r="E2" s="618"/>
      <c r="F2" s="618"/>
      <c r="G2" s="618"/>
      <c r="H2" s="618"/>
      <c r="I2" s="618"/>
      <c r="J2" s="559" t="s">
        <v>2</v>
      </c>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618"/>
      <c r="C3" s="618"/>
      <c r="D3" s="618"/>
      <c r="E3" s="618"/>
      <c r="F3" s="618"/>
      <c r="G3" s="618"/>
      <c r="H3" s="618"/>
      <c r="I3" s="618"/>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618"/>
      <c r="C4" s="618"/>
      <c r="D4" s="618"/>
      <c r="E4" s="618"/>
      <c r="F4" s="618"/>
      <c r="G4" s="618"/>
      <c r="H4" s="618"/>
      <c r="I4" s="618"/>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506" t="s">
        <v>4</v>
      </c>
      <c r="C6" s="506"/>
      <c r="D6" s="507"/>
      <c r="E6" s="601" t="s">
        <v>111</v>
      </c>
      <c r="F6" s="602"/>
      <c r="G6" s="602"/>
      <c r="H6" s="602"/>
      <c r="I6" s="619"/>
      <c r="J6" s="16" t="str">
        <f>IF(AND('Mapa final'!$AA$10="Muy Alta",'Mapa final'!$AC$10="Leve"),CONCATENATE("R1C",'Mapa final'!$Q$10),"")</f>
        <v/>
      </c>
      <c r="K6" s="17" t="str">
        <f>IF(AND('Mapa final'!$AA$11="Muy Alta",'Mapa final'!$AC$11="Leve"),CONCATENATE("R1C",'Mapa final'!$Q$11),"")</f>
        <v/>
      </c>
      <c r="L6" s="17" t="str">
        <f>IF(AND('Mapa final'!$AA$12="Muy Alta",'Mapa final'!$AC$12="Leve"),CONCATENATE("R1C",'Mapa final'!$Q$12),"")</f>
        <v/>
      </c>
      <c r="M6" s="17" t="str">
        <f>IF(AND('Mapa final'!$AA$13="Muy Alta",'Mapa final'!$AC$13="Leve"),CONCATENATE("R1C",'Mapa final'!$Q$13),"")</f>
        <v/>
      </c>
      <c r="N6" s="17" t="str">
        <f>IF(AND('Mapa final'!$AA$14="Muy Alta",'Mapa final'!$AC$14="Leve"),CONCATENATE("R1C",'Mapa final'!$Q$14),"")</f>
        <v/>
      </c>
      <c r="O6" s="18" t="e">
        <f>IF(AND('Mapa final'!#REF!="Muy Alta",'Mapa final'!#REF!="Leve"),CONCATENATE("R1C",'Mapa final'!#REF!),"")</f>
        <v>#REF!</v>
      </c>
      <c r="P6" s="16" t="str">
        <f>IF(AND('Mapa final'!$AA$10="Muy Alta",'Mapa final'!$AC$10="Menor"),CONCATENATE("R1C",'Mapa final'!$Q$10),"")</f>
        <v/>
      </c>
      <c r="Q6" s="17" t="str">
        <f>IF(AND('Mapa final'!$AA$11="Muy Alta",'Mapa final'!$AC$11="Menor"),CONCATENATE("R1C",'Mapa final'!$Q$11),"")</f>
        <v/>
      </c>
      <c r="R6" s="17" t="str">
        <f>IF(AND('Mapa final'!$AA$12="Muy Alta",'Mapa final'!$AC$12="Menor"),CONCATENATE("R1C",'Mapa final'!$Q$12),"")</f>
        <v/>
      </c>
      <c r="S6" s="17" t="str">
        <f>IF(AND('Mapa final'!$AA$13="Muy Alta",'Mapa final'!$AC$13="Menor"),CONCATENATE("R1C",'Mapa final'!$Q$13),"")</f>
        <v/>
      </c>
      <c r="T6" s="17" t="str">
        <f>IF(AND('Mapa final'!$AA$14="Muy Alta",'Mapa final'!$AC$14="Menor"),CONCATENATE("R1C",'Mapa final'!$Q$14),"")</f>
        <v/>
      </c>
      <c r="U6" s="18" t="e">
        <f>IF(AND('Mapa final'!#REF!="Muy Alta",'Mapa final'!#REF!="Menor"),CONCATENATE("R1C",'Mapa final'!#REF!),"")</f>
        <v>#REF!</v>
      </c>
      <c r="V6" s="16" t="str">
        <f>IF(AND('Mapa final'!$AA$10="Muy Alta",'Mapa final'!$AC$10="Moderado"),CONCATENATE("R1C",'Mapa final'!$Q$10),"")</f>
        <v/>
      </c>
      <c r="W6" s="17" t="str">
        <f>IF(AND('Mapa final'!$AA$11="Muy Alta",'Mapa final'!$AC$11="Moderado"),CONCATENATE("R1C",'Mapa final'!$Q$11),"")</f>
        <v/>
      </c>
      <c r="X6" s="17" t="str">
        <f>IF(AND('Mapa final'!$AA$12="Muy Alta",'Mapa final'!$AC$12="Moderado"),CONCATENATE("R1C",'Mapa final'!$Q$12),"")</f>
        <v/>
      </c>
      <c r="Y6" s="17" t="str">
        <f>IF(AND('Mapa final'!$AA$13="Muy Alta",'Mapa final'!$AC$13="Moderado"),CONCATENATE("R1C",'Mapa final'!$Q$13),"")</f>
        <v/>
      </c>
      <c r="Z6" s="17" t="str">
        <f>IF(AND('Mapa final'!$AA$14="Muy Alta",'Mapa final'!$AC$14="Moderado"),CONCATENATE("R1C",'Mapa final'!$Q$14),"")</f>
        <v/>
      </c>
      <c r="AA6" s="18" t="e">
        <f>IF(AND('Mapa final'!#REF!="Muy Alta",'Mapa final'!#REF!="Moderado"),CONCATENATE("R1C",'Mapa final'!#REF!),"")</f>
        <v>#REF!</v>
      </c>
      <c r="AB6" s="16" t="str">
        <f>IF(AND('Mapa final'!$AA$10="Muy Alta",'Mapa final'!$AC$10="Mayor"),CONCATENATE("R1C",'Mapa final'!$Q$10),"")</f>
        <v/>
      </c>
      <c r="AC6" s="17" t="str">
        <f>IF(AND('Mapa final'!$AA$11="Muy Alta",'Mapa final'!$AC$11="Mayor"),CONCATENATE("R1C",'Mapa final'!$Q$11),"")</f>
        <v/>
      </c>
      <c r="AD6" s="17" t="str">
        <f>IF(AND('Mapa final'!$AA$12="Muy Alta",'Mapa final'!$AC$12="Mayor"),CONCATENATE("R1C",'Mapa final'!$Q$12),"")</f>
        <v/>
      </c>
      <c r="AE6" s="17" t="str">
        <f>IF(AND('Mapa final'!$AA$13="Muy Alta",'Mapa final'!$AC$13="Mayor"),CONCATENATE("R1C",'Mapa final'!$Q$13),"")</f>
        <v/>
      </c>
      <c r="AF6" s="17" t="str">
        <f>IF(AND('Mapa final'!$AA$14="Muy Alta",'Mapa final'!$AC$14="Mayor"),CONCATENATE("R1C",'Mapa final'!$Q$14),"")</f>
        <v/>
      </c>
      <c r="AG6" s="18" t="e">
        <f>IF(AND('Mapa final'!#REF!="Muy Alta",'Mapa final'!#REF!="Mayor"),CONCATENATE("R1C",'Mapa final'!#REF!),"")</f>
        <v>#REF!</v>
      </c>
      <c r="AH6" s="19" t="str">
        <f>IF(AND('Mapa final'!$AA$10="Muy Alta",'Mapa final'!$AC$10="Catastrófico"),CONCATENATE("R1C",'Mapa final'!$Q$10),"")</f>
        <v/>
      </c>
      <c r="AI6" s="20" t="str">
        <f>IF(AND('Mapa final'!$AA$11="Muy Alta",'Mapa final'!$AC$11="Catastrófico"),CONCATENATE("R1C",'Mapa final'!$Q$11),"")</f>
        <v/>
      </c>
      <c r="AJ6" s="20" t="str">
        <f>IF(AND('Mapa final'!$AA$12="Muy Alta",'Mapa final'!$AC$12="Catastrófico"),CONCATENATE("R1C",'Mapa final'!$Q$12),"")</f>
        <v/>
      </c>
      <c r="AK6" s="20" t="str">
        <f>IF(AND('Mapa final'!$AA$13="Muy Alta",'Mapa final'!$AC$13="Catastrófico"),CONCATENATE("R1C",'Mapa final'!$Q$13),"")</f>
        <v/>
      </c>
      <c r="AL6" s="20" t="str">
        <f>IF(AND('Mapa final'!$AA$14="Muy Alta",'Mapa final'!$AC$14="Catastrófico"),CONCATENATE("R1C",'Mapa final'!$Q$14),"")</f>
        <v/>
      </c>
      <c r="AM6" s="21" t="e">
        <f>IF(AND('Mapa final'!#REF!="Muy Alta",'Mapa final'!#REF!="Catastrófico"),CONCATENATE("R1C",'Mapa final'!#REF!),"")</f>
        <v>#REF!</v>
      </c>
      <c r="AN6" s="53"/>
      <c r="AO6" s="608" t="s">
        <v>78</v>
      </c>
      <c r="AP6" s="609"/>
      <c r="AQ6" s="609"/>
      <c r="AR6" s="609"/>
      <c r="AS6" s="609"/>
      <c r="AT6" s="610"/>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506"/>
      <c r="C7" s="506"/>
      <c r="D7" s="507"/>
      <c r="E7" s="605"/>
      <c r="F7" s="604"/>
      <c r="G7" s="604"/>
      <c r="H7" s="604"/>
      <c r="I7" s="620"/>
      <c r="J7" s="22" t="str">
        <f>IF(AND('Mapa final'!$AA$15="Muy Alta",'Mapa final'!$AC$15="Leve"),CONCATENATE("R2C",'Mapa final'!$Q$15),"")</f>
        <v/>
      </c>
      <c r="K7" s="23" t="str">
        <f>IF(AND('Mapa final'!$AA$16="Muy Alta",'Mapa final'!$AC$16="Leve"),CONCATENATE("R2C",'Mapa final'!$Q$16),"")</f>
        <v/>
      </c>
      <c r="L7" s="23" t="e">
        <f>IF(AND('Mapa final'!#REF!="Muy Alta",'Mapa final'!#REF!="Leve"),CONCATENATE("R2C",'Mapa final'!$Q$17),"")</f>
        <v>#REF!</v>
      </c>
      <c r="M7" s="23" t="e">
        <f>IF(AND('Mapa final'!#REF!="Muy Alta",'Mapa final'!#REF!="Leve"),CONCATENATE("R2C",'Mapa final'!#REF!),"")</f>
        <v>#REF!</v>
      </c>
      <c r="N7" s="23" t="e">
        <f>IF(AND('Mapa final'!#REF!="Muy Alta",'Mapa final'!#REF!="Leve"),CONCATENATE("R2C",'Mapa final'!#REF!),"")</f>
        <v>#REF!</v>
      </c>
      <c r="O7" s="24" t="e">
        <f>IF(AND('Mapa final'!#REF!="Muy Alta",'Mapa final'!#REF!="Leve"),CONCATENATE("R2C",'Mapa final'!#REF!),"")</f>
        <v>#REF!</v>
      </c>
      <c r="P7" s="22" t="str">
        <f>IF(AND('Mapa final'!$AA$15="Muy Alta",'Mapa final'!$AC$15="Menor"),CONCATENATE("R2C",'Mapa final'!$Q$15),"")</f>
        <v/>
      </c>
      <c r="Q7" s="23" t="str">
        <f>IF(AND('Mapa final'!$AA$16="Muy Alta",'Mapa final'!$AC$16="Menor"),CONCATENATE("R2C",'Mapa final'!$Q$16),"")</f>
        <v/>
      </c>
      <c r="R7" s="23" t="e">
        <f>IF(AND('Mapa final'!#REF!="Muy Alta",'Mapa final'!#REF!="Menor"),CONCATENATE("R2C",'Mapa final'!$Q$17),"")</f>
        <v>#REF!</v>
      </c>
      <c r="S7" s="23" t="e">
        <f>IF(AND('Mapa final'!#REF!="Muy Alta",'Mapa final'!#REF!="Menor"),CONCATENATE("R2C",'Mapa final'!#REF!),"")</f>
        <v>#REF!</v>
      </c>
      <c r="T7" s="23" t="e">
        <f>IF(AND('Mapa final'!#REF!="Muy Alta",'Mapa final'!#REF!="Menor"),CONCATENATE("R2C",'Mapa final'!#REF!),"")</f>
        <v>#REF!</v>
      </c>
      <c r="U7" s="24" t="e">
        <f>IF(AND('Mapa final'!#REF!="Muy Alta",'Mapa final'!#REF!="Menor"),CONCATENATE("R2C",'Mapa final'!#REF!),"")</f>
        <v>#REF!</v>
      </c>
      <c r="V7" s="22" t="str">
        <f>IF(AND('Mapa final'!$AA$15="Muy Alta",'Mapa final'!$AC$15="Moderado"),CONCATENATE("R2C",'Mapa final'!$Q$15),"")</f>
        <v/>
      </c>
      <c r="W7" s="23" t="str">
        <f>IF(AND('Mapa final'!$AA$16="Muy Alta",'Mapa final'!$AC$16="Moderado"),CONCATENATE("R2C",'Mapa final'!$Q$16),"")</f>
        <v/>
      </c>
      <c r="X7" s="23" t="e">
        <f>IF(AND('Mapa final'!#REF!="Muy Alta",'Mapa final'!#REF!="Moderado"),CONCATENATE("R2C",'Mapa final'!$Q$17),"")</f>
        <v>#REF!</v>
      </c>
      <c r="Y7" s="23" t="e">
        <f>IF(AND('Mapa final'!#REF!="Muy Alta",'Mapa final'!#REF!="Moderado"),CONCATENATE("R2C",'Mapa final'!#REF!),"")</f>
        <v>#REF!</v>
      </c>
      <c r="Z7" s="23" t="e">
        <f>IF(AND('Mapa final'!#REF!="Muy Alta",'Mapa final'!#REF!="Moderado"),CONCATENATE("R2C",'Mapa final'!#REF!),"")</f>
        <v>#REF!</v>
      </c>
      <c r="AA7" s="24" t="e">
        <f>IF(AND('Mapa final'!#REF!="Muy Alta",'Mapa final'!#REF!="Moderado"),CONCATENATE("R2C",'Mapa final'!#REF!),"")</f>
        <v>#REF!</v>
      </c>
      <c r="AB7" s="22" t="str">
        <f>IF(AND('Mapa final'!$AA$15="Muy Alta",'Mapa final'!$AC$15="Mayor"),CONCATENATE("R2C",'Mapa final'!$Q$15),"")</f>
        <v/>
      </c>
      <c r="AC7" s="23" t="str">
        <f>IF(AND('Mapa final'!$AA$16="Muy Alta",'Mapa final'!$AC$16="Mayor"),CONCATENATE("R2C",'Mapa final'!$Q$16),"")</f>
        <v/>
      </c>
      <c r="AD7" s="23" t="e">
        <f>IF(AND('Mapa final'!#REF!="Muy Alta",'Mapa final'!#REF!="Mayor"),CONCATENATE("R2C",'Mapa final'!$Q$17),"")</f>
        <v>#REF!</v>
      </c>
      <c r="AE7" s="23" t="e">
        <f>IF(AND('Mapa final'!#REF!="Muy Alta",'Mapa final'!#REF!="Mayor"),CONCATENATE("R2C",'Mapa final'!#REF!),"")</f>
        <v>#REF!</v>
      </c>
      <c r="AF7" s="23" t="e">
        <f>IF(AND('Mapa final'!#REF!="Muy Alta",'Mapa final'!#REF!="Mayor"),CONCATENATE("R2C",'Mapa final'!#REF!),"")</f>
        <v>#REF!</v>
      </c>
      <c r="AG7" s="24" t="e">
        <f>IF(AND('Mapa final'!#REF!="Muy Alta",'Mapa final'!#REF!="Mayor"),CONCATENATE("R2C",'Mapa final'!#REF!),"")</f>
        <v>#REF!</v>
      </c>
      <c r="AH7" s="25" t="str">
        <f>IF(AND('Mapa final'!$AA$15="Muy Alta",'Mapa final'!$AC$15="Catastrófico"),CONCATENATE("R2C",'Mapa final'!$Q$15),"")</f>
        <v/>
      </c>
      <c r="AI7" s="26" t="str">
        <f>IF(AND('Mapa final'!$AA$16="Muy Alta",'Mapa final'!$AC$16="Catastrófico"),CONCATENATE("R2C",'Mapa final'!$Q$16),"")</f>
        <v/>
      </c>
      <c r="AJ7" s="26" t="e">
        <f>IF(AND('Mapa final'!#REF!="Muy Alta",'Mapa final'!#REF!="Catastrófico"),CONCATENATE("R2C",'Mapa final'!$Q$17),"")</f>
        <v>#REF!</v>
      </c>
      <c r="AK7" s="26" t="e">
        <f>IF(AND('Mapa final'!#REF!="Muy Alta",'Mapa final'!#REF!="Catastrófico"),CONCATENATE("R2C",'Mapa final'!#REF!),"")</f>
        <v>#REF!</v>
      </c>
      <c r="AL7" s="26" t="e">
        <f>IF(AND('Mapa final'!#REF!="Muy Alta",'Mapa final'!#REF!="Catastrófico"),CONCATENATE("R2C",'Mapa final'!#REF!),"")</f>
        <v>#REF!</v>
      </c>
      <c r="AM7" s="27" t="e">
        <f>IF(AND('Mapa final'!#REF!="Muy Alta",'Mapa final'!#REF!="Catastrófico"),CONCATENATE("R2C",'Mapa final'!#REF!),"")</f>
        <v>#REF!</v>
      </c>
      <c r="AN7" s="53"/>
      <c r="AO7" s="611"/>
      <c r="AP7" s="612"/>
      <c r="AQ7" s="612"/>
      <c r="AR7" s="612"/>
      <c r="AS7" s="612"/>
      <c r="AT7" s="61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506"/>
      <c r="C8" s="506"/>
      <c r="D8" s="507"/>
      <c r="E8" s="605"/>
      <c r="F8" s="604"/>
      <c r="G8" s="604"/>
      <c r="H8" s="604"/>
      <c r="I8" s="620"/>
      <c r="J8" s="22" t="e">
        <f>IF(AND('Mapa final'!#REF!="Muy Alta",'Mapa final'!#REF!="Leve"),CONCATENATE("R3C",'Mapa final'!#REF!),"")</f>
        <v>#REF!</v>
      </c>
      <c r="K8" s="23" t="e">
        <f>IF(AND('Mapa final'!#REF!="Muy Alta",'Mapa final'!#REF!="Leve"),CONCATENATE("R3C",'Mapa final'!#REF!),"")</f>
        <v>#REF!</v>
      </c>
      <c r="L8" s="23" t="e">
        <f>IF(AND('Mapa final'!#REF!="Muy Alta",'Mapa final'!#REF!="Leve"),CONCATENATE("R3C",'Mapa final'!#REF!),"")</f>
        <v>#REF!</v>
      </c>
      <c r="M8" s="23" t="e">
        <f>IF(AND('Mapa final'!#REF!="Muy Alta",'Mapa final'!#REF!="Leve"),CONCATENATE("R3C",'Mapa final'!#REF!),"")</f>
        <v>#REF!</v>
      </c>
      <c r="N8" s="23" t="e">
        <f>IF(AND('Mapa final'!#REF!="Muy Alta",'Mapa final'!#REF!="Leve"),CONCATENATE("R3C",'Mapa final'!#REF!),"")</f>
        <v>#REF!</v>
      </c>
      <c r="O8" s="24" t="e">
        <f>IF(AND('Mapa final'!#REF!="Muy Alta",'Mapa final'!#REF!="Leve"),CONCATENATE("R3C",'Mapa final'!#REF!),"")</f>
        <v>#REF!</v>
      </c>
      <c r="P8" s="22" t="e">
        <f>IF(AND('Mapa final'!#REF!="Muy Alta",'Mapa final'!#REF!="Menor"),CONCATENATE("R3C",'Mapa final'!#REF!),"")</f>
        <v>#REF!</v>
      </c>
      <c r="Q8" s="23" t="e">
        <f>IF(AND('Mapa final'!#REF!="Muy Alta",'Mapa final'!#REF!="Menor"),CONCATENATE("R3C",'Mapa final'!#REF!),"")</f>
        <v>#REF!</v>
      </c>
      <c r="R8" s="23" t="e">
        <f>IF(AND('Mapa final'!#REF!="Muy Alta",'Mapa final'!#REF!="Menor"),CONCATENATE("R3C",'Mapa final'!#REF!),"")</f>
        <v>#REF!</v>
      </c>
      <c r="S8" s="23" t="e">
        <f>IF(AND('Mapa final'!#REF!="Muy Alta",'Mapa final'!#REF!="Menor"),CONCATENATE("R3C",'Mapa final'!#REF!),"")</f>
        <v>#REF!</v>
      </c>
      <c r="T8" s="23" t="e">
        <f>IF(AND('Mapa final'!#REF!="Muy Alta",'Mapa final'!#REF!="Menor"),CONCATENATE("R3C",'Mapa final'!#REF!),"")</f>
        <v>#REF!</v>
      </c>
      <c r="U8" s="24" t="e">
        <f>IF(AND('Mapa final'!#REF!="Muy Alta",'Mapa final'!#REF!="Menor"),CONCATENATE("R3C",'Mapa final'!#REF!),"")</f>
        <v>#REF!</v>
      </c>
      <c r="V8" s="22" t="e">
        <f>IF(AND('Mapa final'!#REF!="Muy Alta",'Mapa final'!#REF!="Moderado"),CONCATENATE("R3C",'Mapa final'!#REF!),"")</f>
        <v>#REF!</v>
      </c>
      <c r="W8" s="23" t="e">
        <f>IF(AND('Mapa final'!#REF!="Muy Alta",'Mapa final'!#REF!="Moderado"),CONCATENATE("R3C",'Mapa final'!#REF!),"")</f>
        <v>#REF!</v>
      </c>
      <c r="X8" s="23" t="e">
        <f>IF(AND('Mapa final'!#REF!="Muy Alta",'Mapa final'!#REF!="Moderado"),CONCATENATE("R3C",'Mapa final'!#REF!),"")</f>
        <v>#REF!</v>
      </c>
      <c r="Y8" s="23" t="e">
        <f>IF(AND('Mapa final'!#REF!="Muy Alta",'Mapa final'!#REF!="Moderado"),CONCATENATE("R3C",'Mapa final'!#REF!),"")</f>
        <v>#REF!</v>
      </c>
      <c r="Z8" s="23" t="e">
        <f>IF(AND('Mapa final'!#REF!="Muy Alta",'Mapa final'!#REF!="Moderado"),CONCATENATE("R3C",'Mapa final'!#REF!),"")</f>
        <v>#REF!</v>
      </c>
      <c r="AA8" s="24" t="e">
        <f>IF(AND('Mapa final'!#REF!="Muy Alta",'Mapa final'!#REF!="Moderado"),CONCATENATE("R3C",'Mapa final'!#REF!),"")</f>
        <v>#REF!</v>
      </c>
      <c r="AB8" s="22" t="e">
        <f>IF(AND('Mapa final'!#REF!="Muy Alta",'Mapa final'!#REF!="Mayor"),CONCATENATE("R3C",'Mapa final'!#REF!),"")</f>
        <v>#REF!</v>
      </c>
      <c r="AC8" s="23" t="e">
        <f>IF(AND('Mapa final'!#REF!="Muy Alta",'Mapa final'!#REF!="Mayor"),CONCATENATE("R3C",'Mapa final'!#REF!),"")</f>
        <v>#REF!</v>
      </c>
      <c r="AD8" s="23" t="e">
        <f>IF(AND('Mapa final'!#REF!="Muy Alta",'Mapa final'!#REF!="Mayor"),CONCATENATE("R3C",'Mapa final'!#REF!),"")</f>
        <v>#REF!</v>
      </c>
      <c r="AE8" s="23" t="e">
        <f>IF(AND('Mapa final'!#REF!="Muy Alta",'Mapa final'!#REF!="Mayor"),CONCATENATE("R3C",'Mapa final'!#REF!),"")</f>
        <v>#REF!</v>
      </c>
      <c r="AF8" s="23" t="e">
        <f>IF(AND('Mapa final'!#REF!="Muy Alta",'Mapa final'!#REF!="Mayor"),CONCATENATE("R3C",'Mapa final'!#REF!),"")</f>
        <v>#REF!</v>
      </c>
      <c r="AG8" s="24" t="e">
        <f>IF(AND('Mapa final'!#REF!="Muy Alta",'Mapa final'!#REF!="Mayor"),CONCATENATE("R3C",'Mapa final'!#REF!),"")</f>
        <v>#REF!</v>
      </c>
      <c r="AH8" s="25" t="e">
        <f>IF(AND('Mapa final'!#REF!="Muy Alta",'Mapa final'!#REF!="Catastrófico"),CONCATENATE("R3C",'Mapa final'!#REF!),"")</f>
        <v>#REF!</v>
      </c>
      <c r="AI8" s="26" t="e">
        <f>IF(AND('Mapa final'!#REF!="Muy Alta",'Mapa final'!#REF!="Catastrófico"),CONCATENATE("R3C",'Mapa final'!#REF!),"")</f>
        <v>#REF!</v>
      </c>
      <c r="AJ8" s="26" t="e">
        <f>IF(AND('Mapa final'!#REF!="Muy Alta",'Mapa final'!#REF!="Catastrófico"),CONCATENATE("R3C",'Mapa final'!#REF!),"")</f>
        <v>#REF!</v>
      </c>
      <c r="AK8" s="26" t="e">
        <f>IF(AND('Mapa final'!#REF!="Muy Alta",'Mapa final'!#REF!="Catastrófico"),CONCATENATE("R3C",'Mapa final'!#REF!),"")</f>
        <v>#REF!</v>
      </c>
      <c r="AL8" s="26" t="e">
        <f>IF(AND('Mapa final'!#REF!="Muy Alta",'Mapa final'!#REF!="Catastrófico"),CONCATENATE("R3C",'Mapa final'!#REF!),"")</f>
        <v>#REF!</v>
      </c>
      <c r="AM8" s="27" t="e">
        <f>IF(AND('Mapa final'!#REF!="Muy Alta",'Mapa final'!#REF!="Catastrófico"),CONCATENATE("R3C",'Mapa final'!#REF!),"")</f>
        <v>#REF!</v>
      </c>
      <c r="AN8" s="53"/>
      <c r="AO8" s="611"/>
      <c r="AP8" s="612"/>
      <c r="AQ8" s="612"/>
      <c r="AR8" s="612"/>
      <c r="AS8" s="612"/>
      <c r="AT8" s="61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506"/>
      <c r="C9" s="506"/>
      <c r="D9" s="507"/>
      <c r="E9" s="605"/>
      <c r="F9" s="604"/>
      <c r="G9" s="604"/>
      <c r="H9" s="604"/>
      <c r="I9" s="620"/>
      <c r="J9" s="22" t="e">
        <f>IF(AND('Mapa final'!#REF!="Muy Alta",'Mapa final'!#REF!="Leve"),CONCATENATE("R4C",'Mapa final'!#REF!),"")</f>
        <v>#REF!</v>
      </c>
      <c r="K9" s="23" t="e">
        <f>IF(AND('Mapa final'!#REF!="Muy Alta",'Mapa final'!#REF!="Leve"),CONCATENATE("R4C",'Mapa final'!#REF!),"")</f>
        <v>#REF!</v>
      </c>
      <c r="L9" s="23" t="e">
        <f>IF(AND('Mapa final'!#REF!="Muy Alta",'Mapa final'!#REF!="Leve"),CONCATENATE("R4C",'Mapa final'!#REF!),"")</f>
        <v>#REF!</v>
      </c>
      <c r="M9" s="23" t="e">
        <f>IF(AND('Mapa final'!#REF!="Muy Alta",'Mapa final'!#REF!="Leve"),CONCATENATE("R4C",'Mapa final'!#REF!),"")</f>
        <v>#REF!</v>
      </c>
      <c r="N9" s="23" t="e">
        <f>IF(AND('Mapa final'!#REF!="Muy Alta",'Mapa final'!#REF!="Leve"),CONCATENATE("R4C",'Mapa final'!#REF!),"")</f>
        <v>#REF!</v>
      </c>
      <c r="O9" s="24" t="e">
        <f>IF(AND('Mapa final'!#REF!="Muy Alta",'Mapa final'!#REF!="Leve"),CONCATENATE("R4C",'Mapa final'!#REF!),"")</f>
        <v>#REF!</v>
      </c>
      <c r="P9" s="22" t="e">
        <f>IF(AND('Mapa final'!#REF!="Muy Alta",'Mapa final'!#REF!="Menor"),CONCATENATE("R4C",'Mapa final'!#REF!),"")</f>
        <v>#REF!</v>
      </c>
      <c r="Q9" s="23" t="e">
        <f>IF(AND('Mapa final'!#REF!="Muy Alta",'Mapa final'!#REF!="Menor"),CONCATENATE("R4C",'Mapa final'!#REF!),"")</f>
        <v>#REF!</v>
      </c>
      <c r="R9" s="23" t="e">
        <f>IF(AND('Mapa final'!#REF!="Muy Alta",'Mapa final'!#REF!="Menor"),CONCATENATE("R4C",'Mapa final'!#REF!),"")</f>
        <v>#REF!</v>
      </c>
      <c r="S9" s="23" t="e">
        <f>IF(AND('Mapa final'!#REF!="Muy Alta",'Mapa final'!#REF!="Menor"),CONCATENATE("R4C",'Mapa final'!#REF!),"")</f>
        <v>#REF!</v>
      </c>
      <c r="T9" s="23" t="e">
        <f>IF(AND('Mapa final'!#REF!="Muy Alta",'Mapa final'!#REF!="Menor"),CONCATENATE("R4C",'Mapa final'!#REF!),"")</f>
        <v>#REF!</v>
      </c>
      <c r="U9" s="24" t="e">
        <f>IF(AND('Mapa final'!#REF!="Muy Alta",'Mapa final'!#REF!="Menor"),CONCATENATE("R4C",'Mapa final'!#REF!),"")</f>
        <v>#REF!</v>
      </c>
      <c r="V9" s="22" t="e">
        <f>IF(AND('Mapa final'!#REF!="Muy Alta",'Mapa final'!#REF!="Moderado"),CONCATENATE("R4C",'Mapa final'!#REF!),"")</f>
        <v>#REF!</v>
      </c>
      <c r="W9" s="23" t="e">
        <f>IF(AND('Mapa final'!#REF!="Muy Alta",'Mapa final'!#REF!="Moderado"),CONCATENATE("R4C",'Mapa final'!#REF!),"")</f>
        <v>#REF!</v>
      </c>
      <c r="X9" s="23" t="e">
        <f>IF(AND('Mapa final'!#REF!="Muy Alta",'Mapa final'!#REF!="Moderado"),CONCATENATE("R4C",'Mapa final'!#REF!),"")</f>
        <v>#REF!</v>
      </c>
      <c r="Y9" s="23" t="e">
        <f>IF(AND('Mapa final'!#REF!="Muy Alta",'Mapa final'!#REF!="Moderado"),CONCATENATE("R4C",'Mapa final'!#REF!),"")</f>
        <v>#REF!</v>
      </c>
      <c r="Z9" s="23" t="e">
        <f>IF(AND('Mapa final'!#REF!="Muy Alta",'Mapa final'!#REF!="Moderado"),CONCATENATE("R4C",'Mapa final'!#REF!),"")</f>
        <v>#REF!</v>
      </c>
      <c r="AA9" s="24" t="e">
        <f>IF(AND('Mapa final'!#REF!="Muy Alta",'Mapa final'!#REF!="Moderado"),CONCATENATE("R4C",'Mapa final'!#REF!),"")</f>
        <v>#REF!</v>
      </c>
      <c r="AB9" s="22" t="e">
        <f>IF(AND('Mapa final'!#REF!="Muy Alta",'Mapa final'!#REF!="Mayor"),CONCATENATE("R4C",'Mapa final'!#REF!),"")</f>
        <v>#REF!</v>
      </c>
      <c r="AC9" s="23" t="e">
        <f>IF(AND('Mapa final'!#REF!="Muy Alta",'Mapa final'!#REF!="Mayor"),CONCATENATE("R4C",'Mapa final'!#REF!),"")</f>
        <v>#REF!</v>
      </c>
      <c r="AD9" s="23" t="e">
        <f>IF(AND('Mapa final'!#REF!="Muy Alta",'Mapa final'!#REF!="Mayor"),CONCATENATE("R4C",'Mapa final'!#REF!),"")</f>
        <v>#REF!</v>
      </c>
      <c r="AE9" s="23" t="e">
        <f>IF(AND('Mapa final'!#REF!="Muy Alta",'Mapa final'!#REF!="Mayor"),CONCATENATE("R4C",'Mapa final'!#REF!),"")</f>
        <v>#REF!</v>
      </c>
      <c r="AF9" s="23" t="e">
        <f>IF(AND('Mapa final'!#REF!="Muy Alta",'Mapa final'!#REF!="Mayor"),CONCATENATE("R4C",'Mapa final'!#REF!),"")</f>
        <v>#REF!</v>
      </c>
      <c r="AG9" s="24" t="e">
        <f>IF(AND('Mapa final'!#REF!="Muy Alta",'Mapa final'!#REF!="Mayor"),CONCATENATE("R4C",'Mapa final'!#REF!),"")</f>
        <v>#REF!</v>
      </c>
      <c r="AH9" s="25" t="e">
        <f>IF(AND('Mapa final'!#REF!="Muy Alta",'Mapa final'!#REF!="Catastrófico"),CONCATENATE("R4C",'Mapa final'!#REF!),"")</f>
        <v>#REF!</v>
      </c>
      <c r="AI9" s="26" t="e">
        <f>IF(AND('Mapa final'!#REF!="Muy Alta",'Mapa final'!#REF!="Catastrófico"),CONCATENATE("R4C",'Mapa final'!#REF!),"")</f>
        <v>#REF!</v>
      </c>
      <c r="AJ9" s="26" t="e">
        <f>IF(AND('Mapa final'!#REF!="Muy Alta",'Mapa final'!#REF!="Catastrófico"),CONCATENATE("R4C",'Mapa final'!#REF!),"")</f>
        <v>#REF!</v>
      </c>
      <c r="AK9" s="26" t="e">
        <f>IF(AND('Mapa final'!#REF!="Muy Alta",'Mapa final'!#REF!="Catastrófico"),CONCATENATE("R4C",'Mapa final'!#REF!),"")</f>
        <v>#REF!</v>
      </c>
      <c r="AL9" s="26" t="e">
        <f>IF(AND('Mapa final'!#REF!="Muy Alta",'Mapa final'!#REF!="Catastrófico"),CONCATENATE("R4C",'Mapa final'!#REF!),"")</f>
        <v>#REF!</v>
      </c>
      <c r="AM9" s="27" t="e">
        <f>IF(AND('Mapa final'!#REF!="Muy Alta",'Mapa final'!#REF!="Catastrófico"),CONCATENATE("R4C",'Mapa final'!#REF!),"")</f>
        <v>#REF!</v>
      </c>
      <c r="AN9" s="53"/>
      <c r="AO9" s="611"/>
      <c r="AP9" s="612"/>
      <c r="AQ9" s="612"/>
      <c r="AR9" s="612"/>
      <c r="AS9" s="612"/>
      <c r="AT9" s="61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506"/>
      <c r="C10" s="506"/>
      <c r="D10" s="507"/>
      <c r="E10" s="605"/>
      <c r="F10" s="604"/>
      <c r="G10" s="604"/>
      <c r="H10" s="604"/>
      <c r="I10" s="620"/>
      <c r="J10" s="22" t="str">
        <f>IF(AND('Mapa final'!$AA$19="Muy Alta",'Mapa final'!$AC$19="Leve"),CONCATENATE("R5C",'Mapa final'!$Q$19),"")</f>
        <v/>
      </c>
      <c r="K10" s="23" t="str">
        <f>IF(AND('Mapa final'!$AA$20="Muy Alta",'Mapa final'!$AC$20="Leve"),CONCATENATE("R5C",'Mapa final'!$Q$20),"")</f>
        <v/>
      </c>
      <c r="L10" s="23" t="str">
        <f>IF(AND('Mapa final'!$AA$21="Muy Alta",'Mapa final'!$AC$21="Leve"),CONCATENATE("R5C",'Mapa final'!$Q$21),"")</f>
        <v/>
      </c>
      <c r="M10" s="23" t="str">
        <f>IF(AND('Mapa final'!$AA$22="Muy Alta",'Mapa final'!$AC$22="Leve"),CONCATENATE("R5C",'Mapa final'!$Q$22),"")</f>
        <v/>
      </c>
      <c r="N10" s="23" t="str">
        <f>IF(AND('Mapa final'!$AA$23="Muy Alta",'Mapa final'!$AC$23="Leve"),CONCATENATE("R5C",'Mapa final'!$Q$23),"")</f>
        <v/>
      </c>
      <c r="O10" s="24" t="str">
        <f>IF(AND('Mapa final'!$AA$24="Muy Alta",'Mapa final'!$AC$24="Leve"),CONCATENATE("R5C",'Mapa final'!$Q$24),"")</f>
        <v/>
      </c>
      <c r="P10" s="22" t="str">
        <f>IF(AND('Mapa final'!$AA$19="Muy Alta",'Mapa final'!$AC$19="Menor"),CONCATENATE("R5C",'Mapa final'!$Q$19),"")</f>
        <v/>
      </c>
      <c r="Q10" s="23" t="str">
        <f>IF(AND('Mapa final'!$AA$20="Muy Alta",'Mapa final'!$AC$20="Menor"),CONCATENATE("R5C",'Mapa final'!$Q$20),"")</f>
        <v/>
      </c>
      <c r="R10" s="23" t="str">
        <f>IF(AND('Mapa final'!$AA$21="Muy Alta",'Mapa final'!$AC$21="Menor"),CONCATENATE("R5C",'Mapa final'!$Q$21),"")</f>
        <v/>
      </c>
      <c r="S10" s="23" t="str">
        <f>IF(AND('Mapa final'!$AA$22="Muy Alta",'Mapa final'!$AC$22="Menor"),CONCATENATE("R5C",'Mapa final'!$Q$22),"")</f>
        <v/>
      </c>
      <c r="T10" s="23" t="str">
        <f>IF(AND('Mapa final'!$AA$23="Muy Alta",'Mapa final'!$AC$23="Menor"),CONCATENATE("R5C",'Mapa final'!$Q$23),"")</f>
        <v/>
      </c>
      <c r="U10" s="24" t="str">
        <f>IF(AND('Mapa final'!$AA$24="Muy Alta",'Mapa final'!$AC$24="Menor"),CONCATENATE("R5C",'Mapa final'!$Q$24),"")</f>
        <v/>
      </c>
      <c r="V10" s="22" t="str">
        <f>IF(AND('Mapa final'!$AA$19="Muy Alta",'Mapa final'!$AC$19="Moderado"),CONCATENATE("R5C",'Mapa final'!$Q$19),"")</f>
        <v/>
      </c>
      <c r="W10" s="23" t="str">
        <f>IF(AND('Mapa final'!$AA$20="Muy Alta",'Mapa final'!$AC$20="Moderado"),CONCATENATE("R5C",'Mapa final'!$Q$20),"")</f>
        <v/>
      </c>
      <c r="X10" s="23" t="str">
        <f>IF(AND('Mapa final'!$AA$21="Muy Alta",'Mapa final'!$AC$21="Moderado"),CONCATENATE("R5C",'Mapa final'!$Q$21),"")</f>
        <v/>
      </c>
      <c r="Y10" s="23" t="str">
        <f>IF(AND('Mapa final'!$AA$22="Muy Alta",'Mapa final'!$AC$22="Moderado"),CONCATENATE("R5C",'Mapa final'!$Q$22),"")</f>
        <v/>
      </c>
      <c r="Z10" s="23" t="str">
        <f>IF(AND('Mapa final'!$AA$23="Muy Alta",'Mapa final'!$AC$23="Moderado"),CONCATENATE("R5C",'Mapa final'!$Q$23),"")</f>
        <v/>
      </c>
      <c r="AA10" s="24" t="str">
        <f>IF(AND('Mapa final'!$AA$24="Muy Alta",'Mapa final'!$AC$24="Moderado"),CONCATENATE("R5C",'Mapa final'!$Q$24),"")</f>
        <v/>
      </c>
      <c r="AB10" s="22" t="str">
        <f>IF(AND('Mapa final'!$AA$19="Muy Alta",'Mapa final'!$AC$19="Mayor"),CONCATENATE("R5C",'Mapa final'!$Q$19),"")</f>
        <v/>
      </c>
      <c r="AC10" s="23" t="str">
        <f>IF(AND('Mapa final'!$AA$20="Muy Alta",'Mapa final'!$AC$20="Mayor"),CONCATENATE("R5C",'Mapa final'!$Q$20),"")</f>
        <v/>
      </c>
      <c r="AD10" s="23" t="str">
        <f>IF(AND('Mapa final'!$AA$21="Muy Alta",'Mapa final'!$AC$21="Mayor"),CONCATENATE("R5C",'Mapa final'!$Q$21),"")</f>
        <v/>
      </c>
      <c r="AE10" s="23" t="str">
        <f>IF(AND('Mapa final'!$AA$22="Muy Alta",'Mapa final'!$AC$22="Mayor"),CONCATENATE("R5C",'Mapa final'!$Q$22),"")</f>
        <v/>
      </c>
      <c r="AF10" s="23" t="str">
        <f>IF(AND('Mapa final'!$AA$23="Muy Alta",'Mapa final'!$AC$23="Mayor"),CONCATENATE("R5C",'Mapa final'!$Q$23),"")</f>
        <v/>
      </c>
      <c r="AG10" s="24" t="str">
        <f>IF(AND('Mapa final'!$AA$24="Muy Alta",'Mapa final'!$AC$24="Mayor"),CONCATENATE("R5C",'Mapa final'!$Q$24),"")</f>
        <v/>
      </c>
      <c r="AH10" s="25" t="str">
        <f>IF(AND('Mapa final'!$AA$19="Muy Alta",'Mapa final'!$AC$19="Catastrófico"),CONCATENATE("R5C",'Mapa final'!$Q$19),"")</f>
        <v/>
      </c>
      <c r="AI10" s="26" t="str">
        <f>IF(AND('Mapa final'!$AA$20="Muy Alta",'Mapa final'!$AC$20="Catastrófico"),CONCATENATE("R5C",'Mapa final'!$Q$20),"")</f>
        <v/>
      </c>
      <c r="AJ10" s="26" t="str">
        <f>IF(AND('Mapa final'!$AA$21="Muy Alta",'Mapa final'!$AC$21="Catastrófico"),CONCATENATE("R5C",'Mapa final'!$Q$21),"")</f>
        <v/>
      </c>
      <c r="AK10" s="26" t="str">
        <f>IF(AND('Mapa final'!$AA$22="Muy Alta",'Mapa final'!$AC$22="Catastrófico"),CONCATENATE("R5C",'Mapa final'!$Q$22),"")</f>
        <v/>
      </c>
      <c r="AL10" s="26" t="str">
        <f>IF(AND('Mapa final'!$AA$23="Muy Alta",'Mapa final'!$AC$23="Catastrófico"),CONCATENATE("R5C",'Mapa final'!$Q$23),"")</f>
        <v/>
      </c>
      <c r="AM10" s="27" t="str">
        <f>IF(AND('Mapa final'!$AA$24="Muy Alta",'Mapa final'!$AC$24="Catastrófico"),CONCATENATE("R5C",'Mapa final'!$Q$24),"")</f>
        <v/>
      </c>
      <c r="AN10" s="53"/>
      <c r="AO10" s="611"/>
      <c r="AP10" s="612"/>
      <c r="AQ10" s="612"/>
      <c r="AR10" s="612"/>
      <c r="AS10" s="612"/>
      <c r="AT10" s="61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506"/>
      <c r="C11" s="506"/>
      <c r="D11" s="507"/>
      <c r="E11" s="605"/>
      <c r="F11" s="604"/>
      <c r="G11" s="604"/>
      <c r="H11" s="604"/>
      <c r="I11" s="620"/>
      <c r="J11" s="22" t="str">
        <f>IF(AND('Mapa final'!$AA$25="Muy Alta",'Mapa final'!$AC$25="Leve"),CONCATENATE("R6C",'Mapa final'!$Q$25),"")</f>
        <v/>
      </c>
      <c r="K11" s="23" t="str">
        <f>IF(AND('Mapa final'!$AA$26="Muy Alta",'Mapa final'!$AC$26="Leve"),CONCATENATE("R6C",'Mapa final'!$Q$26),"")</f>
        <v/>
      </c>
      <c r="L11" s="23" t="str">
        <f>IF(AND('Mapa final'!$AA$27="Muy Alta",'Mapa final'!$AC$27="Leve"),CONCATENATE("R6C",'Mapa final'!$Q$27),"")</f>
        <v/>
      </c>
      <c r="M11" s="23" t="str">
        <f>IF(AND('Mapa final'!$AA$28="Muy Alta",'Mapa final'!$AC$28="Leve"),CONCATENATE("R6C",'Mapa final'!$Q$28),"")</f>
        <v/>
      </c>
      <c r="N11" s="23" t="str">
        <f>IF(AND('Mapa final'!$AA$29="Muy Alta",'Mapa final'!$AC$29="Leve"),CONCATENATE("R6C",'Mapa final'!$Q$29),"")</f>
        <v/>
      </c>
      <c r="O11" s="24" t="str">
        <f>IF(AND('Mapa final'!$AA$30="Muy Alta",'Mapa final'!$AC$30="Leve"),CONCATENATE("R6C",'Mapa final'!$Q$30),"")</f>
        <v/>
      </c>
      <c r="P11" s="22" t="str">
        <f>IF(AND('Mapa final'!$AA$25="Muy Alta",'Mapa final'!$AC$25="Menor"),CONCATENATE("R6C",'Mapa final'!$Q$25),"")</f>
        <v/>
      </c>
      <c r="Q11" s="23" t="str">
        <f>IF(AND('Mapa final'!$AA$26="Muy Alta",'Mapa final'!$AC$26="Menor"),CONCATENATE("R6C",'Mapa final'!$Q$26),"")</f>
        <v/>
      </c>
      <c r="R11" s="23" t="str">
        <f>IF(AND('Mapa final'!$AA$27="Muy Alta",'Mapa final'!$AC$27="Menor"),CONCATENATE("R6C",'Mapa final'!$Q$27),"")</f>
        <v/>
      </c>
      <c r="S11" s="23" t="str">
        <f>IF(AND('Mapa final'!$AA$28="Muy Alta",'Mapa final'!$AC$28="Menor"),CONCATENATE("R6C",'Mapa final'!$Q$28),"")</f>
        <v/>
      </c>
      <c r="T11" s="23" t="str">
        <f>IF(AND('Mapa final'!$AA$29="Muy Alta",'Mapa final'!$AC$29="Menor"),CONCATENATE("R6C",'Mapa final'!$Q$29),"")</f>
        <v/>
      </c>
      <c r="U11" s="24" t="str">
        <f>IF(AND('Mapa final'!$AA$30="Muy Alta",'Mapa final'!$AC$30="Menor"),CONCATENATE("R6C",'Mapa final'!$Q$30),"")</f>
        <v/>
      </c>
      <c r="V11" s="22" t="str">
        <f>IF(AND('Mapa final'!$AA$25="Muy Alta",'Mapa final'!$AC$25="Moderado"),CONCATENATE("R6C",'Mapa final'!$Q$25),"")</f>
        <v/>
      </c>
      <c r="W11" s="23" t="str">
        <f>IF(AND('Mapa final'!$AA$26="Muy Alta",'Mapa final'!$AC$26="Moderado"),CONCATENATE("R6C",'Mapa final'!$Q$26),"")</f>
        <v/>
      </c>
      <c r="X11" s="23" t="str">
        <f>IF(AND('Mapa final'!$AA$27="Muy Alta",'Mapa final'!$AC$27="Moderado"),CONCATENATE("R6C",'Mapa final'!$Q$27),"")</f>
        <v/>
      </c>
      <c r="Y11" s="23" t="str">
        <f>IF(AND('Mapa final'!$AA$28="Muy Alta",'Mapa final'!$AC$28="Moderado"),CONCATENATE("R6C",'Mapa final'!$Q$28),"")</f>
        <v/>
      </c>
      <c r="Z11" s="23" t="str">
        <f>IF(AND('Mapa final'!$AA$29="Muy Alta",'Mapa final'!$AC$29="Moderado"),CONCATENATE("R6C",'Mapa final'!$Q$29),"")</f>
        <v/>
      </c>
      <c r="AA11" s="24" t="str">
        <f>IF(AND('Mapa final'!$AA$30="Muy Alta",'Mapa final'!$AC$30="Moderado"),CONCATENATE("R6C",'Mapa final'!$Q$30),"")</f>
        <v/>
      </c>
      <c r="AB11" s="22" t="str">
        <f>IF(AND('Mapa final'!$AA$25="Muy Alta",'Mapa final'!$AC$25="Mayor"),CONCATENATE("R6C",'Mapa final'!$Q$25),"")</f>
        <v/>
      </c>
      <c r="AC11" s="23" t="str">
        <f>IF(AND('Mapa final'!$AA$26="Muy Alta",'Mapa final'!$AC$26="Mayor"),CONCATENATE("R6C",'Mapa final'!$Q$26),"")</f>
        <v/>
      </c>
      <c r="AD11" s="23" t="str">
        <f>IF(AND('Mapa final'!$AA$27="Muy Alta",'Mapa final'!$AC$27="Mayor"),CONCATENATE("R6C",'Mapa final'!$Q$27),"")</f>
        <v/>
      </c>
      <c r="AE11" s="23" t="str">
        <f>IF(AND('Mapa final'!$AA$28="Muy Alta",'Mapa final'!$AC$28="Mayor"),CONCATENATE("R6C",'Mapa final'!$Q$28),"")</f>
        <v/>
      </c>
      <c r="AF11" s="23" t="str">
        <f>IF(AND('Mapa final'!$AA$29="Muy Alta",'Mapa final'!$AC$29="Mayor"),CONCATENATE("R6C",'Mapa final'!$Q$29),"")</f>
        <v/>
      </c>
      <c r="AG11" s="24" t="str">
        <f>IF(AND('Mapa final'!$AA$30="Muy Alta",'Mapa final'!$AC$30="Mayor"),CONCATENATE("R6C",'Mapa final'!$Q$30),"")</f>
        <v/>
      </c>
      <c r="AH11" s="25" t="str">
        <f>IF(AND('Mapa final'!$AA$25="Muy Alta",'Mapa final'!$AC$25="Catastrófico"),CONCATENATE("R6C",'Mapa final'!$Q$25),"")</f>
        <v/>
      </c>
      <c r="AI11" s="26" t="str">
        <f>IF(AND('Mapa final'!$AA$26="Muy Alta",'Mapa final'!$AC$26="Catastrófico"),CONCATENATE("R6C",'Mapa final'!$Q$26),"")</f>
        <v/>
      </c>
      <c r="AJ11" s="26" t="str">
        <f>IF(AND('Mapa final'!$AA$27="Muy Alta",'Mapa final'!$AC$27="Catastrófico"),CONCATENATE("R6C",'Mapa final'!$Q$27),"")</f>
        <v/>
      </c>
      <c r="AK11" s="26" t="str">
        <f>IF(AND('Mapa final'!$AA$28="Muy Alta",'Mapa final'!$AC$28="Catastrófico"),CONCATENATE("R6C",'Mapa final'!$Q$28),"")</f>
        <v/>
      </c>
      <c r="AL11" s="26" t="str">
        <f>IF(AND('Mapa final'!$AA$29="Muy Alta",'Mapa final'!$AC$29="Catastrófico"),CONCATENATE("R6C",'Mapa final'!$Q$29),"")</f>
        <v/>
      </c>
      <c r="AM11" s="27" t="str">
        <f>IF(AND('Mapa final'!$AA$30="Muy Alta",'Mapa final'!$AC$30="Catastrófico"),CONCATENATE("R6C",'Mapa final'!$Q$30),"")</f>
        <v/>
      </c>
      <c r="AN11" s="53"/>
      <c r="AO11" s="611"/>
      <c r="AP11" s="612"/>
      <c r="AQ11" s="612"/>
      <c r="AR11" s="612"/>
      <c r="AS11" s="612"/>
      <c r="AT11" s="61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506"/>
      <c r="C12" s="506"/>
      <c r="D12" s="507"/>
      <c r="E12" s="605"/>
      <c r="F12" s="604"/>
      <c r="G12" s="604"/>
      <c r="H12" s="604"/>
      <c r="I12" s="620"/>
      <c r="J12" s="22" t="str">
        <f>IF(AND('Mapa final'!$AA$31="Muy Alta",'Mapa final'!$AC$31="Leve"),CONCATENATE("R7C",'Mapa final'!$Q$31),"")</f>
        <v/>
      </c>
      <c r="K12" s="23" t="str">
        <f>IF(AND('Mapa final'!$AA$32="Muy Alta",'Mapa final'!$AC$32="Leve"),CONCATENATE("R7C",'Mapa final'!$Q$32),"")</f>
        <v/>
      </c>
      <c r="L12" s="23" t="str">
        <f>IF(AND('Mapa final'!$AA$33="Muy Alta",'Mapa final'!$AC$33="Leve"),CONCATENATE("R7C",'Mapa final'!$Q$33),"")</f>
        <v/>
      </c>
      <c r="M12" s="23" t="str">
        <f>IF(AND('Mapa final'!$AA$34="Muy Alta",'Mapa final'!$AC$34="Leve"),CONCATENATE("R7C",'Mapa final'!$Q$34),"")</f>
        <v/>
      </c>
      <c r="N12" s="23" t="str">
        <f>IF(AND('Mapa final'!$AA$35="Muy Alta",'Mapa final'!$AC$35="Leve"),CONCATENATE("R7C",'Mapa final'!$Q$35),"")</f>
        <v/>
      </c>
      <c r="O12" s="24" t="str">
        <f>IF(AND('Mapa final'!$AA$36="Muy Alta",'Mapa final'!$AC$36="Leve"),CONCATENATE("R7C",'Mapa final'!$Q$36),"")</f>
        <v/>
      </c>
      <c r="P12" s="22" t="str">
        <f>IF(AND('Mapa final'!$AA$31="Muy Alta",'Mapa final'!$AC$31="Menor"),CONCATENATE("R7C",'Mapa final'!$Q$31),"")</f>
        <v/>
      </c>
      <c r="Q12" s="23" t="str">
        <f>IF(AND('Mapa final'!$AA$32="Muy Alta",'Mapa final'!$AC$32="Menor"),CONCATENATE("R7C",'Mapa final'!$Q$32),"")</f>
        <v/>
      </c>
      <c r="R12" s="23" t="str">
        <f>IF(AND('Mapa final'!$AA$33="Muy Alta",'Mapa final'!$AC$33="Menor"),CONCATENATE("R7C",'Mapa final'!$Q$33),"")</f>
        <v/>
      </c>
      <c r="S12" s="23" t="str">
        <f>IF(AND('Mapa final'!$AA$34="Muy Alta",'Mapa final'!$AC$34="Menor"),CONCATENATE("R7C",'Mapa final'!$Q$34),"")</f>
        <v/>
      </c>
      <c r="T12" s="23" t="str">
        <f>IF(AND('Mapa final'!$AA$35="Muy Alta",'Mapa final'!$AC$35="Menor"),CONCATENATE("R7C",'Mapa final'!$Q$35),"")</f>
        <v/>
      </c>
      <c r="U12" s="24" t="str">
        <f>IF(AND('Mapa final'!$AA$36="Muy Alta",'Mapa final'!$AC$36="Menor"),CONCATENATE("R7C",'Mapa final'!$Q$36),"")</f>
        <v/>
      </c>
      <c r="V12" s="22" t="str">
        <f>IF(AND('Mapa final'!$AA$31="Muy Alta",'Mapa final'!$AC$31="Moderado"),CONCATENATE("R7C",'Mapa final'!$Q$31),"")</f>
        <v/>
      </c>
      <c r="W12" s="23" t="str">
        <f>IF(AND('Mapa final'!$AA$32="Muy Alta",'Mapa final'!$AC$32="Moderado"),CONCATENATE("R7C",'Mapa final'!$Q$32),"")</f>
        <v/>
      </c>
      <c r="X12" s="23" t="str">
        <f>IF(AND('Mapa final'!$AA$33="Muy Alta",'Mapa final'!$AC$33="Moderado"),CONCATENATE("R7C",'Mapa final'!$Q$33),"")</f>
        <v/>
      </c>
      <c r="Y12" s="23" t="str">
        <f>IF(AND('Mapa final'!$AA$34="Muy Alta",'Mapa final'!$AC$34="Moderado"),CONCATENATE("R7C",'Mapa final'!$Q$34),"")</f>
        <v/>
      </c>
      <c r="Z12" s="23" t="str">
        <f>IF(AND('Mapa final'!$AA$35="Muy Alta",'Mapa final'!$AC$35="Moderado"),CONCATENATE("R7C",'Mapa final'!$Q$35),"")</f>
        <v/>
      </c>
      <c r="AA12" s="24" t="str">
        <f>IF(AND('Mapa final'!$AA$36="Muy Alta",'Mapa final'!$AC$36="Moderado"),CONCATENATE("R7C",'Mapa final'!$Q$36),"")</f>
        <v/>
      </c>
      <c r="AB12" s="22" t="str">
        <f>IF(AND('Mapa final'!$AA$31="Muy Alta",'Mapa final'!$AC$31="Mayor"),CONCATENATE("R7C",'Mapa final'!$Q$31),"")</f>
        <v/>
      </c>
      <c r="AC12" s="23" t="str">
        <f>IF(AND('Mapa final'!$AA$32="Muy Alta",'Mapa final'!$AC$32="Mayor"),CONCATENATE("R7C",'Mapa final'!$Q$32),"")</f>
        <v/>
      </c>
      <c r="AD12" s="23" t="str">
        <f>IF(AND('Mapa final'!$AA$33="Muy Alta",'Mapa final'!$AC$33="Mayor"),CONCATENATE("R7C",'Mapa final'!$Q$33),"")</f>
        <v/>
      </c>
      <c r="AE12" s="23" t="str">
        <f>IF(AND('Mapa final'!$AA$34="Muy Alta",'Mapa final'!$AC$34="Mayor"),CONCATENATE("R7C",'Mapa final'!$Q$34),"")</f>
        <v/>
      </c>
      <c r="AF12" s="23" t="str">
        <f>IF(AND('Mapa final'!$AA$35="Muy Alta",'Mapa final'!$AC$35="Mayor"),CONCATENATE("R7C",'Mapa final'!$Q$35),"")</f>
        <v/>
      </c>
      <c r="AG12" s="24" t="str">
        <f>IF(AND('Mapa final'!$AA$36="Muy Alta",'Mapa final'!$AC$36="Mayor"),CONCATENATE("R7C",'Mapa final'!$Q$36),"")</f>
        <v/>
      </c>
      <c r="AH12" s="25" t="str">
        <f>IF(AND('Mapa final'!$AA$31="Muy Alta",'Mapa final'!$AC$31="Catastrófico"),CONCATENATE("R7C",'Mapa final'!$Q$31),"")</f>
        <v/>
      </c>
      <c r="AI12" s="26" t="str">
        <f>IF(AND('Mapa final'!$AA$32="Muy Alta",'Mapa final'!$AC$32="Catastrófico"),CONCATENATE("R7C",'Mapa final'!$Q$32),"")</f>
        <v/>
      </c>
      <c r="AJ12" s="26" t="str">
        <f>IF(AND('Mapa final'!$AA$33="Muy Alta",'Mapa final'!$AC$33="Catastrófico"),CONCATENATE("R7C",'Mapa final'!$Q$33),"")</f>
        <v/>
      </c>
      <c r="AK12" s="26" t="str">
        <f>IF(AND('Mapa final'!$AA$34="Muy Alta",'Mapa final'!$AC$34="Catastrófico"),CONCATENATE("R7C",'Mapa final'!$Q$34),"")</f>
        <v/>
      </c>
      <c r="AL12" s="26" t="str">
        <f>IF(AND('Mapa final'!$AA$35="Muy Alta",'Mapa final'!$AC$35="Catastrófico"),CONCATENATE("R7C",'Mapa final'!$Q$35),"")</f>
        <v/>
      </c>
      <c r="AM12" s="27" t="str">
        <f>IF(AND('Mapa final'!$AA$36="Muy Alta",'Mapa final'!$AC$36="Catastrófico"),CONCATENATE("R7C",'Mapa final'!$Q$36),"")</f>
        <v/>
      </c>
      <c r="AN12" s="53"/>
      <c r="AO12" s="611"/>
      <c r="AP12" s="612"/>
      <c r="AQ12" s="612"/>
      <c r="AR12" s="612"/>
      <c r="AS12" s="612"/>
      <c r="AT12" s="61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506"/>
      <c r="C13" s="506"/>
      <c r="D13" s="507"/>
      <c r="E13" s="605"/>
      <c r="F13" s="604"/>
      <c r="G13" s="604"/>
      <c r="H13" s="604"/>
      <c r="I13" s="620"/>
      <c r="J13" s="22" t="str">
        <f>IF(AND('Mapa final'!$AA$37="Muy Alta",'Mapa final'!$AC$37="Leve"),CONCATENATE("R8C",'Mapa final'!$Q$37),"")</f>
        <v/>
      </c>
      <c r="K13" s="23" t="str">
        <f>IF(AND('Mapa final'!$AA$38="Muy Alta",'Mapa final'!$AC$38="Leve"),CONCATENATE("R8C",'Mapa final'!$Q$38),"")</f>
        <v/>
      </c>
      <c r="L13" s="23" t="str">
        <f>IF(AND('Mapa final'!$AA$39="Muy Alta",'Mapa final'!$AC$39="Leve"),CONCATENATE("R8C",'Mapa final'!$Q$39),"")</f>
        <v/>
      </c>
      <c r="M13" s="23" t="str">
        <f>IF(AND('Mapa final'!$AA$40="Muy Alta",'Mapa final'!$AC$40="Leve"),CONCATENATE("R8C",'Mapa final'!$Q$40),"")</f>
        <v/>
      </c>
      <c r="N13" s="23" t="str">
        <f>IF(AND('Mapa final'!$AA$41="Muy Alta",'Mapa final'!$AC$41="Leve"),CONCATENATE("R8C",'Mapa final'!$Q$41),"")</f>
        <v/>
      </c>
      <c r="O13" s="24" t="str">
        <f>IF(AND('Mapa final'!$AA$42="Muy Alta",'Mapa final'!$AC$42="Leve"),CONCATENATE("R8C",'Mapa final'!$Q$42),"")</f>
        <v/>
      </c>
      <c r="P13" s="22" t="str">
        <f>IF(AND('Mapa final'!$AA$37="Muy Alta",'Mapa final'!$AC$37="Menor"),CONCATENATE("R8C",'Mapa final'!$Q$37),"")</f>
        <v/>
      </c>
      <c r="Q13" s="23" t="str">
        <f>IF(AND('Mapa final'!$AA$38="Muy Alta",'Mapa final'!$AC$38="Menor"),CONCATENATE("R8C",'Mapa final'!$Q$38),"")</f>
        <v/>
      </c>
      <c r="R13" s="23" t="str">
        <f>IF(AND('Mapa final'!$AA$39="Muy Alta",'Mapa final'!$AC$39="Menor"),CONCATENATE("R8C",'Mapa final'!$Q$39),"")</f>
        <v/>
      </c>
      <c r="S13" s="23" t="str">
        <f>IF(AND('Mapa final'!$AA$40="Muy Alta",'Mapa final'!$AC$40="Menor"),CONCATENATE("R8C",'Mapa final'!$Q$40),"")</f>
        <v/>
      </c>
      <c r="T13" s="23" t="str">
        <f>IF(AND('Mapa final'!$AA$41="Muy Alta",'Mapa final'!$AC$41="Menor"),CONCATENATE("R8C",'Mapa final'!$Q$41),"")</f>
        <v/>
      </c>
      <c r="U13" s="24" t="str">
        <f>IF(AND('Mapa final'!$AA$42="Muy Alta",'Mapa final'!$AC$42="Menor"),CONCATENATE("R8C",'Mapa final'!$Q$42),"")</f>
        <v/>
      </c>
      <c r="V13" s="22" t="str">
        <f>IF(AND('Mapa final'!$AA$37="Muy Alta",'Mapa final'!$AC$37="Moderado"),CONCATENATE("R8C",'Mapa final'!$Q$37),"")</f>
        <v/>
      </c>
      <c r="W13" s="23" t="str">
        <f>IF(AND('Mapa final'!$AA$38="Muy Alta",'Mapa final'!$AC$38="Moderado"),CONCATENATE("R8C",'Mapa final'!$Q$38),"")</f>
        <v/>
      </c>
      <c r="X13" s="23" t="str">
        <f>IF(AND('Mapa final'!$AA$39="Muy Alta",'Mapa final'!$AC$39="Moderado"),CONCATENATE("R8C",'Mapa final'!$Q$39),"")</f>
        <v/>
      </c>
      <c r="Y13" s="23" t="str">
        <f>IF(AND('Mapa final'!$AA$40="Muy Alta",'Mapa final'!$AC$40="Moderado"),CONCATENATE("R8C",'Mapa final'!$Q$40),"")</f>
        <v/>
      </c>
      <c r="Z13" s="23" t="str">
        <f>IF(AND('Mapa final'!$AA$41="Muy Alta",'Mapa final'!$AC$41="Moderado"),CONCATENATE("R8C",'Mapa final'!$Q$41),"")</f>
        <v/>
      </c>
      <c r="AA13" s="24" t="str">
        <f>IF(AND('Mapa final'!$AA$42="Muy Alta",'Mapa final'!$AC$42="Moderado"),CONCATENATE("R8C",'Mapa final'!$Q$42),"")</f>
        <v/>
      </c>
      <c r="AB13" s="22" t="str">
        <f>IF(AND('Mapa final'!$AA$37="Muy Alta",'Mapa final'!$AC$37="Mayor"),CONCATENATE("R8C",'Mapa final'!$Q$37),"")</f>
        <v/>
      </c>
      <c r="AC13" s="23" t="str">
        <f>IF(AND('Mapa final'!$AA$38="Muy Alta",'Mapa final'!$AC$38="Mayor"),CONCATENATE("R8C",'Mapa final'!$Q$38),"")</f>
        <v/>
      </c>
      <c r="AD13" s="23" t="str">
        <f>IF(AND('Mapa final'!$AA$39="Muy Alta",'Mapa final'!$AC$39="Mayor"),CONCATENATE("R8C",'Mapa final'!$Q$39),"")</f>
        <v/>
      </c>
      <c r="AE13" s="23" t="str">
        <f>IF(AND('Mapa final'!$AA$40="Muy Alta",'Mapa final'!$AC$40="Mayor"),CONCATENATE("R8C",'Mapa final'!$Q$40),"")</f>
        <v/>
      </c>
      <c r="AF13" s="23" t="str">
        <f>IF(AND('Mapa final'!$AA$41="Muy Alta",'Mapa final'!$AC$41="Mayor"),CONCATENATE("R8C",'Mapa final'!$Q$41),"")</f>
        <v/>
      </c>
      <c r="AG13" s="24" t="str">
        <f>IF(AND('Mapa final'!$AA$42="Muy Alta",'Mapa final'!$AC$42="Mayor"),CONCATENATE("R8C",'Mapa final'!$Q$42),"")</f>
        <v/>
      </c>
      <c r="AH13" s="25" t="str">
        <f>IF(AND('Mapa final'!$AA$37="Muy Alta",'Mapa final'!$AC$37="Catastrófico"),CONCATENATE("R8C",'Mapa final'!$Q$37),"")</f>
        <v/>
      </c>
      <c r="AI13" s="26" t="str">
        <f>IF(AND('Mapa final'!$AA$38="Muy Alta",'Mapa final'!$AC$38="Catastrófico"),CONCATENATE("R8C",'Mapa final'!$Q$38),"")</f>
        <v/>
      </c>
      <c r="AJ13" s="26" t="str">
        <f>IF(AND('Mapa final'!$AA$39="Muy Alta",'Mapa final'!$AC$39="Catastrófico"),CONCATENATE("R8C",'Mapa final'!$Q$39),"")</f>
        <v/>
      </c>
      <c r="AK13" s="26" t="str">
        <f>IF(AND('Mapa final'!$AA$40="Muy Alta",'Mapa final'!$AC$40="Catastrófico"),CONCATENATE("R8C",'Mapa final'!$Q$40),"")</f>
        <v/>
      </c>
      <c r="AL13" s="26" t="str">
        <f>IF(AND('Mapa final'!$AA$41="Muy Alta",'Mapa final'!$AC$41="Catastrófico"),CONCATENATE("R8C",'Mapa final'!$Q$41),"")</f>
        <v/>
      </c>
      <c r="AM13" s="27" t="str">
        <f>IF(AND('Mapa final'!$AA$42="Muy Alta",'Mapa final'!$AC$42="Catastrófico"),CONCATENATE("R8C",'Mapa final'!$Q$42),"")</f>
        <v/>
      </c>
      <c r="AN13" s="53"/>
      <c r="AO13" s="611"/>
      <c r="AP13" s="612"/>
      <c r="AQ13" s="612"/>
      <c r="AR13" s="612"/>
      <c r="AS13" s="612"/>
      <c r="AT13" s="61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506"/>
      <c r="C14" s="506"/>
      <c r="D14" s="507"/>
      <c r="E14" s="605"/>
      <c r="F14" s="604"/>
      <c r="G14" s="604"/>
      <c r="H14" s="604"/>
      <c r="I14" s="620"/>
      <c r="J14" s="22" t="str">
        <f>IF(AND('Mapa final'!$AA$43="Muy Alta",'Mapa final'!$AC$43="Leve"),CONCATENATE("R9C",'Mapa final'!$Q$43),"")</f>
        <v/>
      </c>
      <c r="K14" s="23" t="str">
        <f>IF(AND('Mapa final'!$AA$44="Muy Alta",'Mapa final'!$AC$44="Leve"),CONCATENATE("R9C",'Mapa final'!$Q$44),"")</f>
        <v/>
      </c>
      <c r="L14" s="23" t="str">
        <f>IF(AND('Mapa final'!$AA$45="Muy Alta",'Mapa final'!$AC$45="Leve"),CONCATENATE("R9C",'Mapa final'!$Q$45),"")</f>
        <v/>
      </c>
      <c r="M14" s="23" t="str">
        <f>IF(AND('Mapa final'!$AA$46="Muy Alta",'Mapa final'!$AC$46="Leve"),CONCATENATE("R9C",'Mapa final'!$Q$46),"")</f>
        <v/>
      </c>
      <c r="N14" s="23" t="str">
        <f>IF(AND('Mapa final'!$AA$47="Muy Alta",'Mapa final'!$AC$47="Leve"),CONCATENATE("R9C",'Mapa final'!$Q$47),"")</f>
        <v/>
      </c>
      <c r="O14" s="24" t="str">
        <f>IF(AND('Mapa final'!$AA$48="Muy Alta",'Mapa final'!$AC$48="Leve"),CONCATENATE("R9C",'Mapa final'!$Q$48),"")</f>
        <v/>
      </c>
      <c r="P14" s="22" t="str">
        <f>IF(AND('Mapa final'!$AA$43="Muy Alta",'Mapa final'!$AC$43="Menor"),CONCATENATE("R9C",'Mapa final'!$Q$43),"")</f>
        <v/>
      </c>
      <c r="Q14" s="23" t="str">
        <f>IF(AND('Mapa final'!$AA$44="Muy Alta",'Mapa final'!$AC$44="Menor"),CONCATENATE("R9C",'Mapa final'!$Q$44),"")</f>
        <v/>
      </c>
      <c r="R14" s="23" t="str">
        <f>IF(AND('Mapa final'!$AA$45="Muy Alta",'Mapa final'!$AC$45="Menor"),CONCATENATE("R9C",'Mapa final'!$Q$45),"")</f>
        <v/>
      </c>
      <c r="S14" s="23" t="str">
        <f>IF(AND('Mapa final'!$AA$46="Muy Alta",'Mapa final'!$AC$46="Menor"),CONCATENATE("R9C",'Mapa final'!$Q$46),"")</f>
        <v/>
      </c>
      <c r="T14" s="23" t="str">
        <f>IF(AND('Mapa final'!$AA$47="Muy Alta",'Mapa final'!$AC$47="Menor"),CONCATENATE("R9C",'Mapa final'!$Q$47),"")</f>
        <v/>
      </c>
      <c r="U14" s="24" t="str">
        <f>IF(AND('Mapa final'!$AA$48="Muy Alta",'Mapa final'!$AC$48="Menor"),CONCATENATE("R9C",'Mapa final'!$Q$48),"")</f>
        <v/>
      </c>
      <c r="V14" s="22" t="str">
        <f>IF(AND('Mapa final'!$AA$43="Muy Alta",'Mapa final'!$AC$43="Moderado"),CONCATENATE("R9C",'Mapa final'!$Q$43),"")</f>
        <v/>
      </c>
      <c r="W14" s="23" t="str">
        <f>IF(AND('Mapa final'!$AA$44="Muy Alta",'Mapa final'!$AC$44="Moderado"),CONCATENATE("R9C",'Mapa final'!$Q$44),"")</f>
        <v/>
      </c>
      <c r="X14" s="23" t="str">
        <f>IF(AND('Mapa final'!$AA$45="Muy Alta",'Mapa final'!$AC$45="Moderado"),CONCATENATE("R9C",'Mapa final'!$Q$45),"")</f>
        <v/>
      </c>
      <c r="Y14" s="23" t="str">
        <f>IF(AND('Mapa final'!$AA$46="Muy Alta",'Mapa final'!$AC$46="Moderado"),CONCATENATE("R9C",'Mapa final'!$Q$46),"")</f>
        <v/>
      </c>
      <c r="Z14" s="23" t="str">
        <f>IF(AND('Mapa final'!$AA$47="Muy Alta",'Mapa final'!$AC$47="Moderado"),CONCATENATE("R9C",'Mapa final'!$Q$47),"")</f>
        <v/>
      </c>
      <c r="AA14" s="24" t="str">
        <f>IF(AND('Mapa final'!$AA$48="Muy Alta",'Mapa final'!$AC$48="Moderado"),CONCATENATE("R9C",'Mapa final'!$Q$48),"")</f>
        <v/>
      </c>
      <c r="AB14" s="22" t="str">
        <f>IF(AND('Mapa final'!$AA$43="Muy Alta",'Mapa final'!$AC$43="Mayor"),CONCATENATE("R9C",'Mapa final'!$Q$43),"")</f>
        <v/>
      </c>
      <c r="AC14" s="23" t="str">
        <f>IF(AND('Mapa final'!$AA$44="Muy Alta",'Mapa final'!$AC$44="Mayor"),CONCATENATE("R9C",'Mapa final'!$Q$44),"")</f>
        <v/>
      </c>
      <c r="AD14" s="23" t="str">
        <f>IF(AND('Mapa final'!$AA$45="Muy Alta",'Mapa final'!$AC$45="Mayor"),CONCATENATE("R9C",'Mapa final'!$Q$45),"")</f>
        <v/>
      </c>
      <c r="AE14" s="23" t="str">
        <f>IF(AND('Mapa final'!$AA$46="Muy Alta",'Mapa final'!$AC$46="Mayor"),CONCATENATE("R9C",'Mapa final'!$Q$46),"")</f>
        <v/>
      </c>
      <c r="AF14" s="23" t="str">
        <f>IF(AND('Mapa final'!$AA$47="Muy Alta",'Mapa final'!$AC$47="Mayor"),CONCATENATE("R9C",'Mapa final'!$Q$47),"")</f>
        <v/>
      </c>
      <c r="AG14" s="24" t="str">
        <f>IF(AND('Mapa final'!$AA$48="Muy Alta",'Mapa final'!$AC$48="Mayor"),CONCATENATE("R9C",'Mapa final'!$Q$48),"")</f>
        <v/>
      </c>
      <c r="AH14" s="25" t="str">
        <f>IF(AND('Mapa final'!$AA$43="Muy Alta",'Mapa final'!$AC$43="Catastrófico"),CONCATENATE("R9C",'Mapa final'!$Q$43),"")</f>
        <v/>
      </c>
      <c r="AI14" s="26" t="str">
        <f>IF(AND('Mapa final'!$AA$44="Muy Alta",'Mapa final'!$AC$44="Catastrófico"),CONCATENATE("R9C",'Mapa final'!$Q$44),"")</f>
        <v/>
      </c>
      <c r="AJ14" s="26" t="str">
        <f>IF(AND('Mapa final'!$AA$45="Muy Alta",'Mapa final'!$AC$45="Catastrófico"),CONCATENATE("R9C",'Mapa final'!$Q$45),"")</f>
        <v/>
      </c>
      <c r="AK14" s="26" t="str">
        <f>IF(AND('Mapa final'!$AA$46="Muy Alta",'Mapa final'!$AC$46="Catastrófico"),CONCATENATE("R9C",'Mapa final'!$Q$46),"")</f>
        <v/>
      </c>
      <c r="AL14" s="26" t="str">
        <f>IF(AND('Mapa final'!$AA$47="Muy Alta",'Mapa final'!$AC$47="Catastrófico"),CONCATENATE("R9C",'Mapa final'!$Q$47),"")</f>
        <v/>
      </c>
      <c r="AM14" s="27" t="str">
        <f>IF(AND('Mapa final'!$AA$48="Muy Alta",'Mapa final'!$AC$48="Catastrófico"),CONCATENATE("R9C",'Mapa final'!$Q$48),"")</f>
        <v/>
      </c>
      <c r="AN14" s="53"/>
      <c r="AO14" s="611"/>
      <c r="AP14" s="612"/>
      <c r="AQ14" s="612"/>
      <c r="AR14" s="612"/>
      <c r="AS14" s="612"/>
      <c r="AT14" s="61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506"/>
      <c r="C15" s="506"/>
      <c r="D15" s="507"/>
      <c r="E15" s="606"/>
      <c r="F15" s="607"/>
      <c r="G15" s="607"/>
      <c r="H15" s="607"/>
      <c r="I15" s="621"/>
      <c r="J15" s="28" t="str">
        <f>IF(AND('Mapa final'!$AA$49="Muy Alta",'Mapa final'!$AC$49="Leve"),CONCATENATE("R10C",'Mapa final'!$Q$49),"")</f>
        <v/>
      </c>
      <c r="K15" s="29" t="str">
        <f>IF(AND('Mapa final'!$AA$50="Muy Alta",'Mapa final'!$AC$50="Leve"),CONCATENATE("R10C",'Mapa final'!$Q$50),"")</f>
        <v/>
      </c>
      <c r="L15" s="29" t="str">
        <f>IF(AND('Mapa final'!$AA$51="Muy Alta",'Mapa final'!$AC$51="Leve"),CONCATENATE("R10C",'Mapa final'!$Q$51),"")</f>
        <v/>
      </c>
      <c r="M15" s="29" t="str">
        <f>IF(AND('Mapa final'!$AA$52="Muy Alta",'Mapa final'!$AC$52="Leve"),CONCATENATE("R10C",'Mapa final'!$Q$52),"")</f>
        <v/>
      </c>
      <c r="N15" s="29" t="str">
        <f>IF(AND('Mapa final'!$AA$53="Muy Alta",'Mapa final'!$AC$53="Leve"),CONCATENATE("R10C",'Mapa final'!$Q$53),"")</f>
        <v/>
      </c>
      <c r="O15" s="30" t="str">
        <f>IF(AND('Mapa final'!$AA$54="Muy Alta",'Mapa final'!$AC$54="Leve"),CONCATENATE("R10C",'Mapa final'!$Q$54),"")</f>
        <v/>
      </c>
      <c r="P15" s="22" t="str">
        <f>IF(AND('Mapa final'!$AA$49="Muy Alta",'Mapa final'!$AC$49="Menor"),CONCATENATE("R10C",'Mapa final'!$Q$49),"")</f>
        <v/>
      </c>
      <c r="Q15" s="23" t="str">
        <f>IF(AND('Mapa final'!$AA$50="Muy Alta",'Mapa final'!$AC$50="Menor"),CONCATENATE("R10C",'Mapa final'!$Q$50),"")</f>
        <v/>
      </c>
      <c r="R15" s="23" t="str">
        <f>IF(AND('Mapa final'!$AA$51="Muy Alta",'Mapa final'!$AC$51="Menor"),CONCATENATE("R10C",'Mapa final'!$Q$51),"")</f>
        <v/>
      </c>
      <c r="S15" s="23" t="str">
        <f>IF(AND('Mapa final'!$AA$52="Muy Alta",'Mapa final'!$AC$52="Menor"),CONCATENATE("R10C",'Mapa final'!$Q$52),"")</f>
        <v/>
      </c>
      <c r="T15" s="23" t="str">
        <f>IF(AND('Mapa final'!$AA$53="Muy Alta",'Mapa final'!$AC$53="Menor"),CONCATENATE("R10C",'Mapa final'!$Q$53),"")</f>
        <v/>
      </c>
      <c r="U15" s="24" t="str">
        <f>IF(AND('Mapa final'!$AA$54="Muy Alta",'Mapa final'!$AC$54="Menor"),CONCATENATE("R10C",'Mapa final'!$Q$54),"")</f>
        <v/>
      </c>
      <c r="V15" s="28" t="str">
        <f>IF(AND('Mapa final'!$AA$49="Muy Alta",'Mapa final'!$AC$49="Moderado"),CONCATENATE("R10C",'Mapa final'!$Q$49),"")</f>
        <v/>
      </c>
      <c r="W15" s="29" t="str">
        <f>IF(AND('Mapa final'!$AA$50="Muy Alta",'Mapa final'!$AC$50="Moderado"),CONCATENATE("R10C",'Mapa final'!$Q$50),"")</f>
        <v/>
      </c>
      <c r="X15" s="29" t="str">
        <f>IF(AND('Mapa final'!$AA$51="Muy Alta",'Mapa final'!$AC$51="Moderado"),CONCATENATE("R10C",'Mapa final'!$Q$51),"")</f>
        <v/>
      </c>
      <c r="Y15" s="29" t="str">
        <f>IF(AND('Mapa final'!$AA$52="Muy Alta",'Mapa final'!$AC$52="Moderado"),CONCATENATE("R10C",'Mapa final'!$Q$52),"")</f>
        <v/>
      </c>
      <c r="Z15" s="29" t="str">
        <f>IF(AND('Mapa final'!$AA$53="Muy Alta",'Mapa final'!$AC$53="Moderado"),CONCATENATE("R10C",'Mapa final'!$Q$53),"")</f>
        <v/>
      </c>
      <c r="AA15" s="30" t="str">
        <f>IF(AND('Mapa final'!$AA$54="Muy Alta",'Mapa final'!$AC$54="Moderado"),CONCATENATE("R10C",'Mapa final'!$Q$54),"")</f>
        <v/>
      </c>
      <c r="AB15" s="22" t="str">
        <f>IF(AND('Mapa final'!$AA$49="Muy Alta",'Mapa final'!$AC$49="Mayor"),CONCATENATE("R10C",'Mapa final'!$Q$49),"")</f>
        <v/>
      </c>
      <c r="AC15" s="23" t="str">
        <f>IF(AND('Mapa final'!$AA$50="Muy Alta",'Mapa final'!$AC$50="Mayor"),CONCATENATE("R10C",'Mapa final'!$Q$50),"")</f>
        <v/>
      </c>
      <c r="AD15" s="23" t="str">
        <f>IF(AND('Mapa final'!$AA$51="Muy Alta",'Mapa final'!$AC$51="Mayor"),CONCATENATE("R10C",'Mapa final'!$Q$51),"")</f>
        <v/>
      </c>
      <c r="AE15" s="23" t="str">
        <f>IF(AND('Mapa final'!$AA$52="Muy Alta",'Mapa final'!$AC$52="Mayor"),CONCATENATE("R10C",'Mapa final'!$Q$52),"")</f>
        <v/>
      </c>
      <c r="AF15" s="23" t="str">
        <f>IF(AND('Mapa final'!$AA$53="Muy Alta",'Mapa final'!$AC$53="Mayor"),CONCATENATE("R10C",'Mapa final'!$Q$53),"")</f>
        <v/>
      </c>
      <c r="AG15" s="24" t="str">
        <f>IF(AND('Mapa final'!$AA$54="Muy Alta",'Mapa final'!$AC$54="Mayor"),CONCATENATE("R10C",'Mapa final'!$Q$54),"")</f>
        <v/>
      </c>
      <c r="AH15" s="31" t="str">
        <f>IF(AND('Mapa final'!$AA$49="Muy Alta",'Mapa final'!$AC$49="Catastrófico"),CONCATENATE("R10C",'Mapa final'!$Q$49),"")</f>
        <v/>
      </c>
      <c r="AI15" s="32" t="str">
        <f>IF(AND('Mapa final'!$AA$50="Muy Alta",'Mapa final'!$AC$50="Catastrófico"),CONCATENATE("R10C",'Mapa final'!$Q$50),"")</f>
        <v/>
      </c>
      <c r="AJ15" s="32" t="str">
        <f>IF(AND('Mapa final'!$AA$51="Muy Alta",'Mapa final'!$AC$51="Catastrófico"),CONCATENATE("R10C",'Mapa final'!$Q$51),"")</f>
        <v/>
      </c>
      <c r="AK15" s="32" t="str">
        <f>IF(AND('Mapa final'!$AA$52="Muy Alta",'Mapa final'!$AC$52="Catastrófico"),CONCATENATE("R10C",'Mapa final'!$Q$52),"")</f>
        <v/>
      </c>
      <c r="AL15" s="32" t="str">
        <f>IF(AND('Mapa final'!$AA$53="Muy Alta",'Mapa final'!$AC$53="Catastrófico"),CONCATENATE("R10C",'Mapa final'!$Q$53),"")</f>
        <v/>
      </c>
      <c r="AM15" s="33" t="str">
        <f>IF(AND('Mapa final'!$AA$54="Muy Alta",'Mapa final'!$AC$54="Catastrófico"),CONCATENATE("R10C",'Mapa final'!$Q$54),"")</f>
        <v/>
      </c>
      <c r="AN15" s="53"/>
      <c r="AO15" s="614"/>
      <c r="AP15" s="615"/>
      <c r="AQ15" s="615"/>
      <c r="AR15" s="615"/>
      <c r="AS15" s="615"/>
      <c r="AT15" s="616"/>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506"/>
      <c r="C16" s="506"/>
      <c r="D16" s="507"/>
      <c r="E16" s="601" t="s">
        <v>110</v>
      </c>
      <c r="F16" s="602"/>
      <c r="G16" s="602"/>
      <c r="H16" s="602"/>
      <c r="I16" s="602"/>
      <c r="J16" s="34" t="str">
        <f>IF(AND('Mapa final'!$AA$10="Alta",'Mapa final'!$AC$10="Leve"),CONCATENATE("R1C",'Mapa final'!$Q$10),"")</f>
        <v/>
      </c>
      <c r="K16" s="35" t="str">
        <f>IF(AND('Mapa final'!$AA$11="Alta",'Mapa final'!$AC$11="Leve"),CONCATENATE("R1C",'Mapa final'!$Q$11),"")</f>
        <v/>
      </c>
      <c r="L16" s="35" t="str">
        <f>IF(AND('Mapa final'!$AA$12="Alta",'Mapa final'!$AC$12="Leve"),CONCATENATE("R1C",'Mapa final'!$Q$12),"")</f>
        <v/>
      </c>
      <c r="M16" s="35" t="str">
        <f>IF(AND('Mapa final'!$AA$13="Alta",'Mapa final'!$AC$13="Leve"),CONCATENATE("R1C",'Mapa final'!$Q$13),"")</f>
        <v/>
      </c>
      <c r="N16" s="35" t="str">
        <f>IF(AND('Mapa final'!$AA$14="Alta",'Mapa final'!$AC$14="Leve"),CONCATENATE("R1C",'Mapa final'!$Q$14),"")</f>
        <v/>
      </c>
      <c r="O16" s="36" t="e">
        <f>IF(AND('Mapa final'!#REF!="Alta",'Mapa final'!#REF!="Leve"),CONCATENATE("R1C",'Mapa final'!#REF!),"")</f>
        <v>#REF!</v>
      </c>
      <c r="P16" s="34" t="str">
        <f>IF(AND('Mapa final'!$AA$10="Alta",'Mapa final'!$AC$10="Menor"),CONCATENATE("R1C",'Mapa final'!$Q$10),"")</f>
        <v/>
      </c>
      <c r="Q16" s="35" t="str">
        <f>IF(AND('Mapa final'!$AA$11="Alta",'Mapa final'!$AC$11="Menor"),CONCATENATE("R1C",'Mapa final'!$Q$11),"")</f>
        <v/>
      </c>
      <c r="R16" s="35" t="str">
        <f>IF(AND('Mapa final'!$AA$12="Alta",'Mapa final'!$AC$12="Menor"),CONCATENATE("R1C",'Mapa final'!$Q$12),"")</f>
        <v/>
      </c>
      <c r="S16" s="35" t="str">
        <f>IF(AND('Mapa final'!$AA$13="Alta",'Mapa final'!$AC$13="Menor"),CONCATENATE("R1C",'Mapa final'!$Q$13),"")</f>
        <v/>
      </c>
      <c r="T16" s="35" t="str">
        <f>IF(AND('Mapa final'!$AA$14="Alta",'Mapa final'!$AC$14="Menor"),CONCATENATE("R1C",'Mapa final'!$Q$14),"")</f>
        <v/>
      </c>
      <c r="U16" s="36" t="e">
        <f>IF(AND('Mapa final'!#REF!="Alta",'Mapa final'!#REF!="Menor"),CONCATENATE("R1C",'Mapa final'!#REF!),"")</f>
        <v>#REF!</v>
      </c>
      <c r="V16" s="16" t="str">
        <f>IF(AND('Mapa final'!$AA$10="Alta",'Mapa final'!$AC$10="Moderado"),CONCATENATE("R1C",'Mapa final'!$Q$10),"")</f>
        <v/>
      </c>
      <c r="W16" s="17" t="str">
        <f>IF(AND('Mapa final'!$AA$11="Alta",'Mapa final'!$AC$11="Moderado"),CONCATENATE("R1C",'Mapa final'!$Q$11),"")</f>
        <v/>
      </c>
      <c r="X16" s="17" t="str">
        <f>IF(AND('Mapa final'!$AA$12="Alta",'Mapa final'!$AC$12="Moderado"),CONCATENATE("R1C",'Mapa final'!$Q$12),"")</f>
        <v/>
      </c>
      <c r="Y16" s="17" t="str">
        <f>IF(AND('Mapa final'!$AA$13="Alta",'Mapa final'!$AC$13="Moderado"),CONCATENATE("R1C",'Mapa final'!$Q$13),"")</f>
        <v/>
      </c>
      <c r="Z16" s="17" t="str">
        <f>IF(AND('Mapa final'!$AA$14="Alta",'Mapa final'!$AC$14="Moderado"),CONCATENATE("R1C",'Mapa final'!$Q$14),"")</f>
        <v/>
      </c>
      <c r="AA16" s="18" t="e">
        <f>IF(AND('Mapa final'!#REF!="Alta",'Mapa final'!#REF!="Moderado"),CONCATENATE("R1C",'Mapa final'!#REF!),"")</f>
        <v>#REF!</v>
      </c>
      <c r="AB16" s="16" t="str">
        <f>IF(AND('Mapa final'!$AA$10="Alta",'Mapa final'!$AC$10="Mayor"),CONCATENATE("R1C",'Mapa final'!$Q$10),"")</f>
        <v/>
      </c>
      <c r="AC16" s="17" t="str">
        <f>IF(AND('Mapa final'!$AA$11="Alta",'Mapa final'!$AC$11="Mayor"),CONCATENATE("R1C",'Mapa final'!$Q$11),"")</f>
        <v/>
      </c>
      <c r="AD16" s="17" t="str">
        <f>IF(AND('Mapa final'!$AA$12="Alta",'Mapa final'!$AC$12="Mayor"),CONCATENATE("R1C",'Mapa final'!$Q$12),"")</f>
        <v/>
      </c>
      <c r="AE16" s="17" t="str">
        <f>IF(AND('Mapa final'!$AA$13="Alta",'Mapa final'!$AC$13="Mayor"),CONCATENATE("R1C",'Mapa final'!$Q$13),"")</f>
        <v/>
      </c>
      <c r="AF16" s="17" t="str">
        <f>IF(AND('Mapa final'!$AA$14="Alta",'Mapa final'!$AC$14="Mayor"),CONCATENATE("R1C",'Mapa final'!$Q$14),"")</f>
        <v/>
      </c>
      <c r="AG16" s="18" t="e">
        <f>IF(AND('Mapa final'!#REF!="Alta",'Mapa final'!#REF!="Mayor"),CONCATENATE("R1C",'Mapa final'!#REF!),"")</f>
        <v>#REF!</v>
      </c>
      <c r="AH16" s="19" t="str">
        <f>IF(AND('Mapa final'!$AA$10="Alta",'Mapa final'!$AC$10="Catastrófico"),CONCATENATE("R1C",'Mapa final'!$Q$10),"")</f>
        <v/>
      </c>
      <c r="AI16" s="20" t="str">
        <f>IF(AND('Mapa final'!$AA$11="Alta",'Mapa final'!$AC$11="Catastrófico"),CONCATENATE("R1C",'Mapa final'!$Q$11),"")</f>
        <v/>
      </c>
      <c r="AJ16" s="20" t="str">
        <f>IF(AND('Mapa final'!$AA$12="Alta",'Mapa final'!$AC$12="Catastrófico"),CONCATENATE("R1C",'Mapa final'!$Q$12),"")</f>
        <v/>
      </c>
      <c r="AK16" s="20" t="str">
        <f>IF(AND('Mapa final'!$AA$13="Alta",'Mapa final'!$AC$13="Catastrófico"),CONCATENATE("R1C",'Mapa final'!$Q$13),"")</f>
        <v/>
      </c>
      <c r="AL16" s="20" t="str">
        <f>IF(AND('Mapa final'!$AA$14="Alta",'Mapa final'!$AC$14="Catastrófico"),CONCATENATE("R1C",'Mapa final'!$Q$14),"")</f>
        <v/>
      </c>
      <c r="AM16" s="21" t="e">
        <f>IF(AND('Mapa final'!#REF!="Alta",'Mapa final'!#REF!="Catastrófico"),CONCATENATE("R1C",'Mapa final'!#REF!),"")</f>
        <v>#REF!</v>
      </c>
      <c r="AN16" s="53"/>
      <c r="AO16" s="592" t="s">
        <v>79</v>
      </c>
      <c r="AP16" s="593"/>
      <c r="AQ16" s="593"/>
      <c r="AR16" s="593"/>
      <c r="AS16" s="593"/>
      <c r="AT16" s="594"/>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506"/>
      <c r="C17" s="506"/>
      <c r="D17" s="507"/>
      <c r="E17" s="603"/>
      <c r="F17" s="604"/>
      <c r="G17" s="604"/>
      <c r="H17" s="604"/>
      <c r="I17" s="604"/>
      <c r="J17" s="37" t="str">
        <f>IF(AND('Mapa final'!$AA$15="Alta",'Mapa final'!$AC$15="Leve"),CONCATENATE("R2C",'Mapa final'!$Q$15),"")</f>
        <v/>
      </c>
      <c r="K17" s="38" t="str">
        <f>IF(AND('Mapa final'!$AA$16="Alta",'Mapa final'!$AC$16="Leve"),CONCATENATE("R2C",'Mapa final'!$Q$16),"")</f>
        <v/>
      </c>
      <c r="L17" s="38" t="e">
        <f>IF(AND('Mapa final'!#REF!="Alta",'Mapa final'!#REF!="Leve"),CONCATENATE("R2C",'Mapa final'!$Q$17),"")</f>
        <v>#REF!</v>
      </c>
      <c r="M17" s="38" t="e">
        <f>IF(AND('Mapa final'!#REF!="Alta",'Mapa final'!#REF!="Leve"),CONCATENATE("R2C",'Mapa final'!#REF!),"")</f>
        <v>#REF!</v>
      </c>
      <c r="N17" s="38" t="e">
        <f>IF(AND('Mapa final'!#REF!="Alta",'Mapa final'!#REF!="Leve"),CONCATENATE("R2C",'Mapa final'!#REF!),"")</f>
        <v>#REF!</v>
      </c>
      <c r="O17" s="39" t="e">
        <f>IF(AND('Mapa final'!#REF!="Alta",'Mapa final'!#REF!="Leve"),CONCATENATE("R2C",'Mapa final'!#REF!),"")</f>
        <v>#REF!</v>
      </c>
      <c r="P17" s="37" t="str">
        <f>IF(AND('Mapa final'!$AA$15="Alta",'Mapa final'!$AC$15="Menor"),CONCATENATE("R2C",'Mapa final'!$Q$15),"")</f>
        <v/>
      </c>
      <c r="Q17" s="38" t="str">
        <f>IF(AND('Mapa final'!$AA$16="Alta",'Mapa final'!$AC$16="Menor"),CONCATENATE("R2C",'Mapa final'!$Q$16),"")</f>
        <v/>
      </c>
      <c r="R17" s="38" t="e">
        <f>IF(AND('Mapa final'!#REF!="Alta",'Mapa final'!#REF!="Menor"),CONCATENATE("R2C",'Mapa final'!$Q$17),"")</f>
        <v>#REF!</v>
      </c>
      <c r="S17" s="38" t="e">
        <f>IF(AND('Mapa final'!#REF!="Alta",'Mapa final'!#REF!="Menor"),CONCATENATE("R2C",'Mapa final'!#REF!),"")</f>
        <v>#REF!</v>
      </c>
      <c r="T17" s="38" t="e">
        <f>IF(AND('Mapa final'!#REF!="Alta",'Mapa final'!#REF!="Menor"),CONCATENATE("R2C",'Mapa final'!#REF!),"")</f>
        <v>#REF!</v>
      </c>
      <c r="U17" s="39" t="e">
        <f>IF(AND('Mapa final'!#REF!="Alta",'Mapa final'!#REF!="Menor"),CONCATENATE("R2C",'Mapa final'!#REF!),"")</f>
        <v>#REF!</v>
      </c>
      <c r="V17" s="22" t="str">
        <f>IF(AND('Mapa final'!$AA$15="Alta",'Mapa final'!$AC$15="Moderado"),CONCATENATE("R2C",'Mapa final'!$Q$15),"")</f>
        <v/>
      </c>
      <c r="W17" s="23" t="str">
        <f>IF(AND('Mapa final'!$AA$16="Alta",'Mapa final'!$AC$16="Moderado"),CONCATENATE("R2C",'Mapa final'!$Q$16),"")</f>
        <v/>
      </c>
      <c r="X17" s="23" t="e">
        <f>IF(AND('Mapa final'!#REF!="Alta",'Mapa final'!#REF!="Moderado"),CONCATENATE("R2C",'Mapa final'!$Q$17),"")</f>
        <v>#REF!</v>
      </c>
      <c r="Y17" s="23" t="e">
        <f>IF(AND('Mapa final'!#REF!="Alta",'Mapa final'!#REF!="Moderado"),CONCATENATE("R2C",'Mapa final'!#REF!),"")</f>
        <v>#REF!</v>
      </c>
      <c r="Z17" s="23" t="e">
        <f>IF(AND('Mapa final'!#REF!="Alta",'Mapa final'!#REF!="Moderado"),CONCATENATE("R2C",'Mapa final'!#REF!),"")</f>
        <v>#REF!</v>
      </c>
      <c r="AA17" s="24" t="e">
        <f>IF(AND('Mapa final'!#REF!="Alta",'Mapa final'!#REF!="Moderado"),CONCATENATE("R2C",'Mapa final'!#REF!),"")</f>
        <v>#REF!</v>
      </c>
      <c r="AB17" s="22" t="str">
        <f>IF(AND('Mapa final'!$AA$15="Alta",'Mapa final'!$AC$15="Mayor"),CONCATENATE("R2C",'Mapa final'!$Q$15),"")</f>
        <v/>
      </c>
      <c r="AC17" s="23" t="str">
        <f>IF(AND('Mapa final'!$AA$16="Alta",'Mapa final'!$AC$16="Mayor"),CONCATENATE("R2C",'Mapa final'!$Q$16),"")</f>
        <v/>
      </c>
      <c r="AD17" s="23" t="e">
        <f>IF(AND('Mapa final'!#REF!="Alta",'Mapa final'!#REF!="Mayor"),CONCATENATE("R2C",'Mapa final'!$Q$17),"")</f>
        <v>#REF!</v>
      </c>
      <c r="AE17" s="23" t="e">
        <f>IF(AND('Mapa final'!#REF!="Alta",'Mapa final'!#REF!="Mayor"),CONCATENATE("R2C",'Mapa final'!#REF!),"")</f>
        <v>#REF!</v>
      </c>
      <c r="AF17" s="23" t="e">
        <f>IF(AND('Mapa final'!#REF!="Alta",'Mapa final'!#REF!="Mayor"),CONCATENATE("R2C",'Mapa final'!#REF!),"")</f>
        <v>#REF!</v>
      </c>
      <c r="AG17" s="24" t="e">
        <f>IF(AND('Mapa final'!#REF!="Alta",'Mapa final'!#REF!="Mayor"),CONCATENATE("R2C",'Mapa final'!#REF!),"")</f>
        <v>#REF!</v>
      </c>
      <c r="AH17" s="25" t="str">
        <f>IF(AND('Mapa final'!$AA$15="Alta",'Mapa final'!$AC$15="Catastrófico"),CONCATENATE("R2C",'Mapa final'!$Q$15),"")</f>
        <v/>
      </c>
      <c r="AI17" s="26" t="str">
        <f>IF(AND('Mapa final'!$AA$16="Alta",'Mapa final'!$AC$16="Catastrófico"),CONCATENATE("R2C",'Mapa final'!$Q$16),"")</f>
        <v/>
      </c>
      <c r="AJ17" s="26" t="e">
        <f>IF(AND('Mapa final'!#REF!="Alta",'Mapa final'!#REF!="Catastrófico"),CONCATENATE("R2C",'Mapa final'!$Q$17),"")</f>
        <v>#REF!</v>
      </c>
      <c r="AK17" s="26" t="e">
        <f>IF(AND('Mapa final'!#REF!="Alta",'Mapa final'!#REF!="Catastrófico"),CONCATENATE("R2C",'Mapa final'!#REF!),"")</f>
        <v>#REF!</v>
      </c>
      <c r="AL17" s="26" t="e">
        <f>IF(AND('Mapa final'!#REF!="Alta",'Mapa final'!#REF!="Catastrófico"),CONCATENATE("R2C",'Mapa final'!#REF!),"")</f>
        <v>#REF!</v>
      </c>
      <c r="AM17" s="27" t="e">
        <f>IF(AND('Mapa final'!#REF!="Alta",'Mapa final'!#REF!="Catastrófico"),CONCATENATE("R2C",'Mapa final'!#REF!),"")</f>
        <v>#REF!</v>
      </c>
      <c r="AN17" s="53"/>
      <c r="AO17" s="595"/>
      <c r="AP17" s="596"/>
      <c r="AQ17" s="596"/>
      <c r="AR17" s="596"/>
      <c r="AS17" s="596"/>
      <c r="AT17" s="597"/>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506"/>
      <c r="C18" s="506"/>
      <c r="D18" s="507"/>
      <c r="E18" s="605"/>
      <c r="F18" s="604"/>
      <c r="G18" s="604"/>
      <c r="H18" s="604"/>
      <c r="I18" s="604"/>
      <c r="J18" s="37" t="e">
        <f>IF(AND('Mapa final'!#REF!="Alta",'Mapa final'!#REF!="Leve"),CONCATENATE("R3C",'Mapa final'!#REF!),"")</f>
        <v>#REF!</v>
      </c>
      <c r="K18" s="38" t="e">
        <f>IF(AND('Mapa final'!#REF!="Alta",'Mapa final'!#REF!="Leve"),CONCATENATE("R3C",'Mapa final'!#REF!),"")</f>
        <v>#REF!</v>
      </c>
      <c r="L18" s="38" t="e">
        <f>IF(AND('Mapa final'!#REF!="Alta",'Mapa final'!#REF!="Leve"),CONCATENATE("R3C",'Mapa final'!#REF!),"")</f>
        <v>#REF!</v>
      </c>
      <c r="M18" s="38" t="e">
        <f>IF(AND('Mapa final'!#REF!="Alta",'Mapa final'!#REF!="Leve"),CONCATENATE("R3C",'Mapa final'!#REF!),"")</f>
        <v>#REF!</v>
      </c>
      <c r="N18" s="38" t="e">
        <f>IF(AND('Mapa final'!#REF!="Alta",'Mapa final'!#REF!="Leve"),CONCATENATE("R3C",'Mapa final'!#REF!),"")</f>
        <v>#REF!</v>
      </c>
      <c r="O18" s="39" t="e">
        <f>IF(AND('Mapa final'!#REF!="Alta",'Mapa final'!#REF!="Leve"),CONCATENATE("R3C",'Mapa final'!#REF!),"")</f>
        <v>#REF!</v>
      </c>
      <c r="P18" s="37" t="e">
        <f>IF(AND('Mapa final'!#REF!="Alta",'Mapa final'!#REF!="Menor"),CONCATENATE("R3C",'Mapa final'!#REF!),"")</f>
        <v>#REF!</v>
      </c>
      <c r="Q18" s="38" t="e">
        <f>IF(AND('Mapa final'!#REF!="Alta",'Mapa final'!#REF!="Menor"),CONCATENATE("R3C",'Mapa final'!#REF!),"")</f>
        <v>#REF!</v>
      </c>
      <c r="R18" s="38" t="e">
        <f>IF(AND('Mapa final'!#REF!="Alta",'Mapa final'!#REF!="Menor"),CONCATENATE("R3C",'Mapa final'!#REF!),"")</f>
        <v>#REF!</v>
      </c>
      <c r="S18" s="38" t="e">
        <f>IF(AND('Mapa final'!#REF!="Alta",'Mapa final'!#REF!="Menor"),CONCATENATE("R3C",'Mapa final'!#REF!),"")</f>
        <v>#REF!</v>
      </c>
      <c r="T18" s="38" t="e">
        <f>IF(AND('Mapa final'!#REF!="Alta",'Mapa final'!#REF!="Menor"),CONCATENATE("R3C",'Mapa final'!#REF!),"")</f>
        <v>#REF!</v>
      </c>
      <c r="U18" s="39" t="e">
        <f>IF(AND('Mapa final'!#REF!="Alta",'Mapa final'!#REF!="Menor"),CONCATENATE("R3C",'Mapa final'!#REF!),"")</f>
        <v>#REF!</v>
      </c>
      <c r="V18" s="22" t="e">
        <f>IF(AND('Mapa final'!#REF!="Alta",'Mapa final'!#REF!="Moderado"),CONCATENATE("R3C",'Mapa final'!#REF!),"")</f>
        <v>#REF!</v>
      </c>
      <c r="W18" s="23" t="e">
        <f>IF(AND('Mapa final'!#REF!="Alta",'Mapa final'!#REF!="Moderado"),CONCATENATE("R3C",'Mapa final'!#REF!),"")</f>
        <v>#REF!</v>
      </c>
      <c r="X18" s="23" t="e">
        <f>IF(AND('Mapa final'!#REF!="Alta",'Mapa final'!#REF!="Moderado"),CONCATENATE("R3C",'Mapa final'!#REF!),"")</f>
        <v>#REF!</v>
      </c>
      <c r="Y18" s="23" t="e">
        <f>IF(AND('Mapa final'!#REF!="Alta",'Mapa final'!#REF!="Moderado"),CONCATENATE("R3C",'Mapa final'!#REF!),"")</f>
        <v>#REF!</v>
      </c>
      <c r="Z18" s="23" t="e">
        <f>IF(AND('Mapa final'!#REF!="Alta",'Mapa final'!#REF!="Moderado"),CONCATENATE("R3C",'Mapa final'!#REF!),"")</f>
        <v>#REF!</v>
      </c>
      <c r="AA18" s="24" t="e">
        <f>IF(AND('Mapa final'!#REF!="Alta",'Mapa final'!#REF!="Moderado"),CONCATENATE("R3C",'Mapa final'!#REF!),"")</f>
        <v>#REF!</v>
      </c>
      <c r="AB18" s="22" t="e">
        <f>IF(AND('Mapa final'!#REF!="Alta",'Mapa final'!#REF!="Mayor"),CONCATENATE("R3C",'Mapa final'!#REF!),"")</f>
        <v>#REF!</v>
      </c>
      <c r="AC18" s="23" t="e">
        <f>IF(AND('Mapa final'!#REF!="Alta",'Mapa final'!#REF!="Mayor"),CONCATENATE("R3C",'Mapa final'!#REF!),"")</f>
        <v>#REF!</v>
      </c>
      <c r="AD18" s="23" t="e">
        <f>IF(AND('Mapa final'!#REF!="Alta",'Mapa final'!#REF!="Mayor"),CONCATENATE("R3C",'Mapa final'!#REF!),"")</f>
        <v>#REF!</v>
      </c>
      <c r="AE18" s="23" t="e">
        <f>IF(AND('Mapa final'!#REF!="Alta",'Mapa final'!#REF!="Mayor"),CONCATENATE("R3C",'Mapa final'!#REF!),"")</f>
        <v>#REF!</v>
      </c>
      <c r="AF18" s="23" t="e">
        <f>IF(AND('Mapa final'!#REF!="Alta",'Mapa final'!#REF!="Mayor"),CONCATENATE("R3C",'Mapa final'!#REF!),"")</f>
        <v>#REF!</v>
      </c>
      <c r="AG18" s="24" t="e">
        <f>IF(AND('Mapa final'!#REF!="Alta",'Mapa final'!#REF!="Mayor"),CONCATENATE("R3C",'Mapa final'!#REF!),"")</f>
        <v>#REF!</v>
      </c>
      <c r="AH18" s="25" t="e">
        <f>IF(AND('Mapa final'!#REF!="Alta",'Mapa final'!#REF!="Catastrófico"),CONCATENATE("R3C",'Mapa final'!#REF!),"")</f>
        <v>#REF!</v>
      </c>
      <c r="AI18" s="26" t="e">
        <f>IF(AND('Mapa final'!#REF!="Alta",'Mapa final'!#REF!="Catastrófico"),CONCATENATE("R3C",'Mapa final'!#REF!),"")</f>
        <v>#REF!</v>
      </c>
      <c r="AJ18" s="26" t="e">
        <f>IF(AND('Mapa final'!#REF!="Alta",'Mapa final'!#REF!="Catastrófico"),CONCATENATE("R3C",'Mapa final'!#REF!),"")</f>
        <v>#REF!</v>
      </c>
      <c r="AK18" s="26" t="e">
        <f>IF(AND('Mapa final'!#REF!="Alta",'Mapa final'!#REF!="Catastrófico"),CONCATENATE("R3C",'Mapa final'!#REF!),"")</f>
        <v>#REF!</v>
      </c>
      <c r="AL18" s="26" t="e">
        <f>IF(AND('Mapa final'!#REF!="Alta",'Mapa final'!#REF!="Catastrófico"),CONCATENATE("R3C",'Mapa final'!#REF!),"")</f>
        <v>#REF!</v>
      </c>
      <c r="AM18" s="27" t="e">
        <f>IF(AND('Mapa final'!#REF!="Alta",'Mapa final'!#REF!="Catastrófico"),CONCATENATE("R3C",'Mapa final'!#REF!),"")</f>
        <v>#REF!</v>
      </c>
      <c r="AN18" s="53"/>
      <c r="AO18" s="595"/>
      <c r="AP18" s="596"/>
      <c r="AQ18" s="596"/>
      <c r="AR18" s="596"/>
      <c r="AS18" s="596"/>
      <c r="AT18" s="597"/>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506"/>
      <c r="C19" s="506"/>
      <c r="D19" s="507"/>
      <c r="E19" s="605"/>
      <c r="F19" s="604"/>
      <c r="G19" s="604"/>
      <c r="H19" s="604"/>
      <c r="I19" s="604"/>
      <c r="J19" s="37" t="e">
        <f>IF(AND('Mapa final'!#REF!="Alta",'Mapa final'!#REF!="Leve"),CONCATENATE("R4C",'Mapa final'!#REF!),"")</f>
        <v>#REF!</v>
      </c>
      <c r="K19" s="38" t="e">
        <f>IF(AND('Mapa final'!#REF!="Alta",'Mapa final'!#REF!="Leve"),CONCATENATE("R4C",'Mapa final'!#REF!),"")</f>
        <v>#REF!</v>
      </c>
      <c r="L19" s="38" t="e">
        <f>IF(AND('Mapa final'!#REF!="Alta",'Mapa final'!#REF!="Leve"),CONCATENATE("R4C",'Mapa final'!#REF!),"")</f>
        <v>#REF!</v>
      </c>
      <c r="M19" s="38" t="e">
        <f>IF(AND('Mapa final'!#REF!="Alta",'Mapa final'!#REF!="Leve"),CONCATENATE("R4C",'Mapa final'!#REF!),"")</f>
        <v>#REF!</v>
      </c>
      <c r="N19" s="38" t="e">
        <f>IF(AND('Mapa final'!#REF!="Alta",'Mapa final'!#REF!="Leve"),CONCATENATE("R4C",'Mapa final'!#REF!),"")</f>
        <v>#REF!</v>
      </c>
      <c r="O19" s="39" t="e">
        <f>IF(AND('Mapa final'!#REF!="Alta",'Mapa final'!#REF!="Leve"),CONCATENATE("R4C",'Mapa final'!#REF!),"")</f>
        <v>#REF!</v>
      </c>
      <c r="P19" s="37" t="e">
        <f>IF(AND('Mapa final'!#REF!="Alta",'Mapa final'!#REF!="Menor"),CONCATENATE("R4C",'Mapa final'!#REF!),"")</f>
        <v>#REF!</v>
      </c>
      <c r="Q19" s="38" t="e">
        <f>IF(AND('Mapa final'!#REF!="Alta",'Mapa final'!#REF!="Menor"),CONCATENATE("R4C",'Mapa final'!#REF!),"")</f>
        <v>#REF!</v>
      </c>
      <c r="R19" s="38" t="e">
        <f>IF(AND('Mapa final'!#REF!="Alta",'Mapa final'!#REF!="Menor"),CONCATENATE("R4C",'Mapa final'!#REF!),"")</f>
        <v>#REF!</v>
      </c>
      <c r="S19" s="38" t="e">
        <f>IF(AND('Mapa final'!#REF!="Alta",'Mapa final'!#REF!="Menor"),CONCATENATE("R4C",'Mapa final'!#REF!),"")</f>
        <v>#REF!</v>
      </c>
      <c r="T19" s="38" t="e">
        <f>IF(AND('Mapa final'!#REF!="Alta",'Mapa final'!#REF!="Menor"),CONCATENATE("R4C",'Mapa final'!#REF!),"")</f>
        <v>#REF!</v>
      </c>
      <c r="U19" s="39" t="e">
        <f>IF(AND('Mapa final'!#REF!="Alta",'Mapa final'!#REF!="Menor"),CONCATENATE("R4C",'Mapa final'!#REF!),"")</f>
        <v>#REF!</v>
      </c>
      <c r="V19" s="22" t="e">
        <f>IF(AND('Mapa final'!#REF!="Alta",'Mapa final'!#REF!="Moderado"),CONCATENATE("R4C",'Mapa final'!#REF!),"")</f>
        <v>#REF!</v>
      </c>
      <c r="W19" s="23" t="e">
        <f>IF(AND('Mapa final'!#REF!="Alta",'Mapa final'!#REF!="Moderado"),CONCATENATE("R4C",'Mapa final'!#REF!),"")</f>
        <v>#REF!</v>
      </c>
      <c r="X19" s="23" t="e">
        <f>IF(AND('Mapa final'!#REF!="Alta",'Mapa final'!#REF!="Moderado"),CONCATENATE("R4C",'Mapa final'!#REF!),"")</f>
        <v>#REF!</v>
      </c>
      <c r="Y19" s="23" t="e">
        <f>IF(AND('Mapa final'!#REF!="Alta",'Mapa final'!#REF!="Moderado"),CONCATENATE("R4C",'Mapa final'!#REF!),"")</f>
        <v>#REF!</v>
      </c>
      <c r="Z19" s="23" t="e">
        <f>IF(AND('Mapa final'!#REF!="Alta",'Mapa final'!#REF!="Moderado"),CONCATENATE("R4C",'Mapa final'!#REF!),"")</f>
        <v>#REF!</v>
      </c>
      <c r="AA19" s="24" t="e">
        <f>IF(AND('Mapa final'!#REF!="Alta",'Mapa final'!#REF!="Moderado"),CONCATENATE("R4C",'Mapa final'!#REF!),"")</f>
        <v>#REF!</v>
      </c>
      <c r="AB19" s="22" t="e">
        <f>IF(AND('Mapa final'!#REF!="Alta",'Mapa final'!#REF!="Mayor"),CONCATENATE("R4C",'Mapa final'!#REF!),"")</f>
        <v>#REF!</v>
      </c>
      <c r="AC19" s="23" t="e">
        <f>IF(AND('Mapa final'!#REF!="Alta",'Mapa final'!#REF!="Mayor"),CONCATENATE("R4C",'Mapa final'!#REF!),"")</f>
        <v>#REF!</v>
      </c>
      <c r="AD19" s="23" t="e">
        <f>IF(AND('Mapa final'!#REF!="Alta",'Mapa final'!#REF!="Mayor"),CONCATENATE("R4C",'Mapa final'!#REF!),"")</f>
        <v>#REF!</v>
      </c>
      <c r="AE19" s="23" t="e">
        <f>IF(AND('Mapa final'!#REF!="Alta",'Mapa final'!#REF!="Mayor"),CONCATENATE("R4C",'Mapa final'!#REF!),"")</f>
        <v>#REF!</v>
      </c>
      <c r="AF19" s="23" t="e">
        <f>IF(AND('Mapa final'!#REF!="Alta",'Mapa final'!#REF!="Mayor"),CONCATENATE("R4C",'Mapa final'!#REF!),"")</f>
        <v>#REF!</v>
      </c>
      <c r="AG19" s="24" t="e">
        <f>IF(AND('Mapa final'!#REF!="Alta",'Mapa final'!#REF!="Mayor"),CONCATENATE("R4C",'Mapa final'!#REF!),"")</f>
        <v>#REF!</v>
      </c>
      <c r="AH19" s="25" t="e">
        <f>IF(AND('Mapa final'!#REF!="Alta",'Mapa final'!#REF!="Catastrófico"),CONCATENATE("R4C",'Mapa final'!#REF!),"")</f>
        <v>#REF!</v>
      </c>
      <c r="AI19" s="26" t="e">
        <f>IF(AND('Mapa final'!#REF!="Alta",'Mapa final'!#REF!="Catastrófico"),CONCATENATE("R4C",'Mapa final'!#REF!),"")</f>
        <v>#REF!</v>
      </c>
      <c r="AJ19" s="26" t="e">
        <f>IF(AND('Mapa final'!#REF!="Alta",'Mapa final'!#REF!="Catastrófico"),CONCATENATE("R4C",'Mapa final'!#REF!),"")</f>
        <v>#REF!</v>
      </c>
      <c r="AK19" s="26" t="e">
        <f>IF(AND('Mapa final'!#REF!="Alta",'Mapa final'!#REF!="Catastrófico"),CONCATENATE("R4C",'Mapa final'!#REF!),"")</f>
        <v>#REF!</v>
      </c>
      <c r="AL19" s="26" t="e">
        <f>IF(AND('Mapa final'!#REF!="Alta",'Mapa final'!#REF!="Catastrófico"),CONCATENATE("R4C",'Mapa final'!#REF!),"")</f>
        <v>#REF!</v>
      </c>
      <c r="AM19" s="27" t="e">
        <f>IF(AND('Mapa final'!#REF!="Alta",'Mapa final'!#REF!="Catastrófico"),CONCATENATE("R4C",'Mapa final'!#REF!),"")</f>
        <v>#REF!</v>
      </c>
      <c r="AN19" s="53"/>
      <c r="AO19" s="595"/>
      <c r="AP19" s="596"/>
      <c r="AQ19" s="596"/>
      <c r="AR19" s="596"/>
      <c r="AS19" s="596"/>
      <c r="AT19" s="597"/>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506"/>
      <c r="C20" s="506"/>
      <c r="D20" s="507"/>
      <c r="E20" s="605"/>
      <c r="F20" s="604"/>
      <c r="G20" s="604"/>
      <c r="H20" s="604"/>
      <c r="I20" s="604"/>
      <c r="J20" s="37" t="str">
        <f>IF(AND('Mapa final'!$AA$19="Alta",'Mapa final'!$AC$19="Leve"),CONCATENATE("R5C",'Mapa final'!$Q$19),"")</f>
        <v/>
      </c>
      <c r="K20" s="38" t="str">
        <f>IF(AND('Mapa final'!$AA$20="Alta",'Mapa final'!$AC$20="Leve"),CONCATENATE("R5C",'Mapa final'!$Q$20),"")</f>
        <v/>
      </c>
      <c r="L20" s="38" t="str">
        <f>IF(AND('Mapa final'!$AA$21="Alta",'Mapa final'!$AC$21="Leve"),CONCATENATE("R5C",'Mapa final'!$Q$21),"")</f>
        <v/>
      </c>
      <c r="M20" s="38" t="str">
        <f>IF(AND('Mapa final'!$AA$22="Alta",'Mapa final'!$AC$22="Leve"),CONCATENATE("R5C",'Mapa final'!$Q$22),"")</f>
        <v/>
      </c>
      <c r="N20" s="38" t="str">
        <f>IF(AND('Mapa final'!$AA$23="Alta",'Mapa final'!$AC$23="Leve"),CONCATENATE("R5C",'Mapa final'!$Q$23),"")</f>
        <v/>
      </c>
      <c r="O20" s="39" t="str">
        <f>IF(AND('Mapa final'!$AA$24="Alta",'Mapa final'!$AC$24="Leve"),CONCATENATE("R5C",'Mapa final'!$Q$24),"")</f>
        <v/>
      </c>
      <c r="P20" s="37" t="str">
        <f>IF(AND('Mapa final'!$AA$19="Alta",'Mapa final'!$AC$19="Menor"),CONCATENATE("R5C",'Mapa final'!$Q$19),"")</f>
        <v/>
      </c>
      <c r="Q20" s="38" t="str">
        <f>IF(AND('Mapa final'!$AA$20="Alta",'Mapa final'!$AC$20="Menor"),CONCATENATE("R5C",'Mapa final'!$Q$20),"")</f>
        <v/>
      </c>
      <c r="R20" s="38" t="str">
        <f>IF(AND('Mapa final'!$AA$21="Alta",'Mapa final'!$AC$21="Menor"),CONCATENATE("R5C",'Mapa final'!$Q$21),"")</f>
        <v/>
      </c>
      <c r="S20" s="38" t="str">
        <f>IF(AND('Mapa final'!$AA$22="Alta",'Mapa final'!$AC$22="Menor"),CONCATENATE("R5C",'Mapa final'!$Q$22),"")</f>
        <v/>
      </c>
      <c r="T20" s="38" t="str">
        <f>IF(AND('Mapa final'!$AA$23="Alta",'Mapa final'!$AC$23="Menor"),CONCATENATE("R5C",'Mapa final'!$Q$23),"")</f>
        <v/>
      </c>
      <c r="U20" s="39" t="str">
        <f>IF(AND('Mapa final'!$AA$24="Alta",'Mapa final'!$AC$24="Menor"),CONCATENATE("R5C",'Mapa final'!$Q$24),"")</f>
        <v/>
      </c>
      <c r="V20" s="22" t="str">
        <f>IF(AND('Mapa final'!$AA$19="Alta",'Mapa final'!$AC$19="Moderado"),CONCATENATE("R5C",'Mapa final'!$Q$19),"")</f>
        <v/>
      </c>
      <c r="W20" s="23" t="str">
        <f>IF(AND('Mapa final'!$AA$20="Alta",'Mapa final'!$AC$20="Moderado"),CONCATENATE("R5C",'Mapa final'!$Q$20),"")</f>
        <v/>
      </c>
      <c r="X20" s="23" t="str">
        <f>IF(AND('Mapa final'!$AA$21="Alta",'Mapa final'!$AC$21="Moderado"),CONCATENATE("R5C",'Mapa final'!$Q$21),"")</f>
        <v/>
      </c>
      <c r="Y20" s="23" t="str">
        <f>IF(AND('Mapa final'!$AA$22="Alta",'Mapa final'!$AC$22="Moderado"),CONCATENATE("R5C",'Mapa final'!$Q$22),"")</f>
        <v/>
      </c>
      <c r="Z20" s="23" t="str">
        <f>IF(AND('Mapa final'!$AA$23="Alta",'Mapa final'!$AC$23="Moderado"),CONCATENATE("R5C",'Mapa final'!$Q$23),"")</f>
        <v/>
      </c>
      <c r="AA20" s="24" t="str">
        <f>IF(AND('Mapa final'!$AA$24="Alta",'Mapa final'!$AC$24="Moderado"),CONCATENATE("R5C",'Mapa final'!$Q$24),"")</f>
        <v/>
      </c>
      <c r="AB20" s="22" t="str">
        <f>IF(AND('Mapa final'!$AA$19="Alta",'Mapa final'!$AC$19="Mayor"),CONCATENATE("R5C",'Mapa final'!$Q$19),"")</f>
        <v/>
      </c>
      <c r="AC20" s="23" t="str">
        <f>IF(AND('Mapa final'!$AA$20="Alta",'Mapa final'!$AC$20="Mayor"),CONCATENATE("R5C",'Mapa final'!$Q$20),"")</f>
        <v/>
      </c>
      <c r="AD20" s="23" t="str">
        <f>IF(AND('Mapa final'!$AA$21="Alta",'Mapa final'!$AC$21="Mayor"),CONCATENATE("R5C",'Mapa final'!$Q$21),"")</f>
        <v/>
      </c>
      <c r="AE20" s="23" t="str">
        <f>IF(AND('Mapa final'!$AA$22="Alta",'Mapa final'!$AC$22="Mayor"),CONCATENATE("R5C",'Mapa final'!$Q$22),"")</f>
        <v/>
      </c>
      <c r="AF20" s="23" t="str">
        <f>IF(AND('Mapa final'!$AA$23="Alta",'Mapa final'!$AC$23="Mayor"),CONCATENATE("R5C",'Mapa final'!$Q$23),"")</f>
        <v/>
      </c>
      <c r="AG20" s="24" t="str">
        <f>IF(AND('Mapa final'!$AA$24="Alta",'Mapa final'!$AC$24="Mayor"),CONCATENATE("R5C",'Mapa final'!$Q$24),"")</f>
        <v/>
      </c>
      <c r="AH20" s="25" t="str">
        <f>IF(AND('Mapa final'!$AA$19="Alta",'Mapa final'!$AC$19="Catastrófico"),CONCATENATE("R5C",'Mapa final'!$Q$19),"")</f>
        <v/>
      </c>
      <c r="AI20" s="26" t="str">
        <f>IF(AND('Mapa final'!$AA$20="Alta",'Mapa final'!$AC$20="Catastrófico"),CONCATENATE("R5C",'Mapa final'!$Q$20),"")</f>
        <v/>
      </c>
      <c r="AJ20" s="26" t="str">
        <f>IF(AND('Mapa final'!$AA$21="Alta",'Mapa final'!$AC$21="Catastrófico"),CONCATENATE("R5C",'Mapa final'!$Q$21),"")</f>
        <v/>
      </c>
      <c r="AK20" s="26" t="str">
        <f>IF(AND('Mapa final'!$AA$22="Alta",'Mapa final'!$AC$22="Catastrófico"),CONCATENATE("R5C",'Mapa final'!$Q$22),"")</f>
        <v/>
      </c>
      <c r="AL20" s="26" t="str">
        <f>IF(AND('Mapa final'!$AA$23="Alta",'Mapa final'!$AC$23="Catastrófico"),CONCATENATE("R5C",'Mapa final'!$Q$23),"")</f>
        <v/>
      </c>
      <c r="AM20" s="27" t="str">
        <f>IF(AND('Mapa final'!$AA$24="Alta",'Mapa final'!$AC$24="Catastrófico"),CONCATENATE("R5C",'Mapa final'!$Q$24),"")</f>
        <v/>
      </c>
      <c r="AN20" s="53"/>
      <c r="AO20" s="595"/>
      <c r="AP20" s="596"/>
      <c r="AQ20" s="596"/>
      <c r="AR20" s="596"/>
      <c r="AS20" s="596"/>
      <c r="AT20" s="597"/>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506"/>
      <c r="C21" s="506"/>
      <c r="D21" s="507"/>
      <c r="E21" s="605"/>
      <c r="F21" s="604"/>
      <c r="G21" s="604"/>
      <c r="H21" s="604"/>
      <c r="I21" s="604"/>
      <c r="J21" s="37" t="str">
        <f>IF(AND('Mapa final'!$AA$25="Alta",'Mapa final'!$AC$25="Leve"),CONCATENATE("R6C",'Mapa final'!$Q$25),"")</f>
        <v/>
      </c>
      <c r="K21" s="38" t="str">
        <f>IF(AND('Mapa final'!$AA$26="Alta",'Mapa final'!$AC$26="Leve"),CONCATENATE("R6C",'Mapa final'!$Q$26),"")</f>
        <v/>
      </c>
      <c r="L21" s="38" t="str">
        <f>IF(AND('Mapa final'!$AA$27="Alta",'Mapa final'!$AC$27="Leve"),CONCATENATE("R6C",'Mapa final'!$Q$27),"")</f>
        <v/>
      </c>
      <c r="M21" s="38" t="str">
        <f>IF(AND('Mapa final'!$AA$28="Alta",'Mapa final'!$AC$28="Leve"),CONCATENATE("R6C",'Mapa final'!$Q$28),"")</f>
        <v/>
      </c>
      <c r="N21" s="38" t="str">
        <f>IF(AND('Mapa final'!$AA$29="Alta",'Mapa final'!$AC$29="Leve"),CONCATENATE("R6C",'Mapa final'!$Q$29),"")</f>
        <v/>
      </c>
      <c r="O21" s="39" t="str">
        <f>IF(AND('Mapa final'!$AA$30="Alta",'Mapa final'!$AC$30="Leve"),CONCATENATE("R6C",'Mapa final'!$Q$30),"")</f>
        <v/>
      </c>
      <c r="P21" s="37" t="str">
        <f>IF(AND('Mapa final'!$AA$25="Alta",'Mapa final'!$AC$25="Menor"),CONCATENATE("R6C",'Mapa final'!$Q$25),"")</f>
        <v/>
      </c>
      <c r="Q21" s="38" t="str">
        <f>IF(AND('Mapa final'!$AA$26="Alta",'Mapa final'!$AC$26="Menor"),CONCATENATE("R6C",'Mapa final'!$Q$26),"")</f>
        <v/>
      </c>
      <c r="R21" s="38" t="str">
        <f>IF(AND('Mapa final'!$AA$27="Alta",'Mapa final'!$AC$27="Menor"),CONCATENATE("R6C",'Mapa final'!$Q$27),"")</f>
        <v/>
      </c>
      <c r="S21" s="38" t="str">
        <f>IF(AND('Mapa final'!$AA$28="Alta",'Mapa final'!$AC$28="Menor"),CONCATENATE("R6C",'Mapa final'!$Q$28),"")</f>
        <v/>
      </c>
      <c r="T21" s="38" t="str">
        <f>IF(AND('Mapa final'!$AA$29="Alta",'Mapa final'!$AC$29="Menor"),CONCATENATE("R6C",'Mapa final'!$Q$29),"")</f>
        <v/>
      </c>
      <c r="U21" s="39" t="str">
        <f>IF(AND('Mapa final'!$AA$30="Alta",'Mapa final'!$AC$30="Menor"),CONCATENATE("R6C",'Mapa final'!$Q$30),"")</f>
        <v/>
      </c>
      <c r="V21" s="22" t="str">
        <f>IF(AND('Mapa final'!$AA$25="Alta",'Mapa final'!$AC$25="Moderado"),CONCATENATE("R6C",'Mapa final'!$Q$25),"")</f>
        <v/>
      </c>
      <c r="W21" s="23" t="str">
        <f>IF(AND('Mapa final'!$AA$26="Alta",'Mapa final'!$AC$26="Moderado"),CONCATENATE("R6C",'Mapa final'!$Q$26),"")</f>
        <v/>
      </c>
      <c r="X21" s="23" t="str">
        <f>IF(AND('Mapa final'!$AA$27="Alta",'Mapa final'!$AC$27="Moderado"),CONCATENATE("R6C",'Mapa final'!$Q$27),"")</f>
        <v/>
      </c>
      <c r="Y21" s="23" t="str">
        <f>IF(AND('Mapa final'!$AA$28="Alta",'Mapa final'!$AC$28="Moderado"),CONCATENATE("R6C",'Mapa final'!$Q$28),"")</f>
        <v/>
      </c>
      <c r="Z21" s="23" t="str">
        <f>IF(AND('Mapa final'!$AA$29="Alta",'Mapa final'!$AC$29="Moderado"),CONCATENATE("R6C",'Mapa final'!$Q$29),"")</f>
        <v/>
      </c>
      <c r="AA21" s="24" t="str">
        <f>IF(AND('Mapa final'!$AA$30="Alta",'Mapa final'!$AC$30="Moderado"),CONCATENATE("R6C",'Mapa final'!$Q$30),"")</f>
        <v/>
      </c>
      <c r="AB21" s="22" t="str">
        <f>IF(AND('Mapa final'!$AA$25="Alta",'Mapa final'!$AC$25="Mayor"),CONCATENATE("R6C",'Mapa final'!$Q$25),"")</f>
        <v/>
      </c>
      <c r="AC21" s="23" t="str">
        <f>IF(AND('Mapa final'!$AA$26="Alta",'Mapa final'!$AC$26="Mayor"),CONCATENATE("R6C",'Mapa final'!$Q$26),"")</f>
        <v/>
      </c>
      <c r="AD21" s="23" t="str">
        <f>IF(AND('Mapa final'!$AA$27="Alta",'Mapa final'!$AC$27="Mayor"),CONCATENATE("R6C",'Mapa final'!$Q$27),"")</f>
        <v/>
      </c>
      <c r="AE21" s="23" t="str">
        <f>IF(AND('Mapa final'!$AA$28="Alta",'Mapa final'!$AC$28="Mayor"),CONCATENATE("R6C",'Mapa final'!$Q$28),"")</f>
        <v/>
      </c>
      <c r="AF21" s="23" t="str">
        <f>IF(AND('Mapa final'!$AA$29="Alta",'Mapa final'!$AC$29="Mayor"),CONCATENATE("R6C",'Mapa final'!$Q$29),"")</f>
        <v/>
      </c>
      <c r="AG21" s="24" t="str">
        <f>IF(AND('Mapa final'!$AA$30="Alta",'Mapa final'!$AC$30="Mayor"),CONCATENATE("R6C",'Mapa final'!$Q$30),"")</f>
        <v/>
      </c>
      <c r="AH21" s="25" t="str">
        <f>IF(AND('Mapa final'!$AA$25="Alta",'Mapa final'!$AC$25="Catastrófico"),CONCATENATE("R6C",'Mapa final'!$Q$25),"")</f>
        <v/>
      </c>
      <c r="AI21" s="26" t="str">
        <f>IF(AND('Mapa final'!$AA$26="Alta",'Mapa final'!$AC$26="Catastrófico"),CONCATENATE("R6C",'Mapa final'!$Q$26),"")</f>
        <v/>
      </c>
      <c r="AJ21" s="26" t="str">
        <f>IF(AND('Mapa final'!$AA$27="Alta",'Mapa final'!$AC$27="Catastrófico"),CONCATENATE("R6C",'Mapa final'!$Q$27),"")</f>
        <v/>
      </c>
      <c r="AK21" s="26" t="str">
        <f>IF(AND('Mapa final'!$AA$28="Alta",'Mapa final'!$AC$28="Catastrófico"),CONCATENATE("R6C",'Mapa final'!$Q$28),"")</f>
        <v/>
      </c>
      <c r="AL21" s="26" t="str">
        <f>IF(AND('Mapa final'!$AA$29="Alta",'Mapa final'!$AC$29="Catastrófico"),CONCATENATE("R6C",'Mapa final'!$Q$29),"")</f>
        <v/>
      </c>
      <c r="AM21" s="27" t="str">
        <f>IF(AND('Mapa final'!$AA$30="Alta",'Mapa final'!$AC$30="Catastrófico"),CONCATENATE("R6C",'Mapa final'!$Q$30),"")</f>
        <v/>
      </c>
      <c r="AN21" s="53"/>
      <c r="AO21" s="595"/>
      <c r="AP21" s="596"/>
      <c r="AQ21" s="596"/>
      <c r="AR21" s="596"/>
      <c r="AS21" s="596"/>
      <c r="AT21" s="597"/>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506"/>
      <c r="C22" s="506"/>
      <c r="D22" s="507"/>
      <c r="E22" s="605"/>
      <c r="F22" s="604"/>
      <c r="G22" s="604"/>
      <c r="H22" s="604"/>
      <c r="I22" s="604"/>
      <c r="J22" s="37" t="str">
        <f>IF(AND('Mapa final'!$AA$31="Alta",'Mapa final'!$AC$31="Leve"),CONCATENATE("R7C",'Mapa final'!$Q$31),"")</f>
        <v/>
      </c>
      <c r="K22" s="38" t="str">
        <f>IF(AND('Mapa final'!$AA$32="Alta",'Mapa final'!$AC$32="Leve"),CONCATENATE("R7C",'Mapa final'!$Q$32),"")</f>
        <v/>
      </c>
      <c r="L22" s="38" t="str">
        <f>IF(AND('Mapa final'!$AA$33="Alta",'Mapa final'!$AC$33="Leve"),CONCATENATE("R7C",'Mapa final'!$Q$33),"")</f>
        <v/>
      </c>
      <c r="M22" s="38" t="str">
        <f>IF(AND('Mapa final'!$AA$34="Alta",'Mapa final'!$AC$34="Leve"),CONCATENATE("R7C",'Mapa final'!$Q$34),"")</f>
        <v/>
      </c>
      <c r="N22" s="38" t="str">
        <f>IF(AND('Mapa final'!$AA$35="Alta",'Mapa final'!$AC$35="Leve"),CONCATENATE("R7C",'Mapa final'!$Q$35),"")</f>
        <v/>
      </c>
      <c r="O22" s="39" t="str">
        <f>IF(AND('Mapa final'!$AA$36="Alta",'Mapa final'!$AC$36="Leve"),CONCATENATE("R7C",'Mapa final'!$Q$36),"")</f>
        <v/>
      </c>
      <c r="P22" s="37" t="str">
        <f>IF(AND('Mapa final'!$AA$31="Alta",'Mapa final'!$AC$31="Menor"),CONCATENATE("R7C",'Mapa final'!$Q$31),"")</f>
        <v/>
      </c>
      <c r="Q22" s="38" t="str">
        <f>IF(AND('Mapa final'!$AA$32="Alta",'Mapa final'!$AC$32="Menor"),CONCATENATE("R7C",'Mapa final'!$Q$32),"")</f>
        <v/>
      </c>
      <c r="R22" s="38" t="str">
        <f>IF(AND('Mapa final'!$AA$33="Alta",'Mapa final'!$AC$33="Menor"),CONCATENATE("R7C",'Mapa final'!$Q$33),"")</f>
        <v/>
      </c>
      <c r="S22" s="38" t="str">
        <f>IF(AND('Mapa final'!$AA$34="Alta",'Mapa final'!$AC$34="Menor"),CONCATENATE("R7C",'Mapa final'!$Q$34),"")</f>
        <v/>
      </c>
      <c r="T22" s="38" t="str">
        <f>IF(AND('Mapa final'!$AA$35="Alta",'Mapa final'!$AC$35="Menor"),CONCATENATE("R7C",'Mapa final'!$Q$35),"")</f>
        <v/>
      </c>
      <c r="U22" s="39" t="str">
        <f>IF(AND('Mapa final'!$AA$36="Alta",'Mapa final'!$AC$36="Menor"),CONCATENATE("R7C",'Mapa final'!$Q$36),"")</f>
        <v/>
      </c>
      <c r="V22" s="22" t="str">
        <f>IF(AND('Mapa final'!$AA$31="Alta",'Mapa final'!$AC$31="Moderado"),CONCATENATE("R7C",'Mapa final'!$Q$31),"")</f>
        <v/>
      </c>
      <c r="W22" s="23" t="str">
        <f>IF(AND('Mapa final'!$AA$32="Alta",'Mapa final'!$AC$32="Moderado"),CONCATENATE("R7C",'Mapa final'!$Q$32),"")</f>
        <v/>
      </c>
      <c r="X22" s="23" t="str">
        <f>IF(AND('Mapa final'!$AA$33="Alta",'Mapa final'!$AC$33="Moderado"),CONCATENATE("R7C",'Mapa final'!$Q$33),"")</f>
        <v/>
      </c>
      <c r="Y22" s="23" t="str">
        <f>IF(AND('Mapa final'!$AA$34="Alta",'Mapa final'!$AC$34="Moderado"),CONCATENATE("R7C",'Mapa final'!$Q$34),"")</f>
        <v/>
      </c>
      <c r="Z22" s="23" t="str">
        <f>IF(AND('Mapa final'!$AA$35="Alta",'Mapa final'!$AC$35="Moderado"),CONCATENATE("R7C",'Mapa final'!$Q$35),"")</f>
        <v/>
      </c>
      <c r="AA22" s="24" t="str">
        <f>IF(AND('Mapa final'!$AA$36="Alta",'Mapa final'!$AC$36="Moderado"),CONCATENATE("R7C",'Mapa final'!$Q$36),"")</f>
        <v/>
      </c>
      <c r="AB22" s="22" t="str">
        <f>IF(AND('Mapa final'!$AA$31="Alta",'Mapa final'!$AC$31="Mayor"),CONCATENATE("R7C",'Mapa final'!$Q$31),"")</f>
        <v/>
      </c>
      <c r="AC22" s="23" t="str">
        <f>IF(AND('Mapa final'!$AA$32="Alta",'Mapa final'!$AC$32="Mayor"),CONCATENATE("R7C",'Mapa final'!$Q$32),"")</f>
        <v/>
      </c>
      <c r="AD22" s="23" t="str">
        <f>IF(AND('Mapa final'!$AA$33="Alta",'Mapa final'!$AC$33="Mayor"),CONCATENATE("R7C",'Mapa final'!$Q$33),"")</f>
        <v/>
      </c>
      <c r="AE22" s="23" t="str">
        <f>IF(AND('Mapa final'!$AA$34="Alta",'Mapa final'!$AC$34="Mayor"),CONCATENATE("R7C",'Mapa final'!$Q$34),"")</f>
        <v/>
      </c>
      <c r="AF22" s="23" t="str">
        <f>IF(AND('Mapa final'!$AA$35="Alta",'Mapa final'!$AC$35="Mayor"),CONCATENATE("R7C",'Mapa final'!$Q$35),"")</f>
        <v/>
      </c>
      <c r="AG22" s="24" t="str">
        <f>IF(AND('Mapa final'!$AA$36="Alta",'Mapa final'!$AC$36="Mayor"),CONCATENATE("R7C",'Mapa final'!$Q$36),"")</f>
        <v/>
      </c>
      <c r="AH22" s="25" t="str">
        <f>IF(AND('Mapa final'!$AA$31="Alta",'Mapa final'!$AC$31="Catastrófico"),CONCATENATE("R7C",'Mapa final'!$Q$31),"")</f>
        <v/>
      </c>
      <c r="AI22" s="26" t="str">
        <f>IF(AND('Mapa final'!$AA$32="Alta",'Mapa final'!$AC$32="Catastrófico"),CONCATENATE("R7C",'Mapa final'!$Q$32),"")</f>
        <v/>
      </c>
      <c r="AJ22" s="26" t="str">
        <f>IF(AND('Mapa final'!$AA$33="Alta",'Mapa final'!$AC$33="Catastrófico"),CONCATENATE("R7C",'Mapa final'!$Q$33),"")</f>
        <v/>
      </c>
      <c r="AK22" s="26" t="str">
        <f>IF(AND('Mapa final'!$AA$34="Alta",'Mapa final'!$AC$34="Catastrófico"),CONCATENATE("R7C",'Mapa final'!$Q$34),"")</f>
        <v/>
      </c>
      <c r="AL22" s="26" t="str">
        <f>IF(AND('Mapa final'!$AA$35="Alta",'Mapa final'!$AC$35="Catastrófico"),CONCATENATE("R7C",'Mapa final'!$Q$35),"")</f>
        <v/>
      </c>
      <c r="AM22" s="27" t="str">
        <f>IF(AND('Mapa final'!$AA$36="Alta",'Mapa final'!$AC$36="Catastrófico"),CONCATENATE("R7C",'Mapa final'!$Q$36),"")</f>
        <v/>
      </c>
      <c r="AN22" s="53"/>
      <c r="AO22" s="595"/>
      <c r="AP22" s="596"/>
      <c r="AQ22" s="596"/>
      <c r="AR22" s="596"/>
      <c r="AS22" s="596"/>
      <c r="AT22" s="597"/>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506"/>
      <c r="C23" s="506"/>
      <c r="D23" s="507"/>
      <c r="E23" s="605"/>
      <c r="F23" s="604"/>
      <c r="G23" s="604"/>
      <c r="H23" s="604"/>
      <c r="I23" s="604"/>
      <c r="J23" s="37" t="str">
        <f>IF(AND('Mapa final'!$AA$37="Alta",'Mapa final'!$AC$37="Leve"),CONCATENATE("R8C",'Mapa final'!$Q$37),"")</f>
        <v/>
      </c>
      <c r="K23" s="38" t="str">
        <f>IF(AND('Mapa final'!$AA$38="Alta",'Mapa final'!$AC$38="Leve"),CONCATENATE("R8C",'Mapa final'!$Q$38),"")</f>
        <v/>
      </c>
      <c r="L23" s="38" t="str">
        <f>IF(AND('Mapa final'!$AA$39="Alta",'Mapa final'!$AC$39="Leve"),CONCATENATE("R8C",'Mapa final'!$Q$39),"")</f>
        <v/>
      </c>
      <c r="M23" s="38" t="str">
        <f>IF(AND('Mapa final'!$AA$40="Alta",'Mapa final'!$AC$40="Leve"),CONCATENATE("R8C",'Mapa final'!$Q$40),"")</f>
        <v/>
      </c>
      <c r="N23" s="38" t="str">
        <f>IF(AND('Mapa final'!$AA$41="Alta",'Mapa final'!$AC$41="Leve"),CONCATENATE("R8C",'Mapa final'!$Q$41),"")</f>
        <v/>
      </c>
      <c r="O23" s="39" t="str">
        <f>IF(AND('Mapa final'!$AA$42="Alta",'Mapa final'!$AC$42="Leve"),CONCATENATE("R8C",'Mapa final'!$Q$42),"")</f>
        <v/>
      </c>
      <c r="P23" s="37" t="str">
        <f>IF(AND('Mapa final'!$AA$37="Alta",'Mapa final'!$AC$37="Menor"),CONCATENATE("R8C",'Mapa final'!$Q$37),"")</f>
        <v/>
      </c>
      <c r="Q23" s="38" t="str">
        <f>IF(AND('Mapa final'!$AA$38="Alta",'Mapa final'!$AC$38="Menor"),CONCATENATE("R8C",'Mapa final'!$Q$38),"")</f>
        <v/>
      </c>
      <c r="R23" s="38" t="str">
        <f>IF(AND('Mapa final'!$AA$39="Alta",'Mapa final'!$AC$39="Menor"),CONCATENATE("R8C",'Mapa final'!$Q$39),"")</f>
        <v/>
      </c>
      <c r="S23" s="38" t="str">
        <f>IF(AND('Mapa final'!$AA$40="Alta",'Mapa final'!$AC$40="Menor"),CONCATENATE("R8C",'Mapa final'!$Q$40),"")</f>
        <v/>
      </c>
      <c r="T23" s="38" t="str">
        <f>IF(AND('Mapa final'!$AA$41="Alta",'Mapa final'!$AC$41="Menor"),CONCATENATE("R8C",'Mapa final'!$Q$41),"")</f>
        <v/>
      </c>
      <c r="U23" s="39" t="str">
        <f>IF(AND('Mapa final'!$AA$42="Alta",'Mapa final'!$AC$42="Menor"),CONCATENATE("R8C",'Mapa final'!$Q$42),"")</f>
        <v/>
      </c>
      <c r="V23" s="22" t="str">
        <f>IF(AND('Mapa final'!$AA$37="Alta",'Mapa final'!$AC$37="Moderado"),CONCATENATE("R8C",'Mapa final'!$Q$37),"")</f>
        <v/>
      </c>
      <c r="W23" s="23" t="str">
        <f>IF(AND('Mapa final'!$AA$38="Alta",'Mapa final'!$AC$38="Moderado"),CONCATENATE("R8C",'Mapa final'!$Q$38),"")</f>
        <v/>
      </c>
      <c r="X23" s="23" t="str">
        <f>IF(AND('Mapa final'!$AA$39="Alta",'Mapa final'!$AC$39="Moderado"),CONCATENATE("R8C",'Mapa final'!$Q$39),"")</f>
        <v/>
      </c>
      <c r="Y23" s="23" t="str">
        <f>IF(AND('Mapa final'!$AA$40="Alta",'Mapa final'!$AC$40="Moderado"),CONCATENATE("R8C",'Mapa final'!$Q$40),"")</f>
        <v/>
      </c>
      <c r="Z23" s="23" t="str">
        <f>IF(AND('Mapa final'!$AA$41="Alta",'Mapa final'!$AC$41="Moderado"),CONCATENATE("R8C",'Mapa final'!$Q$41),"")</f>
        <v/>
      </c>
      <c r="AA23" s="24" t="str">
        <f>IF(AND('Mapa final'!$AA$42="Alta",'Mapa final'!$AC$42="Moderado"),CONCATENATE("R8C",'Mapa final'!$Q$42),"")</f>
        <v/>
      </c>
      <c r="AB23" s="22" t="str">
        <f>IF(AND('Mapa final'!$AA$37="Alta",'Mapa final'!$AC$37="Mayor"),CONCATENATE("R8C",'Mapa final'!$Q$37),"")</f>
        <v/>
      </c>
      <c r="AC23" s="23" t="str">
        <f>IF(AND('Mapa final'!$AA$38="Alta",'Mapa final'!$AC$38="Mayor"),CONCATENATE("R8C",'Mapa final'!$Q$38),"")</f>
        <v/>
      </c>
      <c r="AD23" s="23" t="str">
        <f>IF(AND('Mapa final'!$AA$39="Alta",'Mapa final'!$AC$39="Mayor"),CONCATENATE("R8C",'Mapa final'!$Q$39),"")</f>
        <v/>
      </c>
      <c r="AE23" s="23" t="str">
        <f>IF(AND('Mapa final'!$AA$40="Alta",'Mapa final'!$AC$40="Mayor"),CONCATENATE("R8C",'Mapa final'!$Q$40),"")</f>
        <v/>
      </c>
      <c r="AF23" s="23" t="str">
        <f>IF(AND('Mapa final'!$AA$41="Alta",'Mapa final'!$AC$41="Mayor"),CONCATENATE("R8C",'Mapa final'!$Q$41),"")</f>
        <v/>
      </c>
      <c r="AG23" s="24" t="str">
        <f>IF(AND('Mapa final'!$AA$42="Alta",'Mapa final'!$AC$42="Mayor"),CONCATENATE("R8C",'Mapa final'!$Q$42),"")</f>
        <v/>
      </c>
      <c r="AH23" s="25" t="str">
        <f>IF(AND('Mapa final'!$AA$37="Alta",'Mapa final'!$AC$37="Catastrófico"),CONCATENATE("R8C",'Mapa final'!$Q$37),"")</f>
        <v/>
      </c>
      <c r="AI23" s="26" t="str">
        <f>IF(AND('Mapa final'!$AA$38="Alta",'Mapa final'!$AC$38="Catastrófico"),CONCATENATE("R8C",'Mapa final'!$Q$38),"")</f>
        <v/>
      </c>
      <c r="AJ23" s="26" t="str">
        <f>IF(AND('Mapa final'!$AA$39="Alta",'Mapa final'!$AC$39="Catastrófico"),CONCATENATE("R8C",'Mapa final'!$Q$39),"")</f>
        <v/>
      </c>
      <c r="AK23" s="26" t="str">
        <f>IF(AND('Mapa final'!$AA$40="Alta",'Mapa final'!$AC$40="Catastrófico"),CONCATENATE("R8C",'Mapa final'!$Q$40),"")</f>
        <v/>
      </c>
      <c r="AL23" s="26" t="str">
        <f>IF(AND('Mapa final'!$AA$41="Alta",'Mapa final'!$AC$41="Catastrófico"),CONCATENATE("R8C",'Mapa final'!$Q$41),"")</f>
        <v/>
      </c>
      <c r="AM23" s="27" t="str">
        <f>IF(AND('Mapa final'!$AA$42="Alta",'Mapa final'!$AC$42="Catastrófico"),CONCATENATE("R8C",'Mapa final'!$Q$42),"")</f>
        <v/>
      </c>
      <c r="AN23" s="53"/>
      <c r="AO23" s="595"/>
      <c r="AP23" s="596"/>
      <c r="AQ23" s="596"/>
      <c r="AR23" s="596"/>
      <c r="AS23" s="596"/>
      <c r="AT23" s="597"/>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506"/>
      <c r="C24" s="506"/>
      <c r="D24" s="507"/>
      <c r="E24" s="605"/>
      <c r="F24" s="604"/>
      <c r="G24" s="604"/>
      <c r="H24" s="604"/>
      <c r="I24" s="604"/>
      <c r="J24" s="37" t="str">
        <f>IF(AND('Mapa final'!$AA$43="Alta",'Mapa final'!$AC$43="Leve"),CONCATENATE("R9C",'Mapa final'!$Q$43),"")</f>
        <v/>
      </c>
      <c r="K24" s="38" t="str">
        <f>IF(AND('Mapa final'!$AA$44="Alta",'Mapa final'!$AC$44="Leve"),CONCATENATE("R9C",'Mapa final'!$Q$44),"")</f>
        <v/>
      </c>
      <c r="L24" s="38" t="str">
        <f>IF(AND('Mapa final'!$AA$45="Alta",'Mapa final'!$AC$45="Leve"),CONCATENATE("R9C",'Mapa final'!$Q$45),"")</f>
        <v/>
      </c>
      <c r="M24" s="38" t="str">
        <f>IF(AND('Mapa final'!$AA$46="Alta",'Mapa final'!$AC$46="Leve"),CONCATENATE("R9C",'Mapa final'!$Q$46),"")</f>
        <v/>
      </c>
      <c r="N24" s="38" t="str">
        <f>IF(AND('Mapa final'!$AA$47="Alta",'Mapa final'!$AC$47="Leve"),CONCATENATE("R9C",'Mapa final'!$Q$47),"")</f>
        <v/>
      </c>
      <c r="O24" s="39" t="str">
        <f>IF(AND('Mapa final'!$AA$48="Alta",'Mapa final'!$AC$48="Leve"),CONCATENATE("R9C",'Mapa final'!$Q$48),"")</f>
        <v/>
      </c>
      <c r="P24" s="37" t="str">
        <f>IF(AND('Mapa final'!$AA$43="Alta",'Mapa final'!$AC$43="Menor"),CONCATENATE("R9C",'Mapa final'!$Q$43),"")</f>
        <v/>
      </c>
      <c r="Q24" s="38" t="str">
        <f>IF(AND('Mapa final'!$AA$44="Alta",'Mapa final'!$AC$44="Menor"),CONCATENATE("R9C",'Mapa final'!$Q$44),"")</f>
        <v/>
      </c>
      <c r="R24" s="38" t="str">
        <f>IF(AND('Mapa final'!$AA$45="Alta",'Mapa final'!$AC$45="Menor"),CONCATENATE("R9C",'Mapa final'!$Q$45),"")</f>
        <v/>
      </c>
      <c r="S24" s="38" t="str">
        <f>IF(AND('Mapa final'!$AA$46="Alta",'Mapa final'!$AC$46="Menor"),CONCATENATE("R9C",'Mapa final'!$Q$46),"")</f>
        <v/>
      </c>
      <c r="T24" s="38" t="str">
        <f>IF(AND('Mapa final'!$AA$47="Alta",'Mapa final'!$AC$47="Menor"),CONCATENATE("R9C",'Mapa final'!$Q$47),"")</f>
        <v/>
      </c>
      <c r="U24" s="39" t="str">
        <f>IF(AND('Mapa final'!$AA$48="Alta",'Mapa final'!$AC$48="Menor"),CONCATENATE("R9C",'Mapa final'!$Q$48),"")</f>
        <v/>
      </c>
      <c r="V24" s="22" t="str">
        <f>IF(AND('Mapa final'!$AA$43="Alta",'Mapa final'!$AC$43="Moderado"),CONCATENATE("R9C",'Mapa final'!$Q$43),"")</f>
        <v/>
      </c>
      <c r="W24" s="23" t="str">
        <f>IF(AND('Mapa final'!$AA$44="Alta",'Mapa final'!$AC$44="Moderado"),CONCATENATE("R9C",'Mapa final'!$Q$44),"")</f>
        <v/>
      </c>
      <c r="X24" s="23" t="str">
        <f>IF(AND('Mapa final'!$AA$45="Alta",'Mapa final'!$AC$45="Moderado"),CONCATENATE("R9C",'Mapa final'!$Q$45),"")</f>
        <v/>
      </c>
      <c r="Y24" s="23" t="str">
        <f>IF(AND('Mapa final'!$AA$46="Alta",'Mapa final'!$AC$46="Moderado"),CONCATENATE("R9C",'Mapa final'!$Q$46),"")</f>
        <v/>
      </c>
      <c r="Z24" s="23" t="str">
        <f>IF(AND('Mapa final'!$AA$47="Alta",'Mapa final'!$AC$47="Moderado"),CONCATENATE("R9C",'Mapa final'!$Q$47),"")</f>
        <v/>
      </c>
      <c r="AA24" s="24" t="str">
        <f>IF(AND('Mapa final'!$AA$48="Alta",'Mapa final'!$AC$48="Moderado"),CONCATENATE("R9C",'Mapa final'!$Q$48),"")</f>
        <v/>
      </c>
      <c r="AB24" s="22" t="str">
        <f>IF(AND('Mapa final'!$AA$43="Alta",'Mapa final'!$AC$43="Mayor"),CONCATENATE("R9C",'Mapa final'!$Q$43),"")</f>
        <v/>
      </c>
      <c r="AC24" s="23" t="str">
        <f>IF(AND('Mapa final'!$AA$44="Alta",'Mapa final'!$AC$44="Mayor"),CONCATENATE("R9C",'Mapa final'!$Q$44),"")</f>
        <v/>
      </c>
      <c r="AD24" s="23" t="str">
        <f>IF(AND('Mapa final'!$AA$45="Alta",'Mapa final'!$AC$45="Mayor"),CONCATENATE("R9C",'Mapa final'!$Q$45),"")</f>
        <v/>
      </c>
      <c r="AE24" s="23" t="str">
        <f>IF(AND('Mapa final'!$AA$46="Alta",'Mapa final'!$AC$46="Mayor"),CONCATENATE("R9C",'Mapa final'!$Q$46),"")</f>
        <v/>
      </c>
      <c r="AF24" s="23" t="str">
        <f>IF(AND('Mapa final'!$AA$47="Alta",'Mapa final'!$AC$47="Mayor"),CONCATENATE("R9C",'Mapa final'!$Q$47),"")</f>
        <v/>
      </c>
      <c r="AG24" s="24" t="str">
        <f>IF(AND('Mapa final'!$AA$48="Alta",'Mapa final'!$AC$48="Mayor"),CONCATENATE("R9C",'Mapa final'!$Q$48),"")</f>
        <v/>
      </c>
      <c r="AH24" s="25" t="str">
        <f>IF(AND('Mapa final'!$AA$43="Alta",'Mapa final'!$AC$43="Catastrófico"),CONCATENATE("R9C",'Mapa final'!$Q$43),"")</f>
        <v/>
      </c>
      <c r="AI24" s="26" t="str">
        <f>IF(AND('Mapa final'!$AA$44="Alta",'Mapa final'!$AC$44="Catastrófico"),CONCATENATE("R9C",'Mapa final'!$Q$44),"")</f>
        <v/>
      </c>
      <c r="AJ24" s="26" t="str">
        <f>IF(AND('Mapa final'!$AA$45="Alta",'Mapa final'!$AC$45="Catastrófico"),CONCATENATE("R9C",'Mapa final'!$Q$45),"")</f>
        <v/>
      </c>
      <c r="AK24" s="26" t="str">
        <f>IF(AND('Mapa final'!$AA$46="Alta",'Mapa final'!$AC$46="Catastrófico"),CONCATENATE("R9C",'Mapa final'!$Q$46),"")</f>
        <v/>
      </c>
      <c r="AL24" s="26" t="str">
        <f>IF(AND('Mapa final'!$AA$47="Alta",'Mapa final'!$AC$47="Catastrófico"),CONCATENATE("R9C",'Mapa final'!$Q$47),"")</f>
        <v/>
      </c>
      <c r="AM24" s="27" t="str">
        <f>IF(AND('Mapa final'!$AA$48="Alta",'Mapa final'!$AC$48="Catastrófico"),CONCATENATE("R9C",'Mapa final'!$Q$48),"")</f>
        <v/>
      </c>
      <c r="AN24" s="53"/>
      <c r="AO24" s="595"/>
      <c r="AP24" s="596"/>
      <c r="AQ24" s="596"/>
      <c r="AR24" s="596"/>
      <c r="AS24" s="596"/>
      <c r="AT24" s="597"/>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506"/>
      <c r="C25" s="506"/>
      <c r="D25" s="507"/>
      <c r="E25" s="606"/>
      <c r="F25" s="607"/>
      <c r="G25" s="607"/>
      <c r="H25" s="607"/>
      <c r="I25" s="607"/>
      <c r="J25" s="40" t="str">
        <f>IF(AND('Mapa final'!$AA$49="Alta",'Mapa final'!$AC$49="Leve"),CONCATENATE("R10C",'Mapa final'!$Q$49),"")</f>
        <v/>
      </c>
      <c r="K25" s="41" t="str">
        <f>IF(AND('Mapa final'!$AA$50="Alta",'Mapa final'!$AC$50="Leve"),CONCATENATE("R10C",'Mapa final'!$Q$50),"")</f>
        <v/>
      </c>
      <c r="L25" s="41" t="str">
        <f>IF(AND('Mapa final'!$AA$51="Alta",'Mapa final'!$AC$51="Leve"),CONCATENATE("R10C",'Mapa final'!$Q$51),"")</f>
        <v/>
      </c>
      <c r="M25" s="41" t="str">
        <f>IF(AND('Mapa final'!$AA$52="Alta",'Mapa final'!$AC$52="Leve"),CONCATENATE("R10C",'Mapa final'!$Q$52),"")</f>
        <v/>
      </c>
      <c r="N25" s="41" t="str">
        <f>IF(AND('Mapa final'!$AA$53="Alta",'Mapa final'!$AC$53="Leve"),CONCATENATE("R10C",'Mapa final'!$Q$53),"")</f>
        <v/>
      </c>
      <c r="O25" s="42" t="str">
        <f>IF(AND('Mapa final'!$AA$54="Alta",'Mapa final'!$AC$54="Leve"),CONCATENATE("R10C",'Mapa final'!$Q$54),"")</f>
        <v/>
      </c>
      <c r="P25" s="40" t="str">
        <f>IF(AND('Mapa final'!$AA$49="Alta",'Mapa final'!$AC$49="Menor"),CONCATENATE("R10C",'Mapa final'!$Q$49),"")</f>
        <v/>
      </c>
      <c r="Q25" s="41" t="str">
        <f>IF(AND('Mapa final'!$AA$50="Alta",'Mapa final'!$AC$50="Menor"),CONCATENATE("R10C",'Mapa final'!$Q$50),"")</f>
        <v/>
      </c>
      <c r="R25" s="41" t="str">
        <f>IF(AND('Mapa final'!$AA$51="Alta",'Mapa final'!$AC$51="Menor"),CONCATENATE("R10C",'Mapa final'!$Q$51),"")</f>
        <v/>
      </c>
      <c r="S25" s="41" t="str">
        <f>IF(AND('Mapa final'!$AA$52="Alta",'Mapa final'!$AC$52="Menor"),CONCATENATE("R10C",'Mapa final'!$Q$52),"")</f>
        <v/>
      </c>
      <c r="T25" s="41" t="str">
        <f>IF(AND('Mapa final'!$AA$53="Alta",'Mapa final'!$AC$53="Menor"),CONCATENATE("R10C",'Mapa final'!$Q$53),"")</f>
        <v/>
      </c>
      <c r="U25" s="42" t="str">
        <f>IF(AND('Mapa final'!$AA$54="Alta",'Mapa final'!$AC$54="Menor"),CONCATENATE("R10C",'Mapa final'!$Q$54),"")</f>
        <v/>
      </c>
      <c r="V25" s="28" t="str">
        <f>IF(AND('Mapa final'!$AA$49="Alta",'Mapa final'!$AC$49="Moderado"),CONCATENATE("R10C",'Mapa final'!$Q$49),"")</f>
        <v/>
      </c>
      <c r="W25" s="29" t="str">
        <f>IF(AND('Mapa final'!$AA$50="Alta",'Mapa final'!$AC$50="Moderado"),CONCATENATE("R10C",'Mapa final'!$Q$50),"")</f>
        <v/>
      </c>
      <c r="X25" s="29" t="str">
        <f>IF(AND('Mapa final'!$AA$51="Alta",'Mapa final'!$AC$51="Moderado"),CONCATENATE("R10C",'Mapa final'!$Q$51),"")</f>
        <v/>
      </c>
      <c r="Y25" s="29" t="str">
        <f>IF(AND('Mapa final'!$AA$52="Alta",'Mapa final'!$AC$52="Moderado"),CONCATENATE("R10C",'Mapa final'!$Q$52),"")</f>
        <v/>
      </c>
      <c r="Z25" s="29" t="str">
        <f>IF(AND('Mapa final'!$AA$53="Alta",'Mapa final'!$AC$53="Moderado"),CONCATENATE("R10C",'Mapa final'!$Q$53),"")</f>
        <v/>
      </c>
      <c r="AA25" s="30" t="str">
        <f>IF(AND('Mapa final'!$AA$54="Alta",'Mapa final'!$AC$54="Moderado"),CONCATENATE("R10C",'Mapa final'!$Q$54),"")</f>
        <v/>
      </c>
      <c r="AB25" s="28" t="str">
        <f>IF(AND('Mapa final'!$AA$49="Alta",'Mapa final'!$AC$49="Mayor"),CONCATENATE("R10C",'Mapa final'!$Q$49),"")</f>
        <v/>
      </c>
      <c r="AC25" s="29" t="str">
        <f>IF(AND('Mapa final'!$AA$50="Alta",'Mapa final'!$AC$50="Mayor"),CONCATENATE("R10C",'Mapa final'!$Q$50),"")</f>
        <v/>
      </c>
      <c r="AD25" s="29" t="str">
        <f>IF(AND('Mapa final'!$AA$51="Alta",'Mapa final'!$AC$51="Mayor"),CONCATENATE("R10C",'Mapa final'!$Q$51),"")</f>
        <v/>
      </c>
      <c r="AE25" s="29" t="str">
        <f>IF(AND('Mapa final'!$AA$52="Alta",'Mapa final'!$AC$52="Mayor"),CONCATENATE("R10C",'Mapa final'!$Q$52),"")</f>
        <v/>
      </c>
      <c r="AF25" s="29" t="str">
        <f>IF(AND('Mapa final'!$AA$53="Alta",'Mapa final'!$AC$53="Mayor"),CONCATENATE("R10C",'Mapa final'!$Q$53),"")</f>
        <v/>
      </c>
      <c r="AG25" s="30" t="str">
        <f>IF(AND('Mapa final'!$AA$54="Alta",'Mapa final'!$AC$54="Mayor"),CONCATENATE("R10C",'Mapa final'!$Q$54),"")</f>
        <v/>
      </c>
      <c r="AH25" s="31" t="str">
        <f>IF(AND('Mapa final'!$AA$49="Alta",'Mapa final'!$AC$49="Catastrófico"),CONCATENATE("R10C",'Mapa final'!$Q$49),"")</f>
        <v/>
      </c>
      <c r="AI25" s="32" t="str">
        <f>IF(AND('Mapa final'!$AA$50="Alta",'Mapa final'!$AC$50="Catastrófico"),CONCATENATE("R10C",'Mapa final'!$Q$50),"")</f>
        <v/>
      </c>
      <c r="AJ25" s="32" t="str">
        <f>IF(AND('Mapa final'!$AA$51="Alta",'Mapa final'!$AC$51="Catastrófico"),CONCATENATE("R10C",'Mapa final'!$Q$51),"")</f>
        <v/>
      </c>
      <c r="AK25" s="32" t="str">
        <f>IF(AND('Mapa final'!$AA$52="Alta",'Mapa final'!$AC$52="Catastrófico"),CONCATENATE("R10C",'Mapa final'!$Q$52),"")</f>
        <v/>
      </c>
      <c r="AL25" s="32" t="str">
        <f>IF(AND('Mapa final'!$AA$53="Alta",'Mapa final'!$AC$53="Catastrófico"),CONCATENATE("R10C",'Mapa final'!$Q$53),"")</f>
        <v/>
      </c>
      <c r="AM25" s="33" t="str">
        <f>IF(AND('Mapa final'!$AA$54="Alta",'Mapa final'!$AC$54="Catastrófico"),CONCATENATE("R10C",'Mapa final'!$Q$54),"")</f>
        <v/>
      </c>
      <c r="AN25" s="53"/>
      <c r="AO25" s="598"/>
      <c r="AP25" s="599"/>
      <c r="AQ25" s="599"/>
      <c r="AR25" s="599"/>
      <c r="AS25" s="599"/>
      <c r="AT25" s="600"/>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506"/>
      <c r="C26" s="506"/>
      <c r="D26" s="507"/>
      <c r="E26" s="601" t="s">
        <v>112</v>
      </c>
      <c r="F26" s="602"/>
      <c r="G26" s="602"/>
      <c r="H26" s="602"/>
      <c r="I26" s="619"/>
      <c r="J26" s="34" t="str">
        <f>IF(AND('Mapa final'!$AA$10="Media",'Mapa final'!$AC$10="Leve"),CONCATENATE("R1C",'Mapa final'!$Q$10),"")</f>
        <v/>
      </c>
      <c r="K26" s="35" t="str">
        <f>IF(AND('Mapa final'!$AA$11="Media",'Mapa final'!$AC$11="Leve"),CONCATENATE("R1C",'Mapa final'!$Q$11),"")</f>
        <v/>
      </c>
      <c r="L26" s="35" t="str">
        <f>IF(AND('Mapa final'!$AA$12="Media",'Mapa final'!$AC$12="Leve"),CONCATENATE("R1C",'Mapa final'!$Q$12),"")</f>
        <v/>
      </c>
      <c r="M26" s="35" t="str">
        <f>IF(AND('Mapa final'!$AA$13="Media",'Mapa final'!$AC$13="Leve"),CONCATENATE("R1C",'Mapa final'!$Q$13),"")</f>
        <v/>
      </c>
      <c r="N26" s="35" t="str">
        <f>IF(AND('Mapa final'!$AA$14="Media",'Mapa final'!$AC$14="Leve"),CONCATENATE("R1C",'Mapa final'!$Q$14),"")</f>
        <v/>
      </c>
      <c r="O26" s="36" t="e">
        <f>IF(AND('Mapa final'!#REF!="Media",'Mapa final'!#REF!="Leve"),CONCATENATE("R1C",'Mapa final'!#REF!),"")</f>
        <v>#REF!</v>
      </c>
      <c r="P26" s="34" t="str">
        <f>IF(AND('Mapa final'!$AA$10="Media",'Mapa final'!$AC$10="Menor"),CONCATENATE("R1C",'Mapa final'!$Q$10),"")</f>
        <v/>
      </c>
      <c r="Q26" s="35" t="str">
        <f>IF(AND('Mapa final'!$AA$11="Media",'Mapa final'!$AC$11="Menor"),CONCATENATE("R1C",'Mapa final'!$Q$11),"")</f>
        <v/>
      </c>
      <c r="R26" s="35" t="str">
        <f>IF(AND('Mapa final'!$AA$12="Media",'Mapa final'!$AC$12="Menor"),CONCATENATE("R1C",'Mapa final'!$Q$12),"")</f>
        <v/>
      </c>
      <c r="S26" s="35" t="str">
        <f>IF(AND('Mapa final'!$AA$13="Media",'Mapa final'!$AC$13="Menor"),CONCATENATE("R1C",'Mapa final'!$Q$13),"")</f>
        <v/>
      </c>
      <c r="T26" s="35" t="str">
        <f>IF(AND('Mapa final'!$AA$14="Media",'Mapa final'!$AC$14="Menor"),CONCATENATE("R1C",'Mapa final'!$Q$14),"")</f>
        <v/>
      </c>
      <c r="U26" s="36" t="e">
        <f>IF(AND('Mapa final'!#REF!="Media",'Mapa final'!#REF!="Menor"),CONCATENATE("R1C",'Mapa final'!#REF!),"")</f>
        <v>#REF!</v>
      </c>
      <c r="V26" s="34" t="str">
        <f>IF(AND('Mapa final'!$AA$10="Media",'Mapa final'!$AC$10="Moderado"),CONCATENATE("R1C",'Mapa final'!$Q$10),"")</f>
        <v/>
      </c>
      <c r="W26" s="35" t="str">
        <f>IF(AND('Mapa final'!$AA$11="Media",'Mapa final'!$AC$11="Moderado"),CONCATENATE("R1C",'Mapa final'!$Q$11),"")</f>
        <v/>
      </c>
      <c r="X26" s="35" t="str">
        <f>IF(AND('Mapa final'!$AA$12="Media",'Mapa final'!$AC$12="Moderado"),CONCATENATE("R1C",'Mapa final'!$Q$12),"")</f>
        <v/>
      </c>
      <c r="Y26" s="35" t="str">
        <f>IF(AND('Mapa final'!$AA$13="Media",'Mapa final'!$AC$13="Moderado"),CONCATENATE("R1C",'Mapa final'!$Q$13),"")</f>
        <v/>
      </c>
      <c r="Z26" s="35" t="str">
        <f>IF(AND('Mapa final'!$AA$14="Media",'Mapa final'!$AC$14="Moderado"),CONCATENATE("R1C",'Mapa final'!$Q$14),"")</f>
        <v/>
      </c>
      <c r="AA26" s="36" t="e">
        <f>IF(AND('Mapa final'!#REF!="Media",'Mapa final'!#REF!="Moderado"),CONCATENATE("R1C",'Mapa final'!#REF!),"")</f>
        <v>#REF!</v>
      </c>
      <c r="AB26" s="16" t="str">
        <f>IF(AND('Mapa final'!$AA$10="Media",'Mapa final'!$AC$10="Mayor"),CONCATENATE("R1C",'Mapa final'!$Q$10),"")</f>
        <v>R1C1</v>
      </c>
      <c r="AC26" s="17" t="str">
        <f>IF(AND('Mapa final'!$AA$11="Media",'Mapa final'!$AC$11="Mayor"),CONCATENATE("R1C",'Mapa final'!$Q$11),"")</f>
        <v/>
      </c>
      <c r="AD26" s="17" t="str">
        <f>IF(AND('Mapa final'!$AA$12="Media",'Mapa final'!$AC$12="Mayor"),CONCATENATE("R1C",'Mapa final'!$Q$12),"")</f>
        <v/>
      </c>
      <c r="AE26" s="17" t="str">
        <f>IF(AND('Mapa final'!$AA$13="Media",'Mapa final'!$AC$13="Mayor"),CONCATENATE("R1C",'Mapa final'!$Q$13),"")</f>
        <v/>
      </c>
      <c r="AF26" s="17" t="str">
        <f>IF(AND('Mapa final'!$AA$14="Media",'Mapa final'!$AC$14="Mayor"),CONCATENATE("R1C",'Mapa final'!$Q$14),"")</f>
        <v/>
      </c>
      <c r="AG26" s="18" t="e">
        <f>IF(AND('Mapa final'!#REF!="Media",'Mapa final'!#REF!="Mayor"),CONCATENATE("R1C",'Mapa final'!#REF!),"")</f>
        <v>#REF!</v>
      </c>
      <c r="AH26" s="19" t="str">
        <f>IF(AND('Mapa final'!$AA$10="Media",'Mapa final'!$AC$10="Catastrófico"),CONCATENATE("R1C",'Mapa final'!$Q$10),"")</f>
        <v/>
      </c>
      <c r="AI26" s="20" t="str">
        <f>IF(AND('Mapa final'!$AA$11="Media",'Mapa final'!$AC$11="Catastrófico"),CONCATENATE("R1C",'Mapa final'!$Q$11),"")</f>
        <v/>
      </c>
      <c r="AJ26" s="20" t="str">
        <f>IF(AND('Mapa final'!$AA$12="Media",'Mapa final'!$AC$12="Catastrófico"),CONCATENATE("R1C",'Mapa final'!$Q$12),"")</f>
        <v/>
      </c>
      <c r="AK26" s="20" t="str">
        <f>IF(AND('Mapa final'!$AA$13="Media",'Mapa final'!$AC$13="Catastrófico"),CONCATENATE("R1C",'Mapa final'!$Q$13),"")</f>
        <v/>
      </c>
      <c r="AL26" s="20" t="str">
        <f>IF(AND('Mapa final'!$AA$14="Media",'Mapa final'!$AC$14="Catastrófico"),CONCATENATE("R1C",'Mapa final'!$Q$14),"")</f>
        <v/>
      </c>
      <c r="AM26" s="21" t="e">
        <f>IF(AND('Mapa final'!#REF!="Media",'Mapa final'!#REF!="Catastrófico"),CONCATENATE("R1C",'Mapa final'!#REF!),"")</f>
        <v>#REF!</v>
      </c>
      <c r="AN26" s="53"/>
      <c r="AO26" s="631" t="s">
        <v>80</v>
      </c>
      <c r="AP26" s="632"/>
      <c r="AQ26" s="632"/>
      <c r="AR26" s="632"/>
      <c r="AS26" s="632"/>
      <c r="AT26" s="63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506"/>
      <c r="C27" s="506"/>
      <c r="D27" s="507"/>
      <c r="E27" s="603"/>
      <c r="F27" s="604"/>
      <c r="G27" s="604"/>
      <c r="H27" s="604"/>
      <c r="I27" s="620"/>
      <c r="J27" s="37" t="str">
        <f>IF(AND('Mapa final'!$AA$15="Media",'Mapa final'!$AC$15="Leve"),CONCATENATE("R2C",'Mapa final'!$Q$15),"")</f>
        <v/>
      </c>
      <c r="K27" s="38" t="str">
        <f>IF(AND('Mapa final'!$AA$16="Media",'Mapa final'!$AC$16="Leve"),CONCATENATE("R2C",'Mapa final'!$Q$16),"")</f>
        <v/>
      </c>
      <c r="L27" s="38" t="e">
        <f>IF(AND('Mapa final'!#REF!="Media",'Mapa final'!#REF!="Leve"),CONCATENATE("R2C",'Mapa final'!$Q$17),"")</f>
        <v>#REF!</v>
      </c>
      <c r="M27" s="38" t="e">
        <f>IF(AND('Mapa final'!#REF!="Media",'Mapa final'!#REF!="Leve"),CONCATENATE("R2C",'Mapa final'!#REF!),"")</f>
        <v>#REF!</v>
      </c>
      <c r="N27" s="38" t="e">
        <f>IF(AND('Mapa final'!#REF!="Media",'Mapa final'!#REF!="Leve"),CONCATENATE("R2C",'Mapa final'!#REF!),"")</f>
        <v>#REF!</v>
      </c>
      <c r="O27" s="39" t="e">
        <f>IF(AND('Mapa final'!#REF!="Media",'Mapa final'!#REF!="Leve"),CONCATENATE("R2C",'Mapa final'!#REF!),"")</f>
        <v>#REF!</v>
      </c>
      <c r="P27" s="37" t="str">
        <f>IF(AND('Mapa final'!$AA$15="Media",'Mapa final'!$AC$15="Menor"),CONCATENATE("R2C",'Mapa final'!$Q$15),"")</f>
        <v/>
      </c>
      <c r="Q27" s="38" t="str">
        <f>IF(AND('Mapa final'!$AA$16="Media",'Mapa final'!$AC$16="Menor"),CONCATENATE("R2C",'Mapa final'!$Q$16),"")</f>
        <v/>
      </c>
      <c r="R27" s="38" t="e">
        <f>IF(AND('Mapa final'!#REF!="Media",'Mapa final'!#REF!="Menor"),CONCATENATE("R2C",'Mapa final'!$Q$17),"")</f>
        <v>#REF!</v>
      </c>
      <c r="S27" s="38" t="e">
        <f>IF(AND('Mapa final'!#REF!="Media",'Mapa final'!#REF!="Menor"),CONCATENATE("R2C",'Mapa final'!#REF!),"")</f>
        <v>#REF!</v>
      </c>
      <c r="T27" s="38" t="e">
        <f>IF(AND('Mapa final'!#REF!="Media",'Mapa final'!#REF!="Menor"),CONCATENATE("R2C",'Mapa final'!#REF!),"")</f>
        <v>#REF!</v>
      </c>
      <c r="U27" s="39" t="e">
        <f>IF(AND('Mapa final'!#REF!="Media",'Mapa final'!#REF!="Menor"),CONCATENATE("R2C",'Mapa final'!#REF!),"")</f>
        <v>#REF!</v>
      </c>
      <c r="V27" s="37" t="str">
        <f>IF(AND('Mapa final'!$AA$15="Media",'Mapa final'!$AC$15="Moderado"),CONCATENATE("R2C",'Mapa final'!$Q$15),"")</f>
        <v/>
      </c>
      <c r="W27" s="38" t="str">
        <f>IF(AND('Mapa final'!$AA$16="Media",'Mapa final'!$AC$16="Moderado"),CONCATENATE("R2C",'Mapa final'!$Q$16),"")</f>
        <v/>
      </c>
      <c r="X27" s="38" t="e">
        <f>IF(AND('Mapa final'!#REF!="Media",'Mapa final'!#REF!="Moderado"),CONCATENATE("R2C",'Mapa final'!$Q$17),"")</f>
        <v>#REF!</v>
      </c>
      <c r="Y27" s="38" t="e">
        <f>IF(AND('Mapa final'!#REF!="Media",'Mapa final'!#REF!="Moderado"),CONCATENATE("R2C",'Mapa final'!#REF!),"")</f>
        <v>#REF!</v>
      </c>
      <c r="Z27" s="38" t="e">
        <f>IF(AND('Mapa final'!#REF!="Media",'Mapa final'!#REF!="Moderado"),CONCATENATE("R2C",'Mapa final'!#REF!),"")</f>
        <v>#REF!</v>
      </c>
      <c r="AA27" s="39" t="e">
        <f>IF(AND('Mapa final'!#REF!="Media",'Mapa final'!#REF!="Moderado"),CONCATENATE("R2C",'Mapa final'!#REF!),"")</f>
        <v>#REF!</v>
      </c>
      <c r="AB27" s="22" t="str">
        <f>IF(AND('Mapa final'!$AA$15="Media",'Mapa final'!$AC$15="Mayor"),CONCATENATE("R2C",'Mapa final'!$Q$15),"")</f>
        <v/>
      </c>
      <c r="AC27" s="23" t="str">
        <f>IF(AND('Mapa final'!$AA$16="Media",'Mapa final'!$AC$16="Mayor"),CONCATENATE("R2C",'Mapa final'!$Q$16),"")</f>
        <v/>
      </c>
      <c r="AD27" s="23" t="e">
        <f>IF(AND('Mapa final'!#REF!="Media",'Mapa final'!#REF!="Mayor"),CONCATENATE("R2C",'Mapa final'!$Q$17),"")</f>
        <v>#REF!</v>
      </c>
      <c r="AE27" s="23" t="e">
        <f>IF(AND('Mapa final'!#REF!="Media",'Mapa final'!#REF!="Mayor"),CONCATENATE("R2C",'Mapa final'!#REF!),"")</f>
        <v>#REF!</v>
      </c>
      <c r="AF27" s="23" t="e">
        <f>IF(AND('Mapa final'!#REF!="Media",'Mapa final'!#REF!="Mayor"),CONCATENATE("R2C",'Mapa final'!#REF!),"")</f>
        <v>#REF!</v>
      </c>
      <c r="AG27" s="24" t="e">
        <f>IF(AND('Mapa final'!#REF!="Media",'Mapa final'!#REF!="Mayor"),CONCATENATE("R2C",'Mapa final'!#REF!),"")</f>
        <v>#REF!</v>
      </c>
      <c r="AH27" s="25" t="str">
        <f>IF(AND('Mapa final'!$AA$15="Media",'Mapa final'!$AC$15="Catastrófico"),CONCATENATE("R2C",'Mapa final'!$Q$15),"")</f>
        <v/>
      </c>
      <c r="AI27" s="26" t="str">
        <f>IF(AND('Mapa final'!$AA$16="Media",'Mapa final'!$AC$16="Catastrófico"),CONCATENATE("R2C",'Mapa final'!$Q$16),"")</f>
        <v/>
      </c>
      <c r="AJ27" s="26" t="e">
        <f>IF(AND('Mapa final'!#REF!="Media",'Mapa final'!#REF!="Catastrófico"),CONCATENATE("R2C",'Mapa final'!$Q$17),"")</f>
        <v>#REF!</v>
      </c>
      <c r="AK27" s="26" t="e">
        <f>IF(AND('Mapa final'!#REF!="Media",'Mapa final'!#REF!="Catastrófico"),CONCATENATE("R2C",'Mapa final'!#REF!),"")</f>
        <v>#REF!</v>
      </c>
      <c r="AL27" s="26" t="e">
        <f>IF(AND('Mapa final'!#REF!="Media",'Mapa final'!#REF!="Catastrófico"),CONCATENATE("R2C",'Mapa final'!#REF!),"")</f>
        <v>#REF!</v>
      </c>
      <c r="AM27" s="27" t="e">
        <f>IF(AND('Mapa final'!#REF!="Media",'Mapa final'!#REF!="Catastrófico"),CONCATENATE("R2C",'Mapa final'!#REF!),"")</f>
        <v>#REF!</v>
      </c>
      <c r="AN27" s="53"/>
      <c r="AO27" s="634"/>
      <c r="AP27" s="635"/>
      <c r="AQ27" s="635"/>
      <c r="AR27" s="635"/>
      <c r="AS27" s="635"/>
      <c r="AT27" s="636"/>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506"/>
      <c r="C28" s="506"/>
      <c r="D28" s="507"/>
      <c r="E28" s="605"/>
      <c r="F28" s="604"/>
      <c r="G28" s="604"/>
      <c r="H28" s="604"/>
      <c r="I28" s="620"/>
      <c r="J28" s="37" t="e">
        <f>IF(AND('Mapa final'!#REF!="Media",'Mapa final'!#REF!="Leve"),CONCATENATE("R3C",'Mapa final'!#REF!),"")</f>
        <v>#REF!</v>
      </c>
      <c r="K28" s="38" t="e">
        <f>IF(AND('Mapa final'!#REF!="Media",'Mapa final'!#REF!="Leve"),CONCATENATE("R3C",'Mapa final'!#REF!),"")</f>
        <v>#REF!</v>
      </c>
      <c r="L28" s="38" t="e">
        <f>IF(AND('Mapa final'!#REF!="Media",'Mapa final'!#REF!="Leve"),CONCATENATE("R3C",'Mapa final'!#REF!),"")</f>
        <v>#REF!</v>
      </c>
      <c r="M28" s="38" t="e">
        <f>IF(AND('Mapa final'!#REF!="Media",'Mapa final'!#REF!="Leve"),CONCATENATE("R3C",'Mapa final'!#REF!),"")</f>
        <v>#REF!</v>
      </c>
      <c r="N28" s="38" t="e">
        <f>IF(AND('Mapa final'!#REF!="Media",'Mapa final'!#REF!="Leve"),CONCATENATE("R3C",'Mapa final'!#REF!),"")</f>
        <v>#REF!</v>
      </c>
      <c r="O28" s="39" t="e">
        <f>IF(AND('Mapa final'!#REF!="Media",'Mapa final'!#REF!="Leve"),CONCATENATE("R3C",'Mapa final'!#REF!),"")</f>
        <v>#REF!</v>
      </c>
      <c r="P28" s="37" t="e">
        <f>IF(AND('Mapa final'!#REF!="Media",'Mapa final'!#REF!="Menor"),CONCATENATE("R3C",'Mapa final'!#REF!),"")</f>
        <v>#REF!</v>
      </c>
      <c r="Q28" s="38" t="e">
        <f>IF(AND('Mapa final'!#REF!="Media",'Mapa final'!#REF!="Menor"),CONCATENATE("R3C",'Mapa final'!#REF!),"")</f>
        <v>#REF!</v>
      </c>
      <c r="R28" s="38" t="e">
        <f>IF(AND('Mapa final'!#REF!="Media",'Mapa final'!#REF!="Menor"),CONCATENATE("R3C",'Mapa final'!#REF!),"")</f>
        <v>#REF!</v>
      </c>
      <c r="S28" s="38" t="e">
        <f>IF(AND('Mapa final'!#REF!="Media",'Mapa final'!#REF!="Menor"),CONCATENATE("R3C",'Mapa final'!#REF!),"")</f>
        <v>#REF!</v>
      </c>
      <c r="T28" s="38" t="e">
        <f>IF(AND('Mapa final'!#REF!="Media",'Mapa final'!#REF!="Menor"),CONCATENATE("R3C",'Mapa final'!#REF!),"")</f>
        <v>#REF!</v>
      </c>
      <c r="U28" s="39" t="e">
        <f>IF(AND('Mapa final'!#REF!="Media",'Mapa final'!#REF!="Menor"),CONCATENATE("R3C",'Mapa final'!#REF!),"")</f>
        <v>#REF!</v>
      </c>
      <c r="V28" s="37" t="e">
        <f>IF(AND('Mapa final'!#REF!="Media",'Mapa final'!#REF!="Moderado"),CONCATENATE("R3C",'Mapa final'!#REF!),"")</f>
        <v>#REF!</v>
      </c>
      <c r="W28" s="38" t="e">
        <f>IF(AND('Mapa final'!#REF!="Media",'Mapa final'!#REF!="Moderado"),CONCATENATE("R3C",'Mapa final'!#REF!),"")</f>
        <v>#REF!</v>
      </c>
      <c r="X28" s="38" t="e">
        <f>IF(AND('Mapa final'!#REF!="Media",'Mapa final'!#REF!="Moderado"),CONCATENATE("R3C",'Mapa final'!#REF!),"")</f>
        <v>#REF!</v>
      </c>
      <c r="Y28" s="38" t="e">
        <f>IF(AND('Mapa final'!#REF!="Media",'Mapa final'!#REF!="Moderado"),CONCATENATE("R3C",'Mapa final'!#REF!),"")</f>
        <v>#REF!</v>
      </c>
      <c r="Z28" s="38" t="e">
        <f>IF(AND('Mapa final'!#REF!="Media",'Mapa final'!#REF!="Moderado"),CONCATENATE("R3C",'Mapa final'!#REF!),"")</f>
        <v>#REF!</v>
      </c>
      <c r="AA28" s="39" t="e">
        <f>IF(AND('Mapa final'!#REF!="Media",'Mapa final'!#REF!="Moderado"),CONCATENATE("R3C",'Mapa final'!#REF!),"")</f>
        <v>#REF!</v>
      </c>
      <c r="AB28" s="22" t="e">
        <f>IF(AND('Mapa final'!#REF!="Media",'Mapa final'!#REF!="Mayor"),CONCATENATE("R3C",'Mapa final'!#REF!),"")</f>
        <v>#REF!</v>
      </c>
      <c r="AC28" s="23" t="e">
        <f>IF(AND('Mapa final'!#REF!="Media",'Mapa final'!#REF!="Mayor"),CONCATENATE("R3C",'Mapa final'!#REF!),"")</f>
        <v>#REF!</v>
      </c>
      <c r="AD28" s="23" t="e">
        <f>IF(AND('Mapa final'!#REF!="Media",'Mapa final'!#REF!="Mayor"),CONCATENATE("R3C",'Mapa final'!#REF!),"")</f>
        <v>#REF!</v>
      </c>
      <c r="AE28" s="23" t="e">
        <f>IF(AND('Mapa final'!#REF!="Media",'Mapa final'!#REF!="Mayor"),CONCATENATE("R3C",'Mapa final'!#REF!),"")</f>
        <v>#REF!</v>
      </c>
      <c r="AF28" s="23" t="e">
        <f>IF(AND('Mapa final'!#REF!="Media",'Mapa final'!#REF!="Mayor"),CONCATENATE("R3C",'Mapa final'!#REF!),"")</f>
        <v>#REF!</v>
      </c>
      <c r="AG28" s="24" t="e">
        <f>IF(AND('Mapa final'!#REF!="Media",'Mapa final'!#REF!="Mayor"),CONCATENATE("R3C",'Mapa final'!#REF!),"")</f>
        <v>#REF!</v>
      </c>
      <c r="AH28" s="25" t="e">
        <f>IF(AND('Mapa final'!#REF!="Media",'Mapa final'!#REF!="Catastrófico"),CONCATENATE("R3C",'Mapa final'!#REF!),"")</f>
        <v>#REF!</v>
      </c>
      <c r="AI28" s="26" t="e">
        <f>IF(AND('Mapa final'!#REF!="Media",'Mapa final'!#REF!="Catastrófico"),CONCATENATE("R3C",'Mapa final'!#REF!),"")</f>
        <v>#REF!</v>
      </c>
      <c r="AJ28" s="26" t="e">
        <f>IF(AND('Mapa final'!#REF!="Media",'Mapa final'!#REF!="Catastrófico"),CONCATENATE("R3C",'Mapa final'!#REF!),"")</f>
        <v>#REF!</v>
      </c>
      <c r="AK28" s="26" t="e">
        <f>IF(AND('Mapa final'!#REF!="Media",'Mapa final'!#REF!="Catastrófico"),CONCATENATE("R3C",'Mapa final'!#REF!),"")</f>
        <v>#REF!</v>
      </c>
      <c r="AL28" s="26" t="e">
        <f>IF(AND('Mapa final'!#REF!="Media",'Mapa final'!#REF!="Catastrófico"),CONCATENATE("R3C",'Mapa final'!#REF!),"")</f>
        <v>#REF!</v>
      </c>
      <c r="AM28" s="27" t="e">
        <f>IF(AND('Mapa final'!#REF!="Media",'Mapa final'!#REF!="Catastrófico"),CONCATENATE("R3C",'Mapa final'!#REF!),"")</f>
        <v>#REF!</v>
      </c>
      <c r="AN28" s="53"/>
      <c r="AO28" s="634"/>
      <c r="AP28" s="635"/>
      <c r="AQ28" s="635"/>
      <c r="AR28" s="635"/>
      <c r="AS28" s="635"/>
      <c r="AT28" s="636"/>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506"/>
      <c r="C29" s="506"/>
      <c r="D29" s="507"/>
      <c r="E29" s="605"/>
      <c r="F29" s="604"/>
      <c r="G29" s="604"/>
      <c r="H29" s="604"/>
      <c r="I29" s="620"/>
      <c r="J29" s="37" t="e">
        <f>IF(AND('Mapa final'!#REF!="Media",'Mapa final'!#REF!="Leve"),CONCATENATE("R4C",'Mapa final'!#REF!),"")</f>
        <v>#REF!</v>
      </c>
      <c r="K29" s="38" t="e">
        <f>IF(AND('Mapa final'!#REF!="Media",'Mapa final'!#REF!="Leve"),CONCATENATE("R4C",'Mapa final'!#REF!),"")</f>
        <v>#REF!</v>
      </c>
      <c r="L29" s="38" t="e">
        <f>IF(AND('Mapa final'!#REF!="Media",'Mapa final'!#REF!="Leve"),CONCATENATE("R4C",'Mapa final'!#REF!),"")</f>
        <v>#REF!</v>
      </c>
      <c r="M29" s="38" t="e">
        <f>IF(AND('Mapa final'!#REF!="Media",'Mapa final'!#REF!="Leve"),CONCATENATE("R4C",'Mapa final'!#REF!),"")</f>
        <v>#REF!</v>
      </c>
      <c r="N29" s="38" t="e">
        <f>IF(AND('Mapa final'!#REF!="Media",'Mapa final'!#REF!="Leve"),CONCATENATE("R4C",'Mapa final'!#REF!),"")</f>
        <v>#REF!</v>
      </c>
      <c r="O29" s="39" t="e">
        <f>IF(AND('Mapa final'!#REF!="Media",'Mapa final'!#REF!="Leve"),CONCATENATE("R4C",'Mapa final'!#REF!),"")</f>
        <v>#REF!</v>
      </c>
      <c r="P29" s="37" t="e">
        <f>IF(AND('Mapa final'!#REF!="Media",'Mapa final'!#REF!="Menor"),CONCATENATE("R4C",'Mapa final'!#REF!),"")</f>
        <v>#REF!</v>
      </c>
      <c r="Q29" s="38" t="e">
        <f>IF(AND('Mapa final'!#REF!="Media",'Mapa final'!#REF!="Menor"),CONCATENATE("R4C",'Mapa final'!#REF!),"")</f>
        <v>#REF!</v>
      </c>
      <c r="R29" s="38" t="e">
        <f>IF(AND('Mapa final'!#REF!="Media",'Mapa final'!#REF!="Menor"),CONCATENATE("R4C",'Mapa final'!#REF!),"")</f>
        <v>#REF!</v>
      </c>
      <c r="S29" s="38" t="e">
        <f>IF(AND('Mapa final'!#REF!="Media",'Mapa final'!#REF!="Menor"),CONCATENATE("R4C",'Mapa final'!#REF!),"")</f>
        <v>#REF!</v>
      </c>
      <c r="T29" s="38" t="e">
        <f>IF(AND('Mapa final'!#REF!="Media",'Mapa final'!#REF!="Menor"),CONCATENATE("R4C",'Mapa final'!#REF!),"")</f>
        <v>#REF!</v>
      </c>
      <c r="U29" s="39" t="e">
        <f>IF(AND('Mapa final'!#REF!="Media",'Mapa final'!#REF!="Menor"),CONCATENATE("R4C",'Mapa final'!#REF!),"")</f>
        <v>#REF!</v>
      </c>
      <c r="V29" s="37" t="e">
        <f>IF(AND('Mapa final'!#REF!="Media",'Mapa final'!#REF!="Moderado"),CONCATENATE("R4C",'Mapa final'!#REF!),"")</f>
        <v>#REF!</v>
      </c>
      <c r="W29" s="38" t="e">
        <f>IF(AND('Mapa final'!#REF!="Media",'Mapa final'!#REF!="Moderado"),CONCATENATE("R4C",'Mapa final'!#REF!),"")</f>
        <v>#REF!</v>
      </c>
      <c r="X29" s="38" t="e">
        <f>IF(AND('Mapa final'!#REF!="Media",'Mapa final'!#REF!="Moderado"),CONCATENATE("R4C",'Mapa final'!#REF!),"")</f>
        <v>#REF!</v>
      </c>
      <c r="Y29" s="38" t="e">
        <f>IF(AND('Mapa final'!#REF!="Media",'Mapa final'!#REF!="Moderado"),CONCATENATE("R4C",'Mapa final'!#REF!),"")</f>
        <v>#REF!</v>
      </c>
      <c r="Z29" s="38" t="e">
        <f>IF(AND('Mapa final'!#REF!="Media",'Mapa final'!#REF!="Moderado"),CONCATENATE("R4C",'Mapa final'!#REF!),"")</f>
        <v>#REF!</v>
      </c>
      <c r="AA29" s="39" t="e">
        <f>IF(AND('Mapa final'!#REF!="Media",'Mapa final'!#REF!="Moderado"),CONCATENATE("R4C",'Mapa final'!#REF!),"")</f>
        <v>#REF!</v>
      </c>
      <c r="AB29" s="22" t="e">
        <f>IF(AND('Mapa final'!#REF!="Media",'Mapa final'!#REF!="Mayor"),CONCATENATE("R4C",'Mapa final'!#REF!),"")</f>
        <v>#REF!</v>
      </c>
      <c r="AC29" s="23" t="e">
        <f>IF(AND('Mapa final'!#REF!="Media",'Mapa final'!#REF!="Mayor"),CONCATENATE("R4C",'Mapa final'!#REF!),"")</f>
        <v>#REF!</v>
      </c>
      <c r="AD29" s="23" t="e">
        <f>IF(AND('Mapa final'!#REF!="Media",'Mapa final'!#REF!="Mayor"),CONCATENATE("R4C",'Mapa final'!#REF!),"")</f>
        <v>#REF!</v>
      </c>
      <c r="AE29" s="23" t="e">
        <f>IF(AND('Mapa final'!#REF!="Media",'Mapa final'!#REF!="Mayor"),CONCATENATE("R4C",'Mapa final'!#REF!),"")</f>
        <v>#REF!</v>
      </c>
      <c r="AF29" s="23" t="e">
        <f>IF(AND('Mapa final'!#REF!="Media",'Mapa final'!#REF!="Mayor"),CONCATENATE("R4C",'Mapa final'!#REF!),"")</f>
        <v>#REF!</v>
      </c>
      <c r="AG29" s="24" t="e">
        <f>IF(AND('Mapa final'!#REF!="Media",'Mapa final'!#REF!="Mayor"),CONCATENATE("R4C",'Mapa final'!#REF!),"")</f>
        <v>#REF!</v>
      </c>
      <c r="AH29" s="25" t="e">
        <f>IF(AND('Mapa final'!#REF!="Media",'Mapa final'!#REF!="Catastrófico"),CONCATENATE("R4C",'Mapa final'!#REF!),"")</f>
        <v>#REF!</v>
      </c>
      <c r="AI29" s="26" t="e">
        <f>IF(AND('Mapa final'!#REF!="Media",'Mapa final'!#REF!="Catastrófico"),CONCATENATE("R4C",'Mapa final'!#REF!),"")</f>
        <v>#REF!</v>
      </c>
      <c r="AJ29" s="26" t="e">
        <f>IF(AND('Mapa final'!#REF!="Media",'Mapa final'!#REF!="Catastrófico"),CONCATENATE("R4C",'Mapa final'!#REF!),"")</f>
        <v>#REF!</v>
      </c>
      <c r="AK29" s="26" t="e">
        <f>IF(AND('Mapa final'!#REF!="Media",'Mapa final'!#REF!="Catastrófico"),CONCATENATE("R4C",'Mapa final'!#REF!),"")</f>
        <v>#REF!</v>
      </c>
      <c r="AL29" s="26" t="e">
        <f>IF(AND('Mapa final'!#REF!="Media",'Mapa final'!#REF!="Catastrófico"),CONCATENATE("R4C",'Mapa final'!#REF!),"")</f>
        <v>#REF!</v>
      </c>
      <c r="AM29" s="27" t="e">
        <f>IF(AND('Mapa final'!#REF!="Media",'Mapa final'!#REF!="Catastrófico"),CONCATENATE("R4C",'Mapa final'!#REF!),"")</f>
        <v>#REF!</v>
      </c>
      <c r="AN29" s="53"/>
      <c r="AO29" s="634"/>
      <c r="AP29" s="635"/>
      <c r="AQ29" s="635"/>
      <c r="AR29" s="635"/>
      <c r="AS29" s="635"/>
      <c r="AT29" s="636"/>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506"/>
      <c r="C30" s="506"/>
      <c r="D30" s="507"/>
      <c r="E30" s="605"/>
      <c r="F30" s="604"/>
      <c r="G30" s="604"/>
      <c r="H30" s="604"/>
      <c r="I30" s="620"/>
      <c r="J30" s="37" t="str">
        <f>IF(AND('Mapa final'!$AA$19="Media",'Mapa final'!$AC$19="Leve"),CONCATENATE("R5C",'Mapa final'!$Q$19),"")</f>
        <v/>
      </c>
      <c r="K30" s="38" t="str">
        <f>IF(AND('Mapa final'!$AA$20="Media",'Mapa final'!$AC$20="Leve"),CONCATENATE("R5C",'Mapa final'!$Q$20),"")</f>
        <v/>
      </c>
      <c r="L30" s="38" t="str">
        <f>IF(AND('Mapa final'!$AA$21="Media",'Mapa final'!$AC$21="Leve"),CONCATENATE("R5C",'Mapa final'!$Q$21),"")</f>
        <v/>
      </c>
      <c r="M30" s="38" t="str">
        <f>IF(AND('Mapa final'!$AA$22="Media",'Mapa final'!$AC$22="Leve"),CONCATENATE("R5C",'Mapa final'!$Q$22),"")</f>
        <v/>
      </c>
      <c r="N30" s="38" t="str">
        <f>IF(AND('Mapa final'!$AA$23="Media",'Mapa final'!$AC$23="Leve"),CONCATENATE("R5C",'Mapa final'!$Q$23),"")</f>
        <v/>
      </c>
      <c r="O30" s="39" t="str">
        <f>IF(AND('Mapa final'!$AA$24="Media",'Mapa final'!$AC$24="Leve"),CONCATENATE("R5C",'Mapa final'!$Q$24),"")</f>
        <v/>
      </c>
      <c r="P30" s="37" t="str">
        <f>IF(AND('Mapa final'!$AA$19="Media",'Mapa final'!$AC$19="Menor"),CONCATENATE("R5C",'Mapa final'!$Q$19),"")</f>
        <v/>
      </c>
      <c r="Q30" s="38" t="str">
        <f>IF(AND('Mapa final'!$AA$20="Media",'Mapa final'!$AC$20="Menor"),CONCATENATE("R5C",'Mapa final'!$Q$20),"")</f>
        <v/>
      </c>
      <c r="R30" s="38" t="str">
        <f>IF(AND('Mapa final'!$AA$21="Media",'Mapa final'!$AC$21="Menor"),CONCATENATE("R5C",'Mapa final'!$Q$21),"")</f>
        <v/>
      </c>
      <c r="S30" s="38" t="str">
        <f>IF(AND('Mapa final'!$AA$22="Media",'Mapa final'!$AC$22="Menor"),CONCATENATE("R5C",'Mapa final'!$Q$22),"")</f>
        <v/>
      </c>
      <c r="T30" s="38" t="str">
        <f>IF(AND('Mapa final'!$AA$23="Media",'Mapa final'!$AC$23="Menor"),CONCATENATE("R5C",'Mapa final'!$Q$23),"")</f>
        <v/>
      </c>
      <c r="U30" s="39" t="str">
        <f>IF(AND('Mapa final'!$AA$24="Media",'Mapa final'!$AC$24="Menor"),CONCATENATE("R5C",'Mapa final'!$Q$24),"")</f>
        <v/>
      </c>
      <c r="V30" s="37" t="str">
        <f>IF(AND('Mapa final'!$AA$19="Media",'Mapa final'!$AC$19="Moderado"),CONCATENATE("R5C",'Mapa final'!$Q$19),"")</f>
        <v/>
      </c>
      <c r="W30" s="38" t="str">
        <f>IF(AND('Mapa final'!$AA$20="Media",'Mapa final'!$AC$20="Moderado"),CONCATENATE("R5C",'Mapa final'!$Q$20),"")</f>
        <v/>
      </c>
      <c r="X30" s="38" t="str">
        <f>IF(AND('Mapa final'!$AA$21="Media",'Mapa final'!$AC$21="Moderado"),CONCATENATE("R5C",'Mapa final'!$Q$21),"")</f>
        <v/>
      </c>
      <c r="Y30" s="38" t="str">
        <f>IF(AND('Mapa final'!$AA$22="Media",'Mapa final'!$AC$22="Moderado"),CONCATENATE("R5C",'Mapa final'!$Q$22),"")</f>
        <v/>
      </c>
      <c r="Z30" s="38" t="str">
        <f>IF(AND('Mapa final'!$AA$23="Media",'Mapa final'!$AC$23="Moderado"),CONCATENATE("R5C",'Mapa final'!$Q$23),"")</f>
        <v/>
      </c>
      <c r="AA30" s="39" t="str">
        <f>IF(AND('Mapa final'!$AA$24="Media",'Mapa final'!$AC$24="Moderado"),CONCATENATE("R5C",'Mapa final'!$Q$24),"")</f>
        <v/>
      </c>
      <c r="AB30" s="22" t="str">
        <f>IF(AND('Mapa final'!$AA$19="Media",'Mapa final'!$AC$19="Mayor"),CONCATENATE("R5C",'Mapa final'!$Q$19),"")</f>
        <v/>
      </c>
      <c r="AC30" s="23" t="str">
        <f>IF(AND('Mapa final'!$AA$20="Media",'Mapa final'!$AC$20="Mayor"),CONCATENATE("R5C",'Mapa final'!$Q$20),"")</f>
        <v/>
      </c>
      <c r="AD30" s="23" t="str">
        <f>IF(AND('Mapa final'!$AA$21="Media",'Mapa final'!$AC$21="Mayor"),CONCATENATE("R5C",'Mapa final'!$Q$21),"")</f>
        <v/>
      </c>
      <c r="AE30" s="23" t="str">
        <f>IF(AND('Mapa final'!$AA$22="Media",'Mapa final'!$AC$22="Mayor"),CONCATENATE("R5C",'Mapa final'!$Q$22),"")</f>
        <v/>
      </c>
      <c r="AF30" s="23" t="str">
        <f>IF(AND('Mapa final'!$AA$23="Media",'Mapa final'!$AC$23="Mayor"),CONCATENATE("R5C",'Mapa final'!$Q$23),"")</f>
        <v/>
      </c>
      <c r="AG30" s="24" t="str">
        <f>IF(AND('Mapa final'!$AA$24="Media",'Mapa final'!$AC$24="Mayor"),CONCATENATE("R5C",'Mapa final'!$Q$24),"")</f>
        <v/>
      </c>
      <c r="AH30" s="25" t="str">
        <f>IF(AND('Mapa final'!$AA$19="Media",'Mapa final'!$AC$19="Catastrófico"),CONCATENATE("R5C",'Mapa final'!$Q$19),"")</f>
        <v/>
      </c>
      <c r="AI30" s="26" t="str">
        <f>IF(AND('Mapa final'!$AA$20="Media",'Mapa final'!$AC$20="Catastrófico"),CONCATENATE("R5C",'Mapa final'!$Q$20),"")</f>
        <v/>
      </c>
      <c r="AJ30" s="26" t="str">
        <f>IF(AND('Mapa final'!$AA$21="Media",'Mapa final'!$AC$21="Catastrófico"),CONCATENATE("R5C",'Mapa final'!$Q$21),"")</f>
        <v/>
      </c>
      <c r="AK30" s="26" t="str">
        <f>IF(AND('Mapa final'!$AA$22="Media",'Mapa final'!$AC$22="Catastrófico"),CONCATENATE("R5C",'Mapa final'!$Q$22),"")</f>
        <v/>
      </c>
      <c r="AL30" s="26" t="str">
        <f>IF(AND('Mapa final'!$AA$23="Media",'Mapa final'!$AC$23="Catastrófico"),CONCATENATE("R5C",'Mapa final'!$Q$23),"")</f>
        <v/>
      </c>
      <c r="AM30" s="27" t="str">
        <f>IF(AND('Mapa final'!$AA$24="Media",'Mapa final'!$AC$24="Catastrófico"),CONCATENATE("R5C",'Mapa final'!$Q$24),"")</f>
        <v/>
      </c>
      <c r="AN30" s="53"/>
      <c r="AO30" s="634"/>
      <c r="AP30" s="635"/>
      <c r="AQ30" s="635"/>
      <c r="AR30" s="635"/>
      <c r="AS30" s="635"/>
      <c r="AT30" s="636"/>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506"/>
      <c r="C31" s="506"/>
      <c r="D31" s="507"/>
      <c r="E31" s="605"/>
      <c r="F31" s="604"/>
      <c r="G31" s="604"/>
      <c r="H31" s="604"/>
      <c r="I31" s="620"/>
      <c r="J31" s="37" t="str">
        <f>IF(AND('Mapa final'!$AA$25="Media",'Mapa final'!$AC$25="Leve"),CONCATENATE("R6C",'Mapa final'!$Q$25),"")</f>
        <v/>
      </c>
      <c r="K31" s="38" t="str">
        <f>IF(AND('Mapa final'!$AA$26="Media",'Mapa final'!$AC$26="Leve"),CONCATENATE("R6C",'Mapa final'!$Q$26),"")</f>
        <v/>
      </c>
      <c r="L31" s="38" t="str">
        <f>IF(AND('Mapa final'!$AA$27="Media",'Mapa final'!$AC$27="Leve"),CONCATENATE("R6C",'Mapa final'!$Q$27),"")</f>
        <v/>
      </c>
      <c r="M31" s="38" t="str">
        <f>IF(AND('Mapa final'!$AA$28="Media",'Mapa final'!$AC$28="Leve"),CONCATENATE("R6C",'Mapa final'!$Q$28),"")</f>
        <v/>
      </c>
      <c r="N31" s="38" t="str">
        <f>IF(AND('Mapa final'!$AA$29="Media",'Mapa final'!$AC$29="Leve"),CONCATENATE("R6C",'Mapa final'!$Q$29),"")</f>
        <v/>
      </c>
      <c r="O31" s="39" t="str">
        <f>IF(AND('Mapa final'!$AA$30="Media",'Mapa final'!$AC$30="Leve"),CONCATENATE("R6C",'Mapa final'!$Q$30),"")</f>
        <v/>
      </c>
      <c r="P31" s="37" t="str">
        <f>IF(AND('Mapa final'!$AA$25="Media",'Mapa final'!$AC$25="Menor"),CONCATENATE("R6C",'Mapa final'!$Q$25),"")</f>
        <v/>
      </c>
      <c r="Q31" s="38" t="str">
        <f>IF(AND('Mapa final'!$AA$26="Media",'Mapa final'!$AC$26="Menor"),CONCATENATE("R6C",'Mapa final'!$Q$26),"")</f>
        <v/>
      </c>
      <c r="R31" s="38" t="str">
        <f>IF(AND('Mapa final'!$AA$27="Media",'Mapa final'!$AC$27="Menor"),CONCATENATE("R6C",'Mapa final'!$Q$27),"")</f>
        <v/>
      </c>
      <c r="S31" s="38" t="str">
        <f>IF(AND('Mapa final'!$AA$28="Media",'Mapa final'!$AC$28="Menor"),CONCATENATE("R6C",'Mapa final'!$Q$28),"")</f>
        <v/>
      </c>
      <c r="T31" s="38" t="str">
        <f>IF(AND('Mapa final'!$AA$29="Media",'Mapa final'!$AC$29="Menor"),CONCATENATE("R6C",'Mapa final'!$Q$29),"")</f>
        <v/>
      </c>
      <c r="U31" s="39" t="str">
        <f>IF(AND('Mapa final'!$AA$30="Media",'Mapa final'!$AC$30="Menor"),CONCATENATE("R6C",'Mapa final'!$Q$30),"")</f>
        <v/>
      </c>
      <c r="V31" s="37" t="str">
        <f>IF(AND('Mapa final'!$AA$25="Media",'Mapa final'!$AC$25="Moderado"),CONCATENATE("R6C",'Mapa final'!$Q$25),"")</f>
        <v/>
      </c>
      <c r="W31" s="38" t="str">
        <f>IF(AND('Mapa final'!$AA$26="Media",'Mapa final'!$AC$26="Moderado"),CONCATENATE("R6C",'Mapa final'!$Q$26),"")</f>
        <v/>
      </c>
      <c r="X31" s="38" t="str">
        <f>IF(AND('Mapa final'!$AA$27="Media",'Mapa final'!$AC$27="Moderado"),CONCATENATE("R6C",'Mapa final'!$Q$27),"")</f>
        <v/>
      </c>
      <c r="Y31" s="38" t="str">
        <f>IF(AND('Mapa final'!$AA$28="Media",'Mapa final'!$AC$28="Moderado"),CONCATENATE("R6C",'Mapa final'!$Q$28),"")</f>
        <v/>
      </c>
      <c r="Z31" s="38" t="str">
        <f>IF(AND('Mapa final'!$AA$29="Media",'Mapa final'!$AC$29="Moderado"),CONCATENATE("R6C",'Mapa final'!$Q$29),"")</f>
        <v/>
      </c>
      <c r="AA31" s="39" t="str">
        <f>IF(AND('Mapa final'!$AA$30="Media",'Mapa final'!$AC$30="Moderado"),CONCATENATE("R6C",'Mapa final'!$Q$30),"")</f>
        <v/>
      </c>
      <c r="AB31" s="22" t="str">
        <f>IF(AND('Mapa final'!$AA$25="Media",'Mapa final'!$AC$25="Mayor"),CONCATENATE("R6C",'Mapa final'!$Q$25),"")</f>
        <v/>
      </c>
      <c r="AC31" s="23" t="str">
        <f>IF(AND('Mapa final'!$AA$26="Media",'Mapa final'!$AC$26="Mayor"),CONCATENATE("R6C",'Mapa final'!$Q$26),"")</f>
        <v/>
      </c>
      <c r="AD31" s="23" t="str">
        <f>IF(AND('Mapa final'!$AA$27="Media",'Mapa final'!$AC$27="Mayor"),CONCATENATE("R6C",'Mapa final'!$Q$27),"")</f>
        <v/>
      </c>
      <c r="AE31" s="23" t="str">
        <f>IF(AND('Mapa final'!$AA$28="Media",'Mapa final'!$AC$28="Mayor"),CONCATENATE("R6C",'Mapa final'!$Q$28),"")</f>
        <v/>
      </c>
      <c r="AF31" s="23" t="str">
        <f>IF(AND('Mapa final'!$AA$29="Media",'Mapa final'!$AC$29="Mayor"),CONCATENATE("R6C",'Mapa final'!$Q$29),"")</f>
        <v/>
      </c>
      <c r="AG31" s="24" t="str">
        <f>IF(AND('Mapa final'!$AA$30="Media",'Mapa final'!$AC$30="Mayor"),CONCATENATE("R6C",'Mapa final'!$Q$30),"")</f>
        <v/>
      </c>
      <c r="AH31" s="25" t="str">
        <f>IF(AND('Mapa final'!$AA$25="Media",'Mapa final'!$AC$25="Catastrófico"),CONCATENATE("R6C",'Mapa final'!$Q$25),"")</f>
        <v/>
      </c>
      <c r="AI31" s="26" t="str">
        <f>IF(AND('Mapa final'!$AA$26="Media",'Mapa final'!$AC$26="Catastrófico"),CONCATENATE("R6C",'Mapa final'!$Q$26),"")</f>
        <v/>
      </c>
      <c r="AJ31" s="26" t="str">
        <f>IF(AND('Mapa final'!$AA$27="Media",'Mapa final'!$AC$27="Catastrófico"),CONCATENATE("R6C",'Mapa final'!$Q$27),"")</f>
        <v/>
      </c>
      <c r="AK31" s="26" t="str">
        <f>IF(AND('Mapa final'!$AA$28="Media",'Mapa final'!$AC$28="Catastrófico"),CONCATENATE("R6C",'Mapa final'!$Q$28),"")</f>
        <v/>
      </c>
      <c r="AL31" s="26" t="str">
        <f>IF(AND('Mapa final'!$AA$29="Media",'Mapa final'!$AC$29="Catastrófico"),CONCATENATE("R6C",'Mapa final'!$Q$29),"")</f>
        <v/>
      </c>
      <c r="AM31" s="27" t="str">
        <f>IF(AND('Mapa final'!$AA$30="Media",'Mapa final'!$AC$30="Catastrófico"),CONCATENATE("R6C",'Mapa final'!$Q$30),"")</f>
        <v/>
      </c>
      <c r="AN31" s="53"/>
      <c r="AO31" s="634"/>
      <c r="AP31" s="635"/>
      <c r="AQ31" s="635"/>
      <c r="AR31" s="635"/>
      <c r="AS31" s="635"/>
      <c r="AT31" s="636"/>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506"/>
      <c r="C32" s="506"/>
      <c r="D32" s="507"/>
      <c r="E32" s="605"/>
      <c r="F32" s="604"/>
      <c r="G32" s="604"/>
      <c r="H32" s="604"/>
      <c r="I32" s="620"/>
      <c r="J32" s="37" t="str">
        <f>IF(AND('Mapa final'!$AA$31="Media",'Mapa final'!$AC$31="Leve"),CONCATENATE("R7C",'Mapa final'!$Q$31),"")</f>
        <v/>
      </c>
      <c r="K32" s="38" t="str">
        <f>IF(AND('Mapa final'!$AA$32="Media",'Mapa final'!$AC$32="Leve"),CONCATENATE("R7C",'Mapa final'!$Q$32),"")</f>
        <v/>
      </c>
      <c r="L32" s="38" t="str">
        <f>IF(AND('Mapa final'!$AA$33="Media",'Mapa final'!$AC$33="Leve"),CONCATENATE("R7C",'Mapa final'!$Q$33),"")</f>
        <v/>
      </c>
      <c r="M32" s="38" t="str">
        <f>IF(AND('Mapa final'!$AA$34="Media",'Mapa final'!$AC$34="Leve"),CONCATENATE("R7C",'Mapa final'!$Q$34),"")</f>
        <v/>
      </c>
      <c r="N32" s="38" t="str">
        <f>IF(AND('Mapa final'!$AA$35="Media",'Mapa final'!$AC$35="Leve"),CONCATENATE("R7C",'Mapa final'!$Q$35),"")</f>
        <v/>
      </c>
      <c r="O32" s="39" t="str">
        <f>IF(AND('Mapa final'!$AA$36="Media",'Mapa final'!$AC$36="Leve"),CONCATENATE("R7C",'Mapa final'!$Q$36),"")</f>
        <v/>
      </c>
      <c r="P32" s="37" t="str">
        <f>IF(AND('Mapa final'!$AA$31="Media",'Mapa final'!$AC$31="Menor"),CONCATENATE("R7C",'Mapa final'!$Q$31),"")</f>
        <v/>
      </c>
      <c r="Q32" s="38" t="str">
        <f>IF(AND('Mapa final'!$AA$32="Media",'Mapa final'!$AC$32="Menor"),CONCATENATE("R7C",'Mapa final'!$Q$32),"")</f>
        <v/>
      </c>
      <c r="R32" s="38" t="str">
        <f>IF(AND('Mapa final'!$AA$33="Media",'Mapa final'!$AC$33="Menor"),CONCATENATE("R7C",'Mapa final'!$Q$33),"")</f>
        <v/>
      </c>
      <c r="S32" s="38" t="str">
        <f>IF(AND('Mapa final'!$AA$34="Media",'Mapa final'!$AC$34="Menor"),CONCATENATE("R7C",'Mapa final'!$Q$34),"")</f>
        <v/>
      </c>
      <c r="T32" s="38" t="str">
        <f>IF(AND('Mapa final'!$AA$35="Media",'Mapa final'!$AC$35="Menor"),CONCATENATE("R7C",'Mapa final'!$Q$35),"")</f>
        <v/>
      </c>
      <c r="U32" s="39" t="str">
        <f>IF(AND('Mapa final'!$AA$36="Media",'Mapa final'!$AC$36="Menor"),CONCATENATE("R7C",'Mapa final'!$Q$36),"")</f>
        <v/>
      </c>
      <c r="V32" s="37" t="str">
        <f>IF(AND('Mapa final'!$AA$31="Media",'Mapa final'!$AC$31="Moderado"),CONCATENATE("R7C",'Mapa final'!$Q$31),"")</f>
        <v/>
      </c>
      <c r="W32" s="38" t="str">
        <f>IF(AND('Mapa final'!$AA$32="Media",'Mapa final'!$AC$32="Moderado"),CONCATENATE("R7C",'Mapa final'!$Q$32),"")</f>
        <v/>
      </c>
      <c r="X32" s="38" t="str">
        <f>IF(AND('Mapa final'!$AA$33="Media",'Mapa final'!$AC$33="Moderado"),CONCATENATE("R7C",'Mapa final'!$Q$33),"")</f>
        <v/>
      </c>
      <c r="Y32" s="38" t="str">
        <f>IF(AND('Mapa final'!$AA$34="Media",'Mapa final'!$AC$34="Moderado"),CONCATENATE("R7C",'Mapa final'!$Q$34),"")</f>
        <v/>
      </c>
      <c r="Z32" s="38" t="str">
        <f>IF(AND('Mapa final'!$AA$35="Media",'Mapa final'!$AC$35="Moderado"),CONCATENATE("R7C",'Mapa final'!$Q$35),"")</f>
        <v/>
      </c>
      <c r="AA32" s="39" t="str">
        <f>IF(AND('Mapa final'!$AA$36="Media",'Mapa final'!$AC$36="Moderado"),CONCATENATE("R7C",'Mapa final'!$Q$36),"")</f>
        <v/>
      </c>
      <c r="AB32" s="22" t="str">
        <f>IF(AND('Mapa final'!$AA$31="Media",'Mapa final'!$AC$31="Mayor"),CONCATENATE("R7C",'Mapa final'!$Q$31),"")</f>
        <v/>
      </c>
      <c r="AC32" s="23" t="str">
        <f>IF(AND('Mapa final'!$AA$32="Media",'Mapa final'!$AC$32="Mayor"),CONCATENATE("R7C",'Mapa final'!$Q$32),"")</f>
        <v/>
      </c>
      <c r="AD32" s="23" t="str">
        <f>IF(AND('Mapa final'!$AA$33="Media",'Mapa final'!$AC$33="Mayor"),CONCATENATE("R7C",'Mapa final'!$Q$33),"")</f>
        <v/>
      </c>
      <c r="AE32" s="23" t="str">
        <f>IF(AND('Mapa final'!$AA$34="Media",'Mapa final'!$AC$34="Mayor"),CONCATENATE("R7C",'Mapa final'!$Q$34),"")</f>
        <v/>
      </c>
      <c r="AF32" s="23" t="str">
        <f>IF(AND('Mapa final'!$AA$35="Media",'Mapa final'!$AC$35="Mayor"),CONCATENATE("R7C",'Mapa final'!$Q$35),"")</f>
        <v/>
      </c>
      <c r="AG32" s="24" t="str">
        <f>IF(AND('Mapa final'!$AA$36="Media",'Mapa final'!$AC$36="Mayor"),CONCATENATE("R7C",'Mapa final'!$Q$36),"")</f>
        <v/>
      </c>
      <c r="AH32" s="25" t="str">
        <f>IF(AND('Mapa final'!$AA$31="Media",'Mapa final'!$AC$31="Catastrófico"),CONCATENATE("R7C",'Mapa final'!$Q$31),"")</f>
        <v/>
      </c>
      <c r="AI32" s="26" t="str">
        <f>IF(AND('Mapa final'!$AA$32="Media",'Mapa final'!$AC$32="Catastrófico"),CONCATENATE("R7C",'Mapa final'!$Q$32),"")</f>
        <v/>
      </c>
      <c r="AJ32" s="26" t="str">
        <f>IF(AND('Mapa final'!$AA$33="Media",'Mapa final'!$AC$33="Catastrófico"),CONCATENATE("R7C",'Mapa final'!$Q$33),"")</f>
        <v/>
      </c>
      <c r="AK32" s="26" t="str">
        <f>IF(AND('Mapa final'!$AA$34="Media",'Mapa final'!$AC$34="Catastrófico"),CONCATENATE("R7C",'Mapa final'!$Q$34),"")</f>
        <v/>
      </c>
      <c r="AL32" s="26" t="str">
        <f>IF(AND('Mapa final'!$AA$35="Media",'Mapa final'!$AC$35="Catastrófico"),CONCATENATE("R7C",'Mapa final'!$Q$35),"")</f>
        <v/>
      </c>
      <c r="AM32" s="27" t="str">
        <f>IF(AND('Mapa final'!$AA$36="Media",'Mapa final'!$AC$36="Catastrófico"),CONCATENATE("R7C",'Mapa final'!$Q$36),"")</f>
        <v/>
      </c>
      <c r="AN32" s="53"/>
      <c r="AO32" s="634"/>
      <c r="AP32" s="635"/>
      <c r="AQ32" s="635"/>
      <c r="AR32" s="635"/>
      <c r="AS32" s="635"/>
      <c r="AT32" s="636"/>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506"/>
      <c r="C33" s="506"/>
      <c r="D33" s="507"/>
      <c r="E33" s="605"/>
      <c r="F33" s="604"/>
      <c r="G33" s="604"/>
      <c r="H33" s="604"/>
      <c r="I33" s="620"/>
      <c r="J33" s="37" t="str">
        <f>IF(AND('Mapa final'!$AA$37="Media",'Mapa final'!$AC$37="Leve"),CONCATENATE("R8C",'Mapa final'!$Q$37),"")</f>
        <v/>
      </c>
      <c r="K33" s="38" t="str">
        <f>IF(AND('Mapa final'!$AA$38="Media",'Mapa final'!$AC$38="Leve"),CONCATENATE("R8C",'Mapa final'!$Q$38),"")</f>
        <v/>
      </c>
      <c r="L33" s="38" t="str">
        <f>IF(AND('Mapa final'!$AA$39="Media",'Mapa final'!$AC$39="Leve"),CONCATENATE("R8C",'Mapa final'!$Q$39),"")</f>
        <v/>
      </c>
      <c r="M33" s="38" t="str">
        <f>IF(AND('Mapa final'!$AA$40="Media",'Mapa final'!$AC$40="Leve"),CONCATENATE("R8C",'Mapa final'!$Q$40),"")</f>
        <v/>
      </c>
      <c r="N33" s="38" t="str">
        <f>IF(AND('Mapa final'!$AA$41="Media",'Mapa final'!$AC$41="Leve"),CONCATENATE("R8C",'Mapa final'!$Q$41),"")</f>
        <v/>
      </c>
      <c r="O33" s="39" t="str">
        <f>IF(AND('Mapa final'!$AA$42="Media",'Mapa final'!$AC$42="Leve"),CONCATENATE("R8C",'Mapa final'!$Q$42),"")</f>
        <v/>
      </c>
      <c r="P33" s="37" t="str">
        <f>IF(AND('Mapa final'!$AA$37="Media",'Mapa final'!$AC$37="Menor"),CONCATENATE("R8C",'Mapa final'!$Q$37),"")</f>
        <v/>
      </c>
      <c r="Q33" s="38" t="str">
        <f>IF(AND('Mapa final'!$AA$38="Media",'Mapa final'!$AC$38="Menor"),CONCATENATE("R8C",'Mapa final'!$Q$38),"")</f>
        <v/>
      </c>
      <c r="R33" s="38" t="str">
        <f>IF(AND('Mapa final'!$AA$39="Media",'Mapa final'!$AC$39="Menor"),CONCATENATE("R8C",'Mapa final'!$Q$39),"")</f>
        <v/>
      </c>
      <c r="S33" s="38" t="str">
        <f>IF(AND('Mapa final'!$AA$40="Media",'Mapa final'!$AC$40="Menor"),CONCATENATE("R8C",'Mapa final'!$Q$40),"")</f>
        <v/>
      </c>
      <c r="T33" s="38" t="str">
        <f>IF(AND('Mapa final'!$AA$41="Media",'Mapa final'!$AC$41="Menor"),CONCATENATE("R8C",'Mapa final'!$Q$41),"")</f>
        <v/>
      </c>
      <c r="U33" s="39" t="str">
        <f>IF(AND('Mapa final'!$AA$42="Media",'Mapa final'!$AC$42="Menor"),CONCATENATE("R8C",'Mapa final'!$Q$42),"")</f>
        <v/>
      </c>
      <c r="V33" s="37" t="str">
        <f>IF(AND('Mapa final'!$AA$37="Media",'Mapa final'!$AC$37="Moderado"),CONCATENATE("R8C",'Mapa final'!$Q$37),"")</f>
        <v/>
      </c>
      <c r="W33" s="38" t="str">
        <f>IF(AND('Mapa final'!$AA$38="Media",'Mapa final'!$AC$38="Moderado"),CONCATENATE("R8C",'Mapa final'!$Q$38),"")</f>
        <v/>
      </c>
      <c r="X33" s="38" t="str">
        <f>IF(AND('Mapa final'!$AA$39="Media",'Mapa final'!$AC$39="Moderado"),CONCATENATE("R8C",'Mapa final'!$Q$39),"")</f>
        <v/>
      </c>
      <c r="Y33" s="38" t="str">
        <f>IF(AND('Mapa final'!$AA$40="Media",'Mapa final'!$AC$40="Moderado"),CONCATENATE("R8C",'Mapa final'!$Q$40),"")</f>
        <v/>
      </c>
      <c r="Z33" s="38" t="str">
        <f>IF(AND('Mapa final'!$AA$41="Media",'Mapa final'!$AC$41="Moderado"),CONCATENATE("R8C",'Mapa final'!$Q$41),"")</f>
        <v/>
      </c>
      <c r="AA33" s="39" t="str">
        <f>IF(AND('Mapa final'!$AA$42="Media",'Mapa final'!$AC$42="Moderado"),CONCATENATE("R8C",'Mapa final'!$Q$42),"")</f>
        <v/>
      </c>
      <c r="AB33" s="22" t="str">
        <f>IF(AND('Mapa final'!$AA$37="Media",'Mapa final'!$AC$37="Mayor"),CONCATENATE("R8C",'Mapa final'!$Q$37),"")</f>
        <v/>
      </c>
      <c r="AC33" s="23" t="str">
        <f>IF(AND('Mapa final'!$AA$38="Media",'Mapa final'!$AC$38="Mayor"),CONCATENATE("R8C",'Mapa final'!$Q$38),"")</f>
        <v/>
      </c>
      <c r="AD33" s="23" t="str">
        <f>IF(AND('Mapa final'!$AA$39="Media",'Mapa final'!$AC$39="Mayor"),CONCATENATE("R8C",'Mapa final'!$Q$39),"")</f>
        <v/>
      </c>
      <c r="AE33" s="23" t="str">
        <f>IF(AND('Mapa final'!$AA$40="Media",'Mapa final'!$AC$40="Mayor"),CONCATENATE("R8C",'Mapa final'!$Q$40),"")</f>
        <v/>
      </c>
      <c r="AF33" s="23" t="str">
        <f>IF(AND('Mapa final'!$AA$41="Media",'Mapa final'!$AC$41="Mayor"),CONCATENATE("R8C",'Mapa final'!$Q$41),"")</f>
        <v/>
      </c>
      <c r="AG33" s="24" t="str">
        <f>IF(AND('Mapa final'!$AA$42="Media",'Mapa final'!$AC$42="Mayor"),CONCATENATE("R8C",'Mapa final'!$Q$42),"")</f>
        <v/>
      </c>
      <c r="AH33" s="25" t="str">
        <f>IF(AND('Mapa final'!$AA$37="Media",'Mapa final'!$AC$37="Catastrófico"),CONCATENATE("R8C",'Mapa final'!$Q$37),"")</f>
        <v/>
      </c>
      <c r="AI33" s="26" t="str">
        <f>IF(AND('Mapa final'!$AA$38="Media",'Mapa final'!$AC$38="Catastrófico"),CONCATENATE("R8C",'Mapa final'!$Q$38),"")</f>
        <v/>
      </c>
      <c r="AJ33" s="26" t="str">
        <f>IF(AND('Mapa final'!$AA$39="Media",'Mapa final'!$AC$39="Catastrófico"),CONCATENATE("R8C",'Mapa final'!$Q$39),"")</f>
        <v/>
      </c>
      <c r="AK33" s="26" t="str">
        <f>IF(AND('Mapa final'!$AA$40="Media",'Mapa final'!$AC$40="Catastrófico"),CONCATENATE("R8C",'Mapa final'!$Q$40),"")</f>
        <v/>
      </c>
      <c r="AL33" s="26" t="str">
        <f>IF(AND('Mapa final'!$AA$41="Media",'Mapa final'!$AC$41="Catastrófico"),CONCATENATE("R8C",'Mapa final'!$Q$41),"")</f>
        <v/>
      </c>
      <c r="AM33" s="27" t="str">
        <f>IF(AND('Mapa final'!$AA$42="Media",'Mapa final'!$AC$42="Catastrófico"),CONCATENATE("R8C",'Mapa final'!$Q$42),"")</f>
        <v/>
      </c>
      <c r="AN33" s="53"/>
      <c r="AO33" s="634"/>
      <c r="AP33" s="635"/>
      <c r="AQ33" s="635"/>
      <c r="AR33" s="635"/>
      <c r="AS33" s="635"/>
      <c r="AT33" s="636"/>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506"/>
      <c r="C34" s="506"/>
      <c r="D34" s="507"/>
      <c r="E34" s="605"/>
      <c r="F34" s="604"/>
      <c r="G34" s="604"/>
      <c r="H34" s="604"/>
      <c r="I34" s="620"/>
      <c r="J34" s="37" t="str">
        <f>IF(AND('Mapa final'!$AA$43="Media",'Mapa final'!$AC$43="Leve"),CONCATENATE("R9C",'Mapa final'!$Q$43),"")</f>
        <v/>
      </c>
      <c r="K34" s="38" t="str">
        <f>IF(AND('Mapa final'!$AA$44="Media",'Mapa final'!$AC$44="Leve"),CONCATENATE("R9C",'Mapa final'!$Q$44),"")</f>
        <v/>
      </c>
      <c r="L34" s="38" t="str">
        <f>IF(AND('Mapa final'!$AA$45="Media",'Mapa final'!$AC$45="Leve"),CONCATENATE("R9C",'Mapa final'!$Q$45),"")</f>
        <v/>
      </c>
      <c r="M34" s="38" t="str">
        <f>IF(AND('Mapa final'!$AA$46="Media",'Mapa final'!$AC$46="Leve"),CONCATENATE("R9C",'Mapa final'!$Q$46),"")</f>
        <v/>
      </c>
      <c r="N34" s="38" t="str">
        <f>IF(AND('Mapa final'!$AA$47="Media",'Mapa final'!$AC$47="Leve"),CONCATENATE("R9C",'Mapa final'!$Q$47),"")</f>
        <v/>
      </c>
      <c r="O34" s="39" t="str">
        <f>IF(AND('Mapa final'!$AA$48="Media",'Mapa final'!$AC$48="Leve"),CONCATENATE("R9C",'Mapa final'!$Q$48),"")</f>
        <v/>
      </c>
      <c r="P34" s="37" t="str">
        <f>IF(AND('Mapa final'!$AA$43="Media",'Mapa final'!$AC$43="Menor"),CONCATENATE("R9C",'Mapa final'!$Q$43),"")</f>
        <v/>
      </c>
      <c r="Q34" s="38" t="str">
        <f>IF(AND('Mapa final'!$AA$44="Media",'Mapa final'!$AC$44="Menor"),CONCATENATE("R9C",'Mapa final'!$Q$44),"")</f>
        <v/>
      </c>
      <c r="R34" s="38" t="str">
        <f>IF(AND('Mapa final'!$AA$45="Media",'Mapa final'!$AC$45="Menor"),CONCATENATE("R9C",'Mapa final'!$Q$45),"")</f>
        <v/>
      </c>
      <c r="S34" s="38" t="str">
        <f>IF(AND('Mapa final'!$AA$46="Media",'Mapa final'!$AC$46="Menor"),CONCATENATE("R9C",'Mapa final'!$Q$46),"")</f>
        <v/>
      </c>
      <c r="T34" s="38" t="str">
        <f>IF(AND('Mapa final'!$AA$47="Media",'Mapa final'!$AC$47="Menor"),CONCATENATE("R9C",'Mapa final'!$Q$47),"")</f>
        <v/>
      </c>
      <c r="U34" s="39" t="str">
        <f>IF(AND('Mapa final'!$AA$48="Media",'Mapa final'!$AC$48="Menor"),CONCATENATE("R9C",'Mapa final'!$Q$48),"")</f>
        <v/>
      </c>
      <c r="V34" s="37" t="str">
        <f>IF(AND('Mapa final'!$AA$43="Media",'Mapa final'!$AC$43="Moderado"),CONCATENATE("R9C",'Mapa final'!$Q$43),"")</f>
        <v/>
      </c>
      <c r="W34" s="38" t="str">
        <f>IF(AND('Mapa final'!$AA$44="Media",'Mapa final'!$AC$44="Moderado"),CONCATENATE("R9C",'Mapa final'!$Q$44),"")</f>
        <v/>
      </c>
      <c r="X34" s="38" t="str">
        <f>IF(AND('Mapa final'!$AA$45="Media",'Mapa final'!$AC$45="Moderado"),CONCATENATE("R9C",'Mapa final'!$Q$45),"")</f>
        <v/>
      </c>
      <c r="Y34" s="38" t="str">
        <f>IF(AND('Mapa final'!$AA$46="Media",'Mapa final'!$AC$46="Moderado"),CONCATENATE("R9C",'Mapa final'!$Q$46),"")</f>
        <v/>
      </c>
      <c r="Z34" s="38" t="str">
        <f>IF(AND('Mapa final'!$AA$47="Media",'Mapa final'!$AC$47="Moderado"),CONCATENATE("R9C",'Mapa final'!$Q$47),"")</f>
        <v/>
      </c>
      <c r="AA34" s="39" t="str">
        <f>IF(AND('Mapa final'!$AA$48="Media",'Mapa final'!$AC$48="Moderado"),CONCATENATE("R9C",'Mapa final'!$Q$48),"")</f>
        <v/>
      </c>
      <c r="AB34" s="22" t="str">
        <f>IF(AND('Mapa final'!$AA$43="Media",'Mapa final'!$AC$43="Mayor"),CONCATENATE("R9C",'Mapa final'!$Q$43),"")</f>
        <v/>
      </c>
      <c r="AC34" s="23" t="str">
        <f>IF(AND('Mapa final'!$AA$44="Media",'Mapa final'!$AC$44="Mayor"),CONCATENATE("R9C",'Mapa final'!$Q$44),"")</f>
        <v/>
      </c>
      <c r="AD34" s="23" t="str">
        <f>IF(AND('Mapa final'!$AA$45="Media",'Mapa final'!$AC$45="Mayor"),CONCATENATE("R9C",'Mapa final'!$Q$45),"")</f>
        <v/>
      </c>
      <c r="AE34" s="23" t="str">
        <f>IF(AND('Mapa final'!$AA$46="Media",'Mapa final'!$AC$46="Mayor"),CONCATENATE("R9C",'Mapa final'!$Q$46),"")</f>
        <v/>
      </c>
      <c r="AF34" s="23" t="str">
        <f>IF(AND('Mapa final'!$AA$47="Media",'Mapa final'!$AC$47="Mayor"),CONCATENATE("R9C",'Mapa final'!$Q$47),"")</f>
        <v/>
      </c>
      <c r="AG34" s="24" t="str">
        <f>IF(AND('Mapa final'!$AA$48="Media",'Mapa final'!$AC$48="Mayor"),CONCATENATE("R9C",'Mapa final'!$Q$48),"")</f>
        <v/>
      </c>
      <c r="AH34" s="25" t="str">
        <f>IF(AND('Mapa final'!$AA$43="Media",'Mapa final'!$AC$43="Catastrófico"),CONCATENATE("R9C",'Mapa final'!$Q$43),"")</f>
        <v/>
      </c>
      <c r="AI34" s="26" t="str">
        <f>IF(AND('Mapa final'!$AA$44="Media",'Mapa final'!$AC$44="Catastrófico"),CONCATENATE("R9C",'Mapa final'!$Q$44),"")</f>
        <v/>
      </c>
      <c r="AJ34" s="26" t="str">
        <f>IF(AND('Mapa final'!$AA$45="Media",'Mapa final'!$AC$45="Catastrófico"),CONCATENATE("R9C",'Mapa final'!$Q$45),"")</f>
        <v/>
      </c>
      <c r="AK34" s="26" t="str">
        <f>IF(AND('Mapa final'!$AA$46="Media",'Mapa final'!$AC$46="Catastrófico"),CONCATENATE("R9C",'Mapa final'!$Q$46),"")</f>
        <v/>
      </c>
      <c r="AL34" s="26" t="str">
        <f>IF(AND('Mapa final'!$AA$47="Media",'Mapa final'!$AC$47="Catastrófico"),CONCATENATE("R9C",'Mapa final'!$Q$47),"")</f>
        <v/>
      </c>
      <c r="AM34" s="27" t="str">
        <f>IF(AND('Mapa final'!$AA$48="Media",'Mapa final'!$AC$48="Catastrófico"),CONCATENATE("R9C",'Mapa final'!$Q$48),"")</f>
        <v/>
      </c>
      <c r="AN34" s="53"/>
      <c r="AO34" s="634"/>
      <c r="AP34" s="635"/>
      <c r="AQ34" s="635"/>
      <c r="AR34" s="635"/>
      <c r="AS34" s="635"/>
      <c r="AT34" s="636"/>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506"/>
      <c r="C35" s="506"/>
      <c r="D35" s="507"/>
      <c r="E35" s="606"/>
      <c r="F35" s="607"/>
      <c r="G35" s="607"/>
      <c r="H35" s="607"/>
      <c r="I35" s="621"/>
      <c r="J35" s="37" t="str">
        <f>IF(AND('Mapa final'!$AA$49="Media",'Mapa final'!$AC$49="Leve"),CONCATENATE("R10C",'Mapa final'!$Q$49),"")</f>
        <v/>
      </c>
      <c r="K35" s="38" t="str">
        <f>IF(AND('Mapa final'!$AA$50="Media",'Mapa final'!$AC$50="Leve"),CONCATENATE("R10C",'Mapa final'!$Q$50),"")</f>
        <v/>
      </c>
      <c r="L35" s="38" t="str">
        <f>IF(AND('Mapa final'!$AA$51="Media",'Mapa final'!$AC$51="Leve"),CONCATENATE("R10C",'Mapa final'!$Q$51),"")</f>
        <v/>
      </c>
      <c r="M35" s="38" t="str">
        <f>IF(AND('Mapa final'!$AA$52="Media",'Mapa final'!$AC$52="Leve"),CONCATENATE("R10C",'Mapa final'!$Q$52),"")</f>
        <v/>
      </c>
      <c r="N35" s="38" t="str">
        <f>IF(AND('Mapa final'!$AA$53="Media",'Mapa final'!$AC$53="Leve"),CONCATENATE("R10C",'Mapa final'!$Q$53),"")</f>
        <v/>
      </c>
      <c r="O35" s="39" t="str">
        <f>IF(AND('Mapa final'!$AA$54="Media",'Mapa final'!$AC$54="Leve"),CONCATENATE("R10C",'Mapa final'!$Q$54),"")</f>
        <v/>
      </c>
      <c r="P35" s="37" t="str">
        <f>IF(AND('Mapa final'!$AA$49="Media",'Mapa final'!$AC$49="Menor"),CONCATENATE("R10C",'Mapa final'!$Q$49),"")</f>
        <v/>
      </c>
      <c r="Q35" s="38" t="str">
        <f>IF(AND('Mapa final'!$AA$50="Media",'Mapa final'!$AC$50="Menor"),CONCATENATE("R10C",'Mapa final'!$Q$50),"")</f>
        <v/>
      </c>
      <c r="R35" s="38" t="str">
        <f>IF(AND('Mapa final'!$AA$51="Media",'Mapa final'!$AC$51="Menor"),CONCATENATE("R10C",'Mapa final'!$Q$51),"")</f>
        <v/>
      </c>
      <c r="S35" s="38" t="str">
        <f>IF(AND('Mapa final'!$AA$52="Media",'Mapa final'!$AC$52="Menor"),CONCATENATE("R10C",'Mapa final'!$Q$52),"")</f>
        <v/>
      </c>
      <c r="T35" s="38" t="str">
        <f>IF(AND('Mapa final'!$AA$53="Media",'Mapa final'!$AC$53="Menor"),CONCATENATE("R10C",'Mapa final'!$Q$53),"")</f>
        <v/>
      </c>
      <c r="U35" s="39" t="str">
        <f>IF(AND('Mapa final'!$AA$54="Media",'Mapa final'!$AC$54="Menor"),CONCATENATE("R10C",'Mapa final'!$Q$54),"")</f>
        <v/>
      </c>
      <c r="V35" s="37" t="str">
        <f>IF(AND('Mapa final'!$AA$49="Media",'Mapa final'!$AC$49="Moderado"),CONCATENATE("R10C",'Mapa final'!$Q$49),"")</f>
        <v/>
      </c>
      <c r="W35" s="38" t="str">
        <f>IF(AND('Mapa final'!$AA$50="Media",'Mapa final'!$AC$50="Moderado"),CONCATENATE("R10C",'Mapa final'!$Q$50),"")</f>
        <v/>
      </c>
      <c r="X35" s="38" t="str">
        <f>IF(AND('Mapa final'!$AA$51="Media",'Mapa final'!$AC$51="Moderado"),CONCATENATE("R10C",'Mapa final'!$Q$51),"")</f>
        <v/>
      </c>
      <c r="Y35" s="38" t="str">
        <f>IF(AND('Mapa final'!$AA$52="Media",'Mapa final'!$AC$52="Moderado"),CONCATENATE("R10C",'Mapa final'!$Q$52),"")</f>
        <v/>
      </c>
      <c r="Z35" s="38" t="str">
        <f>IF(AND('Mapa final'!$AA$53="Media",'Mapa final'!$AC$53="Moderado"),CONCATENATE("R10C",'Mapa final'!$Q$53),"")</f>
        <v/>
      </c>
      <c r="AA35" s="39" t="str">
        <f>IF(AND('Mapa final'!$AA$54="Media",'Mapa final'!$AC$54="Moderado"),CONCATENATE("R10C",'Mapa final'!$Q$54),"")</f>
        <v/>
      </c>
      <c r="AB35" s="28" t="str">
        <f>IF(AND('Mapa final'!$AA$49="Media",'Mapa final'!$AC$49="Mayor"),CONCATENATE("R10C",'Mapa final'!$Q$49),"")</f>
        <v/>
      </c>
      <c r="AC35" s="29" t="str">
        <f>IF(AND('Mapa final'!$AA$50="Media",'Mapa final'!$AC$50="Mayor"),CONCATENATE("R10C",'Mapa final'!$Q$50),"")</f>
        <v/>
      </c>
      <c r="AD35" s="29" t="str">
        <f>IF(AND('Mapa final'!$AA$51="Media",'Mapa final'!$AC$51="Mayor"),CONCATENATE("R10C",'Mapa final'!$Q$51),"")</f>
        <v/>
      </c>
      <c r="AE35" s="29" t="str">
        <f>IF(AND('Mapa final'!$AA$52="Media",'Mapa final'!$AC$52="Mayor"),CONCATENATE("R10C",'Mapa final'!$Q$52),"")</f>
        <v/>
      </c>
      <c r="AF35" s="29" t="str">
        <f>IF(AND('Mapa final'!$AA$53="Media",'Mapa final'!$AC$53="Mayor"),CONCATENATE("R10C",'Mapa final'!$Q$53),"")</f>
        <v/>
      </c>
      <c r="AG35" s="30" t="str">
        <f>IF(AND('Mapa final'!$AA$54="Media",'Mapa final'!$AC$54="Mayor"),CONCATENATE("R10C",'Mapa final'!$Q$54),"")</f>
        <v/>
      </c>
      <c r="AH35" s="31" t="str">
        <f>IF(AND('Mapa final'!$AA$49="Media",'Mapa final'!$AC$49="Catastrófico"),CONCATENATE("R10C",'Mapa final'!$Q$49),"")</f>
        <v/>
      </c>
      <c r="AI35" s="32" t="str">
        <f>IF(AND('Mapa final'!$AA$50="Media",'Mapa final'!$AC$50="Catastrófico"),CONCATENATE("R10C",'Mapa final'!$Q$50),"")</f>
        <v/>
      </c>
      <c r="AJ35" s="32" t="str">
        <f>IF(AND('Mapa final'!$AA$51="Media",'Mapa final'!$AC$51="Catastrófico"),CONCATENATE("R10C",'Mapa final'!$Q$51),"")</f>
        <v/>
      </c>
      <c r="AK35" s="32" t="str">
        <f>IF(AND('Mapa final'!$AA$52="Media",'Mapa final'!$AC$52="Catastrófico"),CONCATENATE("R10C",'Mapa final'!$Q$52),"")</f>
        <v/>
      </c>
      <c r="AL35" s="32" t="str">
        <f>IF(AND('Mapa final'!$AA$53="Media",'Mapa final'!$AC$53="Catastrófico"),CONCATENATE("R10C",'Mapa final'!$Q$53),"")</f>
        <v/>
      </c>
      <c r="AM35" s="33" t="str">
        <f>IF(AND('Mapa final'!$AA$54="Media",'Mapa final'!$AC$54="Catastrófico"),CONCATENATE("R10C",'Mapa final'!$Q$54),"")</f>
        <v/>
      </c>
      <c r="AN35" s="53"/>
      <c r="AO35" s="637"/>
      <c r="AP35" s="638"/>
      <c r="AQ35" s="638"/>
      <c r="AR35" s="638"/>
      <c r="AS35" s="638"/>
      <c r="AT35" s="639"/>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506"/>
      <c r="C36" s="506"/>
      <c r="D36" s="507"/>
      <c r="E36" s="601" t="s">
        <v>109</v>
      </c>
      <c r="F36" s="602"/>
      <c r="G36" s="602"/>
      <c r="H36" s="602"/>
      <c r="I36" s="602"/>
      <c r="J36" s="43" t="str">
        <f>IF(AND('Mapa final'!$AA$10="Baja",'Mapa final'!$AC$10="Leve"),CONCATENATE("R1C",'Mapa final'!$Q$10),"")</f>
        <v/>
      </c>
      <c r="K36" s="44" t="str">
        <f>IF(AND('Mapa final'!$AA$11="Baja",'Mapa final'!$AC$11="Leve"),CONCATENATE("R1C",'Mapa final'!$Q$11),"")</f>
        <v/>
      </c>
      <c r="L36" s="44" t="str">
        <f>IF(AND('Mapa final'!$AA$12="Baja",'Mapa final'!$AC$12="Leve"),CONCATENATE("R1C",'Mapa final'!$Q$12),"")</f>
        <v/>
      </c>
      <c r="M36" s="44" t="str">
        <f>IF(AND('Mapa final'!$AA$13="Baja",'Mapa final'!$AC$13="Leve"),CONCATENATE("R1C",'Mapa final'!$Q$13),"")</f>
        <v/>
      </c>
      <c r="N36" s="44" t="str">
        <f>IF(AND('Mapa final'!$AA$14="Baja",'Mapa final'!$AC$14="Leve"),CONCATENATE("R1C",'Mapa final'!$Q$14),"")</f>
        <v/>
      </c>
      <c r="O36" s="45" t="e">
        <f>IF(AND('Mapa final'!#REF!="Baja",'Mapa final'!#REF!="Leve"),CONCATENATE("R1C",'Mapa final'!#REF!),"")</f>
        <v>#REF!</v>
      </c>
      <c r="P36" s="34" t="str">
        <f>IF(AND('Mapa final'!$AA$10="Baja",'Mapa final'!$AC$10="Menor"),CONCATENATE("R1C",'Mapa final'!$Q$10),"")</f>
        <v/>
      </c>
      <c r="Q36" s="35" t="str">
        <f>IF(AND('Mapa final'!$AA$11="Baja",'Mapa final'!$AC$11="Menor"),CONCATENATE("R1C",'Mapa final'!$Q$11),"")</f>
        <v/>
      </c>
      <c r="R36" s="35" t="str">
        <f>IF(AND('Mapa final'!$AA$12="Baja",'Mapa final'!$AC$12="Menor"),CONCATENATE("R1C",'Mapa final'!$Q$12),"")</f>
        <v/>
      </c>
      <c r="S36" s="35" t="str">
        <f>IF(AND('Mapa final'!$AA$13="Baja",'Mapa final'!$AC$13="Menor"),CONCATENATE("R1C",'Mapa final'!$Q$13),"")</f>
        <v/>
      </c>
      <c r="T36" s="35" t="str">
        <f>IF(AND('Mapa final'!$AA$14="Baja",'Mapa final'!$AC$14="Menor"),CONCATENATE("R1C",'Mapa final'!$Q$14),"")</f>
        <v/>
      </c>
      <c r="U36" s="36" t="e">
        <f>IF(AND('Mapa final'!#REF!="Baja",'Mapa final'!#REF!="Menor"),CONCATENATE("R1C",'Mapa final'!#REF!),"")</f>
        <v>#REF!</v>
      </c>
      <c r="V36" s="34" t="str">
        <f>IF(AND('Mapa final'!$AA$10="Baja",'Mapa final'!$AC$10="Moderado"),CONCATENATE("R1C",'Mapa final'!$Q$10),"")</f>
        <v/>
      </c>
      <c r="W36" s="35" t="str">
        <f>IF(AND('Mapa final'!$AA$11="Baja",'Mapa final'!$AC$11="Moderado"),CONCATENATE("R1C",'Mapa final'!$Q$11),"")</f>
        <v/>
      </c>
      <c r="X36" s="35" t="str">
        <f>IF(AND('Mapa final'!$AA$12="Baja",'Mapa final'!$AC$12="Moderado"),CONCATENATE("R1C",'Mapa final'!$Q$12),"")</f>
        <v/>
      </c>
      <c r="Y36" s="35" t="str">
        <f>IF(AND('Mapa final'!$AA$13="Baja",'Mapa final'!$AC$13="Moderado"),CONCATENATE("R1C",'Mapa final'!$Q$13),"")</f>
        <v/>
      </c>
      <c r="Z36" s="35" t="str">
        <f>IF(AND('Mapa final'!$AA$14="Baja",'Mapa final'!$AC$14="Moderado"),CONCATENATE("R1C",'Mapa final'!$Q$14),"")</f>
        <v/>
      </c>
      <c r="AA36" s="36" t="e">
        <f>IF(AND('Mapa final'!#REF!="Baja",'Mapa final'!#REF!="Moderado"),CONCATENATE("R1C",'Mapa final'!#REF!),"")</f>
        <v>#REF!</v>
      </c>
      <c r="AB36" s="16" t="str">
        <f>IF(AND('Mapa final'!$AA$10="Baja",'Mapa final'!$AC$10="Mayor"),CONCATENATE("R1C",'Mapa final'!$Q$10),"")</f>
        <v/>
      </c>
      <c r="AC36" s="17" t="str">
        <f>IF(AND('Mapa final'!$AA$11="Baja",'Mapa final'!$AC$11="Mayor"),CONCATENATE("R1C",'Mapa final'!$Q$11),"")</f>
        <v>R1C2</v>
      </c>
      <c r="AD36" s="17" t="str">
        <f>IF(AND('Mapa final'!$AA$12="Baja",'Mapa final'!$AC$12="Mayor"),CONCATENATE("R1C",'Mapa final'!$Q$12),"")</f>
        <v/>
      </c>
      <c r="AE36" s="17" t="str">
        <f>IF(AND('Mapa final'!$AA$13="Baja",'Mapa final'!$AC$13="Mayor"),CONCATENATE("R1C",'Mapa final'!$Q$13),"")</f>
        <v/>
      </c>
      <c r="AF36" s="17" t="str">
        <f>IF(AND('Mapa final'!$AA$14="Baja",'Mapa final'!$AC$14="Mayor"),CONCATENATE("R1C",'Mapa final'!$Q$14),"")</f>
        <v/>
      </c>
      <c r="AG36" s="18" t="e">
        <f>IF(AND('Mapa final'!#REF!="Baja",'Mapa final'!#REF!="Mayor"),CONCATENATE("R1C",'Mapa final'!#REF!),"")</f>
        <v>#REF!</v>
      </c>
      <c r="AH36" s="19" t="str">
        <f>IF(AND('Mapa final'!$AA$10="Baja",'Mapa final'!$AC$10="Catastrófico"),CONCATENATE("R1C",'Mapa final'!$Q$10),"")</f>
        <v/>
      </c>
      <c r="AI36" s="20" t="str">
        <f>IF(AND('Mapa final'!$AA$11="Baja",'Mapa final'!$AC$11="Catastrófico"),CONCATENATE("R1C",'Mapa final'!$Q$11),"")</f>
        <v/>
      </c>
      <c r="AJ36" s="20" t="str">
        <f>IF(AND('Mapa final'!$AA$12="Baja",'Mapa final'!$AC$12="Catastrófico"),CONCATENATE("R1C",'Mapa final'!$Q$12),"")</f>
        <v/>
      </c>
      <c r="AK36" s="20" t="str">
        <f>IF(AND('Mapa final'!$AA$13="Baja",'Mapa final'!$AC$13="Catastrófico"),CONCATENATE("R1C",'Mapa final'!$Q$13),"")</f>
        <v/>
      </c>
      <c r="AL36" s="20" t="str">
        <f>IF(AND('Mapa final'!$AA$14="Baja",'Mapa final'!$AC$14="Catastrófico"),CONCATENATE("R1C",'Mapa final'!$Q$14),"")</f>
        <v/>
      </c>
      <c r="AM36" s="21" t="e">
        <f>IF(AND('Mapa final'!#REF!="Baja",'Mapa final'!#REF!="Catastrófico"),CONCATENATE("R1C",'Mapa final'!#REF!),"")</f>
        <v>#REF!</v>
      </c>
      <c r="AN36" s="53"/>
      <c r="AO36" s="622" t="s">
        <v>81</v>
      </c>
      <c r="AP36" s="623"/>
      <c r="AQ36" s="623"/>
      <c r="AR36" s="623"/>
      <c r="AS36" s="623"/>
      <c r="AT36" s="62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506"/>
      <c r="C37" s="506"/>
      <c r="D37" s="507"/>
      <c r="E37" s="603"/>
      <c r="F37" s="604"/>
      <c r="G37" s="604"/>
      <c r="H37" s="604"/>
      <c r="I37" s="604"/>
      <c r="J37" s="46" t="str">
        <f>IF(AND('Mapa final'!$AA$15="Baja",'Mapa final'!$AC$15="Leve"),CONCATENATE("R2C",'Mapa final'!$Q$15),"")</f>
        <v/>
      </c>
      <c r="K37" s="47" t="str">
        <f>IF(AND('Mapa final'!$AA$16="Baja",'Mapa final'!$AC$16="Leve"),CONCATENATE("R2C",'Mapa final'!$Q$16),"")</f>
        <v/>
      </c>
      <c r="L37" s="47" t="e">
        <f>IF(AND('Mapa final'!#REF!="Baja",'Mapa final'!#REF!="Leve"),CONCATENATE("R2C",'Mapa final'!$Q$17),"")</f>
        <v>#REF!</v>
      </c>
      <c r="M37" s="47" t="e">
        <f>IF(AND('Mapa final'!#REF!="Baja",'Mapa final'!#REF!="Leve"),CONCATENATE("R2C",'Mapa final'!#REF!),"")</f>
        <v>#REF!</v>
      </c>
      <c r="N37" s="47" t="e">
        <f>IF(AND('Mapa final'!#REF!="Baja",'Mapa final'!#REF!="Leve"),CONCATENATE("R2C",'Mapa final'!#REF!),"")</f>
        <v>#REF!</v>
      </c>
      <c r="O37" s="48" t="e">
        <f>IF(AND('Mapa final'!#REF!="Baja",'Mapa final'!#REF!="Leve"),CONCATENATE("R2C",'Mapa final'!#REF!),"")</f>
        <v>#REF!</v>
      </c>
      <c r="P37" s="37" t="str">
        <f>IF(AND('Mapa final'!$AA$15="Baja",'Mapa final'!$AC$15="Menor"),CONCATENATE("R2C",'Mapa final'!$Q$15),"")</f>
        <v/>
      </c>
      <c r="Q37" s="38" t="str">
        <f>IF(AND('Mapa final'!$AA$16="Baja",'Mapa final'!$AC$16="Menor"),CONCATENATE("R2C",'Mapa final'!$Q$16),"")</f>
        <v/>
      </c>
      <c r="R37" s="38" t="e">
        <f>IF(AND('Mapa final'!#REF!="Baja",'Mapa final'!#REF!="Menor"),CONCATENATE("R2C",'Mapa final'!$Q$17),"")</f>
        <v>#REF!</v>
      </c>
      <c r="S37" s="38" t="e">
        <f>IF(AND('Mapa final'!#REF!="Baja",'Mapa final'!#REF!="Menor"),CONCATENATE("R2C",'Mapa final'!#REF!),"")</f>
        <v>#REF!</v>
      </c>
      <c r="T37" s="38" t="e">
        <f>IF(AND('Mapa final'!#REF!="Baja",'Mapa final'!#REF!="Menor"),CONCATENATE("R2C",'Mapa final'!#REF!),"")</f>
        <v>#REF!</v>
      </c>
      <c r="U37" s="39" t="e">
        <f>IF(AND('Mapa final'!#REF!="Baja",'Mapa final'!#REF!="Menor"),CONCATENATE("R2C",'Mapa final'!#REF!),"")</f>
        <v>#REF!</v>
      </c>
      <c r="V37" s="37" t="str">
        <f>IF(AND('Mapa final'!$AA$15="Baja",'Mapa final'!$AC$15="Moderado"),CONCATENATE("R2C",'Mapa final'!$Q$15),"")</f>
        <v/>
      </c>
      <c r="W37" s="38" t="str">
        <f>IF(AND('Mapa final'!$AA$16="Baja",'Mapa final'!$AC$16="Moderado"),CONCATENATE("R2C",'Mapa final'!$Q$16),"")</f>
        <v/>
      </c>
      <c r="X37" s="38" t="e">
        <f>IF(AND('Mapa final'!#REF!="Baja",'Mapa final'!#REF!="Moderado"),CONCATENATE("R2C",'Mapa final'!$Q$17),"")</f>
        <v>#REF!</v>
      </c>
      <c r="Y37" s="38" t="e">
        <f>IF(AND('Mapa final'!#REF!="Baja",'Mapa final'!#REF!="Moderado"),CONCATENATE("R2C",'Mapa final'!#REF!),"")</f>
        <v>#REF!</v>
      </c>
      <c r="Z37" s="38" t="e">
        <f>IF(AND('Mapa final'!#REF!="Baja",'Mapa final'!#REF!="Moderado"),CONCATENATE("R2C",'Mapa final'!#REF!),"")</f>
        <v>#REF!</v>
      </c>
      <c r="AA37" s="39" t="e">
        <f>IF(AND('Mapa final'!#REF!="Baja",'Mapa final'!#REF!="Moderado"),CONCATENATE("R2C",'Mapa final'!#REF!),"")</f>
        <v>#REF!</v>
      </c>
      <c r="AB37" s="22" t="str">
        <f>IF(AND('Mapa final'!$AA$15="Baja",'Mapa final'!$AC$15="Mayor"),CONCATENATE("R2C",'Mapa final'!$Q$15),"")</f>
        <v>R2C1</v>
      </c>
      <c r="AC37" s="23" t="str">
        <f>IF(AND('Mapa final'!$AA$16="Baja",'Mapa final'!$AC$16="Mayor"),CONCATENATE("R2C",'Mapa final'!$Q$16),"")</f>
        <v>R2C2</v>
      </c>
      <c r="AD37" s="23" t="e">
        <f>IF(AND('Mapa final'!#REF!="Baja",'Mapa final'!#REF!="Mayor"),CONCATENATE("R2C",'Mapa final'!$Q$17),"")</f>
        <v>#REF!</v>
      </c>
      <c r="AE37" s="23" t="e">
        <f>IF(AND('Mapa final'!#REF!="Baja",'Mapa final'!#REF!="Mayor"),CONCATENATE("R2C",'Mapa final'!#REF!),"")</f>
        <v>#REF!</v>
      </c>
      <c r="AF37" s="23" t="e">
        <f>IF(AND('Mapa final'!#REF!="Baja",'Mapa final'!#REF!="Mayor"),CONCATENATE("R2C",'Mapa final'!#REF!),"")</f>
        <v>#REF!</v>
      </c>
      <c r="AG37" s="24" t="e">
        <f>IF(AND('Mapa final'!#REF!="Baja",'Mapa final'!#REF!="Mayor"),CONCATENATE("R2C",'Mapa final'!#REF!),"")</f>
        <v>#REF!</v>
      </c>
      <c r="AH37" s="25" t="str">
        <f>IF(AND('Mapa final'!$AA$15="Baja",'Mapa final'!$AC$15="Catastrófico"),CONCATENATE("R2C",'Mapa final'!$Q$15),"")</f>
        <v/>
      </c>
      <c r="AI37" s="26" t="str">
        <f>IF(AND('Mapa final'!$AA$16="Baja",'Mapa final'!$AC$16="Catastrófico"),CONCATENATE("R2C",'Mapa final'!$Q$16),"")</f>
        <v/>
      </c>
      <c r="AJ37" s="26" t="e">
        <f>IF(AND('Mapa final'!#REF!="Baja",'Mapa final'!#REF!="Catastrófico"),CONCATENATE("R2C",'Mapa final'!$Q$17),"")</f>
        <v>#REF!</v>
      </c>
      <c r="AK37" s="26" t="e">
        <f>IF(AND('Mapa final'!#REF!="Baja",'Mapa final'!#REF!="Catastrófico"),CONCATENATE("R2C",'Mapa final'!#REF!),"")</f>
        <v>#REF!</v>
      </c>
      <c r="AL37" s="26" t="e">
        <f>IF(AND('Mapa final'!#REF!="Baja",'Mapa final'!#REF!="Catastrófico"),CONCATENATE("R2C",'Mapa final'!#REF!),"")</f>
        <v>#REF!</v>
      </c>
      <c r="AM37" s="27" t="e">
        <f>IF(AND('Mapa final'!#REF!="Baja",'Mapa final'!#REF!="Catastrófico"),CONCATENATE("R2C",'Mapa final'!#REF!),"")</f>
        <v>#REF!</v>
      </c>
      <c r="AN37" s="53"/>
      <c r="AO37" s="625"/>
      <c r="AP37" s="626"/>
      <c r="AQ37" s="626"/>
      <c r="AR37" s="626"/>
      <c r="AS37" s="626"/>
      <c r="AT37" s="627"/>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506"/>
      <c r="C38" s="506"/>
      <c r="D38" s="507"/>
      <c r="E38" s="605"/>
      <c r="F38" s="604"/>
      <c r="G38" s="604"/>
      <c r="H38" s="604"/>
      <c r="I38" s="604"/>
      <c r="J38" s="46" t="e">
        <f>IF(AND('Mapa final'!#REF!="Baja",'Mapa final'!#REF!="Leve"),CONCATENATE("R3C",'Mapa final'!#REF!),"")</f>
        <v>#REF!</v>
      </c>
      <c r="K38" s="47" t="e">
        <f>IF(AND('Mapa final'!#REF!="Baja",'Mapa final'!#REF!="Leve"),CONCATENATE("R3C",'Mapa final'!#REF!),"")</f>
        <v>#REF!</v>
      </c>
      <c r="L38" s="47" t="e">
        <f>IF(AND('Mapa final'!#REF!="Baja",'Mapa final'!#REF!="Leve"),CONCATENATE("R3C",'Mapa final'!#REF!),"")</f>
        <v>#REF!</v>
      </c>
      <c r="M38" s="47" t="e">
        <f>IF(AND('Mapa final'!#REF!="Baja",'Mapa final'!#REF!="Leve"),CONCATENATE("R3C",'Mapa final'!#REF!),"")</f>
        <v>#REF!</v>
      </c>
      <c r="N38" s="47" t="e">
        <f>IF(AND('Mapa final'!#REF!="Baja",'Mapa final'!#REF!="Leve"),CONCATENATE("R3C",'Mapa final'!#REF!),"")</f>
        <v>#REF!</v>
      </c>
      <c r="O38" s="48" t="e">
        <f>IF(AND('Mapa final'!#REF!="Baja",'Mapa final'!#REF!="Leve"),CONCATENATE("R3C",'Mapa final'!#REF!),"")</f>
        <v>#REF!</v>
      </c>
      <c r="P38" s="37" t="e">
        <f>IF(AND('Mapa final'!#REF!="Baja",'Mapa final'!#REF!="Menor"),CONCATENATE("R3C",'Mapa final'!#REF!),"")</f>
        <v>#REF!</v>
      </c>
      <c r="Q38" s="38" t="e">
        <f>IF(AND('Mapa final'!#REF!="Baja",'Mapa final'!#REF!="Menor"),CONCATENATE("R3C",'Mapa final'!#REF!),"")</f>
        <v>#REF!</v>
      </c>
      <c r="R38" s="38" t="e">
        <f>IF(AND('Mapa final'!#REF!="Baja",'Mapa final'!#REF!="Menor"),CONCATENATE("R3C",'Mapa final'!#REF!),"")</f>
        <v>#REF!</v>
      </c>
      <c r="S38" s="38" t="e">
        <f>IF(AND('Mapa final'!#REF!="Baja",'Mapa final'!#REF!="Menor"),CONCATENATE("R3C",'Mapa final'!#REF!),"")</f>
        <v>#REF!</v>
      </c>
      <c r="T38" s="38" t="e">
        <f>IF(AND('Mapa final'!#REF!="Baja",'Mapa final'!#REF!="Menor"),CONCATENATE("R3C",'Mapa final'!#REF!),"")</f>
        <v>#REF!</v>
      </c>
      <c r="U38" s="39" t="e">
        <f>IF(AND('Mapa final'!#REF!="Baja",'Mapa final'!#REF!="Menor"),CONCATENATE("R3C",'Mapa final'!#REF!),"")</f>
        <v>#REF!</v>
      </c>
      <c r="V38" s="37" t="e">
        <f>IF(AND('Mapa final'!#REF!="Baja",'Mapa final'!#REF!="Moderado"),CONCATENATE("R3C",'Mapa final'!#REF!),"")</f>
        <v>#REF!</v>
      </c>
      <c r="W38" s="38" t="e">
        <f>IF(AND('Mapa final'!#REF!="Baja",'Mapa final'!#REF!="Moderado"),CONCATENATE("R3C",'Mapa final'!#REF!),"")</f>
        <v>#REF!</v>
      </c>
      <c r="X38" s="38" t="e">
        <f>IF(AND('Mapa final'!#REF!="Baja",'Mapa final'!#REF!="Moderado"),CONCATENATE("R3C",'Mapa final'!#REF!),"")</f>
        <v>#REF!</v>
      </c>
      <c r="Y38" s="38" t="e">
        <f>IF(AND('Mapa final'!#REF!="Baja",'Mapa final'!#REF!="Moderado"),CONCATENATE("R3C",'Mapa final'!#REF!),"")</f>
        <v>#REF!</v>
      </c>
      <c r="Z38" s="38" t="e">
        <f>IF(AND('Mapa final'!#REF!="Baja",'Mapa final'!#REF!="Moderado"),CONCATENATE("R3C",'Mapa final'!#REF!),"")</f>
        <v>#REF!</v>
      </c>
      <c r="AA38" s="39" t="e">
        <f>IF(AND('Mapa final'!#REF!="Baja",'Mapa final'!#REF!="Moderado"),CONCATENATE("R3C",'Mapa final'!#REF!),"")</f>
        <v>#REF!</v>
      </c>
      <c r="AB38" s="22" t="e">
        <f>IF(AND('Mapa final'!#REF!="Baja",'Mapa final'!#REF!="Mayor"),CONCATENATE("R3C",'Mapa final'!#REF!),"")</f>
        <v>#REF!</v>
      </c>
      <c r="AC38" s="23" t="e">
        <f>IF(AND('Mapa final'!#REF!="Baja",'Mapa final'!#REF!="Mayor"),CONCATENATE("R3C",'Mapa final'!#REF!),"")</f>
        <v>#REF!</v>
      </c>
      <c r="AD38" s="23" t="e">
        <f>IF(AND('Mapa final'!#REF!="Baja",'Mapa final'!#REF!="Mayor"),CONCATENATE("R3C",'Mapa final'!#REF!),"")</f>
        <v>#REF!</v>
      </c>
      <c r="AE38" s="23" t="e">
        <f>IF(AND('Mapa final'!#REF!="Baja",'Mapa final'!#REF!="Mayor"),CONCATENATE("R3C",'Mapa final'!#REF!),"")</f>
        <v>#REF!</v>
      </c>
      <c r="AF38" s="23" t="e">
        <f>IF(AND('Mapa final'!#REF!="Baja",'Mapa final'!#REF!="Mayor"),CONCATENATE("R3C",'Mapa final'!#REF!),"")</f>
        <v>#REF!</v>
      </c>
      <c r="AG38" s="24" t="e">
        <f>IF(AND('Mapa final'!#REF!="Baja",'Mapa final'!#REF!="Mayor"),CONCATENATE("R3C",'Mapa final'!#REF!),"")</f>
        <v>#REF!</v>
      </c>
      <c r="AH38" s="25" t="e">
        <f>IF(AND('Mapa final'!#REF!="Baja",'Mapa final'!#REF!="Catastrófico"),CONCATENATE("R3C",'Mapa final'!#REF!),"")</f>
        <v>#REF!</v>
      </c>
      <c r="AI38" s="26" t="e">
        <f>IF(AND('Mapa final'!#REF!="Baja",'Mapa final'!#REF!="Catastrófico"),CONCATENATE("R3C",'Mapa final'!#REF!),"")</f>
        <v>#REF!</v>
      </c>
      <c r="AJ38" s="26" t="e">
        <f>IF(AND('Mapa final'!#REF!="Baja",'Mapa final'!#REF!="Catastrófico"),CONCATENATE("R3C",'Mapa final'!#REF!),"")</f>
        <v>#REF!</v>
      </c>
      <c r="AK38" s="26" t="e">
        <f>IF(AND('Mapa final'!#REF!="Baja",'Mapa final'!#REF!="Catastrófico"),CONCATENATE("R3C",'Mapa final'!#REF!),"")</f>
        <v>#REF!</v>
      </c>
      <c r="AL38" s="26" t="e">
        <f>IF(AND('Mapa final'!#REF!="Baja",'Mapa final'!#REF!="Catastrófico"),CONCATENATE("R3C",'Mapa final'!#REF!),"")</f>
        <v>#REF!</v>
      </c>
      <c r="AM38" s="27" t="e">
        <f>IF(AND('Mapa final'!#REF!="Baja",'Mapa final'!#REF!="Catastrófico"),CONCATENATE("R3C",'Mapa final'!#REF!),"")</f>
        <v>#REF!</v>
      </c>
      <c r="AN38" s="53"/>
      <c r="AO38" s="625"/>
      <c r="AP38" s="626"/>
      <c r="AQ38" s="626"/>
      <c r="AR38" s="626"/>
      <c r="AS38" s="626"/>
      <c r="AT38" s="627"/>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506"/>
      <c r="C39" s="506"/>
      <c r="D39" s="507"/>
      <c r="E39" s="605"/>
      <c r="F39" s="604"/>
      <c r="G39" s="604"/>
      <c r="H39" s="604"/>
      <c r="I39" s="604"/>
      <c r="J39" s="46" t="e">
        <f>IF(AND('Mapa final'!#REF!="Baja",'Mapa final'!#REF!="Leve"),CONCATENATE("R4C",'Mapa final'!#REF!),"")</f>
        <v>#REF!</v>
      </c>
      <c r="K39" s="47" t="e">
        <f>IF(AND('Mapa final'!#REF!="Baja",'Mapa final'!#REF!="Leve"),CONCATENATE("R4C",'Mapa final'!#REF!),"")</f>
        <v>#REF!</v>
      </c>
      <c r="L39" s="47" t="e">
        <f>IF(AND('Mapa final'!#REF!="Baja",'Mapa final'!#REF!="Leve"),CONCATENATE("R4C",'Mapa final'!#REF!),"")</f>
        <v>#REF!</v>
      </c>
      <c r="M39" s="47" t="e">
        <f>IF(AND('Mapa final'!#REF!="Baja",'Mapa final'!#REF!="Leve"),CONCATENATE("R4C",'Mapa final'!#REF!),"")</f>
        <v>#REF!</v>
      </c>
      <c r="N39" s="47" t="e">
        <f>IF(AND('Mapa final'!#REF!="Baja",'Mapa final'!#REF!="Leve"),CONCATENATE("R4C",'Mapa final'!#REF!),"")</f>
        <v>#REF!</v>
      </c>
      <c r="O39" s="48" t="e">
        <f>IF(AND('Mapa final'!#REF!="Baja",'Mapa final'!#REF!="Leve"),CONCATENATE("R4C",'Mapa final'!#REF!),"")</f>
        <v>#REF!</v>
      </c>
      <c r="P39" s="37" t="e">
        <f>IF(AND('Mapa final'!#REF!="Baja",'Mapa final'!#REF!="Menor"),CONCATENATE("R4C",'Mapa final'!#REF!),"")</f>
        <v>#REF!</v>
      </c>
      <c r="Q39" s="38" t="e">
        <f>IF(AND('Mapa final'!#REF!="Baja",'Mapa final'!#REF!="Menor"),CONCATENATE("R4C",'Mapa final'!#REF!),"")</f>
        <v>#REF!</v>
      </c>
      <c r="R39" s="38" t="e">
        <f>IF(AND('Mapa final'!#REF!="Baja",'Mapa final'!#REF!="Menor"),CONCATENATE("R4C",'Mapa final'!#REF!),"")</f>
        <v>#REF!</v>
      </c>
      <c r="S39" s="38" t="e">
        <f>IF(AND('Mapa final'!#REF!="Baja",'Mapa final'!#REF!="Menor"),CONCATENATE("R4C",'Mapa final'!#REF!),"")</f>
        <v>#REF!</v>
      </c>
      <c r="T39" s="38" t="e">
        <f>IF(AND('Mapa final'!#REF!="Baja",'Mapa final'!#REF!="Menor"),CONCATENATE("R4C",'Mapa final'!#REF!),"")</f>
        <v>#REF!</v>
      </c>
      <c r="U39" s="39" t="e">
        <f>IF(AND('Mapa final'!#REF!="Baja",'Mapa final'!#REF!="Menor"),CONCATENATE("R4C",'Mapa final'!#REF!),"")</f>
        <v>#REF!</v>
      </c>
      <c r="V39" s="37" t="e">
        <f>IF(AND('Mapa final'!#REF!="Baja",'Mapa final'!#REF!="Moderado"),CONCATENATE("R4C",'Mapa final'!#REF!),"")</f>
        <v>#REF!</v>
      </c>
      <c r="W39" s="38" t="e">
        <f>IF(AND('Mapa final'!#REF!="Baja",'Mapa final'!#REF!="Moderado"),CONCATENATE("R4C",'Mapa final'!#REF!),"")</f>
        <v>#REF!</v>
      </c>
      <c r="X39" s="38" t="e">
        <f>IF(AND('Mapa final'!#REF!="Baja",'Mapa final'!#REF!="Moderado"),CONCATENATE("R4C",'Mapa final'!#REF!),"")</f>
        <v>#REF!</v>
      </c>
      <c r="Y39" s="38" t="e">
        <f>IF(AND('Mapa final'!#REF!="Baja",'Mapa final'!#REF!="Moderado"),CONCATENATE("R4C",'Mapa final'!#REF!),"")</f>
        <v>#REF!</v>
      </c>
      <c r="Z39" s="38" t="e">
        <f>IF(AND('Mapa final'!#REF!="Baja",'Mapa final'!#REF!="Moderado"),CONCATENATE("R4C",'Mapa final'!#REF!),"")</f>
        <v>#REF!</v>
      </c>
      <c r="AA39" s="39" t="e">
        <f>IF(AND('Mapa final'!#REF!="Baja",'Mapa final'!#REF!="Moderado"),CONCATENATE("R4C",'Mapa final'!#REF!),"")</f>
        <v>#REF!</v>
      </c>
      <c r="AB39" s="22" t="e">
        <f>IF(AND('Mapa final'!#REF!="Baja",'Mapa final'!#REF!="Mayor"),CONCATENATE("R4C",'Mapa final'!#REF!),"")</f>
        <v>#REF!</v>
      </c>
      <c r="AC39" s="23" t="e">
        <f>IF(AND('Mapa final'!#REF!="Baja",'Mapa final'!#REF!="Mayor"),CONCATENATE("R4C",'Mapa final'!#REF!),"")</f>
        <v>#REF!</v>
      </c>
      <c r="AD39" s="23" t="e">
        <f>IF(AND('Mapa final'!#REF!="Baja",'Mapa final'!#REF!="Mayor"),CONCATENATE("R4C",'Mapa final'!#REF!),"")</f>
        <v>#REF!</v>
      </c>
      <c r="AE39" s="23" t="e">
        <f>IF(AND('Mapa final'!#REF!="Baja",'Mapa final'!#REF!="Mayor"),CONCATENATE("R4C",'Mapa final'!#REF!),"")</f>
        <v>#REF!</v>
      </c>
      <c r="AF39" s="23" t="e">
        <f>IF(AND('Mapa final'!#REF!="Baja",'Mapa final'!#REF!="Mayor"),CONCATENATE("R4C",'Mapa final'!#REF!),"")</f>
        <v>#REF!</v>
      </c>
      <c r="AG39" s="24" t="e">
        <f>IF(AND('Mapa final'!#REF!="Baja",'Mapa final'!#REF!="Mayor"),CONCATENATE("R4C",'Mapa final'!#REF!),"")</f>
        <v>#REF!</v>
      </c>
      <c r="AH39" s="25" t="e">
        <f>IF(AND('Mapa final'!#REF!="Baja",'Mapa final'!#REF!="Catastrófico"),CONCATENATE("R4C",'Mapa final'!#REF!),"")</f>
        <v>#REF!</v>
      </c>
      <c r="AI39" s="26" t="e">
        <f>IF(AND('Mapa final'!#REF!="Baja",'Mapa final'!#REF!="Catastrófico"),CONCATENATE("R4C",'Mapa final'!#REF!),"")</f>
        <v>#REF!</v>
      </c>
      <c r="AJ39" s="26" t="e">
        <f>IF(AND('Mapa final'!#REF!="Baja",'Mapa final'!#REF!="Catastrófico"),CONCATENATE("R4C",'Mapa final'!#REF!),"")</f>
        <v>#REF!</v>
      </c>
      <c r="AK39" s="26" t="e">
        <f>IF(AND('Mapa final'!#REF!="Baja",'Mapa final'!#REF!="Catastrófico"),CONCATENATE("R4C",'Mapa final'!#REF!),"")</f>
        <v>#REF!</v>
      </c>
      <c r="AL39" s="26" t="e">
        <f>IF(AND('Mapa final'!#REF!="Baja",'Mapa final'!#REF!="Catastrófico"),CONCATENATE("R4C",'Mapa final'!#REF!),"")</f>
        <v>#REF!</v>
      </c>
      <c r="AM39" s="27" t="e">
        <f>IF(AND('Mapa final'!#REF!="Baja",'Mapa final'!#REF!="Catastrófico"),CONCATENATE("R4C",'Mapa final'!#REF!),"")</f>
        <v>#REF!</v>
      </c>
      <c r="AN39" s="53"/>
      <c r="AO39" s="625"/>
      <c r="AP39" s="626"/>
      <c r="AQ39" s="626"/>
      <c r="AR39" s="626"/>
      <c r="AS39" s="626"/>
      <c r="AT39" s="627"/>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506"/>
      <c r="C40" s="506"/>
      <c r="D40" s="507"/>
      <c r="E40" s="605"/>
      <c r="F40" s="604"/>
      <c r="G40" s="604"/>
      <c r="H40" s="604"/>
      <c r="I40" s="604"/>
      <c r="J40" s="46" t="str">
        <f>IF(AND('Mapa final'!$AA$19="Baja",'Mapa final'!$AC$19="Leve"),CONCATENATE("R5C",'Mapa final'!$Q$19),"")</f>
        <v/>
      </c>
      <c r="K40" s="47" t="str">
        <f>IF(AND('Mapa final'!$AA$20="Baja",'Mapa final'!$AC$20="Leve"),CONCATENATE("R5C",'Mapa final'!$Q$20),"")</f>
        <v/>
      </c>
      <c r="L40" s="47" t="str">
        <f>IF(AND('Mapa final'!$AA$21="Baja",'Mapa final'!$AC$21="Leve"),CONCATENATE("R5C",'Mapa final'!$Q$21),"")</f>
        <v/>
      </c>
      <c r="M40" s="47" t="str">
        <f>IF(AND('Mapa final'!$AA$22="Baja",'Mapa final'!$AC$22="Leve"),CONCATENATE("R5C",'Mapa final'!$Q$22),"")</f>
        <v/>
      </c>
      <c r="N40" s="47" t="str">
        <f>IF(AND('Mapa final'!$AA$23="Baja",'Mapa final'!$AC$23="Leve"),CONCATENATE("R5C",'Mapa final'!$Q$23),"")</f>
        <v/>
      </c>
      <c r="O40" s="48" t="str">
        <f>IF(AND('Mapa final'!$AA$24="Baja",'Mapa final'!$AC$24="Leve"),CONCATENATE("R5C",'Mapa final'!$Q$24),"")</f>
        <v/>
      </c>
      <c r="P40" s="37" t="str">
        <f>IF(AND('Mapa final'!$AA$19="Baja",'Mapa final'!$AC$19="Menor"),CONCATENATE("R5C",'Mapa final'!$Q$19),"")</f>
        <v/>
      </c>
      <c r="Q40" s="38" t="str">
        <f>IF(AND('Mapa final'!$AA$20="Baja",'Mapa final'!$AC$20="Menor"),CONCATENATE("R5C",'Mapa final'!$Q$20),"")</f>
        <v/>
      </c>
      <c r="R40" s="38" t="str">
        <f>IF(AND('Mapa final'!$AA$21="Baja",'Mapa final'!$AC$21="Menor"),CONCATENATE("R5C",'Mapa final'!$Q$21),"")</f>
        <v/>
      </c>
      <c r="S40" s="38" t="str">
        <f>IF(AND('Mapa final'!$AA$22="Baja",'Mapa final'!$AC$22="Menor"),CONCATENATE("R5C",'Mapa final'!$Q$22),"")</f>
        <v/>
      </c>
      <c r="T40" s="38" t="str">
        <f>IF(AND('Mapa final'!$AA$23="Baja",'Mapa final'!$AC$23="Menor"),CONCATENATE("R5C",'Mapa final'!$Q$23),"")</f>
        <v/>
      </c>
      <c r="U40" s="39" t="str">
        <f>IF(AND('Mapa final'!$AA$24="Baja",'Mapa final'!$AC$24="Menor"),CONCATENATE("R5C",'Mapa final'!$Q$24),"")</f>
        <v/>
      </c>
      <c r="V40" s="37" t="str">
        <f>IF(AND('Mapa final'!$AA$19="Baja",'Mapa final'!$AC$19="Moderado"),CONCATENATE("R5C",'Mapa final'!$Q$19),"")</f>
        <v/>
      </c>
      <c r="W40" s="38" t="str">
        <f>IF(AND('Mapa final'!$AA$20="Baja",'Mapa final'!$AC$20="Moderado"),CONCATENATE("R5C",'Mapa final'!$Q$20),"")</f>
        <v/>
      </c>
      <c r="X40" s="38" t="str">
        <f>IF(AND('Mapa final'!$AA$21="Baja",'Mapa final'!$AC$21="Moderado"),CONCATENATE("R5C",'Mapa final'!$Q$21),"")</f>
        <v/>
      </c>
      <c r="Y40" s="38" t="str">
        <f>IF(AND('Mapa final'!$AA$22="Baja",'Mapa final'!$AC$22="Moderado"),CONCATENATE("R5C",'Mapa final'!$Q$22),"")</f>
        <v/>
      </c>
      <c r="Z40" s="38" t="str">
        <f>IF(AND('Mapa final'!$AA$23="Baja",'Mapa final'!$AC$23="Moderado"),CONCATENATE("R5C",'Mapa final'!$Q$23),"")</f>
        <v/>
      </c>
      <c r="AA40" s="39" t="str">
        <f>IF(AND('Mapa final'!$AA$24="Baja",'Mapa final'!$AC$24="Moderado"),CONCATENATE("R5C",'Mapa final'!$Q$24),"")</f>
        <v/>
      </c>
      <c r="AB40" s="22" t="str">
        <f>IF(AND('Mapa final'!$AA$19="Baja",'Mapa final'!$AC$19="Mayor"),CONCATENATE("R5C",'Mapa final'!$Q$19),"")</f>
        <v/>
      </c>
      <c r="AC40" s="23" t="str">
        <f>IF(AND('Mapa final'!$AA$20="Baja",'Mapa final'!$AC$20="Mayor"),CONCATENATE("R5C",'Mapa final'!$Q$20),"")</f>
        <v/>
      </c>
      <c r="AD40" s="23" t="str">
        <f>IF(AND('Mapa final'!$AA$21="Baja",'Mapa final'!$AC$21="Mayor"),CONCATENATE("R5C",'Mapa final'!$Q$21),"")</f>
        <v/>
      </c>
      <c r="AE40" s="23" t="str">
        <f>IF(AND('Mapa final'!$AA$22="Baja",'Mapa final'!$AC$22="Mayor"),CONCATENATE("R5C",'Mapa final'!$Q$22),"")</f>
        <v/>
      </c>
      <c r="AF40" s="23" t="str">
        <f>IF(AND('Mapa final'!$AA$23="Baja",'Mapa final'!$AC$23="Mayor"),CONCATENATE("R5C",'Mapa final'!$Q$23),"")</f>
        <v/>
      </c>
      <c r="AG40" s="24" t="str">
        <f>IF(AND('Mapa final'!$AA$24="Baja",'Mapa final'!$AC$24="Mayor"),CONCATENATE("R5C",'Mapa final'!$Q$24),"")</f>
        <v/>
      </c>
      <c r="AH40" s="25" t="str">
        <f>IF(AND('Mapa final'!$AA$19="Baja",'Mapa final'!$AC$19="Catastrófico"),CONCATENATE("R5C",'Mapa final'!$Q$19),"")</f>
        <v/>
      </c>
      <c r="AI40" s="26" t="str">
        <f>IF(AND('Mapa final'!$AA$20="Baja",'Mapa final'!$AC$20="Catastrófico"),CONCATENATE("R5C",'Mapa final'!$Q$20),"")</f>
        <v/>
      </c>
      <c r="AJ40" s="26" t="str">
        <f>IF(AND('Mapa final'!$AA$21="Baja",'Mapa final'!$AC$21="Catastrófico"),CONCATENATE("R5C",'Mapa final'!$Q$21),"")</f>
        <v/>
      </c>
      <c r="AK40" s="26" t="str">
        <f>IF(AND('Mapa final'!$AA$22="Baja",'Mapa final'!$AC$22="Catastrófico"),CONCATENATE("R5C",'Mapa final'!$Q$22),"")</f>
        <v/>
      </c>
      <c r="AL40" s="26" t="str">
        <f>IF(AND('Mapa final'!$AA$23="Baja",'Mapa final'!$AC$23="Catastrófico"),CONCATENATE("R5C",'Mapa final'!$Q$23),"")</f>
        <v/>
      </c>
      <c r="AM40" s="27" t="str">
        <f>IF(AND('Mapa final'!$AA$24="Baja",'Mapa final'!$AC$24="Catastrófico"),CONCATENATE("R5C",'Mapa final'!$Q$24),"")</f>
        <v/>
      </c>
      <c r="AN40" s="53"/>
      <c r="AO40" s="625"/>
      <c r="AP40" s="626"/>
      <c r="AQ40" s="626"/>
      <c r="AR40" s="626"/>
      <c r="AS40" s="626"/>
      <c r="AT40" s="627"/>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506"/>
      <c r="C41" s="506"/>
      <c r="D41" s="507"/>
      <c r="E41" s="605"/>
      <c r="F41" s="604"/>
      <c r="G41" s="604"/>
      <c r="H41" s="604"/>
      <c r="I41" s="604"/>
      <c r="J41" s="46" t="str">
        <f>IF(AND('Mapa final'!$AA$25="Baja",'Mapa final'!$AC$25="Leve"),CONCATENATE("R6C",'Mapa final'!$Q$25),"")</f>
        <v/>
      </c>
      <c r="K41" s="47" t="str">
        <f>IF(AND('Mapa final'!$AA$26="Baja",'Mapa final'!$AC$26="Leve"),CONCATENATE("R6C",'Mapa final'!$Q$26),"")</f>
        <v/>
      </c>
      <c r="L41" s="47" t="str">
        <f>IF(AND('Mapa final'!$AA$27="Baja",'Mapa final'!$AC$27="Leve"),CONCATENATE("R6C",'Mapa final'!$Q$27),"")</f>
        <v/>
      </c>
      <c r="M41" s="47" t="str">
        <f>IF(AND('Mapa final'!$AA$28="Baja",'Mapa final'!$AC$28="Leve"),CONCATENATE("R6C",'Mapa final'!$Q$28),"")</f>
        <v/>
      </c>
      <c r="N41" s="47" t="str">
        <f>IF(AND('Mapa final'!$AA$29="Baja",'Mapa final'!$AC$29="Leve"),CONCATENATE("R6C",'Mapa final'!$Q$29),"")</f>
        <v/>
      </c>
      <c r="O41" s="48" t="str">
        <f>IF(AND('Mapa final'!$AA$30="Baja",'Mapa final'!$AC$30="Leve"),CONCATENATE("R6C",'Mapa final'!$Q$30),"")</f>
        <v/>
      </c>
      <c r="P41" s="37" t="str">
        <f>IF(AND('Mapa final'!$AA$25="Baja",'Mapa final'!$AC$25="Menor"),CONCATENATE("R6C",'Mapa final'!$Q$25),"")</f>
        <v/>
      </c>
      <c r="Q41" s="38" t="str">
        <f>IF(AND('Mapa final'!$AA$26="Baja",'Mapa final'!$AC$26="Menor"),CONCATENATE("R6C",'Mapa final'!$Q$26),"")</f>
        <v/>
      </c>
      <c r="R41" s="38" t="str">
        <f>IF(AND('Mapa final'!$AA$27="Baja",'Mapa final'!$AC$27="Menor"),CONCATENATE("R6C",'Mapa final'!$Q$27),"")</f>
        <v/>
      </c>
      <c r="S41" s="38" t="str">
        <f>IF(AND('Mapa final'!$AA$28="Baja",'Mapa final'!$AC$28="Menor"),CONCATENATE("R6C",'Mapa final'!$Q$28),"")</f>
        <v/>
      </c>
      <c r="T41" s="38" t="str">
        <f>IF(AND('Mapa final'!$AA$29="Baja",'Mapa final'!$AC$29="Menor"),CONCATENATE("R6C",'Mapa final'!$Q$29),"")</f>
        <v/>
      </c>
      <c r="U41" s="39" t="str">
        <f>IF(AND('Mapa final'!$AA$30="Baja",'Mapa final'!$AC$30="Menor"),CONCATENATE("R6C",'Mapa final'!$Q$30),"")</f>
        <v/>
      </c>
      <c r="V41" s="37" t="str">
        <f>IF(AND('Mapa final'!$AA$25="Baja",'Mapa final'!$AC$25="Moderado"),CONCATENATE("R6C",'Mapa final'!$Q$25),"")</f>
        <v/>
      </c>
      <c r="W41" s="38" t="str">
        <f>IF(AND('Mapa final'!$AA$26="Baja",'Mapa final'!$AC$26="Moderado"),CONCATENATE("R6C",'Mapa final'!$Q$26),"")</f>
        <v/>
      </c>
      <c r="X41" s="38" t="str">
        <f>IF(AND('Mapa final'!$AA$27="Baja",'Mapa final'!$AC$27="Moderado"),CONCATENATE("R6C",'Mapa final'!$Q$27),"")</f>
        <v/>
      </c>
      <c r="Y41" s="38" t="str">
        <f>IF(AND('Mapa final'!$AA$28="Baja",'Mapa final'!$AC$28="Moderado"),CONCATENATE("R6C",'Mapa final'!$Q$28),"")</f>
        <v/>
      </c>
      <c r="Z41" s="38" t="str">
        <f>IF(AND('Mapa final'!$AA$29="Baja",'Mapa final'!$AC$29="Moderado"),CONCATENATE("R6C",'Mapa final'!$Q$29),"")</f>
        <v/>
      </c>
      <c r="AA41" s="39" t="str">
        <f>IF(AND('Mapa final'!$AA$30="Baja",'Mapa final'!$AC$30="Moderado"),CONCATENATE("R6C",'Mapa final'!$Q$30),"")</f>
        <v/>
      </c>
      <c r="AB41" s="22" t="str">
        <f>IF(AND('Mapa final'!$AA$25="Baja",'Mapa final'!$AC$25="Mayor"),CONCATENATE("R6C",'Mapa final'!$Q$25),"")</f>
        <v/>
      </c>
      <c r="AC41" s="23" t="str">
        <f>IF(AND('Mapa final'!$AA$26="Baja",'Mapa final'!$AC$26="Mayor"),CONCATENATE("R6C",'Mapa final'!$Q$26),"")</f>
        <v/>
      </c>
      <c r="AD41" s="23" t="str">
        <f>IF(AND('Mapa final'!$AA$27="Baja",'Mapa final'!$AC$27="Mayor"),CONCATENATE("R6C",'Mapa final'!$Q$27),"")</f>
        <v/>
      </c>
      <c r="AE41" s="23" t="str">
        <f>IF(AND('Mapa final'!$AA$28="Baja",'Mapa final'!$AC$28="Mayor"),CONCATENATE("R6C",'Mapa final'!$Q$28),"")</f>
        <v/>
      </c>
      <c r="AF41" s="23" t="str">
        <f>IF(AND('Mapa final'!$AA$29="Baja",'Mapa final'!$AC$29="Mayor"),CONCATENATE("R6C",'Mapa final'!$Q$29),"")</f>
        <v/>
      </c>
      <c r="AG41" s="24" t="str">
        <f>IF(AND('Mapa final'!$AA$30="Baja",'Mapa final'!$AC$30="Mayor"),CONCATENATE("R6C",'Mapa final'!$Q$30),"")</f>
        <v/>
      </c>
      <c r="AH41" s="25" t="str">
        <f>IF(AND('Mapa final'!$AA$25="Baja",'Mapa final'!$AC$25="Catastrófico"),CONCATENATE("R6C",'Mapa final'!$Q$25),"")</f>
        <v/>
      </c>
      <c r="AI41" s="26" t="str">
        <f>IF(AND('Mapa final'!$AA$26="Baja",'Mapa final'!$AC$26="Catastrófico"),CONCATENATE("R6C",'Mapa final'!$Q$26),"")</f>
        <v/>
      </c>
      <c r="AJ41" s="26" t="str">
        <f>IF(AND('Mapa final'!$AA$27="Baja",'Mapa final'!$AC$27="Catastrófico"),CONCATENATE("R6C",'Mapa final'!$Q$27),"")</f>
        <v/>
      </c>
      <c r="AK41" s="26" t="str">
        <f>IF(AND('Mapa final'!$AA$28="Baja",'Mapa final'!$AC$28="Catastrófico"),CONCATENATE("R6C",'Mapa final'!$Q$28),"")</f>
        <v/>
      </c>
      <c r="AL41" s="26" t="str">
        <f>IF(AND('Mapa final'!$AA$29="Baja",'Mapa final'!$AC$29="Catastrófico"),CONCATENATE("R6C",'Mapa final'!$Q$29),"")</f>
        <v/>
      </c>
      <c r="AM41" s="27" t="str">
        <f>IF(AND('Mapa final'!$AA$30="Baja",'Mapa final'!$AC$30="Catastrófico"),CONCATENATE("R6C",'Mapa final'!$Q$30),"")</f>
        <v/>
      </c>
      <c r="AN41" s="53"/>
      <c r="AO41" s="625"/>
      <c r="AP41" s="626"/>
      <c r="AQ41" s="626"/>
      <c r="AR41" s="626"/>
      <c r="AS41" s="626"/>
      <c r="AT41" s="627"/>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506"/>
      <c r="C42" s="506"/>
      <c r="D42" s="507"/>
      <c r="E42" s="605"/>
      <c r="F42" s="604"/>
      <c r="G42" s="604"/>
      <c r="H42" s="604"/>
      <c r="I42" s="604"/>
      <c r="J42" s="46" t="str">
        <f>IF(AND('Mapa final'!$AA$31="Baja",'Mapa final'!$AC$31="Leve"),CONCATENATE("R7C",'Mapa final'!$Q$31),"")</f>
        <v/>
      </c>
      <c r="K42" s="47" t="str">
        <f>IF(AND('Mapa final'!$AA$32="Baja",'Mapa final'!$AC$32="Leve"),CONCATENATE("R7C",'Mapa final'!$Q$32),"")</f>
        <v/>
      </c>
      <c r="L42" s="47" t="str">
        <f>IF(AND('Mapa final'!$AA$33="Baja",'Mapa final'!$AC$33="Leve"),CONCATENATE("R7C",'Mapa final'!$Q$33),"")</f>
        <v/>
      </c>
      <c r="M42" s="47" t="str">
        <f>IF(AND('Mapa final'!$AA$34="Baja",'Mapa final'!$AC$34="Leve"),CONCATENATE("R7C",'Mapa final'!$Q$34),"")</f>
        <v/>
      </c>
      <c r="N42" s="47" t="str">
        <f>IF(AND('Mapa final'!$AA$35="Baja",'Mapa final'!$AC$35="Leve"),CONCATENATE("R7C",'Mapa final'!$Q$35),"")</f>
        <v/>
      </c>
      <c r="O42" s="48" t="str">
        <f>IF(AND('Mapa final'!$AA$36="Baja",'Mapa final'!$AC$36="Leve"),CONCATENATE("R7C",'Mapa final'!$Q$36),"")</f>
        <v/>
      </c>
      <c r="P42" s="37" t="str">
        <f>IF(AND('Mapa final'!$AA$31="Baja",'Mapa final'!$AC$31="Menor"),CONCATENATE("R7C",'Mapa final'!$Q$31),"")</f>
        <v/>
      </c>
      <c r="Q42" s="38" t="str">
        <f>IF(AND('Mapa final'!$AA$32="Baja",'Mapa final'!$AC$32="Menor"),CONCATENATE("R7C",'Mapa final'!$Q$32),"")</f>
        <v/>
      </c>
      <c r="R42" s="38" t="str">
        <f>IF(AND('Mapa final'!$AA$33="Baja",'Mapa final'!$AC$33="Menor"),CONCATENATE("R7C",'Mapa final'!$Q$33),"")</f>
        <v/>
      </c>
      <c r="S42" s="38" t="str">
        <f>IF(AND('Mapa final'!$AA$34="Baja",'Mapa final'!$AC$34="Menor"),CONCATENATE("R7C",'Mapa final'!$Q$34),"")</f>
        <v/>
      </c>
      <c r="T42" s="38" t="str">
        <f>IF(AND('Mapa final'!$AA$35="Baja",'Mapa final'!$AC$35="Menor"),CONCATENATE("R7C",'Mapa final'!$Q$35),"")</f>
        <v/>
      </c>
      <c r="U42" s="39" t="str">
        <f>IF(AND('Mapa final'!$AA$36="Baja",'Mapa final'!$AC$36="Menor"),CONCATENATE("R7C",'Mapa final'!$Q$36),"")</f>
        <v/>
      </c>
      <c r="V42" s="37" t="str">
        <f>IF(AND('Mapa final'!$AA$31="Baja",'Mapa final'!$AC$31="Moderado"),CONCATENATE("R7C",'Mapa final'!$Q$31),"")</f>
        <v/>
      </c>
      <c r="W42" s="38" t="str">
        <f>IF(AND('Mapa final'!$AA$32="Baja",'Mapa final'!$AC$32="Moderado"),CONCATENATE("R7C",'Mapa final'!$Q$32),"")</f>
        <v/>
      </c>
      <c r="X42" s="38" t="str">
        <f>IF(AND('Mapa final'!$AA$33="Baja",'Mapa final'!$AC$33="Moderado"),CONCATENATE("R7C",'Mapa final'!$Q$33),"")</f>
        <v/>
      </c>
      <c r="Y42" s="38" t="str">
        <f>IF(AND('Mapa final'!$AA$34="Baja",'Mapa final'!$AC$34="Moderado"),CONCATENATE("R7C",'Mapa final'!$Q$34),"")</f>
        <v/>
      </c>
      <c r="Z42" s="38" t="str">
        <f>IF(AND('Mapa final'!$AA$35="Baja",'Mapa final'!$AC$35="Moderado"),CONCATENATE("R7C",'Mapa final'!$Q$35),"")</f>
        <v/>
      </c>
      <c r="AA42" s="39" t="str">
        <f>IF(AND('Mapa final'!$AA$36="Baja",'Mapa final'!$AC$36="Moderado"),CONCATENATE("R7C",'Mapa final'!$Q$36),"")</f>
        <v/>
      </c>
      <c r="AB42" s="22" t="str">
        <f>IF(AND('Mapa final'!$AA$31="Baja",'Mapa final'!$AC$31="Mayor"),CONCATENATE("R7C",'Mapa final'!$Q$31),"")</f>
        <v/>
      </c>
      <c r="AC42" s="23" t="str">
        <f>IF(AND('Mapa final'!$AA$32="Baja",'Mapa final'!$AC$32="Mayor"),CONCATENATE("R7C",'Mapa final'!$Q$32),"")</f>
        <v/>
      </c>
      <c r="AD42" s="23" t="str">
        <f>IF(AND('Mapa final'!$AA$33="Baja",'Mapa final'!$AC$33="Mayor"),CONCATENATE("R7C",'Mapa final'!$Q$33),"")</f>
        <v/>
      </c>
      <c r="AE42" s="23" t="str">
        <f>IF(AND('Mapa final'!$AA$34="Baja",'Mapa final'!$AC$34="Mayor"),CONCATENATE("R7C",'Mapa final'!$Q$34),"")</f>
        <v/>
      </c>
      <c r="AF42" s="23" t="str">
        <f>IF(AND('Mapa final'!$AA$35="Baja",'Mapa final'!$AC$35="Mayor"),CONCATENATE("R7C",'Mapa final'!$Q$35),"")</f>
        <v/>
      </c>
      <c r="AG42" s="24" t="str">
        <f>IF(AND('Mapa final'!$AA$36="Baja",'Mapa final'!$AC$36="Mayor"),CONCATENATE("R7C",'Mapa final'!$Q$36),"")</f>
        <v/>
      </c>
      <c r="AH42" s="25" t="str">
        <f>IF(AND('Mapa final'!$AA$31="Baja",'Mapa final'!$AC$31="Catastrófico"),CONCATENATE("R7C",'Mapa final'!$Q$31),"")</f>
        <v/>
      </c>
      <c r="AI42" s="26" t="str">
        <f>IF(AND('Mapa final'!$AA$32="Baja",'Mapa final'!$AC$32="Catastrófico"),CONCATENATE("R7C",'Mapa final'!$Q$32),"")</f>
        <v/>
      </c>
      <c r="AJ42" s="26" t="str">
        <f>IF(AND('Mapa final'!$AA$33="Baja",'Mapa final'!$AC$33="Catastrófico"),CONCATENATE("R7C",'Mapa final'!$Q$33),"")</f>
        <v/>
      </c>
      <c r="AK42" s="26" t="str">
        <f>IF(AND('Mapa final'!$AA$34="Baja",'Mapa final'!$AC$34="Catastrófico"),CONCATENATE("R7C",'Mapa final'!$Q$34),"")</f>
        <v/>
      </c>
      <c r="AL42" s="26" t="str">
        <f>IF(AND('Mapa final'!$AA$35="Baja",'Mapa final'!$AC$35="Catastrófico"),CONCATENATE("R7C",'Mapa final'!$Q$35),"")</f>
        <v/>
      </c>
      <c r="AM42" s="27" t="str">
        <f>IF(AND('Mapa final'!$AA$36="Baja",'Mapa final'!$AC$36="Catastrófico"),CONCATENATE("R7C",'Mapa final'!$Q$36),"")</f>
        <v/>
      </c>
      <c r="AN42" s="53"/>
      <c r="AO42" s="625"/>
      <c r="AP42" s="626"/>
      <c r="AQ42" s="626"/>
      <c r="AR42" s="626"/>
      <c r="AS42" s="626"/>
      <c r="AT42" s="627"/>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506"/>
      <c r="C43" s="506"/>
      <c r="D43" s="507"/>
      <c r="E43" s="605"/>
      <c r="F43" s="604"/>
      <c r="G43" s="604"/>
      <c r="H43" s="604"/>
      <c r="I43" s="604"/>
      <c r="J43" s="46" t="str">
        <f>IF(AND('Mapa final'!$AA$37="Baja",'Mapa final'!$AC$37="Leve"),CONCATENATE("R8C",'Mapa final'!$Q$37),"")</f>
        <v/>
      </c>
      <c r="K43" s="47" t="str">
        <f>IF(AND('Mapa final'!$AA$38="Baja",'Mapa final'!$AC$38="Leve"),CONCATENATE("R8C",'Mapa final'!$Q$38),"")</f>
        <v/>
      </c>
      <c r="L43" s="47" t="str">
        <f>IF(AND('Mapa final'!$AA$39="Baja",'Mapa final'!$AC$39="Leve"),CONCATENATE("R8C",'Mapa final'!$Q$39),"")</f>
        <v/>
      </c>
      <c r="M43" s="47" t="str">
        <f>IF(AND('Mapa final'!$AA$40="Baja",'Mapa final'!$AC$40="Leve"),CONCATENATE("R8C",'Mapa final'!$Q$40),"")</f>
        <v/>
      </c>
      <c r="N43" s="47" t="str">
        <f>IF(AND('Mapa final'!$AA$41="Baja",'Mapa final'!$AC$41="Leve"),CONCATENATE("R8C",'Mapa final'!$Q$41),"")</f>
        <v/>
      </c>
      <c r="O43" s="48" t="str">
        <f>IF(AND('Mapa final'!$AA$42="Baja",'Mapa final'!$AC$42="Leve"),CONCATENATE("R8C",'Mapa final'!$Q$42),"")</f>
        <v/>
      </c>
      <c r="P43" s="37" t="str">
        <f>IF(AND('Mapa final'!$AA$37="Baja",'Mapa final'!$AC$37="Menor"),CONCATENATE("R8C",'Mapa final'!$Q$37),"")</f>
        <v/>
      </c>
      <c r="Q43" s="38" t="str">
        <f>IF(AND('Mapa final'!$AA$38="Baja",'Mapa final'!$AC$38="Menor"),CONCATENATE("R8C",'Mapa final'!$Q$38),"")</f>
        <v/>
      </c>
      <c r="R43" s="38" t="str">
        <f>IF(AND('Mapa final'!$AA$39="Baja",'Mapa final'!$AC$39="Menor"),CONCATENATE("R8C",'Mapa final'!$Q$39),"")</f>
        <v/>
      </c>
      <c r="S43" s="38" t="str">
        <f>IF(AND('Mapa final'!$AA$40="Baja",'Mapa final'!$AC$40="Menor"),CONCATENATE("R8C",'Mapa final'!$Q$40),"")</f>
        <v/>
      </c>
      <c r="T43" s="38" t="str">
        <f>IF(AND('Mapa final'!$AA$41="Baja",'Mapa final'!$AC$41="Menor"),CONCATENATE("R8C",'Mapa final'!$Q$41),"")</f>
        <v/>
      </c>
      <c r="U43" s="39" t="str">
        <f>IF(AND('Mapa final'!$AA$42="Baja",'Mapa final'!$AC$42="Menor"),CONCATENATE("R8C",'Mapa final'!$Q$42),"")</f>
        <v/>
      </c>
      <c r="V43" s="37" t="str">
        <f>IF(AND('Mapa final'!$AA$37="Baja",'Mapa final'!$AC$37="Moderado"),CONCATENATE("R8C",'Mapa final'!$Q$37),"")</f>
        <v/>
      </c>
      <c r="W43" s="38" t="str">
        <f>IF(AND('Mapa final'!$AA$38="Baja",'Mapa final'!$AC$38="Moderado"),CONCATENATE("R8C",'Mapa final'!$Q$38),"")</f>
        <v/>
      </c>
      <c r="X43" s="38" t="str">
        <f>IF(AND('Mapa final'!$AA$39="Baja",'Mapa final'!$AC$39="Moderado"),CONCATENATE("R8C",'Mapa final'!$Q$39),"")</f>
        <v/>
      </c>
      <c r="Y43" s="38" t="str">
        <f>IF(AND('Mapa final'!$AA$40="Baja",'Mapa final'!$AC$40="Moderado"),CONCATENATE("R8C",'Mapa final'!$Q$40),"")</f>
        <v/>
      </c>
      <c r="Z43" s="38" t="str">
        <f>IF(AND('Mapa final'!$AA$41="Baja",'Mapa final'!$AC$41="Moderado"),CONCATENATE("R8C",'Mapa final'!$Q$41),"")</f>
        <v/>
      </c>
      <c r="AA43" s="39" t="str">
        <f>IF(AND('Mapa final'!$AA$42="Baja",'Mapa final'!$AC$42="Moderado"),CONCATENATE("R8C",'Mapa final'!$Q$42),"")</f>
        <v/>
      </c>
      <c r="AB43" s="22" t="str">
        <f>IF(AND('Mapa final'!$AA$37="Baja",'Mapa final'!$AC$37="Mayor"),CONCATENATE("R8C",'Mapa final'!$Q$37),"")</f>
        <v/>
      </c>
      <c r="AC43" s="23" t="str">
        <f>IF(AND('Mapa final'!$AA$38="Baja",'Mapa final'!$AC$38="Mayor"),CONCATENATE("R8C",'Mapa final'!$Q$38),"")</f>
        <v/>
      </c>
      <c r="AD43" s="23" t="str">
        <f>IF(AND('Mapa final'!$AA$39="Baja",'Mapa final'!$AC$39="Mayor"),CONCATENATE("R8C",'Mapa final'!$Q$39),"")</f>
        <v/>
      </c>
      <c r="AE43" s="23" t="str">
        <f>IF(AND('Mapa final'!$AA$40="Baja",'Mapa final'!$AC$40="Mayor"),CONCATENATE("R8C",'Mapa final'!$Q$40),"")</f>
        <v/>
      </c>
      <c r="AF43" s="23" t="str">
        <f>IF(AND('Mapa final'!$AA$41="Baja",'Mapa final'!$AC$41="Mayor"),CONCATENATE("R8C",'Mapa final'!$Q$41),"")</f>
        <v/>
      </c>
      <c r="AG43" s="24" t="str">
        <f>IF(AND('Mapa final'!$AA$42="Baja",'Mapa final'!$AC$42="Mayor"),CONCATENATE("R8C",'Mapa final'!$Q$42),"")</f>
        <v/>
      </c>
      <c r="AH43" s="25" t="str">
        <f>IF(AND('Mapa final'!$AA$37="Baja",'Mapa final'!$AC$37="Catastrófico"),CONCATENATE("R8C",'Mapa final'!$Q$37),"")</f>
        <v/>
      </c>
      <c r="AI43" s="26" t="str">
        <f>IF(AND('Mapa final'!$AA$38="Baja",'Mapa final'!$AC$38="Catastrófico"),CONCATENATE("R8C",'Mapa final'!$Q$38),"")</f>
        <v/>
      </c>
      <c r="AJ43" s="26" t="str">
        <f>IF(AND('Mapa final'!$AA$39="Baja",'Mapa final'!$AC$39="Catastrófico"),CONCATENATE("R8C",'Mapa final'!$Q$39),"")</f>
        <v/>
      </c>
      <c r="AK43" s="26" t="str">
        <f>IF(AND('Mapa final'!$AA$40="Baja",'Mapa final'!$AC$40="Catastrófico"),CONCATENATE("R8C",'Mapa final'!$Q$40),"")</f>
        <v/>
      </c>
      <c r="AL43" s="26" t="str">
        <f>IF(AND('Mapa final'!$AA$41="Baja",'Mapa final'!$AC$41="Catastrófico"),CONCATENATE("R8C",'Mapa final'!$Q$41),"")</f>
        <v/>
      </c>
      <c r="AM43" s="27" t="str">
        <f>IF(AND('Mapa final'!$AA$42="Baja",'Mapa final'!$AC$42="Catastrófico"),CONCATENATE("R8C",'Mapa final'!$Q$42),"")</f>
        <v/>
      </c>
      <c r="AN43" s="53"/>
      <c r="AO43" s="625"/>
      <c r="AP43" s="626"/>
      <c r="AQ43" s="626"/>
      <c r="AR43" s="626"/>
      <c r="AS43" s="626"/>
      <c r="AT43" s="627"/>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506"/>
      <c r="C44" s="506"/>
      <c r="D44" s="507"/>
      <c r="E44" s="605"/>
      <c r="F44" s="604"/>
      <c r="G44" s="604"/>
      <c r="H44" s="604"/>
      <c r="I44" s="604"/>
      <c r="J44" s="46" t="str">
        <f>IF(AND('Mapa final'!$AA$43="Baja",'Mapa final'!$AC$43="Leve"),CONCATENATE("R9C",'Mapa final'!$Q$43),"")</f>
        <v/>
      </c>
      <c r="K44" s="47" t="str">
        <f>IF(AND('Mapa final'!$AA$44="Baja",'Mapa final'!$AC$44="Leve"),CONCATENATE("R9C",'Mapa final'!$Q$44),"")</f>
        <v/>
      </c>
      <c r="L44" s="47" t="str">
        <f>IF(AND('Mapa final'!$AA$45="Baja",'Mapa final'!$AC$45="Leve"),CONCATENATE("R9C",'Mapa final'!$Q$45),"")</f>
        <v/>
      </c>
      <c r="M44" s="47" t="str">
        <f>IF(AND('Mapa final'!$AA$46="Baja",'Mapa final'!$AC$46="Leve"),CONCATENATE("R9C",'Mapa final'!$Q$46),"")</f>
        <v/>
      </c>
      <c r="N44" s="47" t="str">
        <f>IF(AND('Mapa final'!$AA$47="Baja",'Mapa final'!$AC$47="Leve"),CONCATENATE("R9C",'Mapa final'!$Q$47),"")</f>
        <v/>
      </c>
      <c r="O44" s="48" t="str">
        <f>IF(AND('Mapa final'!$AA$48="Baja",'Mapa final'!$AC$48="Leve"),CONCATENATE("R9C",'Mapa final'!$Q$48),"")</f>
        <v/>
      </c>
      <c r="P44" s="37" t="str">
        <f>IF(AND('Mapa final'!$AA$43="Baja",'Mapa final'!$AC$43="Menor"),CONCATENATE("R9C",'Mapa final'!$Q$43),"")</f>
        <v/>
      </c>
      <c r="Q44" s="38" t="str">
        <f>IF(AND('Mapa final'!$AA$44="Baja",'Mapa final'!$AC$44="Menor"),CONCATENATE("R9C",'Mapa final'!$Q$44),"")</f>
        <v/>
      </c>
      <c r="R44" s="38" t="str">
        <f>IF(AND('Mapa final'!$AA$45="Baja",'Mapa final'!$AC$45="Menor"),CONCATENATE("R9C",'Mapa final'!$Q$45),"")</f>
        <v/>
      </c>
      <c r="S44" s="38" t="str">
        <f>IF(AND('Mapa final'!$AA$46="Baja",'Mapa final'!$AC$46="Menor"),CONCATENATE("R9C",'Mapa final'!$Q$46),"")</f>
        <v/>
      </c>
      <c r="T44" s="38" t="str">
        <f>IF(AND('Mapa final'!$AA$47="Baja",'Mapa final'!$AC$47="Menor"),CONCATENATE("R9C",'Mapa final'!$Q$47),"")</f>
        <v/>
      </c>
      <c r="U44" s="39" t="str">
        <f>IF(AND('Mapa final'!$AA$48="Baja",'Mapa final'!$AC$48="Menor"),CONCATENATE("R9C",'Mapa final'!$Q$48),"")</f>
        <v/>
      </c>
      <c r="V44" s="37" t="str">
        <f>IF(AND('Mapa final'!$AA$43="Baja",'Mapa final'!$AC$43="Moderado"),CONCATENATE("R9C",'Mapa final'!$Q$43),"")</f>
        <v/>
      </c>
      <c r="W44" s="38" t="str">
        <f>IF(AND('Mapa final'!$AA$44="Baja",'Mapa final'!$AC$44="Moderado"),CONCATENATE("R9C",'Mapa final'!$Q$44),"")</f>
        <v/>
      </c>
      <c r="X44" s="38" t="str">
        <f>IF(AND('Mapa final'!$AA$45="Baja",'Mapa final'!$AC$45="Moderado"),CONCATENATE("R9C",'Mapa final'!$Q$45),"")</f>
        <v/>
      </c>
      <c r="Y44" s="38" t="str">
        <f>IF(AND('Mapa final'!$AA$46="Baja",'Mapa final'!$AC$46="Moderado"),CONCATENATE("R9C",'Mapa final'!$Q$46),"")</f>
        <v/>
      </c>
      <c r="Z44" s="38" t="str">
        <f>IF(AND('Mapa final'!$AA$47="Baja",'Mapa final'!$AC$47="Moderado"),CONCATENATE("R9C",'Mapa final'!$Q$47),"")</f>
        <v/>
      </c>
      <c r="AA44" s="39" t="str">
        <f>IF(AND('Mapa final'!$AA$48="Baja",'Mapa final'!$AC$48="Moderado"),CONCATENATE("R9C",'Mapa final'!$Q$48),"")</f>
        <v/>
      </c>
      <c r="AB44" s="22" t="str">
        <f>IF(AND('Mapa final'!$AA$43="Baja",'Mapa final'!$AC$43="Mayor"),CONCATENATE("R9C",'Mapa final'!$Q$43),"")</f>
        <v/>
      </c>
      <c r="AC44" s="23" t="str">
        <f>IF(AND('Mapa final'!$AA$44="Baja",'Mapa final'!$AC$44="Mayor"),CONCATENATE("R9C",'Mapa final'!$Q$44),"")</f>
        <v/>
      </c>
      <c r="AD44" s="23" t="str">
        <f>IF(AND('Mapa final'!$AA$45="Baja",'Mapa final'!$AC$45="Mayor"),CONCATENATE("R9C",'Mapa final'!$Q$45),"")</f>
        <v/>
      </c>
      <c r="AE44" s="23" t="str">
        <f>IF(AND('Mapa final'!$AA$46="Baja",'Mapa final'!$AC$46="Mayor"),CONCATENATE("R9C",'Mapa final'!$Q$46),"")</f>
        <v/>
      </c>
      <c r="AF44" s="23" t="str">
        <f>IF(AND('Mapa final'!$AA$47="Baja",'Mapa final'!$AC$47="Mayor"),CONCATENATE("R9C",'Mapa final'!$Q$47),"")</f>
        <v/>
      </c>
      <c r="AG44" s="24" t="str">
        <f>IF(AND('Mapa final'!$AA$48="Baja",'Mapa final'!$AC$48="Mayor"),CONCATENATE("R9C",'Mapa final'!$Q$48),"")</f>
        <v/>
      </c>
      <c r="AH44" s="25" t="str">
        <f>IF(AND('Mapa final'!$AA$43="Baja",'Mapa final'!$AC$43="Catastrófico"),CONCATENATE("R9C",'Mapa final'!$Q$43),"")</f>
        <v/>
      </c>
      <c r="AI44" s="26" t="str">
        <f>IF(AND('Mapa final'!$AA$44="Baja",'Mapa final'!$AC$44="Catastrófico"),CONCATENATE("R9C",'Mapa final'!$Q$44),"")</f>
        <v/>
      </c>
      <c r="AJ44" s="26" t="str">
        <f>IF(AND('Mapa final'!$AA$45="Baja",'Mapa final'!$AC$45="Catastrófico"),CONCATENATE("R9C",'Mapa final'!$Q$45),"")</f>
        <v/>
      </c>
      <c r="AK44" s="26" t="str">
        <f>IF(AND('Mapa final'!$AA$46="Baja",'Mapa final'!$AC$46="Catastrófico"),CONCATENATE("R9C",'Mapa final'!$Q$46),"")</f>
        <v/>
      </c>
      <c r="AL44" s="26" t="str">
        <f>IF(AND('Mapa final'!$AA$47="Baja",'Mapa final'!$AC$47="Catastrófico"),CONCATENATE("R9C",'Mapa final'!$Q$47),"")</f>
        <v/>
      </c>
      <c r="AM44" s="27" t="str">
        <f>IF(AND('Mapa final'!$AA$48="Baja",'Mapa final'!$AC$48="Catastrófico"),CONCATENATE("R9C",'Mapa final'!$Q$48),"")</f>
        <v/>
      </c>
      <c r="AN44" s="53"/>
      <c r="AO44" s="625"/>
      <c r="AP44" s="626"/>
      <c r="AQ44" s="626"/>
      <c r="AR44" s="626"/>
      <c r="AS44" s="626"/>
      <c r="AT44" s="627"/>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506"/>
      <c r="C45" s="506"/>
      <c r="D45" s="507"/>
      <c r="E45" s="606"/>
      <c r="F45" s="607"/>
      <c r="G45" s="607"/>
      <c r="H45" s="607"/>
      <c r="I45" s="607"/>
      <c r="J45" s="49" t="str">
        <f>IF(AND('Mapa final'!$AA$49="Baja",'Mapa final'!$AC$49="Leve"),CONCATENATE("R10C",'Mapa final'!$Q$49),"")</f>
        <v/>
      </c>
      <c r="K45" s="50" t="str">
        <f>IF(AND('Mapa final'!$AA$50="Baja",'Mapa final'!$AC$50="Leve"),CONCATENATE("R10C",'Mapa final'!$Q$50),"")</f>
        <v/>
      </c>
      <c r="L45" s="50" t="str">
        <f>IF(AND('Mapa final'!$AA$51="Baja",'Mapa final'!$AC$51="Leve"),CONCATENATE("R10C",'Mapa final'!$Q$51),"")</f>
        <v/>
      </c>
      <c r="M45" s="50" t="str">
        <f>IF(AND('Mapa final'!$AA$52="Baja",'Mapa final'!$AC$52="Leve"),CONCATENATE("R10C",'Mapa final'!$Q$52),"")</f>
        <v/>
      </c>
      <c r="N45" s="50" t="str">
        <f>IF(AND('Mapa final'!$AA$53="Baja",'Mapa final'!$AC$53="Leve"),CONCATENATE("R10C",'Mapa final'!$Q$53),"")</f>
        <v/>
      </c>
      <c r="O45" s="51" t="str">
        <f>IF(AND('Mapa final'!$AA$54="Baja",'Mapa final'!$AC$54="Leve"),CONCATENATE("R10C",'Mapa final'!$Q$54),"")</f>
        <v/>
      </c>
      <c r="P45" s="37" t="str">
        <f>IF(AND('Mapa final'!$AA$49="Baja",'Mapa final'!$AC$49="Menor"),CONCATENATE("R10C",'Mapa final'!$Q$49),"")</f>
        <v/>
      </c>
      <c r="Q45" s="38" t="str">
        <f>IF(AND('Mapa final'!$AA$50="Baja",'Mapa final'!$AC$50="Menor"),CONCATENATE("R10C",'Mapa final'!$Q$50),"")</f>
        <v/>
      </c>
      <c r="R45" s="38" t="str">
        <f>IF(AND('Mapa final'!$AA$51="Baja",'Mapa final'!$AC$51="Menor"),CONCATENATE("R10C",'Mapa final'!$Q$51),"")</f>
        <v/>
      </c>
      <c r="S45" s="38" t="str">
        <f>IF(AND('Mapa final'!$AA$52="Baja",'Mapa final'!$AC$52="Menor"),CONCATENATE("R10C",'Mapa final'!$Q$52),"")</f>
        <v/>
      </c>
      <c r="T45" s="38" t="str">
        <f>IF(AND('Mapa final'!$AA$53="Baja",'Mapa final'!$AC$53="Menor"),CONCATENATE("R10C",'Mapa final'!$Q$53),"")</f>
        <v/>
      </c>
      <c r="U45" s="39" t="str">
        <f>IF(AND('Mapa final'!$AA$54="Baja",'Mapa final'!$AC$54="Menor"),CONCATENATE("R10C",'Mapa final'!$Q$54),"")</f>
        <v/>
      </c>
      <c r="V45" s="40" t="str">
        <f>IF(AND('Mapa final'!$AA$49="Baja",'Mapa final'!$AC$49="Moderado"),CONCATENATE("R10C",'Mapa final'!$Q$49),"")</f>
        <v/>
      </c>
      <c r="W45" s="41" t="str">
        <f>IF(AND('Mapa final'!$AA$50="Baja",'Mapa final'!$AC$50="Moderado"),CONCATENATE("R10C",'Mapa final'!$Q$50),"")</f>
        <v/>
      </c>
      <c r="X45" s="41" t="str">
        <f>IF(AND('Mapa final'!$AA$51="Baja",'Mapa final'!$AC$51="Moderado"),CONCATENATE("R10C",'Mapa final'!$Q$51),"")</f>
        <v/>
      </c>
      <c r="Y45" s="41" t="str">
        <f>IF(AND('Mapa final'!$AA$52="Baja",'Mapa final'!$AC$52="Moderado"),CONCATENATE("R10C",'Mapa final'!$Q$52),"")</f>
        <v/>
      </c>
      <c r="Z45" s="41" t="str">
        <f>IF(AND('Mapa final'!$AA$53="Baja",'Mapa final'!$AC$53="Moderado"),CONCATENATE("R10C",'Mapa final'!$Q$53),"")</f>
        <v/>
      </c>
      <c r="AA45" s="42" t="str">
        <f>IF(AND('Mapa final'!$AA$54="Baja",'Mapa final'!$AC$54="Moderado"),CONCATENATE("R10C",'Mapa final'!$Q$54),"")</f>
        <v/>
      </c>
      <c r="AB45" s="28" t="str">
        <f>IF(AND('Mapa final'!$AA$49="Baja",'Mapa final'!$AC$49="Mayor"),CONCATENATE("R10C",'Mapa final'!$Q$49),"")</f>
        <v/>
      </c>
      <c r="AC45" s="29" t="str">
        <f>IF(AND('Mapa final'!$AA$50="Baja",'Mapa final'!$AC$50="Mayor"),CONCATENATE("R10C",'Mapa final'!$Q$50),"")</f>
        <v/>
      </c>
      <c r="AD45" s="29" t="str">
        <f>IF(AND('Mapa final'!$AA$51="Baja",'Mapa final'!$AC$51="Mayor"),CONCATENATE("R10C",'Mapa final'!$Q$51),"")</f>
        <v/>
      </c>
      <c r="AE45" s="29" t="str">
        <f>IF(AND('Mapa final'!$AA$52="Baja",'Mapa final'!$AC$52="Mayor"),CONCATENATE("R10C",'Mapa final'!$Q$52),"")</f>
        <v/>
      </c>
      <c r="AF45" s="29" t="str">
        <f>IF(AND('Mapa final'!$AA$53="Baja",'Mapa final'!$AC$53="Mayor"),CONCATENATE("R10C",'Mapa final'!$Q$53),"")</f>
        <v/>
      </c>
      <c r="AG45" s="30" t="str">
        <f>IF(AND('Mapa final'!$AA$54="Baja",'Mapa final'!$AC$54="Mayor"),CONCATENATE("R10C",'Mapa final'!$Q$54),"")</f>
        <v/>
      </c>
      <c r="AH45" s="31" t="str">
        <f>IF(AND('Mapa final'!$AA$49="Baja",'Mapa final'!$AC$49="Catastrófico"),CONCATENATE("R10C",'Mapa final'!$Q$49),"")</f>
        <v/>
      </c>
      <c r="AI45" s="32" t="str">
        <f>IF(AND('Mapa final'!$AA$50="Baja",'Mapa final'!$AC$50="Catastrófico"),CONCATENATE("R10C",'Mapa final'!$Q$50),"")</f>
        <v/>
      </c>
      <c r="AJ45" s="32" t="str">
        <f>IF(AND('Mapa final'!$AA$51="Baja",'Mapa final'!$AC$51="Catastrófico"),CONCATENATE("R10C",'Mapa final'!$Q$51),"")</f>
        <v/>
      </c>
      <c r="AK45" s="32" t="str">
        <f>IF(AND('Mapa final'!$AA$52="Baja",'Mapa final'!$AC$52="Catastrófico"),CONCATENATE("R10C",'Mapa final'!$Q$52),"")</f>
        <v/>
      </c>
      <c r="AL45" s="32" t="str">
        <f>IF(AND('Mapa final'!$AA$53="Baja",'Mapa final'!$AC$53="Catastrófico"),CONCATENATE("R10C",'Mapa final'!$Q$53),"")</f>
        <v/>
      </c>
      <c r="AM45" s="33" t="str">
        <f>IF(AND('Mapa final'!$AA$54="Baja",'Mapa final'!$AC$54="Catastrófico"),CONCATENATE("R10C",'Mapa final'!$Q$54),"")</f>
        <v/>
      </c>
      <c r="AN45" s="53"/>
      <c r="AO45" s="628"/>
      <c r="AP45" s="629"/>
      <c r="AQ45" s="629"/>
      <c r="AR45" s="629"/>
      <c r="AS45" s="629"/>
      <c r="AT45" s="630"/>
    </row>
    <row r="46" spans="1:80" ht="46.5" customHeight="1" x14ac:dyDescent="0.45">
      <c r="A46" s="53"/>
      <c r="B46" s="506"/>
      <c r="C46" s="506"/>
      <c r="D46" s="507"/>
      <c r="E46" s="601" t="s">
        <v>108</v>
      </c>
      <c r="F46" s="602"/>
      <c r="G46" s="602"/>
      <c r="H46" s="602"/>
      <c r="I46" s="619"/>
      <c r="J46" s="43" t="str">
        <f>IF(AND('Mapa final'!$AA$10="Muy Baja",'Mapa final'!$AC$10="Leve"),CONCATENATE("R1C",'Mapa final'!$Q$10),"")</f>
        <v/>
      </c>
      <c r="K46" s="44" t="str">
        <f>IF(AND('Mapa final'!$AA$11="Muy Baja",'Mapa final'!$AC$11="Leve"),CONCATENATE("R1C",'Mapa final'!$Q$11),"")</f>
        <v/>
      </c>
      <c r="L46" s="44" t="str">
        <f>IF(AND('Mapa final'!$AA$12="Muy Baja",'Mapa final'!$AC$12="Leve"),CONCATENATE("R1C",'Mapa final'!$Q$12),"")</f>
        <v/>
      </c>
      <c r="M46" s="44" t="str">
        <f>IF(AND('Mapa final'!$AA$13="Muy Baja",'Mapa final'!$AC$13="Leve"),CONCATENATE("R1C",'Mapa final'!$Q$13),"")</f>
        <v/>
      </c>
      <c r="N46" s="44" t="str">
        <f>IF(AND('Mapa final'!$AA$14="Muy Baja",'Mapa final'!$AC$14="Leve"),CONCATENATE("R1C",'Mapa final'!$Q$14),"")</f>
        <v/>
      </c>
      <c r="O46" s="45" t="e">
        <f>IF(AND('Mapa final'!#REF!="Muy Baja",'Mapa final'!#REF!="Leve"),CONCATENATE("R1C",'Mapa final'!#REF!),"")</f>
        <v>#REF!</v>
      </c>
      <c r="P46" s="43" t="str">
        <f>IF(AND('Mapa final'!$AA$10="Muy Baja",'Mapa final'!$AC$10="Menor"),CONCATENATE("R1C",'Mapa final'!$Q$10),"")</f>
        <v/>
      </c>
      <c r="Q46" s="44" t="str">
        <f>IF(AND('Mapa final'!$AA$11="Muy Baja",'Mapa final'!$AC$11="Menor"),CONCATENATE("R1C",'Mapa final'!$Q$11),"")</f>
        <v/>
      </c>
      <c r="R46" s="44" t="str">
        <f>IF(AND('Mapa final'!$AA$12="Muy Baja",'Mapa final'!$AC$12="Menor"),CONCATENATE("R1C",'Mapa final'!$Q$12),"")</f>
        <v/>
      </c>
      <c r="S46" s="44" t="str">
        <f>IF(AND('Mapa final'!$AA$13="Muy Baja",'Mapa final'!$AC$13="Menor"),CONCATENATE("R1C",'Mapa final'!$Q$13),"")</f>
        <v/>
      </c>
      <c r="T46" s="44" t="str">
        <f>IF(AND('Mapa final'!$AA$14="Muy Baja",'Mapa final'!$AC$14="Menor"),CONCATENATE("R1C",'Mapa final'!$Q$14),"")</f>
        <v/>
      </c>
      <c r="U46" s="45" t="e">
        <f>IF(AND('Mapa final'!#REF!="Muy Baja",'Mapa final'!#REF!="Menor"),CONCATENATE("R1C",'Mapa final'!#REF!),"")</f>
        <v>#REF!</v>
      </c>
      <c r="V46" s="34" t="str">
        <f>IF(AND('Mapa final'!$AA$10="Muy Baja",'Mapa final'!$AC$10="Moderado"),CONCATENATE("R1C",'Mapa final'!$Q$10),"")</f>
        <v/>
      </c>
      <c r="W46" s="52" t="str">
        <f>IF(AND('Mapa final'!$AA$11="Muy Baja",'Mapa final'!$AC$11="Moderado"),CONCATENATE("R1C",'Mapa final'!$Q$11),"")</f>
        <v/>
      </c>
      <c r="X46" s="35" t="str">
        <f>IF(AND('Mapa final'!$AA$12="Muy Baja",'Mapa final'!$AC$12="Moderado"),CONCATENATE("R1C",'Mapa final'!$Q$12),"")</f>
        <v/>
      </c>
      <c r="Y46" s="35" t="str">
        <f>IF(AND('Mapa final'!$AA$13="Muy Baja",'Mapa final'!$AC$13="Moderado"),CONCATENATE("R1C",'Mapa final'!$Q$13),"")</f>
        <v/>
      </c>
      <c r="Z46" s="35" t="str">
        <f>IF(AND('Mapa final'!$AA$14="Muy Baja",'Mapa final'!$AC$14="Moderado"),CONCATENATE("R1C",'Mapa final'!$Q$14),"")</f>
        <v/>
      </c>
      <c r="AA46" s="36" t="e">
        <f>IF(AND('Mapa final'!#REF!="Muy Baja",'Mapa final'!#REF!="Moderado"),CONCATENATE("R1C",'Mapa final'!#REF!),"")</f>
        <v>#REF!</v>
      </c>
      <c r="AB46" s="16" t="str">
        <f>IF(AND('Mapa final'!$AA$10="Muy Baja",'Mapa final'!$AC$10="Mayor"),CONCATENATE("R1C",'Mapa final'!$Q$10),"")</f>
        <v/>
      </c>
      <c r="AC46" s="17" t="str">
        <f>IF(AND('Mapa final'!$AA$11="Muy Baja",'Mapa final'!$AC$11="Mayor"),CONCATENATE("R1C",'Mapa final'!$Q$11),"")</f>
        <v/>
      </c>
      <c r="AD46" s="17" t="str">
        <f>IF(AND('Mapa final'!$AA$12="Muy Baja",'Mapa final'!$AC$12="Mayor"),CONCATENATE("R1C",'Mapa final'!$Q$12),"")</f>
        <v>R1C3</v>
      </c>
      <c r="AE46" s="17" t="str">
        <f>IF(AND('Mapa final'!$AA$13="Muy Baja",'Mapa final'!$AC$13="Mayor"),CONCATENATE("R1C",'Mapa final'!$Q$13),"")</f>
        <v>R1C4</v>
      </c>
      <c r="AF46" s="17" t="str">
        <f>IF(AND('Mapa final'!$AA$14="Muy Baja",'Mapa final'!$AC$14="Mayor"),CONCATENATE("R1C",'Mapa final'!$Q$14),"")</f>
        <v>R1C5</v>
      </c>
      <c r="AG46" s="18" t="e">
        <f>IF(AND('Mapa final'!#REF!="Muy Baja",'Mapa final'!#REF!="Mayor"),CONCATENATE("R1C",'Mapa final'!#REF!),"")</f>
        <v>#REF!</v>
      </c>
      <c r="AH46" s="19" t="str">
        <f>IF(AND('Mapa final'!$AA$10="Muy Baja",'Mapa final'!$AC$10="Catastrófico"),CONCATENATE("R1C",'Mapa final'!$Q$10),"")</f>
        <v/>
      </c>
      <c r="AI46" s="20" t="str">
        <f>IF(AND('Mapa final'!$AA$11="Muy Baja",'Mapa final'!$AC$11="Catastrófico"),CONCATENATE("R1C",'Mapa final'!$Q$11),"")</f>
        <v/>
      </c>
      <c r="AJ46" s="20" t="str">
        <f>IF(AND('Mapa final'!$AA$12="Muy Baja",'Mapa final'!$AC$12="Catastrófico"),CONCATENATE("R1C",'Mapa final'!$Q$12),"")</f>
        <v/>
      </c>
      <c r="AK46" s="20" t="str">
        <f>IF(AND('Mapa final'!$AA$13="Muy Baja",'Mapa final'!$AC$13="Catastrófico"),CONCATENATE("R1C",'Mapa final'!$Q$13),"")</f>
        <v/>
      </c>
      <c r="AL46" s="20" t="str">
        <f>IF(AND('Mapa final'!$AA$14="Muy Baja",'Mapa final'!$AC$14="Catastrófico"),CONCATENATE("R1C",'Mapa final'!$Q$14),"")</f>
        <v/>
      </c>
      <c r="AM46" s="21" t="e">
        <f>IF(AND('Mapa final'!#REF!="Muy Baja",'Mapa final'!#REF!="Catastrófico"),CONCATENATE("R1C",'Mapa final'!#REF!),"")</f>
        <v>#REF!</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506"/>
      <c r="C47" s="506"/>
      <c r="D47" s="507"/>
      <c r="E47" s="603"/>
      <c r="F47" s="604"/>
      <c r="G47" s="604"/>
      <c r="H47" s="604"/>
      <c r="I47" s="620"/>
      <c r="J47" s="46" t="str">
        <f>IF(AND('Mapa final'!$AA$15="Muy Baja",'Mapa final'!$AC$15="Leve"),CONCATENATE("R2C",'Mapa final'!$Q$15),"")</f>
        <v/>
      </c>
      <c r="K47" s="47" t="str">
        <f>IF(AND('Mapa final'!$AA$16="Muy Baja",'Mapa final'!$AC$16="Leve"),CONCATENATE("R2C",'Mapa final'!$Q$16),"")</f>
        <v/>
      </c>
      <c r="L47" s="47" t="e">
        <f>IF(AND('Mapa final'!#REF!="Muy Baja",'Mapa final'!#REF!="Leve"),CONCATENATE("R2C",'Mapa final'!$Q$17),"")</f>
        <v>#REF!</v>
      </c>
      <c r="M47" s="47" t="e">
        <f>IF(AND('Mapa final'!#REF!="Muy Baja",'Mapa final'!#REF!="Leve"),CONCATENATE("R2C",'Mapa final'!#REF!),"")</f>
        <v>#REF!</v>
      </c>
      <c r="N47" s="47" t="e">
        <f>IF(AND('Mapa final'!#REF!="Muy Baja",'Mapa final'!#REF!="Leve"),CONCATENATE("R2C",'Mapa final'!#REF!),"")</f>
        <v>#REF!</v>
      </c>
      <c r="O47" s="48" t="e">
        <f>IF(AND('Mapa final'!#REF!="Muy Baja",'Mapa final'!#REF!="Leve"),CONCATENATE("R2C",'Mapa final'!#REF!),"")</f>
        <v>#REF!</v>
      </c>
      <c r="P47" s="46" t="str">
        <f>IF(AND('Mapa final'!$AA$15="Muy Baja",'Mapa final'!$AC$15="Menor"),CONCATENATE("R2C",'Mapa final'!$Q$15),"")</f>
        <v/>
      </c>
      <c r="Q47" s="47" t="str">
        <f>IF(AND('Mapa final'!$AA$16="Muy Baja",'Mapa final'!$AC$16="Menor"),CONCATENATE("R2C",'Mapa final'!$Q$16),"")</f>
        <v/>
      </c>
      <c r="R47" s="47" t="e">
        <f>IF(AND('Mapa final'!#REF!="Muy Baja",'Mapa final'!#REF!="Menor"),CONCATENATE("R2C",'Mapa final'!$Q$17),"")</f>
        <v>#REF!</v>
      </c>
      <c r="S47" s="47" t="e">
        <f>IF(AND('Mapa final'!#REF!="Muy Baja",'Mapa final'!#REF!="Menor"),CONCATENATE("R2C",'Mapa final'!#REF!),"")</f>
        <v>#REF!</v>
      </c>
      <c r="T47" s="47" t="e">
        <f>IF(AND('Mapa final'!#REF!="Muy Baja",'Mapa final'!#REF!="Menor"),CONCATENATE("R2C",'Mapa final'!#REF!),"")</f>
        <v>#REF!</v>
      </c>
      <c r="U47" s="48" t="e">
        <f>IF(AND('Mapa final'!#REF!="Muy Baja",'Mapa final'!#REF!="Menor"),CONCATENATE("R2C",'Mapa final'!#REF!),"")</f>
        <v>#REF!</v>
      </c>
      <c r="V47" s="37" t="str">
        <f>IF(AND('Mapa final'!$AA$15="Muy Baja",'Mapa final'!$AC$15="Moderado"),CONCATENATE("R2C",'Mapa final'!$Q$15),"")</f>
        <v/>
      </c>
      <c r="W47" s="38" t="str">
        <f>IF(AND('Mapa final'!$AA$16="Muy Baja",'Mapa final'!$AC$16="Moderado"),CONCATENATE("R2C",'Mapa final'!$Q$16),"")</f>
        <v/>
      </c>
      <c r="X47" s="38" t="e">
        <f>IF(AND('Mapa final'!#REF!="Muy Baja",'Mapa final'!#REF!="Moderado"),CONCATENATE("R2C",'Mapa final'!$Q$17),"")</f>
        <v>#REF!</v>
      </c>
      <c r="Y47" s="38" t="e">
        <f>IF(AND('Mapa final'!#REF!="Muy Baja",'Mapa final'!#REF!="Moderado"),CONCATENATE("R2C",'Mapa final'!#REF!),"")</f>
        <v>#REF!</v>
      </c>
      <c r="Z47" s="38" t="e">
        <f>IF(AND('Mapa final'!#REF!="Muy Baja",'Mapa final'!#REF!="Moderado"),CONCATENATE("R2C",'Mapa final'!#REF!),"")</f>
        <v>#REF!</v>
      </c>
      <c r="AA47" s="39" t="e">
        <f>IF(AND('Mapa final'!#REF!="Muy Baja",'Mapa final'!#REF!="Moderado"),CONCATENATE("R2C",'Mapa final'!#REF!),"")</f>
        <v>#REF!</v>
      </c>
      <c r="AB47" s="22" t="str">
        <f>IF(AND('Mapa final'!$AA$15="Muy Baja",'Mapa final'!$AC$15="Mayor"),CONCATENATE("R2C",'Mapa final'!$Q$15),"")</f>
        <v/>
      </c>
      <c r="AC47" s="23" t="str">
        <f>IF(AND('Mapa final'!$AA$16="Muy Baja",'Mapa final'!$AC$16="Mayor"),CONCATENATE("R2C",'Mapa final'!$Q$16),"")</f>
        <v/>
      </c>
      <c r="AD47" s="23" t="e">
        <f>IF(AND('Mapa final'!#REF!="Muy Baja",'Mapa final'!#REF!="Mayor"),CONCATENATE("R2C",'Mapa final'!$Q$17),"")</f>
        <v>#REF!</v>
      </c>
      <c r="AE47" s="23" t="e">
        <f>IF(AND('Mapa final'!#REF!="Muy Baja",'Mapa final'!#REF!="Mayor"),CONCATENATE("R2C",'Mapa final'!#REF!),"")</f>
        <v>#REF!</v>
      </c>
      <c r="AF47" s="23" t="e">
        <f>IF(AND('Mapa final'!#REF!="Muy Baja",'Mapa final'!#REF!="Mayor"),CONCATENATE("R2C",'Mapa final'!#REF!),"")</f>
        <v>#REF!</v>
      </c>
      <c r="AG47" s="24" t="e">
        <f>IF(AND('Mapa final'!#REF!="Muy Baja",'Mapa final'!#REF!="Mayor"),CONCATENATE("R2C",'Mapa final'!#REF!),"")</f>
        <v>#REF!</v>
      </c>
      <c r="AH47" s="25" t="str">
        <f>IF(AND('Mapa final'!$AA$15="Muy Baja",'Mapa final'!$AC$15="Catastrófico"),CONCATENATE("R2C",'Mapa final'!$Q$15),"")</f>
        <v/>
      </c>
      <c r="AI47" s="26" t="str">
        <f>IF(AND('Mapa final'!$AA$16="Muy Baja",'Mapa final'!$AC$16="Catastrófico"),CONCATENATE("R2C",'Mapa final'!$Q$16),"")</f>
        <v/>
      </c>
      <c r="AJ47" s="26" t="e">
        <f>IF(AND('Mapa final'!#REF!="Muy Baja",'Mapa final'!#REF!="Catastrófico"),CONCATENATE("R2C",'Mapa final'!$Q$17),"")</f>
        <v>#REF!</v>
      </c>
      <c r="AK47" s="26" t="e">
        <f>IF(AND('Mapa final'!#REF!="Muy Baja",'Mapa final'!#REF!="Catastrófico"),CONCATENATE("R2C",'Mapa final'!#REF!),"")</f>
        <v>#REF!</v>
      </c>
      <c r="AL47" s="26" t="e">
        <f>IF(AND('Mapa final'!#REF!="Muy Baja",'Mapa final'!#REF!="Catastrófico"),CONCATENATE("R2C",'Mapa final'!#REF!),"")</f>
        <v>#REF!</v>
      </c>
      <c r="AM47" s="27" t="e">
        <f>IF(AND('Mapa final'!#REF!="Muy Baja",'Mapa final'!#REF!="Catastrófico"),CONCATENATE("R2C",'Mapa final'!#REF!),"")</f>
        <v>#REF!</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506"/>
      <c r="C48" s="506"/>
      <c r="D48" s="507"/>
      <c r="E48" s="603"/>
      <c r="F48" s="604"/>
      <c r="G48" s="604"/>
      <c r="H48" s="604"/>
      <c r="I48" s="620"/>
      <c r="J48" s="46" t="e">
        <f>IF(AND('Mapa final'!#REF!="Muy Baja",'Mapa final'!#REF!="Leve"),CONCATENATE("R3C",'Mapa final'!#REF!),"")</f>
        <v>#REF!</v>
      </c>
      <c r="K48" s="47" t="e">
        <f>IF(AND('Mapa final'!#REF!="Muy Baja",'Mapa final'!#REF!="Leve"),CONCATENATE("R3C",'Mapa final'!#REF!),"")</f>
        <v>#REF!</v>
      </c>
      <c r="L48" s="47" t="e">
        <f>IF(AND('Mapa final'!#REF!="Muy Baja",'Mapa final'!#REF!="Leve"),CONCATENATE("R3C",'Mapa final'!#REF!),"")</f>
        <v>#REF!</v>
      </c>
      <c r="M48" s="47" t="e">
        <f>IF(AND('Mapa final'!#REF!="Muy Baja",'Mapa final'!#REF!="Leve"),CONCATENATE("R3C",'Mapa final'!#REF!),"")</f>
        <v>#REF!</v>
      </c>
      <c r="N48" s="47" t="e">
        <f>IF(AND('Mapa final'!#REF!="Muy Baja",'Mapa final'!#REF!="Leve"),CONCATENATE("R3C",'Mapa final'!#REF!),"")</f>
        <v>#REF!</v>
      </c>
      <c r="O48" s="48" t="e">
        <f>IF(AND('Mapa final'!#REF!="Muy Baja",'Mapa final'!#REF!="Leve"),CONCATENATE("R3C",'Mapa final'!#REF!),"")</f>
        <v>#REF!</v>
      </c>
      <c r="P48" s="46" t="e">
        <f>IF(AND('Mapa final'!#REF!="Muy Baja",'Mapa final'!#REF!="Menor"),CONCATENATE("R3C",'Mapa final'!#REF!),"")</f>
        <v>#REF!</v>
      </c>
      <c r="Q48" s="47" t="e">
        <f>IF(AND('Mapa final'!#REF!="Muy Baja",'Mapa final'!#REF!="Menor"),CONCATENATE("R3C",'Mapa final'!#REF!),"")</f>
        <v>#REF!</v>
      </c>
      <c r="R48" s="47" t="e">
        <f>IF(AND('Mapa final'!#REF!="Muy Baja",'Mapa final'!#REF!="Menor"),CONCATENATE("R3C",'Mapa final'!#REF!),"")</f>
        <v>#REF!</v>
      </c>
      <c r="S48" s="47" t="e">
        <f>IF(AND('Mapa final'!#REF!="Muy Baja",'Mapa final'!#REF!="Menor"),CONCATENATE("R3C",'Mapa final'!#REF!),"")</f>
        <v>#REF!</v>
      </c>
      <c r="T48" s="47" t="e">
        <f>IF(AND('Mapa final'!#REF!="Muy Baja",'Mapa final'!#REF!="Menor"),CONCATENATE("R3C",'Mapa final'!#REF!),"")</f>
        <v>#REF!</v>
      </c>
      <c r="U48" s="48" t="e">
        <f>IF(AND('Mapa final'!#REF!="Muy Baja",'Mapa final'!#REF!="Menor"),CONCATENATE("R3C",'Mapa final'!#REF!),"")</f>
        <v>#REF!</v>
      </c>
      <c r="V48" s="37" t="e">
        <f>IF(AND('Mapa final'!#REF!="Muy Baja",'Mapa final'!#REF!="Moderado"),CONCATENATE("R3C",'Mapa final'!#REF!),"")</f>
        <v>#REF!</v>
      </c>
      <c r="W48" s="38" t="e">
        <f>IF(AND('Mapa final'!#REF!="Muy Baja",'Mapa final'!#REF!="Moderado"),CONCATENATE("R3C",'Mapa final'!#REF!),"")</f>
        <v>#REF!</v>
      </c>
      <c r="X48" s="38" t="e">
        <f>IF(AND('Mapa final'!#REF!="Muy Baja",'Mapa final'!#REF!="Moderado"),CONCATENATE("R3C",'Mapa final'!#REF!),"")</f>
        <v>#REF!</v>
      </c>
      <c r="Y48" s="38" t="e">
        <f>IF(AND('Mapa final'!#REF!="Muy Baja",'Mapa final'!#REF!="Moderado"),CONCATENATE("R3C",'Mapa final'!#REF!),"")</f>
        <v>#REF!</v>
      </c>
      <c r="Z48" s="38" t="e">
        <f>IF(AND('Mapa final'!#REF!="Muy Baja",'Mapa final'!#REF!="Moderado"),CONCATENATE("R3C",'Mapa final'!#REF!),"")</f>
        <v>#REF!</v>
      </c>
      <c r="AA48" s="39" t="e">
        <f>IF(AND('Mapa final'!#REF!="Muy Baja",'Mapa final'!#REF!="Moderado"),CONCATENATE("R3C",'Mapa final'!#REF!),"")</f>
        <v>#REF!</v>
      </c>
      <c r="AB48" s="22" t="e">
        <f>IF(AND('Mapa final'!#REF!="Muy Baja",'Mapa final'!#REF!="Mayor"),CONCATENATE("R3C",'Mapa final'!#REF!),"")</f>
        <v>#REF!</v>
      </c>
      <c r="AC48" s="23" t="e">
        <f>IF(AND('Mapa final'!#REF!="Muy Baja",'Mapa final'!#REF!="Mayor"),CONCATENATE("R3C",'Mapa final'!#REF!),"")</f>
        <v>#REF!</v>
      </c>
      <c r="AD48" s="23" t="e">
        <f>IF(AND('Mapa final'!#REF!="Muy Baja",'Mapa final'!#REF!="Mayor"),CONCATENATE("R3C",'Mapa final'!#REF!),"")</f>
        <v>#REF!</v>
      </c>
      <c r="AE48" s="23" t="e">
        <f>IF(AND('Mapa final'!#REF!="Muy Baja",'Mapa final'!#REF!="Mayor"),CONCATENATE("R3C",'Mapa final'!#REF!),"")</f>
        <v>#REF!</v>
      </c>
      <c r="AF48" s="23" t="e">
        <f>IF(AND('Mapa final'!#REF!="Muy Baja",'Mapa final'!#REF!="Mayor"),CONCATENATE("R3C",'Mapa final'!#REF!),"")</f>
        <v>#REF!</v>
      </c>
      <c r="AG48" s="24" t="e">
        <f>IF(AND('Mapa final'!#REF!="Muy Baja",'Mapa final'!#REF!="Mayor"),CONCATENATE("R3C",'Mapa final'!#REF!),"")</f>
        <v>#REF!</v>
      </c>
      <c r="AH48" s="25" t="e">
        <f>IF(AND('Mapa final'!#REF!="Muy Baja",'Mapa final'!#REF!="Catastrófico"),CONCATENATE("R3C",'Mapa final'!#REF!),"")</f>
        <v>#REF!</v>
      </c>
      <c r="AI48" s="26" t="e">
        <f>IF(AND('Mapa final'!#REF!="Muy Baja",'Mapa final'!#REF!="Catastrófico"),CONCATENATE("R3C",'Mapa final'!#REF!),"")</f>
        <v>#REF!</v>
      </c>
      <c r="AJ48" s="26" t="e">
        <f>IF(AND('Mapa final'!#REF!="Muy Baja",'Mapa final'!#REF!="Catastrófico"),CONCATENATE("R3C",'Mapa final'!#REF!),"")</f>
        <v>#REF!</v>
      </c>
      <c r="AK48" s="26" t="e">
        <f>IF(AND('Mapa final'!#REF!="Muy Baja",'Mapa final'!#REF!="Catastrófico"),CONCATENATE("R3C",'Mapa final'!#REF!),"")</f>
        <v>#REF!</v>
      </c>
      <c r="AL48" s="26" t="e">
        <f>IF(AND('Mapa final'!#REF!="Muy Baja",'Mapa final'!#REF!="Catastrófico"),CONCATENATE("R3C",'Mapa final'!#REF!),"")</f>
        <v>#REF!</v>
      </c>
      <c r="AM48" s="27" t="e">
        <f>IF(AND('Mapa final'!#REF!="Muy Baja",'Mapa final'!#REF!="Catastrófico"),CONCATENATE("R3C",'Mapa final'!#REF!),"")</f>
        <v>#REF!</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506"/>
      <c r="C49" s="506"/>
      <c r="D49" s="507"/>
      <c r="E49" s="605"/>
      <c r="F49" s="604"/>
      <c r="G49" s="604"/>
      <c r="H49" s="604"/>
      <c r="I49" s="620"/>
      <c r="J49" s="46" t="e">
        <f>IF(AND('Mapa final'!#REF!="Muy Baja",'Mapa final'!#REF!="Leve"),CONCATENATE("R4C",'Mapa final'!#REF!),"")</f>
        <v>#REF!</v>
      </c>
      <c r="K49" s="47" t="e">
        <f>IF(AND('Mapa final'!#REF!="Muy Baja",'Mapa final'!#REF!="Leve"),CONCATENATE("R4C",'Mapa final'!#REF!),"")</f>
        <v>#REF!</v>
      </c>
      <c r="L49" s="47" t="e">
        <f>IF(AND('Mapa final'!#REF!="Muy Baja",'Mapa final'!#REF!="Leve"),CONCATENATE("R4C",'Mapa final'!#REF!),"")</f>
        <v>#REF!</v>
      </c>
      <c r="M49" s="47" t="e">
        <f>IF(AND('Mapa final'!#REF!="Muy Baja",'Mapa final'!#REF!="Leve"),CONCATENATE("R4C",'Mapa final'!#REF!),"")</f>
        <v>#REF!</v>
      </c>
      <c r="N49" s="47" t="e">
        <f>IF(AND('Mapa final'!#REF!="Muy Baja",'Mapa final'!#REF!="Leve"),CONCATENATE("R4C",'Mapa final'!#REF!),"")</f>
        <v>#REF!</v>
      </c>
      <c r="O49" s="48" t="e">
        <f>IF(AND('Mapa final'!#REF!="Muy Baja",'Mapa final'!#REF!="Leve"),CONCATENATE("R4C",'Mapa final'!#REF!),"")</f>
        <v>#REF!</v>
      </c>
      <c r="P49" s="46" t="e">
        <f>IF(AND('Mapa final'!#REF!="Muy Baja",'Mapa final'!#REF!="Menor"),CONCATENATE("R4C",'Mapa final'!#REF!),"")</f>
        <v>#REF!</v>
      </c>
      <c r="Q49" s="47" t="e">
        <f>IF(AND('Mapa final'!#REF!="Muy Baja",'Mapa final'!#REF!="Menor"),CONCATENATE("R4C",'Mapa final'!#REF!),"")</f>
        <v>#REF!</v>
      </c>
      <c r="R49" s="47" t="e">
        <f>IF(AND('Mapa final'!#REF!="Muy Baja",'Mapa final'!#REF!="Menor"),CONCATENATE("R4C",'Mapa final'!#REF!),"")</f>
        <v>#REF!</v>
      </c>
      <c r="S49" s="47" t="e">
        <f>IF(AND('Mapa final'!#REF!="Muy Baja",'Mapa final'!#REF!="Menor"),CONCATENATE("R4C",'Mapa final'!#REF!),"")</f>
        <v>#REF!</v>
      </c>
      <c r="T49" s="47" t="e">
        <f>IF(AND('Mapa final'!#REF!="Muy Baja",'Mapa final'!#REF!="Menor"),CONCATENATE("R4C",'Mapa final'!#REF!),"")</f>
        <v>#REF!</v>
      </c>
      <c r="U49" s="48" t="e">
        <f>IF(AND('Mapa final'!#REF!="Muy Baja",'Mapa final'!#REF!="Menor"),CONCATENATE("R4C",'Mapa final'!#REF!),"")</f>
        <v>#REF!</v>
      </c>
      <c r="V49" s="37" t="e">
        <f>IF(AND('Mapa final'!#REF!="Muy Baja",'Mapa final'!#REF!="Moderado"),CONCATENATE("R4C",'Mapa final'!#REF!),"")</f>
        <v>#REF!</v>
      </c>
      <c r="W49" s="38" t="e">
        <f>IF(AND('Mapa final'!#REF!="Muy Baja",'Mapa final'!#REF!="Moderado"),CONCATENATE("R4C",'Mapa final'!#REF!),"")</f>
        <v>#REF!</v>
      </c>
      <c r="X49" s="38" t="e">
        <f>IF(AND('Mapa final'!#REF!="Muy Baja",'Mapa final'!#REF!="Moderado"),CONCATENATE("R4C",'Mapa final'!#REF!),"")</f>
        <v>#REF!</v>
      </c>
      <c r="Y49" s="38" t="e">
        <f>IF(AND('Mapa final'!#REF!="Muy Baja",'Mapa final'!#REF!="Moderado"),CONCATENATE("R4C",'Mapa final'!#REF!),"")</f>
        <v>#REF!</v>
      </c>
      <c r="Z49" s="38" t="e">
        <f>IF(AND('Mapa final'!#REF!="Muy Baja",'Mapa final'!#REF!="Moderado"),CONCATENATE("R4C",'Mapa final'!#REF!),"")</f>
        <v>#REF!</v>
      </c>
      <c r="AA49" s="39" t="e">
        <f>IF(AND('Mapa final'!#REF!="Muy Baja",'Mapa final'!#REF!="Moderado"),CONCATENATE("R4C",'Mapa final'!#REF!),"")</f>
        <v>#REF!</v>
      </c>
      <c r="AB49" s="22" t="e">
        <f>IF(AND('Mapa final'!#REF!="Muy Baja",'Mapa final'!#REF!="Mayor"),CONCATENATE("R4C",'Mapa final'!#REF!),"")</f>
        <v>#REF!</v>
      </c>
      <c r="AC49" s="23" t="e">
        <f>IF(AND('Mapa final'!#REF!="Muy Baja",'Mapa final'!#REF!="Mayor"),CONCATENATE("R4C",'Mapa final'!#REF!),"")</f>
        <v>#REF!</v>
      </c>
      <c r="AD49" s="23" t="e">
        <f>IF(AND('Mapa final'!#REF!="Muy Baja",'Mapa final'!#REF!="Mayor"),CONCATENATE("R4C",'Mapa final'!#REF!),"")</f>
        <v>#REF!</v>
      </c>
      <c r="AE49" s="23" t="e">
        <f>IF(AND('Mapa final'!#REF!="Muy Baja",'Mapa final'!#REF!="Mayor"),CONCATENATE("R4C",'Mapa final'!#REF!),"")</f>
        <v>#REF!</v>
      </c>
      <c r="AF49" s="23" t="e">
        <f>IF(AND('Mapa final'!#REF!="Muy Baja",'Mapa final'!#REF!="Mayor"),CONCATENATE("R4C",'Mapa final'!#REF!),"")</f>
        <v>#REF!</v>
      </c>
      <c r="AG49" s="24" t="e">
        <f>IF(AND('Mapa final'!#REF!="Muy Baja",'Mapa final'!#REF!="Mayor"),CONCATENATE("R4C",'Mapa final'!#REF!),"")</f>
        <v>#REF!</v>
      </c>
      <c r="AH49" s="25" t="e">
        <f>IF(AND('Mapa final'!#REF!="Muy Baja",'Mapa final'!#REF!="Catastrófico"),CONCATENATE("R4C",'Mapa final'!#REF!),"")</f>
        <v>#REF!</v>
      </c>
      <c r="AI49" s="26" t="e">
        <f>IF(AND('Mapa final'!#REF!="Muy Baja",'Mapa final'!#REF!="Catastrófico"),CONCATENATE("R4C",'Mapa final'!#REF!),"")</f>
        <v>#REF!</v>
      </c>
      <c r="AJ49" s="26" t="e">
        <f>IF(AND('Mapa final'!#REF!="Muy Baja",'Mapa final'!#REF!="Catastrófico"),CONCATENATE("R4C",'Mapa final'!#REF!),"")</f>
        <v>#REF!</v>
      </c>
      <c r="AK49" s="26" t="e">
        <f>IF(AND('Mapa final'!#REF!="Muy Baja",'Mapa final'!#REF!="Catastrófico"),CONCATENATE("R4C",'Mapa final'!#REF!),"")</f>
        <v>#REF!</v>
      </c>
      <c r="AL49" s="26" t="e">
        <f>IF(AND('Mapa final'!#REF!="Muy Baja",'Mapa final'!#REF!="Catastrófico"),CONCATENATE("R4C",'Mapa final'!#REF!),"")</f>
        <v>#REF!</v>
      </c>
      <c r="AM49" s="27" t="e">
        <f>IF(AND('Mapa final'!#REF!="Muy Baja",'Mapa final'!#REF!="Catastrófico"),CONCATENATE("R4C",'Mapa final'!#REF!),"")</f>
        <v>#REF!</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506"/>
      <c r="C50" s="506"/>
      <c r="D50" s="507"/>
      <c r="E50" s="605"/>
      <c r="F50" s="604"/>
      <c r="G50" s="604"/>
      <c r="H50" s="604"/>
      <c r="I50" s="620"/>
      <c r="J50" s="46" t="str">
        <f>IF(AND('Mapa final'!$AA$19="Muy Baja",'Mapa final'!$AC$19="Leve"),CONCATENATE("R5C",'Mapa final'!$Q$19),"")</f>
        <v/>
      </c>
      <c r="K50" s="47" t="str">
        <f>IF(AND('Mapa final'!$AA$20="Muy Baja",'Mapa final'!$AC$20="Leve"),CONCATENATE("R5C",'Mapa final'!$Q$20),"")</f>
        <v/>
      </c>
      <c r="L50" s="47" t="str">
        <f>IF(AND('Mapa final'!$AA$21="Muy Baja",'Mapa final'!$AC$21="Leve"),CONCATENATE("R5C",'Mapa final'!$Q$21),"")</f>
        <v/>
      </c>
      <c r="M50" s="47" t="str">
        <f>IF(AND('Mapa final'!$AA$22="Muy Baja",'Mapa final'!$AC$22="Leve"),CONCATENATE("R5C",'Mapa final'!$Q$22),"")</f>
        <v/>
      </c>
      <c r="N50" s="47" t="str">
        <f>IF(AND('Mapa final'!$AA$23="Muy Baja",'Mapa final'!$AC$23="Leve"),CONCATENATE("R5C",'Mapa final'!$Q$23),"")</f>
        <v/>
      </c>
      <c r="O50" s="48" t="str">
        <f>IF(AND('Mapa final'!$AA$24="Muy Baja",'Mapa final'!$AC$24="Leve"),CONCATENATE("R5C",'Mapa final'!$Q$24),"")</f>
        <v/>
      </c>
      <c r="P50" s="46" t="str">
        <f>IF(AND('Mapa final'!$AA$19="Muy Baja",'Mapa final'!$AC$19="Menor"),CONCATENATE("R5C",'Mapa final'!$Q$19),"")</f>
        <v/>
      </c>
      <c r="Q50" s="47" t="str">
        <f>IF(AND('Mapa final'!$AA$20="Muy Baja",'Mapa final'!$AC$20="Menor"),CONCATENATE("R5C",'Mapa final'!$Q$20),"")</f>
        <v/>
      </c>
      <c r="R50" s="47" t="str">
        <f>IF(AND('Mapa final'!$AA$21="Muy Baja",'Mapa final'!$AC$21="Menor"),CONCATENATE("R5C",'Mapa final'!$Q$21),"")</f>
        <v/>
      </c>
      <c r="S50" s="47" t="str">
        <f>IF(AND('Mapa final'!$AA$22="Muy Baja",'Mapa final'!$AC$22="Menor"),CONCATENATE("R5C",'Mapa final'!$Q$22),"")</f>
        <v/>
      </c>
      <c r="T50" s="47" t="str">
        <f>IF(AND('Mapa final'!$AA$23="Muy Baja",'Mapa final'!$AC$23="Menor"),CONCATENATE("R5C",'Mapa final'!$Q$23),"")</f>
        <v/>
      </c>
      <c r="U50" s="48" t="str">
        <f>IF(AND('Mapa final'!$AA$24="Muy Baja",'Mapa final'!$AC$24="Menor"),CONCATENATE("R5C",'Mapa final'!$Q$24),"")</f>
        <v/>
      </c>
      <c r="V50" s="37" t="str">
        <f>IF(AND('Mapa final'!$AA$19="Muy Baja",'Mapa final'!$AC$19="Moderado"),CONCATENATE("R5C",'Mapa final'!$Q$19),"")</f>
        <v/>
      </c>
      <c r="W50" s="38" t="str">
        <f>IF(AND('Mapa final'!$AA$20="Muy Baja",'Mapa final'!$AC$20="Moderado"),CONCATENATE("R5C",'Mapa final'!$Q$20),"")</f>
        <v/>
      </c>
      <c r="X50" s="38" t="str">
        <f>IF(AND('Mapa final'!$AA$21="Muy Baja",'Mapa final'!$AC$21="Moderado"),CONCATENATE("R5C",'Mapa final'!$Q$21),"")</f>
        <v/>
      </c>
      <c r="Y50" s="38" t="str">
        <f>IF(AND('Mapa final'!$AA$22="Muy Baja",'Mapa final'!$AC$22="Moderado"),CONCATENATE("R5C",'Mapa final'!$Q$22),"")</f>
        <v/>
      </c>
      <c r="Z50" s="38" t="str">
        <f>IF(AND('Mapa final'!$AA$23="Muy Baja",'Mapa final'!$AC$23="Moderado"),CONCATENATE("R5C",'Mapa final'!$Q$23),"")</f>
        <v/>
      </c>
      <c r="AA50" s="39" t="str">
        <f>IF(AND('Mapa final'!$AA$24="Muy Baja",'Mapa final'!$AC$24="Moderado"),CONCATENATE("R5C",'Mapa final'!$Q$24),"")</f>
        <v/>
      </c>
      <c r="AB50" s="22" t="str">
        <f>IF(AND('Mapa final'!$AA$19="Muy Baja",'Mapa final'!$AC$19="Mayor"),CONCATENATE("R5C",'Mapa final'!$Q$19),"")</f>
        <v/>
      </c>
      <c r="AC50" s="23" t="str">
        <f>IF(AND('Mapa final'!$AA$20="Muy Baja",'Mapa final'!$AC$20="Mayor"),CONCATENATE("R5C",'Mapa final'!$Q$20),"")</f>
        <v/>
      </c>
      <c r="AD50" s="23" t="str">
        <f>IF(AND('Mapa final'!$AA$21="Muy Baja",'Mapa final'!$AC$21="Mayor"),CONCATENATE("R5C",'Mapa final'!$Q$21),"")</f>
        <v/>
      </c>
      <c r="AE50" s="23" t="str">
        <f>IF(AND('Mapa final'!$AA$22="Muy Baja",'Mapa final'!$AC$22="Mayor"),CONCATENATE("R5C",'Mapa final'!$Q$22),"")</f>
        <v/>
      </c>
      <c r="AF50" s="23" t="str">
        <f>IF(AND('Mapa final'!$AA$23="Muy Baja",'Mapa final'!$AC$23="Mayor"),CONCATENATE("R5C",'Mapa final'!$Q$23),"")</f>
        <v/>
      </c>
      <c r="AG50" s="24" t="str">
        <f>IF(AND('Mapa final'!$AA$24="Muy Baja",'Mapa final'!$AC$24="Mayor"),CONCATENATE("R5C",'Mapa final'!$Q$24),"")</f>
        <v/>
      </c>
      <c r="AH50" s="25" t="str">
        <f>IF(AND('Mapa final'!$AA$19="Muy Baja",'Mapa final'!$AC$19="Catastrófico"),CONCATENATE("R5C",'Mapa final'!$Q$19),"")</f>
        <v/>
      </c>
      <c r="AI50" s="26" t="str">
        <f>IF(AND('Mapa final'!$AA$20="Muy Baja",'Mapa final'!$AC$20="Catastrófico"),CONCATENATE("R5C",'Mapa final'!$Q$20),"")</f>
        <v/>
      </c>
      <c r="AJ50" s="26" t="str">
        <f>IF(AND('Mapa final'!$AA$21="Muy Baja",'Mapa final'!$AC$21="Catastrófico"),CONCATENATE("R5C",'Mapa final'!$Q$21),"")</f>
        <v/>
      </c>
      <c r="AK50" s="26" t="str">
        <f>IF(AND('Mapa final'!$AA$22="Muy Baja",'Mapa final'!$AC$22="Catastrófico"),CONCATENATE("R5C",'Mapa final'!$Q$22),"")</f>
        <v/>
      </c>
      <c r="AL50" s="26" t="str">
        <f>IF(AND('Mapa final'!$AA$23="Muy Baja",'Mapa final'!$AC$23="Catastrófico"),CONCATENATE("R5C",'Mapa final'!$Q$23),"")</f>
        <v/>
      </c>
      <c r="AM50" s="27" t="str">
        <f>IF(AND('Mapa final'!$AA$24="Muy Baja",'Mapa final'!$AC$24="Catastrófico"),CONCATENATE("R5C",'Mapa final'!$Q$24),"")</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506"/>
      <c r="C51" s="506"/>
      <c r="D51" s="507"/>
      <c r="E51" s="605"/>
      <c r="F51" s="604"/>
      <c r="G51" s="604"/>
      <c r="H51" s="604"/>
      <c r="I51" s="620"/>
      <c r="J51" s="46" t="str">
        <f>IF(AND('Mapa final'!$AA$25="Muy Baja",'Mapa final'!$AC$25="Leve"),CONCATENATE("R6C",'Mapa final'!$Q$25),"")</f>
        <v/>
      </c>
      <c r="K51" s="47" t="str">
        <f>IF(AND('Mapa final'!$AA$26="Muy Baja",'Mapa final'!$AC$26="Leve"),CONCATENATE("R6C",'Mapa final'!$Q$26),"")</f>
        <v/>
      </c>
      <c r="L51" s="47" t="str">
        <f>IF(AND('Mapa final'!$AA$27="Muy Baja",'Mapa final'!$AC$27="Leve"),CONCATENATE("R6C",'Mapa final'!$Q$27),"")</f>
        <v/>
      </c>
      <c r="M51" s="47" t="str">
        <f>IF(AND('Mapa final'!$AA$28="Muy Baja",'Mapa final'!$AC$28="Leve"),CONCATENATE("R6C",'Mapa final'!$Q$28),"")</f>
        <v/>
      </c>
      <c r="N51" s="47" t="str">
        <f>IF(AND('Mapa final'!$AA$29="Muy Baja",'Mapa final'!$AC$29="Leve"),CONCATENATE("R6C",'Mapa final'!$Q$29),"")</f>
        <v/>
      </c>
      <c r="O51" s="48" t="str">
        <f>IF(AND('Mapa final'!$AA$30="Muy Baja",'Mapa final'!$AC$30="Leve"),CONCATENATE("R6C",'Mapa final'!$Q$30),"")</f>
        <v/>
      </c>
      <c r="P51" s="46" t="str">
        <f>IF(AND('Mapa final'!$AA$25="Muy Baja",'Mapa final'!$AC$25="Menor"),CONCATENATE("R6C",'Mapa final'!$Q$25),"")</f>
        <v/>
      </c>
      <c r="Q51" s="47" t="str">
        <f>IF(AND('Mapa final'!$AA$26="Muy Baja",'Mapa final'!$AC$26="Menor"),CONCATENATE("R6C",'Mapa final'!$Q$26),"")</f>
        <v/>
      </c>
      <c r="R51" s="47" t="str">
        <f>IF(AND('Mapa final'!$AA$27="Muy Baja",'Mapa final'!$AC$27="Menor"),CONCATENATE("R6C",'Mapa final'!$Q$27),"")</f>
        <v/>
      </c>
      <c r="S51" s="47" t="str">
        <f>IF(AND('Mapa final'!$AA$28="Muy Baja",'Mapa final'!$AC$28="Menor"),CONCATENATE("R6C",'Mapa final'!$Q$28),"")</f>
        <v/>
      </c>
      <c r="T51" s="47" t="str">
        <f>IF(AND('Mapa final'!$AA$29="Muy Baja",'Mapa final'!$AC$29="Menor"),CONCATENATE("R6C",'Mapa final'!$Q$29),"")</f>
        <v/>
      </c>
      <c r="U51" s="48" t="str">
        <f>IF(AND('Mapa final'!$AA$30="Muy Baja",'Mapa final'!$AC$30="Menor"),CONCATENATE("R6C",'Mapa final'!$Q$30),"")</f>
        <v/>
      </c>
      <c r="V51" s="37" t="str">
        <f>IF(AND('Mapa final'!$AA$25="Muy Baja",'Mapa final'!$AC$25="Moderado"),CONCATENATE("R6C",'Mapa final'!$Q$25),"")</f>
        <v/>
      </c>
      <c r="W51" s="38" t="str">
        <f>IF(AND('Mapa final'!$AA$26="Muy Baja",'Mapa final'!$AC$26="Moderado"),CONCATENATE("R6C",'Mapa final'!$Q$26),"")</f>
        <v/>
      </c>
      <c r="X51" s="38" t="str">
        <f>IF(AND('Mapa final'!$AA$27="Muy Baja",'Mapa final'!$AC$27="Moderado"),CONCATENATE("R6C",'Mapa final'!$Q$27),"")</f>
        <v/>
      </c>
      <c r="Y51" s="38" t="str">
        <f>IF(AND('Mapa final'!$AA$28="Muy Baja",'Mapa final'!$AC$28="Moderado"),CONCATENATE("R6C",'Mapa final'!$Q$28),"")</f>
        <v/>
      </c>
      <c r="Z51" s="38" t="str">
        <f>IF(AND('Mapa final'!$AA$29="Muy Baja",'Mapa final'!$AC$29="Moderado"),CONCATENATE("R6C",'Mapa final'!$Q$29),"")</f>
        <v/>
      </c>
      <c r="AA51" s="39" t="str">
        <f>IF(AND('Mapa final'!$AA$30="Muy Baja",'Mapa final'!$AC$30="Moderado"),CONCATENATE("R6C",'Mapa final'!$Q$30),"")</f>
        <v/>
      </c>
      <c r="AB51" s="22" t="str">
        <f>IF(AND('Mapa final'!$AA$25="Muy Baja",'Mapa final'!$AC$25="Mayor"),CONCATENATE("R6C",'Mapa final'!$Q$25),"")</f>
        <v/>
      </c>
      <c r="AC51" s="23" t="str">
        <f>IF(AND('Mapa final'!$AA$26="Muy Baja",'Mapa final'!$AC$26="Mayor"),CONCATENATE("R6C",'Mapa final'!$Q$26),"")</f>
        <v/>
      </c>
      <c r="AD51" s="23" t="str">
        <f>IF(AND('Mapa final'!$AA$27="Muy Baja",'Mapa final'!$AC$27="Mayor"),CONCATENATE("R6C",'Mapa final'!$Q$27),"")</f>
        <v/>
      </c>
      <c r="AE51" s="23" t="str">
        <f>IF(AND('Mapa final'!$AA$28="Muy Baja",'Mapa final'!$AC$28="Mayor"),CONCATENATE("R6C",'Mapa final'!$Q$28),"")</f>
        <v/>
      </c>
      <c r="AF51" s="23" t="str">
        <f>IF(AND('Mapa final'!$AA$29="Muy Baja",'Mapa final'!$AC$29="Mayor"),CONCATENATE("R6C",'Mapa final'!$Q$29),"")</f>
        <v/>
      </c>
      <c r="AG51" s="24" t="str">
        <f>IF(AND('Mapa final'!$AA$30="Muy Baja",'Mapa final'!$AC$30="Mayor"),CONCATENATE("R6C",'Mapa final'!$Q$30),"")</f>
        <v/>
      </c>
      <c r="AH51" s="25" t="str">
        <f>IF(AND('Mapa final'!$AA$25="Muy Baja",'Mapa final'!$AC$25="Catastrófico"),CONCATENATE("R6C",'Mapa final'!$Q$25),"")</f>
        <v/>
      </c>
      <c r="AI51" s="26" t="str">
        <f>IF(AND('Mapa final'!$AA$26="Muy Baja",'Mapa final'!$AC$26="Catastrófico"),CONCATENATE("R6C",'Mapa final'!$Q$26),"")</f>
        <v/>
      </c>
      <c r="AJ51" s="26" t="str">
        <f>IF(AND('Mapa final'!$AA$27="Muy Baja",'Mapa final'!$AC$27="Catastrófico"),CONCATENATE("R6C",'Mapa final'!$Q$27),"")</f>
        <v/>
      </c>
      <c r="AK51" s="26" t="str">
        <f>IF(AND('Mapa final'!$AA$28="Muy Baja",'Mapa final'!$AC$28="Catastrófico"),CONCATENATE("R6C",'Mapa final'!$Q$28),"")</f>
        <v/>
      </c>
      <c r="AL51" s="26" t="str">
        <f>IF(AND('Mapa final'!$AA$29="Muy Baja",'Mapa final'!$AC$29="Catastrófico"),CONCATENATE("R6C",'Mapa final'!$Q$29),"")</f>
        <v/>
      </c>
      <c r="AM51" s="27" t="str">
        <f>IF(AND('Mapa final'!$AA$30="Muy Baja",'Mapa final'!$AC$30="Catastrófico"),CONCATENATE("R6C",'Mapa final'!$Q$30),"")</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506"/>
      <c r="C52" s="506"/>
      <c r="D52" s="507"/>
      <c r="E52" s="605"/>
      <c r="F52" s="604"/>
      <c r="G52" s="604"/>
      <c r="H52" s="604"/>
      <c r="I52" s="620"/>
      <c r="J52" s="46" t="str">
        <f>IF(AND('Mapa final'!$AA$31="Muy Baja",'Mapa final'!$AC$31="Leve"),CONCATENATE("R7C",'Mapa final'!$Q$31),"")</f>
        <v/>
      </c>
      <c r="K52" s="47" t="str">
        <f>IF(AND('Mapa final'!$AA$32="Muy Baja",'Mapa final'!$AC$32="Leve"),CONCATENATE("R7C",'Mapa final'!$Q$32),"")</f>
        <v/>
      </c>
      <c r="L52" s="47" t="str">
        <f>IF(AND('Mapa final'!$AA$33="Muy Baja",'Mapa final'!$AC$33="Leve"),CONCATENATE("R7C",'Mapa final'!$Q$33),"")</f>
        <v/>
      </c>
      <c r="M52" s="47" t="str">
        <f>IF(AND('Mapa final'!$AA$34="Muy Baja",'Mapa final'!$AC$34="Leve"),CONCATENATE("R7C",'Mapa final'!$Q$34),"")</f>
        <v/>
      </c>
      <c r="N52" s="47" t="str">
        <f>IF(AND('Mapa final'!$AA$35="Muy Baja",'Mapa final'!$AC$35="Leve"),CONCATENATE("R7C",'Mapa final'!$Q$35),"")</f>
        <v/>
      </c>
      <c r="O52" s="48" t="str">
        <f>IF(AND('Mapa final'!$AA$36="Muy Baja",'Mapa final'!$AC$36="Leve"),CONCATENATE("R7C",'Mapa final'!$Q$36),"")</f>
        <v/>
      </c>
      <c r="P52" s="46" t="str">
        <f>IF(AND('Mapa final'!$AA$31="Muy Baja",'Mapa final'!$AC$31="Menor"),CONCATENATE("R7C",'Mapa final'!$Q$31),"")</f>
        <v/>
      </c>
      <c r="Q52" s="47" t="str">
        <f>IF(AND('Mapa final'!$AA$32="Muy Baja",'Mapa final'!$AC$32="Menor"),CONCATENATE("R7C",'Mapa final'!$Q$32),"")</f>
        <v/>
      </c>
      <c r="R52" s="47" t="str">
        <f>IF(AND('Mapa final'!$AA$33="Muy Baja",'Mapa final'!$AC$33="Menor"),CONCATENATE("R7C",'Mapa final'!$Q$33),"")</f>
        <v/>
      </c>
      <c r="S52" s="47" t="str">
        <f>IF(AND('Mapa final'!$AA$34="Muy Baja",'Mapa final'!$AC$34="Menor"),CONCATENATE("R7C",'Mapa final'!$Q$34),"")</f>
        <v/>
      </c>
      <c r="T52" s="47" t="str">
        <f>IF(AND('Mapa final'!$AA$35="Muy Baja",'Mapa final'!$AC$35="Menor"),CONCATENATE("R7C",'Mapa final'!$Q$35),"")</f>
        <v/>
      </c>
      <c r="U52" s="48" t="str">
        <f>IF(AND('Mapa final'!$AA$36="Muy Baja",'Mapa final'!$AC$36="Menor"),CONCATENATE("R7C",'Mapa final'!$Q$36),"")</f>
        <v/>
      </c>
      <c r="V52" s="37" t="str">
        <f>IF(AND('Mapa final'!$AA$31="Muy Baja",'Mapa final'!$AC$31="Moderado"),CONCATENATE("R7C",'Mapa final'!$Q$31),"")</f>
        <v/>
      </c>
      <c r="W52" s="38" t="str">
        <f>IF(AND('Mapa final'!$AA$32="Muy Baja",'Mapa final'!$AC$32="Moderado"),CONCATENATE("R7C",'Mapa final'!$Q$32),"")</f>
        <v/>
      </c>
      <c r="X52" s="38" t="str">
        <f>IF(AND('Mapa final'!$AA$33="Muy Baja",'Mapa final'!$AC$33="Moderado"),CONCATENATE("R7C",'Mapa final'!$Q$33),"")</f>
        <v/>
      </c>
      <c r="Y52" s="38" t="str">
        <f>IF(AND('Mapa final'!$AA$34="Muy Baja",'Mapa final'!$AC$34="Moderado"),CONCATENATE("R7C",'Mapa final'!$Q$34),"")</f>
        <v/>
      </c>
      <c r="Z52" s="38" t="str">
        <f>IF(AND('Mapa final'!$AA$35="Muy Baja",'Mapa final'!$AC$35="Moderado"),CONCATENATE("R7C",'Mapa final'!$Q$35),"")</f>
        <v/>
      </c>
      <c r="AA52" s="39" t="str">
        <f>IF(AND('Mapa final'!$AA$36="Muy Baja",'Mapa final'!$AC$36="Moderado"),CONCATENATE("R7C",'Mapa final'!$Q$36),"")</f>
        <v/>
      </c>
      <c r="AB52" s="22" t="str">
        <f>IF(AND('Mapa final'!$AA$31="Muy Baja",'Mapa final'!$AC$31="Mayor"),CONCATENATE("R7C",'Mapa final'!$Q$31),"")</f>
        <v/>
      </c>
      <c r="AC52" s="23" t="str">
        <f>IF(AND('Mapa final'!$AA$32="Muy Baja",'Mapa final'!$AC$32="Mayor"),CONCATENATE("R7C",'Mapa final'!$Q$32),"")</f>
        <v/>
      </c>
      <c r="AD52" s="23" t="str">
        <f>IF(AND('Mapa final'!$AA$33="Muy Baja",'Mapa final'!$AC$33="Mayor"),CONCATENATE("R7C",'Mapa final'!$Q$33),"")</f>
        <v/>
      </c>
      <c r="AE52" s="23" t="str">
        <f>IF(AND('Mapa final'!$AA$34="Muy Baja",'Mapa final'!$AC$34="Mayor"),CONCATENATE("R7C",'Mapa final'!$Q$34),"")</f>
        <v/>
      </c>
      <c r="AF52" s="23" t="str">
        <f>IF(AND('Mapa final'!$AA$35="Muy Baja",'Mapa final'!$AC$35="Mayor"),CONCATENATE("R7C",'Mapa final'!$Q$35),"")</f>
        <v/>
      </c>
      <c r="AG52" s="24" t="str">
        <f>IF(AND('Mapa final'!$AA$36="Muy Baja",'Mapa final'!$AC$36="Mayor"),CONCATENATE("R7C",'Mapa final'!$Q$36),"")</f>
        <v/>
      </c>
      <c r="AH52" s="25" t="str">
        <f>IF(AND('Mapa final'!$AA$31="Muy Baja",'Mapa final'!$AC$31="Catastrófico"),CONCATENATE("R7C",'Mapa final'!$Q$31),"")</f>
        <v/>
      </c>
      <c r="AI52" s="26" t="str">
        <f>IF(AND('Mapa final'!$AA$32="Muy Baja",'Mapa final'!$AC$32="Catastrófico"),CONCATENATE("R7C",'Mapa final'!$Q$32),"")</f>
        <v/>
      </c>
      <c r="AJ52" s="26" t="str">
        <f>IF(AND('Mapa final'!$AA$33="Muy Baja",'Mapa final'!$AC$33="Catastrófico"),CONCATENATE("R7C",'Mapa final'!$Q$33),"")</f>
        <v/>
      </c>
      <c r="AK52" s="26" t="str">
        <f>IF(AND('Mapa final'!$AA$34="Muy Baja",'Mapa final'!$AC$34="Catastrófico"),CONCATENATE("R7C",'Mapa final'!$Q$34),"")</f>
        <v/>
      </c>
      <c r="AL52" s="26" t="str">
        <f>IF(AND('Mapa final'!$AA$35="Muy Baja",'Mapa final'!$AC$35="Catastrófico"),CONCATENATE("R7C",'Mapa final'!$Q$35),"")</f>
        <v/>
      </c>
      <c r="AM52" s="27" t="str">
        <f>IF(AND('Mapa final'!$AA$36="Muy Baja",'Mapa final'!$AC$36="Catastrófico"),CONCATENATE("R7C",'Mapa final'!$Q$36),"")</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06"/>
      <c r="C53" s="506"/>
      <c r="D53" s="507"/>
      <c r="E53" s="605"/>
      <c r="F53" s="604"/>
      <c r="G53" s="604"/>
      <c r="H53" s="604"/>
      <c r="I53" s="620"/>
      <c r="J53" s="46" t="str">
        <f>IF(AND('Mapa final'!$AA$37="Muy Baja",'Mapa final'!$AC$37="Leve"),CONCATENATE("R8C",'Mapa final'!$Q$37),"")</f>
        <v/>
      </c>
      <c r="K53" s="47" t="str">
        <f>IF(AND('Mapa final'!$AA$38="Muy Baja",'Mapa final'!$AC$38="Leve"),CONCATENATE("R8C",'Mapa final'!$Q$38),"")</f>
        <v/>
      </c>
      <c r="L53" s="47" t="str">
        <f>IF(AND('Mapa final'!$AA$39="Muy Baja",'Mapa final'!$AC$39="Leve"),CONCATENATE("R8C",'Mapa final'!$Q$39),"")</f>
        <v/>
      </c>
      <c r="M53" s="47" t="str">
        <f>IF(AND('Mapa final'!$AA$40="Muy Baja",'Mapa final'!$AC$40="Leve"),CONCATENATE("R8C",'Mapa final'!$Q$40),"")</f>
        <v/>
      </c>
      <c r="N53" s="47" t="str">
        <f>IF(AND('Mapa final'!$AA$41="Muy Baja",'Mapa final'!$AC$41="Leve"),CONCATENATE("R8C",'Mapa final'!$Q$41),"")</f>
        <v/>
      </c>
      <c r="O53" s="48" t="str">
        <f>IF(AND('Mapa final'!$AA$42="Muy Baja",'Mapa final'!$AC$42="Leve"),CONCATENATE("R8C",'Mapa final'!$Q$42),"")</f>
        <v/>
      </c>
      <c r="P53" s="46" t="str">
        <f>IF(AND('Mapa final'!$AA$37="Muy Baja",'Mapa final'!$AC$37="Menor"),CONCATENATE("R8C",'Mapa final'!$Q$37),"")</f>
        <v/>
      </c>
      <c r="Q53" s="47" t="str">
        <f>IF(AND('Mapa final'!$AA$38="Muy Baja",'Mapa final'!$AC$38="Menor"),CONCATENATE("R8C",'Mapa final'!$Q$38),"")</f>
        <v/>
      </c>
      <c r="R53" s="47" t="str">
        <f>IF(AND('Mapa final'!$AA$39="Muy Baja",'Mapa final'!$AC$39="Menor"),CONCATENATE("R8C",'Mapa final'!$Q$39),"")</f>
        <v/>
      </c>
      <c r="S53" s="47" t="str">
        <f>IF(AND('Mapa final'!$AA$40="Muy Baja",'Mapa final'!$AC$40="Menor"),CONCATENATE("R8C",'Mapa final'!$Q$40),"")</f>
        <v/>
      </c>
      <c r="T53" s="47" t="str">
        <f>IF(AND('Mapa final'!$AA$41="Muy Baja",'Mapa final'!$AC$41="Menor"),CONCATENATE("R8C",'Mapa final'!$Q$41),"")</f>
        <v/>
      </c>
      <c r="U53" s="48" t="str">
        <f>IF(AND('Mapa final'!$AA$42="Muy Baja",'Mapa final'!$AC$42="Menor"),CONCATENATE("R8C",'Mapa final'!$Q$42),"")</f>
        <v/>
      </c>
      <c r="V53" s="37" t="str">
        <f>IF(AND('Mapa final'!$AA$37="Muy Baja",'Mapa final'!$AC$37="Moderado"),CONCATENATE("R8C",'Mapa final'!$Q$37),"")</f>
        <v/>
      </c>
      <c r="W53" s="38" t="str">
        <f>IF(AND('Mapa final'!$AA$38="Muy Baja",'Mapa final'!$AC$38="Moderado"),CONCATENATE("R8C",'Mapa final'!$Q$38),"")</f>
        <v/>
      </c>
      <c r="X53" s="38" t="str">
        <f>IF(AND('Mapa final'!$AA$39="Muy Baja",'Mapa final'!$AC$39="Moderado"),CONCATENATE("R8C",'Mapa final'!$Q$39),"")</f>
        <v/>
      </c>
      <c r="Y53" s="38" t="str">
        <f>IF(AND('Mapa final'!$AA$40="Muy Baja",'Mapa final'!$AC$40="Moderado"),CONCATENATE("R8C",'Mapa final'!$Q$40),"")</f>
        <v/>
      </c>
      <c r="Z53" s="38" t="str">
        <f>IF(AND('Mapa final'!$AA$41="Muy Baja",'Mapa final'!$AC$41="Moderado"),CONCATENATE("R8C",'Mapa final'!$Q$41),"")</f>
        <v/>
      </c>
      <c r="AA53" s="39" t="str">
        <f>IF(AND('Mapa final'!$AA$42="Muy Baja",'Mapa final'!$AC$42="Moderado"),CONCATENATE("R8C",'Mapa final'!$Q$42),"")</f>
        <v/>
      </c>
      <c r="AB53" s="22" t="str">
        <f>IF(AND('Mapa final'!$AA$37="Muy Baja",'Mapa final'!$AC$37="Mayor"),CONCATENATE("R8C",'Mapa final'!$Q$37),"")</f>
        <v/>
      </c>
      <c r="AC53" s="23" t="str">
        <f>IF(AND('Mapa final'!$AA$38="Muy Baja",'Mapa final'!$AC$38="Mayor"),CONCATENATE("R8C",'Mapa final'!$Q$38),"")</f>
        <v/>
      </c>
      <c r="AD53" s="23" t="str">
        <f>IF(AND('Mapa final'!$AA$39="Muy Baja",'Mapa final'!$AC$39="Mayor"),CONCATENATE("R8C",'Mapa final'!$Q$39),"")</f>
        <v/>
      </c>
      <c r="AE53" s="23" t="str">
        <f>IF(AND('Mapa final'!$AA$40="Muy Baja",'Mapa final'!$AC$40="Mayor"),CONCATENATE("R8C",'Mapa final'!$Q$40),"")</f>
        <v/>
      </c>
      <c r="AF53" s="23" t="str">
        <f>IF(AND('Mapa final'!$AA$41="Muy Baja",'Mapa final'!$AC$41="Mayor"),CONCATENATE("R8C",'Mapa final'!$Q$41),"")</f>
        <v/>
      </c>
      <c r="AG53" s="24" t="str">
        <f>IF(AND('Mapa final'!$AA$42="Muy Baja",'Mapa final'!$AC$42="Mayor"),CONCATENATE("R8C",'Mapa final'!$Q$42),"")</f>
        <v/>
      </c>
      <c r="AH53" s="25" t="str">
        <f>IF(AND('Mapa final'!$AA$37="Muy Baja",'Mapa final'!$AC$37="Catastrófico"),CONCATENATE("R8C",'Mapa final'!$Q$37),"")</f>
        <v/>
      </c>
      <c r="AI53" s="26" t="str">
        <f>IF(AND('Mapa final'!$AA$38="Muy Baja",'Mapa final'!$AC$38="Catastrófico"),CONCATENATE("R8C",'Mapa final'!$Q$38),"")</f>
        <v/>
      </c>
      <c r="AJ53" s="26" t="str">
        <f>IF(AND('Mapa final'!$AA$39="Muy Baja",'Mapa final'!$AC$39="Catastrófico"),CONCATENATE("R8C",'Mapa final'!$Q$39),"")</f>
        <v/>
      </c>
      <c r="AK53" s="26" t="str">
        <f>IF(AND('Mapa final'!$AA$40="Muy Baja",'Mapa final'!$AC$40="Catastrófico"),CONCATENATE("R8C",'Mapa final'!$Q$40),"")</f>
        <v/>
      </c>
      <c r="AL53" s="26" t="str">
        <f>IF(AND('Mapa final'!$AA$41="Muy Baja",'Mapa final'!$AC$41="Catastrófico"),CONCATENATE("R8C",'Mapa final'!$Q$41),"")</f>
        <v/>
      </c>
      <c r="AM53" s="27" t="str">
        <f>IF(AND('Mapa final'!$AA$42="Muy Baja",'Mapa final'!$AC$42="Catastrófico"),CONCATENATE("R8C",'Mapa final'!$Q$42),"")</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06"/>
      <c r="C54" s="506"/>
      <c r="D54" s="507"/>
      <c r="E54" s="605"/>
      <c r="F54" s="604"/>
      <c r="G54" s="604"/>
      <c r="H54" s="604"/>
      <c r="I54" s="620"/>
      <c r="J54" s="46" t="str">
        <f>IF(AND('Mapa final'!$AA$43="Muy Baja",'Mapa final'!$AC$43="Leve"),CONCATENATE("R9C",'Mapa final'!$Q$43),"")</f>
        <v/>
      </c>
      <c r="K54" s="47" t="str">
        <f>IF(AND('Mapa final'!$AA$44="Muy Baja",'Mapa final'!$AC$44="Leve"),CONCATENATE("R9C",'Mapa final'!$Q$44),"")</f>
        <v/>
      </c>
      <c r="L54" s="47" t="str">
        <f>IF(AND('Mapa final'!$AA$45="Muy Baja",'Mapa final'!$AC$45="Leve"),CONCATENATE("R9C",'Mapa final'!$Q$45),"")</f>
        <v/>
      </c>
      <c r="M54" s="47" t="str">
        <f>IF(AND('Mapa final'!$AA$46="Muy Baja",'Mapa final'!$AC$46="Leve"),CONCATENATE("R9C",'Mapa final'!$Q$46),"")</f>
        <v/>
      </c>
      <c r="N54" s="47" t="str">
        <f>IF(AND('Mapa final'!$AA$47="Muy Baja",'Mapa final'!$AC$47="Leve"),CONCATENATE("R9C",'Mapa final'!$Q$47),"")</f>
        <v/>
      </c>
      <c r="O54" s="48" t="str">
        <f>IF(AND('Mapa final'!$AA$48="Muy Baja",'Mapa final'!$AC$48="Leve"),CONCATENATE("R9C",'Mapa final'!$Q$48),"")</f>
        <v/>
      </c>
      <c r="P54" s="46" t="str">
        <f>IF(AND('Mapa final'!$AA$43="Muy Baja",'Mapa final'!$AC$43="Menor"),CONCATENATE("R9C",'Mapa final'!$Q$43),"")</f>
        <v/>
      </c>
      <c r="Q54" s="47" t="str">
        <f>IF(AND('Mapa final'!$AA$44="Muy Baja",'Mapa final'!$AC$44="Menor"),CONCATENATE("R9C",'Mapa final'!$Q$44),"")</f>
        <v/>
      </c>
      <c r="R54" s="47" t="str">
        <f>IF(AND('Mapa final'!$AA$45="Muy Baja",'Mapa final'!$AC$45="Menor"),CONCATENATE("R9C",'Mapa final'!$Q$45),"")</f>
        <v/>
      </c>
      <c r="S54" s="47" t="str">
        <f>IF(AND('Mapa final'!$AA$46="Muy Baja",'Mapa final'!$AC$46="Menor"),CONCATENATE("R9C",'Mapa final'!$Q$46),"")</f>
        <v/>
      </c>
      <c r="T54" s="47" t="str">
        <f>IF(AND('Mapa final'!$AA$47="Muy Baja",'Mapa final'!$AC$47="Menor"),CONCATENATE("R9C",'Mapa final'!$Q$47),"")</f>
        <v/>
      </c>
      <c r="U54" s="48" t="str">
        <f>IF(AND('Mapa final'!$AA$48="Muy Baja",'Mapa final'!$AC$48="Menor"),CONCATENATE("R9C",'Mapa final'!$Q$48),"")</f>
        <v/>
      </c>
      <c r="V54" s="37" t="str">
        <f>IF(AND('Mapa final'!$AA$43="Muy Baja",'Mapa final'!$AC$43="Moderado"),CONCATENATE("R9C",'Mapa final'!$Q$43),"")</f>
        <v/>
      </c>
      <c r="W54" s="38" t="str">
        <f>IF(AND('Mapa final'!$AA$44="Muy Baja",'Mapa final'!$AC$44="Moderado"),CONCATENATE("R9C",'Mapa final'!$Q$44),"")</f>
        <v/>
      </c>
      <c r="X54" s="38" t="str">
        <f>IF(AND('Mapa final'!$AA$45="Muy Baja",'Mapa final'!$AC$45="Moderado"),CONCATENATE("R9C",'Mapa final'!$Q$45),"")</f>
        <v/>
      </c>
      <c r="Y54" s="38" t="str">
        <f>IF(AND('Mapa final'!$AA$46="Muy Baja",'Mapa final'!$AC$46="Moderado"),CONCATENATE("R9C",'Mapa final'!$Q$46),"")</f>
        <v/>
      </c>
      <c r="Z54" s="38" t="str">
        <f>IF(AND('Mapa final'!$AA$47="Muy Baja",'Mapa final'!$AC$47="Moderado"),CONCATENATE("R9C",'Mapa final'!$Q$47),"")</f>
        <v/>
      </c>
      <c r="AA54" s="39" t="str">
        <f>IF(AND('Mapa final'!$AA$48="Muy Baja",'Mapa final'!$AC$48="Moderado"),CONCATENATE("R9C",'Mapa final'!$Q$48),"")</f>
        <v/>
      </c>
      <c r="AB54" s="22" t="str">
        <f>IF(AND('Mapa final'!$AA$43="Muy Baja",'Mapa final'!$AC$43="Mayor"),CONCATENATE("R9C",'Mapa final'!$Q$43),"")</f>
        <v/>
      </c>
      <c r="AC54" s="23" t="str">
        <f>IF(AND('Mapa final'!$AA$44="Muy Baja",'Mapa final'!$AC$44="Mayor"),CONCATENATE("R9C",'Mapa final'!$Q$44),"")</f>
        <v/>
      </c>
      <c r="AD54" s="23" t="str">
        <f>IF(AND('Mapa final'!$AA$45="Muy Baja",'Mapa final'!$AC$45="Mayor"),CONCATENATE("R9C",'Mapa final'!$Q$45),"")</f>
        <v/>
      </c>
      <c r="AE54" s="23" t="str">
        <f>IF(AND('Mapa final'!$AA$46="Muy Baja",'Mapa final'!$AC$46="Mayor"),CONCATENATE("R9C",'Mapa final'!$Q$46),"")</f>
        <v/>
      </c>
      <c r="AF54" s="23" t="str">
        <f>IF(AND('Mapa final'!$AA$47="Muy Baja",'Mapa final'!$AC$47="Mayor"),CONCATENATE("R9C",'Mapa final'!$Q$47),"")</f>
        <v/>
      </c>
      <c r="AG54" s="24" t="str">
        <f>IF(AND('Mapa final'!$AA$48="Muy Baja",'Mapa final'!$AC$48="Mayor"),CONCATENATE("R9C",'Mapa final'!$Q$48),"")</f>
        <v/>
      </c>
      <c r="AH54" s="25" t="str">
        <f>IF(AND('Mapa final'!$AA$43="Muy Baja",'Mapa final'!$AC$43="Catastrófico"),CONCATENATE("R9C",'Mapa final'!$Q$43),"")</f>
        <v/>
      </c>
      <c r="AI54" s="26" t="str">
        <f>IF(AND('Mapa final'!$AA$44="Muy Baja",'Mapa final'!$AC$44="Catastrófico"),CONCATENATE("R9C",'Mapa final'!$Q$44),"")</f>
        <v/>
      </c>
      <c r="AJ54" s="26" t="str">
        <f>IF(AND('Mapa final'!$AA$45="Muy Baja",'Mapa final'!$AC$45="Catastrófico"),CONCATENATE("R9C",'Mapa final'!$Q$45),"")</f>
        <v/>
      </c>
      <c r="AK54" s="26" t="str">
        <f>IF(AND('Mapa final'!$AA$46="Muy Baja",'Mapa final'!$AC$46="Catastrófico"),CONCATENATE("R9C",'Mapa final'!$Q$46),"")</f>
        <v/>
      </c>
      <c r="AL54" s="26" t="str">
        <f>IF(AND('Mapa final'!$AA$47="Muy Baja",'Mapa final'!$AC$47="Catastrófico"),CONCATENATE("R9C",'Mapa final'!$Q$47),"")</f>
        <v/>
      </c>
      <c r="AM54" s="27" t="str">
        <f>IF(AND('Mapa final'!$AA$48="Muy Baja",'Mapa final'!$AC$48="Catastrófico"),CONCATENATE("R9C",'Mapa final'!$Q$48),"")</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506"/>
      <c r="C55" s="506"/>
      <c r="D55" s="507"/>
      <c r="E55" s="606"/>
      <c r="F55" s="607"/>
      <c r="G55" s="607"/>
      <c r="H55" s="607"/>
      <c r="I55" s="621"/>
      <c r="J55" s="49" t="str">
        <f>IF(AND('Mapa final'!$AA$49="Muy Baja",'Mapa final'!$AC$49="Leve"),CONCATENATE("R10C",'Mapa final'!$Q$49),"")</f>
        <v/>
      </c>
      <c r="K55" s="50" t="str">
        <f>IF(AND('Mapa final'!$AA$50="Muy Baja",'Mapa final'!$AC$50="Leve"),CONCATENATE("R10C",'Mapa final'!$Q$50),"")</f>
        <v/>
      </c>
      <c r="L55" s="50" t="str">
        <f>IF(AND('Mapa final'!$AA$51="Muy Baja",'Mapa final'!$AC$51="Leve"),CONCATENATE("R10C",'Mapa final'!$Q$51),"")</f>
        <v/>
      </c>
      <c r="M55" s="50" t="str">
        <f>IF(AND('Mapa final'!$AA$52="Muy Baja",'Mapa final'!$AC$52="Leve"),CONCATENATE("R10C",'Mapa final'!$Q$52),"")</f>
        <v/>
      </c>
      <c r="N55" s="50" t="str">
        <f>IF(AND('Mapa final'!$AA$53="Muy Baja",'Mapa final'!$AC$53="Leve"),CONCATENATE("R10C",'Mapa final'!$Q$53),"")</f>
        <v/>
      </c>
      <c r="O55" s="51" t="str">
        <f>IF(AND('Mapa final'!$AA$54="Muy Baja",'Mapa final'!$AC$54="Leve"),CONCATENATE("R10C",'Mapa final'!$Q$54),"")</f>
        <v/>
      </c>
      <c r="P55" s="49" t="str">
        <f>IF(AND('Mapa final'!$AA$49="Muy Baja",'Mapa final'!$AC$49="Menor"),CONCATENATE("R10C",'Mapa final'!$Q$49),"")</f>
        <v/>
      </c>
      <c r="Q55" s="50" t="str">
        <f>IF(AND('Mapa final'!$AA$50="Muy Baja",'Mapa final'!$AC$50="Menor"),CONCATENATE("R10C",'Mapa final'!$Q$50),"")</f>
        <v/>
      </c>
      <c r="R55" s="50" t="str">
        <f>IF(AND('Mapa final'!$AA$51="Muy Baja",'Mapa final'!$AC$51="Menor"),CONCATENATE("R10C",'Mapa final'!$Q$51),"")</f>
        <v/>
      </c>
      <c r="S55" s="50" t="str">
        <f>IF(AND('Mapa final'!$AA$52="Muy Baja",'Mapa final'!$AC$52="Menor"),CONCATENATE("R10C",'Mapa final'!$Q$52),"")</f>
        <v/>
      </c>
      <c r="T55" s="50" t="str">
        <f>IF(AND('Mapa final'!$AA$53="Muy Baja",'Mapa final'!$AC$53="Menor"),CONCATENATE("R10C",'Mapa final'!$Q$53),"")</f>
        <v/>
      </c>
      <c r="U55" s="51" t="str">
        <f>IF(AND('Mapa final'!$AA$54="Muy Baja",'Mapa final'!$AC$54="Menor"),CONCATENATE("R10C",'Mapa final'!$Q$54),"")</f>
        <v/>
      </c>
      <c r="V55" s="40" t="str">
        <f>IF(AND('Mapa final'!$AA$49="Muy Baja",'Mapa final'!$AC$49="Moderado"),CONCATENATE("R10C",'Mapa final'!$Q$49),"")</f>
        <v/>
      </c>
      <c r="W55" s="41" t="str">
        <f>IF(AND('Mapa final'!$AA$50="Muy Baja",'Mapa final'!$AC$50="Moderado"),CONCATENATE("R10C",'Mapa final'!$Q$50),"")</f>
        <v/>
      </c>
      <c r="X55" s="41" t="str">
        <f>IF(AND('Mapa final'!$AA$51="Muy Baja",'Mapa final'!$AC$51="Moderado"),CONCATENATE("R10C",'Mapa final'!$Q$51),"")</f>
        <v/>
      </c>
      <c r="Y55" s="41" t="str">
        <f>IF(AND('Mapa final'!$AA$52="Muy Baja",'Mapa final'!$AC$52="Moderado"),CONCATENATE("R10C",'Mapa final'!$Q$52),"")</f>
        <v/>
      </c>
      <c r="Z55" s="41" t="str">
        <f>IF(AND('Mapa final'!$AA$53="Muy Baja",'Mapa final'!$AC$53="Moderado"),CONCATENATE("R10C",'Mapa final'!$Q$53),"")</f>
        <v/>
      </c>
      <c r="AA55" s="42" t="str">
        <f>IF(AND('Mapa final'!$AA$54="Muy Baja",'Mapa final'!$AC$54="Moderado"),CONCATENATE("R10C",'Mapa final'!$Q$54),"")</f>
        <v/>
      </c>
      <c r="AB55" s="28" t="str">
        <f>IF(AND('Mapa final'!$AA$49="Muy Baja",'Mapa final'!$AC$49="Mayor"),CONCATENATE("R10C",'Mapa final'!$Q$49),"")</f>
        <v/>
      </c>
      <c r="AC55" s="29" t="str">
        <f>IF(AND('Mapa final'!$AA$50="Muy Baja",'Mapa final'!$AC$50="Mayor"),CONCATENATE("R10C",'Mapa final'!$Q$50),"")</f>
        <v/>
      </c>
      <c r="AD55" s="29" t="str">
        <f>IF(AND('Mapa final'!$AA$51="Muy Baja",'Mapa final'!$AC$51="Mayor"),CONCATENATE("R10C",'Mapa final'!$Q$51),"")</f>
        <v/>
      </c>
      <c r="AE55" s="29" t="str">
        <f>IF(AND('Mapa final'!$AA$52="Muy Baja",'Mapa final'!$AC$52="Mayor"),CONCATENATE("R10C",'Mapa final'!$Q$52),"")</f>
        <v/>
      </c>
      <c r="AF55" s="29" t="str">
        <f>IF(AND('Mapa final'!$AA$53="Muy Baja",'Mapa final'!$AC$53="Mayor"),CONCATENATE("R10C",'Mapa final'!$Q$53),"")</f>
        <v/>
      </c>
      <c r="AG55" s="30" t="str">
        <f>IF(AND('Mapa final'!$AA$54="Muy Baja",'Mapa final'!$AC$54="Mayor"),CONCATENATE("R10C",'Mapa final'!$Q$54),"")</f>
        <v/>
      </c>
      <c r="AH55" s="31" t="str">
        <f>IF(AND('Mapa final'!$AA$49="Muy Baja",'Mapa final'!$AC$49="Catastrófico"),CONCATENATE("R10C",'Mapa final'!$Q$49),"")</f>
        <v/>
      </c>
      <c r="AI55" s="32" t="str">
        <f>IF(AND('Mapa final'!$AA$50="Muy Baja",'Mapa final'!$AC$50="Catastrófico"),CONCATENATE("R10C",'Mapa final'!$Q$50),"")</f>
        <v/>
      </c>
      <c r="AJ55" s="32" t="str">
        <f>IF(AND('Mapa final'!$AA$51="Muy Baja",'Mapa final'!$AC$51="Catastrófico"),CONCATENATE("R10C",'Mapa final'!$Q$51),"")</f>
        <v/>
      </c>
      <c r="AK55" s="32" t="str">
        <f>IF(AND('Mapa final'!$AA$52="Muy Baja",'Mapa final'!$AC$52="Catastrófico"),CONCATENATE("R10C",'Mapa final'!$Q$52),"")</f>
        <v/>
      </c>
      <c r="AL55" s="32" t="str">
        <f>IF(AND('Mapa final'!$AA$53="Muy Baja",'Mapa final'!$AC$53="Catastrófico"),CONCATENATE("R10C",'Mapa final'!$Q$53),"")</f>
        <v/>
      </c>
      <c r="AM55" s="33" t="str">
        <f>IF(AND('Mapa final'!$AA$54="Muy Baja",'Mapa final'!$AC$54="Catastrófico"),CONCATENATE("R10C",'Mapa final'!$Q$54),"")</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601" t="s">
        <v>107</v>
      </c>
      <c r="K56" s="602"/>
      <c r="L56" s="602"/>
      <c r="M56" s="602"/>
      <c r="N56" s="602"/>
      <c r="O56" s="619"/>
      <c r="P56" s="601" t="s">
        <v>106</v>
      </c>
      <c r="Q56" s="602"/>
      <c r="R56" s="602"/>
      <c r="S56" s="602"/>
      <c r="T56" s="602"/>
      <c r="U56" s="619"/>
      <c r="V56" s="601" t="s">
        <v>105</v>
      </c>
      <c r="W56" s="602"/>
      <c r="X56" s="602"/>
      <c r="Y56" s="602"/>
      <c r="Z56" s="602"/>
      <c r="AA56" s="619"/>
      <c r="AB56" s="601" t="s">
        <v>104</v>
      </c>
      <c r="AC56" s="640"/>
      <c r="AD56" s="602"/>
      <c r="AE56" s="602"/>
      <c r="AF56" s="602"/>
      <c r="AG56" s="619"/>
      <c r="AH56" s="601" t="s">
        <v>103</v>
      </c>
      <c r="AI56" s="602"/>
      <c r="AJ56" s="602"/>
      <c r="AK56" s="602"/>
      <c r="AL56" s="602"/>
      <c r="AM56" s="619"/>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605"/>
      <c r="K57" s="604"/>
      <c r="L57" s="604"/>
      <c r="M57" s="604"/>
      <c r="N57" s="604"/>
      <c r="O57" s="620"/>
      <c r="P57" s="605"/>
      <c r="Q57" s="604"/>
      <c r="R57" s="604"/>
      <c r="S57" s="604"/>
      <c r="T57" s="604"/>
      <c r="U57" s="620"/>
      <c r="V57" s="605"/>
      <c r="W57" s="604"/>
      <c r="X57" s="604"/>
      <c r="Y57" s="604"/>
      <c r="Z57" s="604"/>
      <c r="AA57" s="620"/>
      <c r="AB57" s="605"/>
      <c r="AC57" s="604"/>
      <c r="AD57" s="604"/>
      <c r="AE57" s="604"/>
      <c r="AF57" s="604"/>
      <c r="AG57" s="620"/>
      <c r="AH57" s="605"/>
      <c r="AI57" s="604"/>
      <c r="AJ57" s="604"/>
      <c r="AK57" s="604"/>
      <c r="AL57" s="604"/>
      <c r="AM57" s="620"/>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605"/>
      <c r="K58" s="604"/>
      <c r="L58" s="604"/>
      <c r="M58" s="604"/>
      <c r="N58" s="604"/>
      <c r="O58" s="620"/>
      <c r="P58" s="605"/>
      <c r="Q58" s="604"/>
      <c r="R58" s="604"/>
      <c r="S58" s="604"/>
      <c r="T58" s="604"/>
      <c r="U58" s="620"/>
      <c r="V58" s="605"/>
      <c r="W58" s="604"/>
      <c r="X58" s="604"/>
      <c r="Y58" s="604"/>
      <c r="Z58" s="604"/>
      <c r="AA58" s="620"/>
      <c r="AB58" s="605"/>
      <c r="AC58" s="604"/>
      <c r="AD58" s="604"/>
      <c r="AE58" s="604"/>
      <c r="AF58" s="604"/>
      <c r="AG58" s="620"/>
      <c r="AH58" s="605"/>
      <c r="AI58" s="604"/>
      <c r="AJ58" s="604"/>
      <c r="AK58" s="604"/>
      <c r="AL58" s="604"/>
      <c r="AM58" s="620"/>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605"/>
      <c r="K59" s="604"/>
      <c r="L59" s="604"/>
      <c r="M59" s="604"/>
      <c r="N59" s="604"/>
      <c r="O59" s="620"/>
      <c r="P59" s="605"/>
      <c r="Q59" s="604"/>
      <c r="R59" s="604"/>
      <c r="S59" s="604"/>
      <c r="T59" s="604"/>
      <c r="U59" s="620"/>
      <c r="V59" s="605"/>
      <c r="W59" s="604"/>
      <c r="X59" s="604"/>
      <c r="Y59" s="604"/>
      <c r="Z59" s="604"/>
      <c r="AA59" s="620"/>
      <c r="AB59" s="605"/>
      <c r="AC59" s="604"/>
      <c r="AD59" s="604"/>
      <c r="AE59" s="604"/>
      <c r="AF59" s="604"/>
      <c r="AG59" s="620"/>
      <c r="AH59" s="605"/>
      <c r="AI59" s="604"/>
      <c r="AJ59" s="604"/>
      <c r="AK59" s="604"/>
      <c r="AL59" s="604"/>
      <c r="AM59" s="620"/>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605"/>
      <c r="K60" s="604"/>
      <c r="L60" s="604"/>
      <c r="M60" s="604"/>
      <c r="N60" s="604"/>
      <c r="O60" s="620"/>
      <c r="P60" s="605"/>
      <c r="Q60" s="604"/>
      <c r="R60" s="604"/>
      <c r="S60" s="604"/>
      <c r="T60" s="604"/>
      <c r="U60" s="620"/>
      <c r="V60" s="605"/>
      <c r="W60" s="604"/>
      <c r="X60" s="604"/>
      <c r="Y60" s="604"/>
      <c r="Z60" s="604"/>
      <c r="AA60" s="620"/>
      <c r="AB60" s="605"/>
      <c r="AC60" s="604"/>
      <c r="AD60" s="604"/>
      <c r="AE60" s="604"/>
      <c r="AF60" s="604"/>
      <c r="AG60" s="620"/>
      <c r="AH60" s="605"/>
      <c r="AI60" s="604"/>
      <c r="AJ60" s="604"/>
      <c r="AK60" s="604"/>
      <c r="AL60" s="604"/>
      <c r="AM60" s="620"/>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606"/>
      <c r="K61" s="607"/>
      <c r="L61" s="607"/>
      <c r="M61" s="607"/>
      <c r="N61" s="607"/>
      <c r="O61" s="621"/>
      <c r="P61" s="606"/>
      <c r="Q61" s="607"/>
      <c r="R61" s="607"/>
      <c r="S61" s="607"/>
      <c r="T61" s="607"/>
      <c r="U61" s="621"/>
      <c r="V61" s="606"/>
      <c r="W61" s="607"/>
      <c r="X61" s="607"/>
      <c r="Y61" s="607"/>
      <c r="Z61" s="607"/>
      <c r="AA61" s="621"/>
      <c r="AB61" s="606"/>
      <c r="AC61" s="607"/>
      <c r="AD61" s="607"/>
      <c r="AE61" s="607"/>
      <c r="AF61" s="607"/>
      <c r="AG61" s="621"/>
      <c r="AH61" s="606"/>
      <c r="AI61" s="607"/>
      <c r="AJ61" s="607"/>
      <c r="AK61" s="607"/>
      <c r="AL61" s="607"/>
      <c r="AM61" s="621"/>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ColWidth="11.5546875" defaultRowHeight="14.4" x14ac:dyDescent="0.3"/>
  <cols>
    <col min="2" max="2" width="24.109375" customWidth="1"/>
    <col min="3" max="3" width="70.109375" customWidth="1"/>
    <col min="4" max="4" width="29.88671875" customWidth="1"/>
  </cols>
  <sheetData>
    <row r="1" spans="1:37" ht="23.4" x14ac:dyDescent="0.3">
      <c r="A1" s="53"/>
      <c r="B1" s="641" t="s">
        <v>55</v>
      </c>
      <c r="C1" s="641"/>
      <c r="D1" s="641"/>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52</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51</v>
      </c>
      <c r="C4" s="6" t="s">
        <v>97</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53</v>
      </c>
      <c r="C5" s="9" t="s">
        <v>98</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102</v>
      </c>
      <c r="C6" s="9" t="s">
        <v>99</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100</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54</v>
      </c>
      <c r="C8" s="9" t="s">
        <v>101</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42" t="s">
        <v>62</v>
      </c>
      <c r="C1" s="642"/>
      <c r="D1" s="642"/>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2" t="s">
        <v>56</v>
      </c>
      <c r="D3" s="92" t="s">
        <v>57</v>
      </c>
      <c r="E3" s="75"/>
      <c r="F3" s="75"/>
      <c r="G3" s="75"/>
      <c r="H3" s="75"/>
      <c r="I3" s="75"/>
      <c r="J3" s="75"/>
      <c r="K3" s="75"/>
      <c r="L3" s="75"/>
      <c r="M3" s="75"/>
      <c r="N3" s="75"/>
      <c r="O3" s="75"/>
      <c r="P3" s="75"/>
      <c r="Q3" s="75"/>
      <c r="R3" s="75"/>
      <c r="S3" s="75"/>
      <c r="T3" s="75"/>
      <c r="U3" s="75"/>
    </row>
    <row r="4" spans="1:21" ht="32.4" x14ac:dyDescent="0.3">
      <c r="A4" s="75" t="s">
        <v>82</v>
      </c>
      <c r="B4" s="93" t="s">
        <v>96</v>
      </c>
      <c r="C4" s="94" t="s">
        <v>204</v>
      </c>
      <c r="D4" s="95" t="s">
        <v>92</v>
      </c>
      <c r="E4" s="75"/>
      <c r="F4" s="75"/>
      <c r="G4" s="75"/>
      <c r="H4" s="75"/>
      <c r="I4" s="75"/>
      <c r="J4" s="75"/>
      <c r="K4" s="75"/>
      <c r="L4" s="75"/>
      <c r="M4" s="75"/>
      <c r="N4" s="75"/>
      <c r="O4" s="75"/>
      <c r="P4" s="75"/>
      <c r="Q4" s="75"/>
      <c r="R4" s="75"/>
      <c r="S4" s="75"/>
      <c r="T4" s="75"/>
      <c r="U4" s="75"/>
    </row>
    <row r="5" spans="1:21" ht="64.8" x14ac:dyDescent="0.3">
      <c r="A5" s="75" t="s">
        <v>83</v>
      </c>
      <c r="B5" s="96" t="s">
        <v>58</v>
      </c>
      <c r="C5" s="97" t="s">
        <v>205</v>
      </c>
      <c r="D5" s="98" t="s">
        <v>93</v>
      </c>
      <c r="E5" s="75"/>
      <c r="F5" s="75"/>
      <c r="G5" s="75"/>
      <c r="H5" s="75"/>
      <c r="I5" s="75"/>
      <c r="J5" s="75"/>
      <c r="K5" s="75"/>
      <c r="L5" s="75"/>
      <c r="M5" s="75"/>
      <c r="N5" s="75"/>
      <c r="O5" s="75"/>
      <c r="P5" s="75"/>
      <c r="Q5" s="75"/>
      <c r="R5" s="75"/>
      <c r="S5" s="75"/>
      <c r="T5" s="75"/>
      <c r="U5" s="75"/>
    </row>
    <row r="6" spans="1:21" ht="64.8" x14ac:dyDescent="0.3">
      <c r="A6" s="75" t="s">
        <v>80</v>
      </c>
      <c r="B6" s="99" t="s">
        <v>59</v>
      </c>
      <c r="C6" s="97" t="s">
        <v>209</v>
      </c>
      <c r="D6" s="98" t="s">
        <v>95</v>
      </c>
      <c r="E6" s="75"/>
      <c r="F6" s="75"/>
      <c r="G6" s="75"/>
      <c r="H6" s="75"/>
      <c r="I6" s="75"/>
      <c r="J6" s="75"/>
      <c r="K6" s="75"/>
      <c r="L6" s="75"/>
      <c r="M6" s="75"/>
      <c r="N6" s="75"/>
      <c r="O6" s="75"/>
      <c r="P6" s="75"/>
      <c r="Q6" s="75"/>
      <c r="R6" s="75"/>
      <c r="S6" s="75"/>
      <c r="T6" s="75"/>
      <c r="U6" s="75"/>
    </row>
    <row r="7" spans="1:21" ht="97.2" x14ac:dyDescent="0.3">
      <c r="A7" s="75" t="s">
        <v>7</v>
      </c>
      <c r="B7" s="100" t="s">
        <v>60</v>
      </c>
      <c r="C7" s="97" t="s">
        <v>210</v>
      </c>
      <c r="D7" s="98" t="s">
        <v>94</v>
      </c>
      <c r="E7" s="75"/>
      <c r="F7" s="75"/>
      <c r="G7" s="75"/>
      <c r="H7" s="75"/>
      <c r="I7" s="75"/>
      <c r="J7" s="75"/>
      <c r="K7" s="75"/>
      <c r="L7" s="75"/>
      <c r="M7" s="75"/>
      <c r="N7" s="75"/>
      <c r="O7" s="75"/>
      <c r="P7" s="75"/>
      <c r="Q7" s="75"/>
      <c r="R7" s="75"/>
      <c r="S7" s="75"/>
      <c r="T7" s="75"/>
      <c r="U7" s="75"/>
    </row>
    <row r="8" spans="1:21" ht="64.8" x14ac:dyDescent="0.3">
      <c r="A8" s="75" t="s">
        <v>84</v>
      </c>
      <c r="B8" s="101" t="s">
        <v>61</v>
      </c>
      <c r="C8" s="97" t="s">
        <v>206</v>
      </c>
      <c r="D8" s="98" t="s">
        <v>113</v>
      </c>
      <c r="E8" s="75"/>
      <c r="F8" s="75"/>
      <c r="G8" s="75"/>
      <c r="H8" s="75"/>
      <c r="I8" s="75"/>
      <c r="J8" s="75"/>
      <c r="K8" s="75"/>
      <c r="L8" s="75"/>
      <c r="M8" s="75"/>
      <c r="N8" s="75"/>
      <c r="O8" s="75"/>
      <c r="P8" s="75"/>
      <c r="Q8" s="75"/>
      <c r="R8" s="75"/>
      <c r="S8" s="75"/>
      <c r="T8" s="75"/>
      <c r="U8" s="75"/>
    </row>
    <row r="9" spans="1:21" s="15" customFormat="1" ht="20.399999999999999" x14ac:dyDescent="0.3">
      <c r="A9" s="73"/>
      <c r="B9" s="73"/>
      <c r="C9" s="102"/>
      <c r="D9" s="102"/>
      <c r="E9" s="73"/>
      <c r="F9" s="73"/>
      <c r="G9" s="73"/>
      <c r="H9" s="73"/>
      <c r="I9" s="73"/>
      <c r="J9" s="73"/>
      <c r="K9" s="73"/>
      <c r="L9" s="73"/>
      <c r="M9" s="73"/>
      <c r="N9" s="73"/>
      <c r="O9" s="73"/>
      <c r="P9" s="73"/>
      <c r="Q9" s="73"/>
      <c r="R9" s="73"/>
      <c r="S9" s="73"/>
      <c r="T9" s="73"/>
      <c r="U9" s="73"/>
    </row>
    <row r="10" spans="1:21" s="15" customFormat="1" x14ac:dyDescent="0.3">
      <c r="A10" s="73"/>
      <c r="B10" s="103"/>
      <c r="C10" s="103"/>
      <c r="D10" s="103"/>
      <c r="E10" s="73"/>
      <c r="F10" s="73"/>
      <c r="G10" s="73"/>
      <c r="H10" s="73"/>
      <c r="I10" s="73"/>
      <c r="J10" s="73"/>
      <c r="K10" s="73"/>
      <c r="L10" s="73"/>
      <c r="M10" s="73"/>
      <c r="N10" s="73"/>
      <c r="O10" s="73"/>
      <c r="P10" s="73"/>
      <c r="Q10" s="73"/>
      <c r="R10" s="73"/>
      <c r="S10" s="73"/>
      <c r="T10" s="73"/>
      <c r="U10" s="73"/>
    </row>
    <row r="11" spans="1:21" s="15" customFormat="1" x14ac:dyDescent="0.3">
      <c r="A11" s="73"/>
      <c r="B11" s="73" t="s">
        <v>90</v>
      </c>
      <c r="C11" s="73" t="s">
        <v>208</v>
      </c>
      <c r="D11" s="73" t="s">
        <v>142</v>
      </c>
      <c r="E11" s="73"/>
      <c r="F11" s="73"/>
      <c r="G11" s="73"/>
      <c r="H11" s="73"/>
      <c r="I11" s="73"/>
      <c r="J11" s="73"/>
      <c r="K11" s="73"/>
      <c r="L11" s="73"/>
      <c r="M11" s="73"/>
      <c r="N11" s="73"/>
      <c r="O11" s="73"/>
      <c r="P11" s="73"/>
      <c r="Q11" s="73"/>
      <c r="R11" s="73"/>
      <c r="S11" s="73"/>
      <c r="T11" s="73"/>
      <c r="U11" s="73"/>
    </row>
    <row r="12" spans="1:21" s="15" customFormat="1" x14ac:dyDescent="0.3">
      <c r="A12" s="73"/>
      <c r="B12" s="73" t="s">
        <v>88</v>
      </c>
      <c r="C12" s="73" t="s">
        <v>207</v>
      </c>
      <c r="D12" s="73" t="s">
        <v>143</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211</v>
      </c>
      <c r="D13" s="73" t="s">
        <v>144</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213</v>
      </c>
      <c r="D14" s="73" t="s">
        <v>145</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212</v>
      </c>
      <c r="D15" s="73" t="s">
        <v>146</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2"/>
      <c r="D22" s="102"/>
      <c r="E22" s="73"/>
      <c r="F22" s="73"/>
      <c r="G22" s="73"/>
      <c r="H22" s="73"/>
      <c r="I22" s="73"/>
      <c r="J22" s="73"/>
      <c r="K22" s="73"/>
      <c r="L22" s="73"/>
      <c r="M22" s="73"/>
      <c r="N22" s="73"/>
      <c r="O22" s="73"/>
    </row>
    <row r="23" spans="1:15" s="15" customFormat="1" ht="20.399999999999999" x14ac:dyDescent="0.3">
      <c r="A23" s="73"/>
      <c r="B23" s="73"/>
      <c r="C23" s="102"/>
      <c r="D23" s="102"/>
      <c r="E23" s="73"/>
      <c r="F23" s="73"/>
      <c r="G23" s="73"/>
      <c r="H23" s="73"/>
      <c r="I23" s="73"/>
      <c r="J23" s="73"/>
      <c r="K23" s="73"/>
      <c r="L23" s="73"/>
      <c r="M23" s="73"/>
      <c r="N23" s="73"/>
      <c r="O23" s="73"/>
    </row>
    <row r="24" spans="1:15" s="15" customFormat="1" ht="20.399999999999999" x14ac:dyDescent="0.3">
      <c r="A24" s="73"/>
      <c r="B24" s="73"/>
      <c r="C24" s="102"/>
      <c r="D24" s="102"/>
      <c r="E24" s="73"/>
      <c r="F24" s="73"/>
      <c r="G24" s="73"/>
      <c r="H24" s="73"/>
      <c r="I24" s="73"/>
      <c r="J24" s="73"/>
      <c r="K24" s="73"/>
      <c r="L24" s="73"/>
      <c r="M24" s="73"/>
      <c r="N24" s="73"/>
      <c r="O24" s="73"/>
    </row>
    <row r="25" spans="1:15" s="15" customFormat="1" ht="20.399999999999999" x14ac:dyDescent="0.3">
      <c r="A25" s="73"/>
      <c r="B25" s="73"/>
      <c r="C25" s="102"/>
      <c r="D25" s="102"/>
      <c r="E25" s="73"/>
      <c r="F25" s="73"/>
      <c r="G25" s="73"/>
      <c r="H25" s="73"/>
      <c r="I25" s="73"/>
      <c r="J25" s="73"/>
      <c r="K25" s="73"/>
      <c r="L25" s="73"/>
      <c r="M25" s="73"/>
      <c r="N25" s="73"/>
      <c r="O25" s="73"/>
    </row>
    <row r="26" spans="1:15" s="15" customFormat="1" ht="20.399999999999999" x14ac:dyDescent="0.3">
      <c r="A26" s="73"/>
      <c r="B26" s="73"/>
      <c r="C26" s="102"/>
      <c r="D26" s="102"/>
      <c r="E26" s="73"/>
      <c r="F26" s="73"/>
      <c r="G26" s="73"/>
      <c r="H26" s="73"/>
      <c r="I26" s="73"/>
      <c r="J26" s="73"/>
      <c r="K26" s="73"/>
      <c r="L26" s="73"/>
      <c r="M26" s="73"/>
      <c r="N26" s="73"/>
      <c r="O26" s="73"/>
    </row>
    <row r="27" spans="1:15" s="15" customFormat="1" ht="20.399999999999999" x14ac:dyDescent="0.3">
      <c r="A27" s="73"/>
      <c r="B27" s="73"/>
      <c r="C27" s="102"/>
      <c r="D27" s="102"/>
      <c r="E27" s="73"/>
      <c r="F27" s="73"/>
      <c r="G27" s="73"/>
      <c r="H27" s="73"/>
      <c r="I27" s="73"/>
      <c r="J27" s="73"/>
      <c r="K27" s="73"/>
      <c r="L27" s="73"/>
      <c r="M27" s="73"/>
      <c r="N27" s="73"/>
      <c r="O27" s="73"/>
    </row>
    <row r="28" spans="1:15" s="15" customFormat="1" ht="20.399999999999999" x14ac:dyDescent="0.3">
      <c r="A28" s="73"/>
      <c r="B28" s="73"/>
      <c r="C28" s="102"/>
      <c r="D28" s="102"/>
      <c r="E28" s="73"/>
      <c r="F28" s="73"/>
      <c r="G28" s="73"/>
      <c r="H28" s="73"/>
      <c r="I28" s="73"/>
      <c r="J28" s="73"/>
      <c r="K28" s="73"/>
      <c r="L28" s="73"/>
      <c r="M28" s="73"/>
      <c r="N28" s="73"/>
      <c r="O28" s="73"/>
    </row>
    <row r="29" spans="1:15" s="15" customFormat="1" ht="20.399999999999999" x14ac:dyDescent="0.3">
      <c r="A29" s="73"/>
      <c r="B29" s="73"/>
      <c r="C29" s="102"/>
      <c r="D29" s="102"/>
      <c r="E29" s="73"/>
      <c r="F29" s="73"/>
      <c r="G29" s="73"/>
      <c r="H29" s="73"/>
      <c r="I29" s="73"/>
      <c r="J29" s="73"/>
      <c r="K29" s="73"/>
      <c r="L29" s="73"/>
      <c r="M29" s="73"/>
      <c r="N29" s="73"/>
      <c r="O29" s="73"/>
    </row>
    <row r="30" spans="1:15" s="15" customFormat="1" ht="20.399999999999999" x14ac:dyDescent="0.3">
      <c r="A30" s="73"/>
      <c r="B30" s="73"/>
      <c r="C30" s="102"/>
      <c r="D30" s="102"/>
      <c r="E30" s="73"/>
      <c r="F30" s="73"/>
      <c r="G30" s="73"/>
      <c r="H30" s="73"/>
      <c r="I30" s="73"/>
      <c r="J30" s="73"/>
      <c r="K30" s="73"/>
      <c r="L30" s="73"/>
      <c r="M30" s="73"/>
      <c r="N30" s="73"/>
      <c r="O30" s="73"/>
    </row>
    <row r="31" spans="1:15" s="15" customFormat="1" ht="20.399999999999999" x14ac:dyDescent="0.3">
      <c r="A31" s="73"/>
      <c r="B31" s="73"/>
      <c r="C31" s="102"/>
      <c r="D31" s="102"/>
      <c r="E31" s="73"/>
      <c r="F31" s="73"/>
      <c r="G31" s="73"/>
      <c r="H31" s="73"/>
      <c r="I31" s="73"/>
      <c r="J31" s="73"/>
      <c r="K31" s="73"/>
      <c r="L31" s="73"/>
      <c r="M31" s="73"/>
      <c r="N31" s="73"/>
      <c r="O31" s="73"/>
    </row>
    <row r="32" spans="1:15" s="15" customFormat="1" ht="20.399999999999999" x14ac:dyDescent="0.3">
      <c r="A32" s="73"/>
      <c r="B32" s="73"/>
      <c r="C32" s="102"/>
      <c r="D32" s="102"/>
      <c r="E32" s="73"/>
      <c r="F32" s="73"/>
      <c r="G32" s="73"/>
      <c r="H32" s="73"/>
      <c r="I32" s="73"/>
      <c r="J32" s="73"/>
      <c r="K32" s="73"/>
      <c r="L32" s="73"/>
      <c r="M32" s="73"/>
      <c r="N32" s="73"/>
      <c r="O32" s="73"/>
    </row>
    <row r="33" spans="1:15" s="15" customFormat="1" ht="20.399999999999999" x14ac:dyDescent="0.3">
      <c r="A33" s="73"/>
      <c r="B33" s="73"/>
      <c r="C33" s="102"/>
      <c r="D33" s="102"/>
      <c r="E33" s="73"/>
      <c r="F33" s="73"/>
      <c r="G33" s="73"/>
      <c r="H33" s="73"/>
      <c r="I33" s="73"/>
      <c r="J33" s="73"/>
      <c r="K33" s="73"/>
      <c r="L33" s="73"/>
      <c r="M33" s="73"/>
      <c r="N33" s="73"/>
      <c r="O33" s="73"/>
    </row>
    <row r="34" spans="1:15" s="15" customFormat="1" ht="20.399999999999999" x14ac:dyDescent="0.3">
      <c r="A34" s="73"/>
      <c r="B34" s="73"/>
      <c r="C34" s="102"/>
      <c r="D34" s="102"/>
      <c r="E34" s="73"/>
      <c r="F34" s="73"/>
      <c r="G34" s="73"/>
      <c r="H34" s="73"/>
      <c r="I34" s="73"/>
      <c r="J34" s="73"/>
      <c r="K34" s="73"/>
      <c r="L34" s="73"/>
      <c r="M34" s="73"/>
      <c r="N34" s="73"/>
      <c r="O34" s="73"/>
    </row>
    <row r="35" spans="1:15" s="15" customFormat="1" ht="20.399999999999999" x14ac:dyDescent="0.3">
      <c r="A35" s="73"/>
      <c r="B35" s="73"/>
      <c r="C35" s="102"/>
      <c r="D35" s="102"/>
      <c r="E35" s="73"/>
      <c r="F35" s="73"/>
      <c r="G35" s="73"/>
      <c r="H35" s="73"/>
      <c r="I35" s="73"/>
      <c r="J35" s="73"/>
      <c r="K35" s="73"/>
      <c r="L35" s="73"/>
      <c r="M35" s="73"/>
      <c r="N35" s="73"/>
      <c r="O35" s="73"/>
    </row>
    <row r="36" spans="1:15" s="15" customFormat="1" ht="20.399999999999999" x14ac:dyDescent="0.3">
      <c r="A36" s="73"/>
      <c r="B36" s="73"/>
      <c r="C36" s="102"/>
      <c r="D36" s="102"/>
      <c r="E36" s="73"/>
      <c r="F36" s="73"/>
      <c r="G36" s="73"/>
      <c r="H36" s="73"/>
      <c r="I36" s="73"/>
      <c r="J36" s="73"/>
      <c r="K36" s="73"/>
      <c r="L36" s="73"/>
      <c r="M36" s="73"/>
      <c r="N36" s="73"/>
      <c r="O36" s="73"/>
    </row>
    <row r="37" spans="1:15" s="15" customFormat="1" ht="20.399999999999999" x14ac:dyDescent="0.3">
      <c r="A37" s="73"/>
      <c r="B37" s="73"/>
      <c r="C37" s="102"/>
      <c r="D37" s="102"/>
      <c r="E37" s="73"/>
      <c r="F37" s="73"/>
      <c r="G37" s="73"/>
      <c r="H37" s="73"/>
      <c r="I37" s="73"/>
      <c r="J37" s="73"/>
      <c r="K37" s="73"/>
      <c r="L37" s="73"/>
      <c r="M37" s="73"/>
      <c r="N37" s="73"/>
      <c r="O37" s="73"/>
    </row>
    <row r="38" spans="1:15" s="15" customFormat="1" ht="20.399999999999999" x14ac:dyDescent="0.3">
      <c r="A38" s="73"/>
      <c r="B38" s="73"/>
      <c r="C38" s="102"/>
      <c r="D38" s="102"/>
      <c r="E38" s="73"/>
      <c r="F38" s="73"/>
      <c r="G38" s="73"/>
      <c r="H38" s="73"/>
      <c r="I38" s="73"/>
      <c r="J38" s="73"/>
      <c r="K38" s="73"/>
      <c r="L38" s="73"/>
      <c r="M38" s="73"/>
      <c r="N38" s="73"/>
      <c r="O38" s="73"/>
    </row>
    <row r="39" spans="1:15" s="15" customFormat="1" ht="20.399999999999999" x14ac:dyDescent="0.3">
      <c r="A39" s="73"/>
      <c r="B39" s="73"/>
      <c r="C39" s="102"/>
      <c r="D39" s="102"/>
      <c r="E39" s="73"/>
      <c r="F39" s="73"/>
      <c r="G39" s="73"/>
      <c r="H39" s="73"/>
      <c r="I39" s="73"/>
      <c r="J39" s="73"/>
      <c r="K39" s="73"/>
      <c r="L39" s="73"/>
      <c r="M39" s="73"/>
      <c r="N39" s="73"/>
      <c r="O39" s="73"/>
    </row>
    <row r="40" spans="1:15" s="15" customFormat="1" ht="20.399999999999999" x14ac:dyDescent="0.3">
      <c r="A40" s="73"/>
      <c r="B40" s="73"/>
      <c r="C40" s="102"/>
      <c r="D40" s="102"/>
      <c r="E40" s="73"/>
      <c r="F40" s="73"/>
      <c r="G40" s="73"/>
      <c r="H40" s="73"/>
      <c r="I40" s="73"/>
      <c r="J40" s="73"/>
      <c r="K40" s="73"/>
      <c r="L40" s="73"/>
      <c r="M40" s="73"/>
      <c r="N40" s="73"/>
      <c r="O40" s="73"/>
    </row>
    <row r="41" spans="1:15" s="15" customFormat="1" ht="20.399999999999999" x14ac:dyDescent="0.3">
      <c r="A41" s="73"/>
      <c r="B41" s="73"/>
      <c r="C41" s="102"/>
      <c r="D41" s="102"/>
      <c r="E41" s="73"/>
      <c r="F41" s="73"/>
      <c r="G41" s="73"/>
      <c r="H41" s="73"/>
      <c r="I41" s="73"/>
      <c r="J41" s="73"/>
      <c r="K41" s="73"/>
      <c r="L41" s="73"/>
      <c r="M41" s="73"/>
      <c r="N41" s="73"/>
      <c r="O41" s="73"/>
    </row>
    <row r="42" spans="1:15" s="15" customFormat="1" ht="20.399999999999999" x14ac:dyDescent="0.3">
      <c r="A42" s="73"/>
      <c r="B42" s="73"/>
      <c r="C42" s="102"/>
      <c r="D42" s="102"/>
      <c r="E42" s="73"/>
      <c r="F42" s="73"/>
      <c r="G42" s="73"/>
      <c r="H42" s="73"/>
      <c r="I42" s="73"/>
      <c r="J42" s="73"/>
      <c r="K42" s="73"/>
      <c r="L42" s="73"/>
      <c r="M42" s="73"/>
      <c r="N42" s="73"/>
      <c r="O42" s="73"/>
    </row>
    <row r="43" spans="1:15" s="15" customFormat="1" ht="20.399999999999999" x14ac:dyDescent="0.3">
      <c r="A43" s="73"/>
      <c r="B43" s="73"/>
      <c r="C43" s="102"/>
      <c r="D43" s="102"/>
      <c r="E43" s="73"/>
      <c r="F43" s="73"/>
      <c r="G43" s="73"/>
      <c r="H43" s="73"/>
      <c r="I43" s="73"/>
      <c r="J43" s="73"/>
      <c r="K43" s="73"/>
      <c r="L43" s="73"/>
      <c r="M43" s="73"/>
      <c r="N43" s="73"/>
      <c r="O43" s="73"/>
    </row>
    <row r="44" spans="1:15" s="15" customFormat="1" ht="20.399999999999999" x14ac:dyDescent="0.3">
      <c r="A44" s="73"/>
      <c r="B44" s="73"/>
      <c r="C44" s="102"/>
      <c r="D44" s="102"/>
      <c r="E44" s="73"/>
      <c r="F44" s="73"/>
      <c r="G44" s="73"/>
      <c r="H44" s="73"/>
      <c r="I44" s="73"/>
      <c r="J44" s="73"/>
      <c r="K44" s="73"/>
      <c r="L44" s="73"/>
      <c r="M44" s="73"/>
      <c r="N44" s="73"/>
      <c r="O44" s="73"/>
    </row>
    <row r="45" spans="1:15" s="15" customFormat="1" ht="20.399999999999999" x14ac:dyDescent="0.3">
      <c r="A45" s="73"/>
      <c r="B45" s="73"/>
      <c r="C45" s="102"/>
      <c r="D45" s="102"/>
      <c r="E45" s="73"/>
      <c r="F45" s="73"/>
      <c r="G45" s="73"/>
      <c r="H45" s="73"/>
      <c r="I45" s="73"/>
      <c r="J45" s="73"/>
      <c r="K45" s="73"/>
      <c r="L45" s="73"/>
      <c r="M45" s="73"/>
      <c r="N45" s="73"/>
      <c r="O45" s="73"/>
    </row>
    <row r="46" spans="1:15" s="15" customFormat="1" ht="20.399999999999999" x14ac:dyDescent="0.3">
      <c r="A46" s="73"/>
      <c r="B46" s="73"/>
      <c r="C46" s="102"/>
      <c r="D46" s="102"/>
      <c r="E46" s="73"/>
      <c r="F46" s="73"/>
      <c r="G46" s="73"/>
      <c r="H46" s="73"/>
      <c r="I46" s="73"/>
      <c r="J46" s="73"/>
      <c r="K46" s="73"/>
      <c r="L46" s="73"/>
      <c r="M46" s="73"/>
      <c r="N46" s="73"/>
      <c r="O46" s="73"/>
    </row>
    <row r="47" spans="1:15" s="15" customFormat="1" ht="20.399999999999999" x14ac:dyDescent="0.3">
      <c r="A47" s="73"/>
      <c r="B47" s="73"/>
      <c r="C47" s="102"/>
      <c r="D47" s="102"/>
      <c r="E47" s="73"/>
      <c r="F47" s="73"/>
      <c r="G47" s="73"/>
      <c r="H47" s="73"/>
      <c r="I47" s="73"/>
      <c r="J47" s="73"/>
      <c r="K47" s="73"/>
      <c r="L47" s="73"/>
      <c r="M47" s="73"/>
      <c r="N47" s="73"/>
      <c r="O47" s="73"/>
    </row>
    <row r="48" spans="1:15" s="15" customFormat="1" ht="20.399999999999999" x14ac:dyDescent="0.3">
      <c r="A48" s="73"/>
      <c r="B48" s="73"/>
      <c r="C48" s="102"/>
      <c r="D48" s="102"/>
      <c r="E48" s="73"/>
      <c r="F48" s="73"/>
      <c r="G48" s="73"/>
      <c r="H48" s="73"/>
      <c r="I48" s="73"/>
      <c r="J48" s="73"/>
      <c r="K48" s="73"/>
      <c r="L48" s="73"/>
      <c r="M48" s="73"/>
      <c r="N48" s="73"/>
      <c r="O48" s="73"/>
    </row>
    <row r="49" spans="1:15" s="15" customFormat="1" ht="20.399999999999999" x14ac:dyDescent="0.3">
      <c r="A49" s="73"/>
      <c r="B49" s="73"/>
      <c r="C49" s="102"/>
      <c r="D49" s="102"/>
      <c r="E49" s="73"/>
      <c r="F49" s="73"/>
      <c r="G49" s="73"/>
      <c r="H49" s="73"/>
      <c r="I49" s="73"/>
      <c r="J49" s="73"/>
      <c r="K49" s="73"/>
      <c r="L49" s="73"/>
      <c r="M49" s="73"/>
      <c r="N49" s="73"/>
      <c r="O49" s="73"/>
    </row>
    <row r="50" spans="1:15" s="15" customFormat="1" ht="20.399999999999999" x14ac:dyDescent="0.3">
      <c r="A50" s="73"/>
      <c r="B50" s="73"/>
      <c r="C50" s="102"/>
      <c r="D50" s="102"/>
      <c r="E50" s="73"/>
      <c r="F50" s="73"/>
      <c r="G50" s="73"/>
      <c r="H50" s="73"/>
      <c r="I50" s="73"/>
      <c r="J50" s="73"/>
      <c r="K50" s="73"/>
      <c r="L50" s="73"/>
      <c r="M50" s="73"/>
      <c r="N50" s="73"/>
      <c r="O50" s="73"/>
    </row>
    <row r="51" spans="1:15" s="15" customFormat="1" ht="20.399999999999999" x14ac:dyDescent="0.3">
      <c r="A51" s="73"/>
      <c r="B51" s="73"/>
      <c r="C51" s="102"/>
      <c r="D51" s="102"/>
      <c r="E51" s="73"/>
      <c r="F51" s="73"/>
      <c r="G51" s="73"/>
      <c r="H51" s="73"/>
      <c r="I51" s="73"/>
      <c r="J51" s="73"/>
      <c r="K51" s="73"/>
      <c r="L51" s="73"/>
      <c r="M51" s="73"/>
      <c r="N51" s="73"/>
      <c r="O51" s="73"/>
    </row>
    <row r="52" spans="1:15" s="15" customFormat="1" ht="20.399999999999999" x14ac:dyDescent="0.3">
      <c r="A52" s="73"/>
      <c r="C52" s="104"/>
      <c r="D52" s="104"/>
    </row>
    <row r="53" spans="1:15" s="15" customFormat="1" ht="20.399999999999999" x14ac:dyDescent="0.3">
      <c r="A53" s="73"/>
      <c r="C53" s="104"/>
      <c r="D53" s="104"/>
    </row>
    <row r="54" spans="1:15" s="15" customFormat="1" ht="20.399999999999999" x14ac:dyDescent="0.3">
      <c r="A54" s="73"/>
      <c r="C54" s="104"/>
      <c r="D54" s="104"/>
    </row>
    <row r="55" spans="1:15" s="15" customFormat="1" ht="20.399999999999999" x14ac:dyDescent="0.3">
      <c r="A55" s="73"/>
      <c r="C55" s="104"/>
      <c r="D55" s="104"/>
    </row>
    <row r="56" spans="1:15" s="15" customFormat="1" ht="20.399999999999999" x14ac:dyDescent="0.3">
      <c r="A56" s="73"/>
      <c r="C56" s="104"/>
      <c r="D56" s="104"/>
    </row>
    <row r="57" spans="1:15" s="15" customFormat="1" ht="20.399999999999999" x14ac:dyDescent="0.3">
      <c r="A57" s="73"/>
      <c r="C57" s="104"/>
      <c r="D57" s="104"/>
    </row>
    <row r="58" spans="1:15" s="15" customFormat="1" ht="20.399999999999999" x14ac:dyDescent="0.3">
      <c r="A58" s="73"/>
      <c r="C58" s="104"/>
      <c r="D58" s="104"/>
    </row>
    <row r="59" spans="1:15" s="15" customFormat="1" ht="20.399999999999999" x14ac:dyDescent="0.3">
      <c r="A59" s="73"/>
      <c r="C59" s="104"/>
      <c r="D59" s="104"/>
    </row>
    <row r="60" spans="1:15" s="15" customFormat="1" ht="20.399999999999999" x14ac:dyDescent="0.3">
      <c r="A60" s="73"/>
      <c r="C60" s="104"/>
      <c r="D60" s="104"/>
    </row>
    <row r="61" spans="1:15" s="15" customFormat="1" ht="20.399999999999999" x14ac:dyDescent="0.3">
      <c r="A61" s="73"/>
      <c r="C61" s="104"/>
      <c r="D61" s="104"/>
    </row>
    <row r="62" spans="1:15" s="15" customFormat="1" ht="20.399999999999999" x14ac:dyDescent="0.3">
      <c r="A62" s="73"/>
      <c r="C62" s="104"/>
      <c r="D62" s="104"/>
    </row>
    <row r="63" spans="1:15" s="15" customFormat="1" ht="20.399999999999999" x14ac:dyDescent="0.3">
      <c r="A63" s="73"/>
      <c r="C63" s="104"/>
      <c r="D63" s="104"/>
    </row>
    <row r="64" spans="1:15" s="15" customFormat="1" ht="20.399999999999999" x14ac:dyDescent="0.3">
      <c r="A64" s="73"/>
      <c r="C64" s="104"/>
      <c r="D64" s="104"/>
    </row>
    <row r="65" spans="1:4" s="15" customFormat="1" ht="20.399999999999999" x14ac:dyDescent="0.3">
      <c r="A65" s="73"/>
      <c r="C65" s="104"/>
      <c r="D65" s="104"/>
    </row>
    <row r="66" spans="1:4" s="15" customFormat="1" ht="20.399999999999999" x14ac:dyDescent="0.3">
      <c r="A66" s="73"/>
      <c r="C66" s="104"/>
      <c r="D66" s="104"/>
    </row>
    <row r="67" spans="1:4" s="15" customFormat="1" ht="20.399999999999999" x14ac:dyDescent="0.3">
      <c r="A67" s="73"/>
      <c r="C67" s="104"/>
      <c r="D67" s="104"/>
    </row>
    <row r="68" spans="1:4" s="15" customFormat="1" ht="20.399999999999999" x14ac:dyDescent="0.3">
      <c r="A68" s="73"/>
      <c r="C68" s="104"/>
      <c r="D68" s="104"/>
    </row>
    <row r="69" spans="1:4" s="15" customFormat="1" ht="20.399999999999999" x14ac:dyDescent="0.3">
      <c r="A69" s="73"/>
      <c r="C69" s="104"/>
      <c r="D69" s="104"/>
    </row>
    <row r="70" spans="1:4" s="15" customFormat="1" ht="20.399999999999999" x14ac:dyDescent="0.3">
      <c r="A70" s="73"/>
      <c r="C70" s="104"/>
      <c r="D70" s="104"/>
    </row>
    <row r="71" spans="1:4" s="15" customFormat="1" ht="20.399999999999999" x14ac:dyDescent="0.3">
      <c r="A71" s="73"/>
      <c r="C71" s="104"/>
      <c r="D71" s="104"/>
    </row>
    <row r="72" spans="1:4" s="15" customFormat="1" ht="20.399999999999999" x14ac:dyDescent="0.3">
      <c r="A72" s="73"/>
      <c r="C72" s="104"/>
      <c r="D72" s="104"/>
    </row>
    <row r="73" spans="1:4" s="15" customFormat="1" ht="20.399999999999999" x14ac:dyDescent="0.3">
      <c r="A73" s="73"/>
      <c r="C73" s="104"/>
      <c r="D73" s="104"/>
    </row>
    <row r="74" spans="1:4" s="15" customFormat="1" ht="20.399999999999999" x14ac:dyDescent="0.3">
      <c r="A74" s="73"/>
      <c r="C74" s="104"/>
      <c r="D74" s="104"/>
    </row>
    <row r="75" spans="1:4" s="15" customFormat="1" ht="20.399999999999999" x14ac:dyDescent="0.3">
      <c r="A75" s="73"/>
      <c r="C75" s="104"/>
      <c r="D75" s="104"/>
    </row>
    <row r="76" spans="1:4" s="15" customFormat="1" ht="20.399999999999999" x14ac:dyDescent="0.3">
      <c r="A76" s="73"/>
      <c r="C76" s="104"/>
      <c r="D76" s="104"/>
    </row>
    <row r="77" spans="1:4" s="15" customFormat="1" ht="20.399999999999999" x14ac:dyDescent="0.3">
      <c r="A77" s="73"/>
      <c r="C77" s="104"/>
      <c r="D77" s="104"/>
    </row>
    <row r="78" spans="1:4" s="15" customFormat="1" ht="20.399999999999999" x14ac:dyDescent="0.3">
      <c r="A78" s="73"/>
      <c r="C78" s="104"/>
      <c r="D78" s="104"/>
    </row>
    <row r="79" spans="1:4" s="15" customFormat="1" ht="20.399999999999999" x14ac:dyDescent="0.3">
      <c r="A79" s="73"/>
      <c r="C79" s="104"/>
      <c r="D79" s="104"/>
    </row>
    <row r="80" spans="1:4" s="15" customFormat="1" ht="20.399999999999999" x14ac:dyDescent="0.3">
      <c r="A80" s="73"/>
      <c r="C80" s="104"/>
      <c r="D80" s="104"/>
    </row>
    <row r="81" spans="1:4" s="15" customFormat="1" ht="20.399999999999999" x14ac:dyDescent="0.3">
      <c r="A81" s="73"/>
      <c r="C81" s="104"/>
      <c r="D81" s="104"/>
    </row>
    <row r="82" spans="1:4" s="15" customFormat="1" ht="20.399999999999999" x14ac:dyDescent="0.3">
      <c r="A82" s="73"/>
      <c r="C82" s="104"/>
      <c r="D82" s="104"/>
    </row>
    <row r="83" spans="1:4" s="15" customFormat="1" ht="20.399999999999999" x14ac:dyDescent="0.3">
      <c r="A83" s="73"/>
      <c r="C83" s="104"/>
      <c r="D83" s="104"/>
    </row>
    <row r="84" spans="1:4" s="15" customFormat="1" ht="20.399999999999999" x14ac:dyDescent="0.3">
      <c r="A84" s="73"/>
      <c r="C84" s="104"/>
      <c r="D84" s="104"/>
    </row>
    <row r="85" spans="1:4" s="15" customFormat="1" ht="20.399999999999999" x14ac:dyDescent="0.3">
      <c r="A85" s="73"/>
      <c r="C85" s="104"/>
      <c r="D85" s="104"/>
    </row>
    <row r="86" spans="1:4" s="15" customFormat="1" ht="20.399999999999999" x14ac:dyDescent="0.3">
      <c r="A86" s="73"/>
      <c r="C86" s="104"/>
      <c r="D86" s="104"/>
    </row>
    <row r="87" spans="1:4" s="15" customFormat="1" ht="20.399999999999999" x14ac:dyDescent="0.3">
      <c r="A87" s="73"/>
      <c r="C87" s="104"/>
      <c r="D87" s="104"/>
    </row>
    <row r="88" spans="1:4" s="15" customFormat="1" ht="20.399999999999999" x14ac:dyDescent="0.3">
      <c r="A88" s="73"/>
      <c r="C88" s="104"/>
      <c r="D88" s="104"/>
    </row>
    <row r="89" spans="1:4" s="15" customFormat="1" ht="20.399999999999999" x14ac:dyDescent="0.3">
      <c r="A89" s="73"/>
      <c r="C89" s="104"/>
      <c r="D89" s="104"/>
    </row>
    <row r="90" spans="1:4" s="15" customFormat="1" ht="20.399999999999999" x14ac:dyDescent="0.3">
      <c r="A90" s="73"/>
      <c r="C90" s="104"/>
      <c r="D90" s="104"/>
    </row>
    <row r="91" spans="1:4" s="15" customFormat="1" ht="20.399999999999999" x14ac:dyDescent="0.3">
      <c r="A91" s="73"/>
      <c r="C91" s="104"/>
      <c r="D91" s="104"/>
    </row>
    <row r="92" spans="1:4" s="15" customFormat="1" ht="20.399999999999999" x14ac:dyDescent="0.3">
      <c r="A92" s="73"/>
      <c r="C92" s="104"/>
      <c r="D92" s="104"/>
    </row>
    <row r="93" spans="1:4" s="15" customFormat="1" ht="20.399999999999999" x14ac:dyDescent="0.3">
      <c r="A93" s="73"/>
      <c r="C93" s="104"/>
      <c r="D93" s="104"/>
    </row>
    <row r="94" spans="1:4" s="15" customFormat="1" ht="20.399999999999999" x14ac:dyDescent="0.3">
      <c r="A94" s="73"/>
      <c r="C94" s="104"/>
      <c r="D94" s="104"/>
    </row>
    <row r="95" spans="1:4" s="15" customFormat="1" ht="20.399999999999999" x14ac:dyDescent="0.3">
      <c r="A95" s="73"/>
      <c r="C95" s="104"/>
      <c r="D95" s="104"/>
    </row>
    <row r="96" spans="1:4" s="15" customFormat="1" ht="20.399999999999999" x14ac:dyDescent="0.3">
      <c r="A96" s="73"/>
      <c r="C96" s="104"/>
      <c r="D96" s="104"/>
    </row>
    <row r="97" spans="1:4" s="15" customFormat="1" ht="20.399999999999999" x14ac:dyDescent="0.3">
      <c r="A97" s="73"/>
      <c r="C97" s="104"/>
      <c r="D97" s="104"/>
    </row>
    <row r="98" spans="1:4" s="15" customFormat="1" ht="20.399999999999999" x14ac:dyDescent="0.3">
      <c r="A98" s="73"/>
      <c r="C98" s="104"/>
      <c r="D98" s="104"/>
    </row>
    <row r="99" spans="1:4" s="15" customFormat="1" ht="20.399999999999999" x14ac:dyDescent="0.3">
      <c r="A99" s="73"/>
      <c r="C99" s="104"/>
      <c r="D99" s="104"/>
    </row>
    <row r="100" spans="1:4" s="15" customFormat="1" ht="20.399999999999999" x14ac:dyDescent="0.3">
      <c r="A100" s="73"/>
      <c r="C100" s="104"/>
      <c r="D100" s="104"/>
    </row>
    <row r="101" spans="1:4" s="15" customFormat="1" ht="20.399999999999999" x14ac:dyDescent="0.3">
      <c r="A101" s="73"/>
      <c r="C101" s="104"/>
      <c r="D101" s="104"/>
    </row>
    <row r="102" spans="1:4" s="15" customFormat="1" ht="20.399999999999999" x14ac:dyDescent="0.3">
      <c r="A102" s="73"/>
      <c r="C102" s="104"/>
      <c r="D102" s="104"/>
    </row>
    <row r="103" spans="1:4" s="15" customFormat="1" ht="20.399999999999999" x14ac:dyDescent="0.3">
      <c r="A103" s="73"/>
      <c r="C103" s="104"/>
      <c r="D103" s="104"/>
    </row>
    <row r="104" spans="1:4" s="15" customFormat="1" ht="20.399999999999999" x14ac:dyDescent="0.3">
      <c r="A104" s="73"/>
      <c r="C104" s="104"/>
      <c r="D104" s="104"/>
    </row>
    <row r="105" spans="1:4" s="15" customFormat="1" ht="20.399999999999999" x14ac:dyDescent="0.3">
      <c r="A105" s="73"/>
      <c r="C105" s="104"/>
      <c r="D105" s="104"/>
    </row>
    <row r="106" spans="1:4" s="15" customFormat="1" ht="20.399999999999999" x14ac:dyDescent="0.3">
      <c r="A106" s="73"/>
      <c r="C106" s="104"/>
      <c r="D106" s="104"/>
    </row>
    <row r="107" spans="1:4" s="15" customFormat="1" ht="20.399999999999999" x14ac:dyDescent="0.3">
      <c r="A107" s="73"/>
      <c r="C107" s="104"/>
      <c r="D107" s="104"/>
    </row>
    <row r="108" spans="1:4" s="15" customFormat="1" ht="20.399999999999999" x14ac:dyDescent="0.3">
      <c r="A108" s="73"/>
      <c r="C108" s="104"/>
      <c r="D108" s="104"/>
    </row>
    <row r="109" spans="1:4" s="15" customFormat="1" ht="20.399999999999999" x14ac:dyDescent="0.3">
      <c r="A109" s="73"/>
      <c r="C109" s="104"/>
      <c r="D109" s="104"/>
    </row>
    <row r="110" spans="1:4" s="15" customFormat="1" ht="20.399999999999999" x14ac:dyDescent="0.3">
      <c r="A110" s="73"/>
      <c r="C110" s="104"/>
      <c r="D110" s="104"/>
    </row>
    <row r="111" spans="1:4" s="15" customFormat="1" ht="20.399999999999999" x14ac:dyDescent="0.3">
      <c r="A111" s="73"/>
      <c r="C111" s="104"/>
      <c r="D111" s="104"/>
    </row>
    <row r="112" spans="1:4" s="15" customFormat="1" ht="20.399999999999999" x14ac:dyDescent="0.3">
      <c r="A112" s="73"/>
      <c r="C112" s="104"/>
      <c r="D112" s="104"/>
    </row>
    <row r="113" spans="1:4" s="15" customFormat="1" ht="20.399999999999999" x14ac:dyDescent="0.3">
      <c r="A113" s="73"/>
      <c r="C113" s="104"/>
      <c r="D113" s="104"/>
    </row>
    <row r="114" spans="1:4" s="15" customFormat="1" ht="20.399999999999999" x14ac:dyDescent="0.3">
      <c r="A114" s="73"/>
      <c r="C114" s="104"/>
      <c r="D114" s="104"/>
    </row>
    <row r="115" spans="1:4" s="15" customFormat="1" ht="20.399999999999999" x14ac:dyDescent="0.3">
      <c r="A115" s="73"/>
      <c r="C115" s="104"/>
      <c r="D115" s="104"/>
    </row>
    <row r="116" spans="1:4" s="15" customFormat="1" ht="20.399999999999999" x14ac:dyDescent="0.3">
      <c r="A116" s="73"/>
      <c r="C116" s="104"/>
      <c r="D116" s="104"/>
    </row>
    <row r="117" spans="1:4" s="15" customFormat="1" ht="20.399999999999999" x14ac:dyDescent="0.3">
      <c r="A117" s="73"/>
      <c r="C117" s="104"/>
      <c r="D117" s="104"/>
    </row>
    <row r="118" spans="1:4" s="15" customFormat="1" ht="20.399999999999999" x14ac:dyDescent="0.3">
      <c r="A118" s="73"/>
      <c r="C118" s="104"/>
      <c r="D118" s="104"/>
    </row>
    <row r="119" spans="1:4" s="15" customFormat="1" ht="20.399999999999999" x14ac:dyDescent="0.3">
      <c r="A119" s="73"/>
      <c r="C119" s="104"/>
      <c r="D119" s="104"/>
    </row>
    <row r="120" spans="1:4" s="15" customFormat="1" ht="20.399999999999999" x14ac:dyDescent="0.3">
      <c r="A120" s="73"/>
      <c r="C120" s="104"/>
      <c r="D120" s="104"/>
    </row>
    <row r="121" spans="1:4" s="15" customFormat="1" ht="20.399999999999999" x14ac:dyDescent="0.3">
      <c r="A121" s="73"/>
      <c r="C121" s="104"/>
      <c r="D121" s="104"/>
    </row>
    <row r="122" spans="1:4" s="15" customFormat="1" ht="20.399999999999999" x14ac:dyDescent="0.3">
      <c r="A122" s="73"/>
      <c r="C122" s="104"/>
      <c r="D122" s="104"/>
    </row>
    <row r="123" spans="1:4" s="15" customFormat="1" ht="20.399999999999999" x14ac:dyDescent="0.3">
      <c r="A123" s="73"/>
      <c r="C123" s="104"/>
      <c r="D123" s="104"/>
    </row>
    <row r="124" spans="1:4" s="15" customFormat="1" ht="20.399999999999999" x14ac:dyDescent="0.3">
      <c r="A124" s="73"/>
      <c r="C124" s="104"/>
      <c r="D124" s="104"/>
    </row>
    <row r="125" spans="1:4" s="15" customFormat="1" ht="20.399999999999999" x14ac:dyDescent="0.3">
      <c r="A125" s="73"/>
      <c r="C125" s="104"/>
      <c r="D125" s="104"/>
    </row>
    <row r="126" spans="1:4" s="15" customFormat="1" ht="20.399999999999999" x14ac:dyDescent="0.3">
      <c r="A126" s="73"/>
      <c r="C126" s="104"/>
      <c r="D126" s="104"/>
    </row>
    <row r="127" spans="1:4" s="15" customFormat="1" ht="20.399999999999999" x14ac:dyDescent="0.3">
      <c r="A127" s="73"/>
      <c r="C127" s="104"/>
      <c r="D127" s="104"/>
    </row>
    <row r="128" spans="1:4" s="15" customFormat="1" ht="20.399999999999999" x14ac:dyDescent="0.3">
      <c r="A128" s="73"/>
      <c r="C128" s="104"/>
      <c r="D128" s="104"/>
    </row>
    <row r="129" spans="1:4" s="15" customFormat="1" ht="20.399999999999999" x14ac:dyDescent="0.3">
      <c r="A129" s="73"/>
      <c r="C129" s="104"/>
      <c r="D129" s="104"/>
    </row>
    <row r="130" spans="1:4" s="15" customFormat="1" ht="20.399999999999999" x14ac:dyDescent="0.3">
      <c r="A130" s="73"/>
      <c r="C130" s="104"/>
      <c r="D130" s="104"/>
    </row>
    <row r="131" spans="1:4" s="15" customFormat="1" ht="20.399999999999999" x14ac:dyDescent="0.3">
      <c r="A131" s="73"/>
      <c r="C131" s="104"/>
      <c r="D131" s="104"/>
    </row>
    <row r="132" spans="1:4" s="15" customFormat="1" ht="20.399999999999999" x14ac:dyDescent="0.3">
      <c r="A132" s="73"/>
      <c r="C132" s="104"/>
      <c r="D132" s="104"/>
    </row>
    <row r="133" spans="1:4" s="15" customFormat="1" ht="20.399999999999999" x14ac:dyDescent="0.3">
      <c r="A133" s="73"/>
      <c r="C133" s="104"/>
      <c r="D133" s="104"/>
    </row>
    <row r="134" spans="1:4" s="15" customFormat="1" ht="20.399999999999999" x14ac:dyDescent="0.3">
      <c r="A134" s="73"/>
      <c r="C134" s="104"/>
      <c r="D134" s="104"/>
    </row>
    <row r="135" spans="1:4" s="15" customFormat="1" ht="20.399999999999999" x14ac:dyDescent="0.3">
      <c r="A135" s="73"/>
      <c r="C135" s="104"/>
      <c r="D135" s="104"/>
    </row>
    <row r="136" spans="1:4" s="15" customFormat="1" ht="20.399999999999999" x14ac:dyDescent="0.3">
      <c r="A136" s="73"/>
      <c r="C136" s="104"/>
      <c r="D136" s="104"/>
    </row>
    <row r="137" spans="1:4" s="15" customFormat="1" ht="20.399999999999999" x14ac:dyDescent="0.3">
      <c r="A137" s="73"/>
      <c r="C137" s="104"/>
      <c r="D137" s="104"/>
    </row>
    <row r="138" spans="1:4" s="15" customFormat="1" ht="20.399999999999999" x14ac:dyDescent="0.3">
      <c r="A138" s="73"/>
      <c r="C138" s="104"/>
      <c r="D138" s="104"/>
    </row>
    <row r="139" spans="1:4" s="15" customFormat="1" ht="20.399999999999999" x14ac:dyDescent="0.3">
      <c r="A139" s="73"/>
      <c r="C139" s="104"/>
      <c r="D139" s="104"/>
    </row>
    <row r="140" spans="1:4" s="15" customFormat="1" ht="20.399999999999999" x14ac:dyDescent="0.3">
      <c r="A140" s="73"/>
      <c r="C140" s="104"/>
      <c r="D140" s="104"/>
    </row>
    <row r="141" spans="1:4" s="15" customFormat="1" ht="20.399999999999999" x14ac:dyDescent="0.3">
      <c r="A141" s="73"/>
      <c r="C141" s="104"/>
      <c r="D141" s="104"/>
    </row>
    <row r="142" spans="1:4" s="15" customFormat="1" ht="20.399999999999999" x14ac:dyDescent="0.3">
      <c r="A142" s="73"/>
      <c r="C142" s="104"/>
      <c r="D142" s="104"/>
    </row>
    <row r="143" spans="1:4" s="15" customFormat="1" ht="20.399999999999999" x14ac:dyDescent="0.3">
      <c r="A143" s="73"/>
      <c r="C143" s="104"/>
      <c r="D143" s="104"/>
    </row>
    <row r="144" spans="1:4" s="15" customFormat="1" ht="20.399999999999999" x14ac:dyDescent="0.3">
      <c r="A144" s="73"/>
      <c r="C144" s="104"/>
      <c r="D144" s="104"/>
    </row>
    <row r="145" spans="1:4" s="15" customFormat="1" ht="20.399999999999999" x14ac:dyDescent="0.3">
      <c r="A145" s="73"/>
      <c r="C145" s="104"/>
      <c r="D145" s="104"/>
    </row>
    <row r="146" spans="1:4" s="15" customFormat="1" ht="20.399999999999999" x14ac:dyDescent="0.3">
      <c r="A146" s="73"/>
      <c r="C146" s="104"/>
      <c r="D146" s="104"/>
    </row>
    <row r="147" spans="1:4" s="15" customFormat="1" ht="20.399999999999999" x14ac:dyDescent="0.3">
      <c r="A147" s="73"/>
      <c r="C147" s="104"/>
      <c r="D147" s="104"/>
    </row>
    <row r="148" spans="1:4" s="15" customFormat="1" ht="20.399999999999999" x14ac:dyDescent="0.3">
      <c r="A148" s="73"/>
      <c r="C148" s="104"/>
      <c r="D148" s="104"/>
    </row>
    <row r="149" spans="1:4" s="15" customFormat="1" ht="20.399999999999999" x14ac:dyDescent="0.3">
      <c r="A149" s="73"/>
      <c r="C149" s="104"/>
      <c r="D149" s="104"/>
    </row>
    <row r="150" spans="1:4" s="15" customFormat="1" ht="20.399999999999999" x14ac:dyDescent="0.3">
      <c r="A150" s="73"/>
      <c r="C150" s="104"/>
      <c r="D150" s="104"/>
    </row>
    <row r="151" spans="1:4" s="15" customFormat="1" ht="20.399999999999999" x14ac:dyDescent="0.3">
      <c r="A151" s="73"/>
      <c r="C151" s="104"/>
      <c r="D151" s="104"/>
    </row>
    <row r="152" spans="1:4" s="15" customFormat="1" ht="20.399999999999999" x14ac:dyDescent="0.3">
      <c r="A152" s="73"/>
      <c r="C152" s="104"/>
      <c r="D152" s="104"/>
    </row>
    <row r="153" spans="1:4" s="15" customFormat="1" ht="20.399999999999999" x14ac:dyDescent="0.3">
      <c r="A153" s="73"/>
      <c r="C153" s="104"/>
      <c r="D153" s="104"/>
    </row>
    <row r="154" spans="1:4" s="15" customFormat="1" ht="20.399999999999999" x14ac:dyDescent="0.3">
      <c r="A154" s="73"/>
      <c r="C154" s="104"/>
      <c r="D154" s="104"/>
    </row>
    <row r="155" spans="1:4" s="15" customFormat="1" ht="20.399999999999999" x14ac:dyDescent="0.3">
      <c r="A155" s="73"/>
      <c r="C155" s="104"/>
      <c r="D155" s="104"/>
    </row>
    <row r="156" spans="1:4" s="15" customFormat="1" ht="20.399999999999999" x14ac:dyDescent="0.3">
      <c r="A156" s="73"/>
      <c r="C156" s="104"/>
      <c r="D156" s="104"/>
    </row>
    <row r="157" spans="1:4" s="15" customFormat="1" ht="20.399999999999999" x14ac:dyDescent="0.3">
      <c r="A157" s="73"/>
      <c r="C157" s="104"/>
      <c r="D157" s="104"/>
    </row>
    <row r="158" spans="1:4" s="15" customFormat="1" ht="20.399999999999999" x14ac:dyDescent="0.3">
      <c r="A158" s="73"/>
      <c r="C158" s="104"/>
      <c r="D158" s="104"/>
    </row>
    <row r="159" spans="1:4" s="15" customFormat="1" ht="20.399999999999999" x14ac:dyDescent="0.3">
      <c r="A159" s="73"/>
      <c r="C159" s="104"/>
      <c r="D159" s="104"/>
    </row>
    <row r="160" spans="1:4" s="15" customFormat="1" ht="20.399999999999999" x14ac:dyDescent="0.3">
      <c r="A160" s="73"/>
      <c r="C160" s="104"/>
      <c r="D160" s="104"/>
    </row>
    <row r="161" spans="1:4" s="15" customFormat="1" ht="20.399999999999999" x14ac:dyDescent="0.3">
      <c r="A161" s="73"/>
      <c r="C161" s="104"/>
      <c r="D161" s="104"/>
    </row>
    <row r="162" spans="1:4" s="15" customFormat="1" ht="20.399999999999999" x14ac:dyDescent="0.3">
      <c r="A162" s="73"/>
      <c r="C162" s="104"/>
      <c r="D162" s="104"/>
    </row>
    <row r="163" spans="1:4" s="15" customFormat="1" ht="20.399999999999999" x14ac:dyDescent="0.3">
      <c r="A163" s="73"/>
      <c r="C163" s="104"/>
      <c r="D163" s="104"/>
    </row>
    <row r="164" spans="1:4" s="15" customFormat="1" ht="20.399999999999999" x14ac:dyDescent="0.3">
      <c r="A164" s="73"/>
      <c r="C164" s="104"/>
      <c r="D164" s="104"/>
    </row>
    <row r="165" spans="1:4" s="15" customFormat="1" ht="20.399999999999999" x14ac:dyDescent="0.3">
      <c r="A165" s="73"/>
      <c r="C165" s="104"/>
      <c r="D165" s="104"/>
    </row>
    <row r="166" spans="1:4" s="15" customFormat="1" ht="20.399999999999999" x14ac:dyDescent="0.3">
      <c r="A166" s="73"/>
      <c r="C166" s="104"/>
      <c r="D166" s="104"/>
    </row>
    <row r="167" spans="1:4" s="15" customFormat="1" ht="20.399999999999999" x14ac:dyDescent="0.3">
      <c r="A167" s="73"/>
      <c r="C167" s="104"/>
      <c r="D167" s="104"/>
    </row>
    <row r="168" spans="1:4" s="15" customFormat="1" ht="20.399999999999999" x14ac:dyDescent="0.3">
      <c r="A168" s="73"/>
      <c r="C168" s="104"/>
      <c r="D168" s="104"/>
    </row>
    <row r="169" spans="1:4" s="15" customFormat="1" ht="20.399999999999999" x14ac:dyDescent="0.3">
      <c r="A169" s="73"/>
      <c r="C169" s="104"/>
      <c r="D169" s="104"/>
    </row>
    <row r="170" spans="1:4" s="15" customFormat="1" ht="20.399999999999999" x14ac:dyDescent="0.3">
      <c r="A170" s="73"/>
      <c r="C170" s="104"/>
      <c r="D170" s="104"/>
    </row>
    <row r="171" spans="1:4" s="15" customFormat="1" ht="20.399999999999999" x14ac:dyDescent="0.3">
      <c r="A171" s="73"/>
      <c r="C171" s="104"/>
      <c r="D171" s="104"/>
    </row>
    <row r="172" spans="1:4" s="15" customFormat="1" ht="20.399999999999999" x14ac:dyDescent="0.3">
      <c r="A172" s="73"/>
      <c r="C172" s="104"/>
      <c r="D172" s="104"/>
    </row>
    <row r="173" spans="1:4" s="15" customFormat="1" ht="20.399999999999999" x14ac:dyDescent="0.3">
      <c r="A173" s="73"/>
      <c r="C173" s="104"/>
      <c r="D173" s="104"/>
    </row>
    <row r="174" spans="1:4" s="15" customFormat="1" ht="20.399999999999999" x14ac:dyDescent="0.3">
      <c r="A174" s="73"/>
      <c r="C174" s="104"/>
      <c r="D174" s="104"/>
    </row>
    <row r="175" spans="1:4" s="15" customFormat="1" ht="20.399999999999999" x14ac:dyDescent="0.3">
      <c r="A175" s="73"/>
      <c r="C175" s="104"/>
      <c r="D175" s="104"/>
    </row>
    <row r="176" spans="1:4" s="15" customFormat="1" ht="20.399999999999999" x14ac:dyDescent="0.3">
      <c r="A176" s="73"/>
      <c r="C176" s="104"/>
      <c r="D176" s="104"/>
    </row>
    <row r="177" spans="1:4" s="15" customFormat="1" ht="20.399999999999999" x14ac:dyDescent="0.3">
      <c r="A177" s="73"/>
      <c r="C177" s="104"/>
      <c r="D177" s="104"/>
    </row>
    <row r="178" spans="1:4" s="15" customFormat="1" ht="20.399999999999999" x14ac:dyDescent="0.3">
      <c r="A178" s="73"/>
      <c r="C178" s="104"/>
      <c r="D178" s="104"/>
    </row>
    <row r="179" spans="1:4" s="15" customFormat="1" ht="20.399999999999999" x14ac:dyDescent="0.3">
      <c r="A179" s="73"/>
      <c r="C179" s="104"/>
      <c r="D179" s="104"/>
    </row>
    <row r="180" spans="1:4" s="15" customFormat="1" ht="20.399999999999999" x14ac:dyDescent="0.3">
      <c r="A180" s="73"/>
      <c r="C180" s="104"/>
      <c r="D180" s="104"/>
    </row>
    <row r="181" spans="1:4" s="15" customFormat="1" ht="20.399999999999999" x14ac:dyDescent="0.3">
      <c r="A181" s="73"/>
      <c r="C181" s="104"/>
      <c r="D181" s="104"/>
    </row>
    <row r="182" spans="1:4" s="15" customFormat="1" ht="20.399999999999999" x14ac:dyDescent="0.3">
      <c r="A182" s="73"/>
      <c r="C182" s="104"/>
      <c r="D182" s="104"/>
    </row>
    <row r="183" spans="1:4" s="15" customFormat="1" ht="20.399999999999999" x14ac:dyDescent="0.3">
      <c r="A183" s="73"/>
      <c r="C183" s="104"/>
      <c r="D183" s="104"/>
    </row>
    <row r="184" spans="1:4" s="15" customFormat="1" ht="20.399999999999999" x14ac:dyDescent="0.3">
      <c r="A184" s="73"/>
      <c r="C184" s="104"/>
      <c r="D184" s="104"/>
    </row>
    <row r="185" spans="1:4" s="15" customFormat="1" ht="20.399999999999999" x14ac:dyDescent="0.3">
      <c r="A185" s="73"/>
      <c r="C185" s="104"/>
      <c r="D185" s="104"/>
    </row>
    <row r="186" spans="1:4" s="15" customFormat="1" ht="20.399999999999999" x14ac:dyDescent="0.3">
      <c r="A186" s="73"/>
      <c r="C186" s="104"/>
      <c r="D186" s="104"/>
    </row>
    <row r="187" spans="1:4" s="15" customFormat="1" ht="20.399999999999999" x14ac:dyDescent="0.3">
      <c r="A187" s="73"/>
      <c r="C187" s="104"/>
      <c r="D187" s="104"/>
    </row>
    <row r="188" spans="1:4" s="15" customFormat="1" ht="20.399999999999999" x14ac:dyDescent="0.3">
      <c r="A188" s="73"/>
      <c r="C188" s="104"/>
      <c r="D188" s="104"/>
    </row>
    <row r="189" spans="1:4" s="15" customFormat="1" ht="20.399999999999999" x14ac:dyDescent="0.3">
      <c r="A189" s="73"/>
      <c r="C189" s="104"/>
      <c r="D189" s="104"/>
    </row>
    <row r="190" spans="1:4" s="15" customFormat="1" ht="20.399999999999999" x14ac:dyDescent="0.3">
      <c r="A190" s="73"/>
      <c r="C190" s="104"/>
      <c r="D190" s="104"/>
    </row>
    <row r="191" spans="1:4" s="15" customFormat="1" ht="20.399999999999999" x14ac:dyDescent="0.3">
      <c r="A191" s="73"/>
      <c r="C191" s="104"/>
      <c r="D191" s="104"/>
    </row>
    <row r="192" spans="1:4" s="15" customFormat="1" ht="20.399999999999999" x14ac:dyDescent="0.3">
      <c r="A192" s="73"/>
      <c r="C192" s="104"/>
      <c r="D192" s="104"/>
    </row>
    <row r="193" spans="1:4" s="15" customFormat="1" ht="20.399999999999999" x14ac:dyDescent="0.3">
      <c r="A193" s="73"/>
      <c r="C193" s="104"/>
      <c r="D193" s="104"/>
    </row>
    <row r="194" spans="1:4" s="15" customFormat="1" ht="20.399999999999999" x14ac:dyDescent="0.3">
      <c r="A194" s="73"/>
      <c r="C194" s="104"/>
      <c r="D194" s="104"/>
    </row>
    <row r="195" spans="1:4" s="15" customFormat="1" ht="20.399999999999999" x14ac:dyDescent="0.3">
      <c r="A195" s="73"/>
      <c r="C195" s="104"/>
      <c r="D195" s="104"/>
    </row>
    <row r="196" spans="1:4" s="15" customFormat="1" ht="20.399999999999999" x14ac:dyDescent="0.3">
      <c r="A196" s="73"/>
      <c r="C196" s="104"/>
      <c r="D196" s="104"/>
    </row>
    <row r="197" spans="1:4" s="15" customFormat="1" ht="20.399999999999999" x14ac:dyDescent="0.3">
      <c r="A197" s="73"/>
      <c r="C197" s="104"/>
      <c r="D197" s="104"/>
    </row>
    <row r="198" spans="1:4" s="15" customFormat="1" ht="20.399999999999999" x14ac:dyDescent="0.3">
      <c r="A198" s="73"/>
      <c r="C198" s="104"/>
      <c r="D198" s="104"/>
    </row>
    <row r="199" spans="1:4" s="15" customFormat="1" ht="20.399999999999999" x14ac:dyDescent="0.3">
      <c r="A199" s="73"/>
      <c r="C199" s="104"/>
      <c r="D199" s="104"/>
    </row>
    <row r="200" spans="1:4" s="15" customFormat="1" ht="20.399999999999999" x14ac:dyDescent="0.3">
      <c r="A200" s="73"/>
      <c r="C200" s="104"/>
      <c r="D200" s="104"/>
    </row>
    <row r="201" spans="1:4" s="15" customFormat="1" ht="20.399999999999999" x14ac:dyDescent="0.3">
      <c r="A201" s="73"/>
      <c r="C201" s="104"/>
      <c r="D201" s="104"/>
    </row>
    <row r="202" spans="1:4" s="15" customFormat="1" ht="20.399999999999999" x14ac:dyDescent="0.3">
      <c r="A202" s="73"/>
      <c r="C202" s="104"/>
      <c r="D202" s="104"/>
    </row>
    <row r="203" spans="1:4" s="15" customFormat="1" ht="20.399999999999999" x14ac:dyDescent="0.3">
      <c r="A203" s="73"/>
      <c r="C203" s="104"/>
      <c r="D203" s="104"/>
    </row>
    <row r="204" spans="1:4" s="15" customFormat="1" ht="20.399999999999999" x14ac:dyDescent="0.3">
      <c r="A204" s="73"/>
      <c r="C204" s="104"/>
      <c r="D204" s="104"/>
    </row>
    <row r="205" spans="1:4" s="15" customFormat="1" ht="20.399999999999999" x14ac:dyDescent="0.3">
      <c r="A205" s="73"/>
      <c r="C205" s="104"/>
      <c r="D205" s="104"/>
    </row>
    <row r="206" spans="1:4" s="15" customFormat="1" ht="20.399999999999999" x14ac:dyDescent="0.3">
      <c r="A206" s="73"/>
      <c r="C206" s="104"/>
      <c r="D206" s="104"/>
    </row>
    <row r="207" spans="1:4" s="15" customFormat="1" ht="20.399999999999999" x14ac:dyDescent="0.3">
      <c r="A207" s="73"/>
      <c r="C207" s="104"/>
      <c r="D207" s="104"/>
    </row>
    <row r="208" spans="1:4" s="15" customFormat="1" x14ac:dyDescent="0.3">
      <c r="A208" s="73"/>
    </row>
    <row r="209" spans="1:8" s="15" customFormat="1" ht="20.399999999999999" x14ac:dyDescent="0.3">
      <c r="A209" s="73"/>
      <c r="B209" s="105" t="s">
        <v>87</v>
      </c>
      <c r="C209" s="105" t="s">
        <v>139</v>
      </c>
      <c r="D209" s="106" t="s">
        <v>87</v>
      </c>
      <c r="E209" s="106" t="s">
        <v>139</v>
      </c>
    </row>
    <row r="210" spans="1:8" s="15" customFormat="1" ht="42" x14ac:dyDescent="0.4">
      <c r="A210" s="73"/>
      <c r="B210" s="107" t="s">
        <v>89</v>
      </c>
      <c r="C210" s="107" t="s">
        <v>204</v>
      </c>
      <c r="D210" s="15" t="s">
        <v>89</v>
      </c>
      <c r="F210" s="15" t="str">
        <f>IF(NOT(ISBLANK(D210)),D210,IF(NOT(ISBLANK(E210)),"     "&amp;E210,FALSE))</f>
        <v>Afectación Económica o presupuestal</v>
      </c>
      <c r="G210" s="15" t="s">
        <v>89</v>
      </c>
      <c r="H210" s="15" t="str">
        <f>IF(NOT(ISERROR(MATCH(G210,_xlfn.ANCHORARRAY(B221),0))),F223&amp;"Por favor no seleccionar los criterios de impacto",G210)</f>
        <v>❌Por favor no seleccionar los criterios de impacto</v>
      </c>
    </row>
    <row r="211" spans="1:8" s="15" customFormat="1" ht="42" x14ac:dyDescent="0.4">
      <c r="A211" s="73"/>
      <c r="B211" s="107" t="s">
        <v>89</v>
      </c>
      <c r="C211" s="107" t="s">
        <v>205</v>
      </c>
      <c r="E211" s="15" t="s">
        <v>204</v>
      </c>
      <c r="F211" s="15" t="str">
        <f t="shared" ref="F211:F221" si="0">IF(NOT(ISBLANK(D211)),D211,IF(NOT(ISBLANK(E211)),"     "&amp;E211,FALSE))</f>
        <v xml:space="preserve">     Afectación menor a 200 SMLMV</v>
      </c>
    </row>
    <row r="212" spans="1:8" s="15" customFormat="1" ht="42" x14ac:dyDescent="0.4">
      <c r="A212" s="73"/>
      <c r="B212" s="107" t="s">
        <v>89</v>
      </c>
      <c r="C212" s="107" t="s">
        <v>209</v>
      </c>
      <c r="E212" s="15" t="s">
        <v>205</v>
      </c>
      <c r="F212" s="15" t="str">
        <f t="shared" si="0"/>
        <v xml:space="preserve">     Entre 200 y 1000 SMLMV</v>
      </c>
    </row>
    <row r="213" spans="1:8" s="15" customFormat="1" ht="42" x14ac:dyDescent="0.4">
      <c r="A213" s="73"/>
      <c r="B213" s="107" t="s">
        <v>89</v>
      </c>
      <c r="C213" s="107" t="s">
        <v>210</v>
      </c>
      <c r="E213" s="15" t="s">
        <v>209</v>
      </c>
      <c r="F213" s="15" t="str">
        <f t="shared" si="0"/>
        <v xml:space="preserve">     Entre 1000 y 5000 SMLMV </v>
      </c>
    </row>
    <row r="214" spans="1:8" s="15" customFormat="1" ht="42" x14ac:dyDescent="0.4">
      <c r="A214" s="73"/>
      <c r="B214" s="107" t="s">
        <v>89</v>
      </c>
      <c r="C214" s="107" t="s">
        <v>206</v>
      </c>
      <c r="E214" s="15" t="s">
        <v>210</v>
      </c>
      <c r="F214" s="15" t="str">
        <f t="shared" si="0"/>
        <v xml:space="preserve">     Entre 5000 y 10000 SMLMV</v>
      </c>
    </row>
    <row r="215" spans="1:8" s="15" customFormat="1" ht="21" x14ac:dyDescent="0.4">
      <c r="A215" s="73"/>
      <c r="B215" s="107" t="s">
        <v>57</v>
      </c>
      <c r="C215" s="107" t="s">
        <v>92</v>
      </c>
      <c r="E215" s="15" t="s">
        <v>206</v>
      </c>
      <c r="F215" s="15" t="str">
        <f t="shared" si="0"/>
        <v xml:space="preserve">     Mayor a 10000 SMLMV</v>
      </c>
    </row>
    <row r="216" spans="1:8" s="15" customFormat="1" ht="63" x14ac:dyDescent="0.4">
      <c r="A216" s="73"/>
      <c r="B216" s="107" t="s">
        <v>57</v>
      </c>
      <c r="C216" s="107" t="s">
        <v>93</v>
      </c>
      <c r="D216" s="15" t="s">
        <v>57</v>
      </c>
      <c r="F216" s="15" t="str">
        <f t="shared" si="0"/>
        <v>Pérdida Reputacional</v>
      </c>
    </row>
    <row r="217" spans="1:8" s="15" customFormat="1" ht="42" x14ac:dyDescent="0.4">
      <c r="A217" s="73"/>
      <c r="B217" s="107" t="s">
        <v>57</v>
      </c>
      <c r="C217" s="107" t="s">
        <v>95</v>
      </c>
      <c r="E217" s="15" t="s">
        <v>92</v>
      </c>
      <c r="F217" s="15" t="str">
        <f>IF(NOT(ISBLANK(D217)),D217,IF(NOT(ISBLANK(E217)),"     "&amp;E217,FALSE))</f>
        <v xml:space="preserve">     El riesgo afecta la imagen de alguna área de la organización</v>
      </c>
    </row>
    <row r="218" spans="1:8" s="15" customFormat="1" ht="63" x14ac:dyDescent="0.4">
      <c r="A218" s="73"/>
      <c r="B218" s="107" t="s">
        <v>57</v>
      </c>
      <c r="C218" s="107" t="s">
        <v>94</v>
      </c>
      <c r="E218" s="15" t="s">
        <v>93</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7" t="s">
        <v>57</v>
      </c>
      <c r="C219" s="107" t="s">
        <v>113</v>
      </c>
      <c r="E219" s="15" t="s">
        <v>95</v>
      </c>
      <c r="F219" s="15" t="str">
        <f t="shared" si="0"/>
        <v xml:space="preserve">     El riesgo afecta la imagen de la entidad con algunos usuarios de relevancia frente al logro de los objetivos</v>
      </c>
    </row>
    <row r="220" spans="1:8" s="15" customFormat="1" x14ac:dyDescent="0.3">
      <c r="A220" s="73"/>
      <c r="E220" s="15" t="s">
        <v>94</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113</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8" t="s">
        <v>140</v>
      </c>
    </row>
    <row r="224" spans="1:8" s="15" customFormat="1" x14ac:dyDescent="0.3">
      <c r="F224" s="108"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2024-08-20T12:55:34Z</dcterms:modified>
</cp:coreProperties>
</file>