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
    </mc:Choice>
  </mc:AlternateContent>
  <bookViews>
    <workbookView xWindow="0" yWindow="0" windowWidth="28800" windowHeight="11730"/>
  </bookViews>
  <sheets>
    <sheet name="Intructivo" sheetId="20" r:id="rId1"/>
    <sheet name="Contexto" sheetId="21" r:id="rId2"/>
    <sheet name="Priorizacion de Causas" sheetId="22" state="hidden" r:id="rId3"/>
    <sheet name="PRIORIZ CAUSA R CORUP TRÁMITES" sheetId="25" r:id="rId4"/>
    <sheet name="DOFA" sheetId="26" r:id="rId5"/>
    <sheet name="Mapa final" sheetId="1" r:id="rId6"/>
    <sheet name="Matriz Calor Inherente" sheetId="18" r:id="rId7"/>
    <sheet name="Matriz Calor Residual" sheetId="19" r:id="rId8"/>
    <sheet name="Tabla probabilidad" sheetId="12" r:id="rId9"/>
    <sheet name="Tabla Impacto" sheetId="13" r:id="rId10"/>
    <sheet name="Tabla Valoración controles" sheetId="15" r:id="rId11"/>
    <sheet name="Opciones Tratamiento" sheetId="16" state="hidden" r:id="rId12"/>
    <sheet name="Hoja1" sheetId="11" state="hidden" r:id="rId13"/>
  </sheets>
  <externalReferences>
    <externalReference r:id="rId14"/>
    <externalReference r:id="rId15"/>
    <externalReference r:id="rId16"/>
    <externalReference r:id="rId17"/>
  </externalReferences>
  <calcPr calcId="191029"/>
  <pivotCaches>
    <pivotCache cacheId="0"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6" l="1"/>
  <c r="A6" i="26"/>
  <c r="B1" i="25"/>
  <c r="A6" i="25"/>
  <c r="A8" i="25"/>
  <c r="S40" i="22" l="1"/>
  <c r="R40" i="22"/>
  <c r="S39" i="22"/>
  <c r="R39" i="22"/>
  <c r="S38" i="22"/>
  <c r="R38" i="22"/>
  <c r="S37" i="22"/>
  <c r="R37" i="22"/>
  <c r="S36" i="22"/>
  <c r="R36" i="22"/>
  <c r="S35" i="22"/>
  <c r="S41" i="22" s="1"/>
  <c r="S42" i="22" s="1"/>
  <c r="R35" i="22"/>
  <c r="B1" i="22"/>
  <c r="W68" i="1" l="1"/>
  <c r="T68" i="1"/>
  <c r="W67" i="1"/>
  <c r="T67" i="1"/>
  <c r="W66" i="1"/>
  <c r="T66" i="1"/>
  <c r="W65" i="1"/>
  <c r="T65" i="1"/>
  <c r="AE66" i="1" s="1"/>
  <c r="AD66" i="1" s="1"/>
  <c r="W64" i="1"/>
  <c r="T64" i="1"/>
  <c r="W63" i="1"/>
  <c r="T63" i="1"/>
  <c r="W62" i="1"/>
  <c r="T62" i="1"/>
  <c r="W61" i="1"/>
  <c r="T61" i="1"/>
  <c r="W60" i="1"/>
  <c r="T60" i="1"/>
  <c r="W59" i="1"/>
  <c r="T59" i="1"/>
  <c r="W58" i="1"/>
  <c r="T58" i="1"/>
  <c r="W57" i="1"/>
  <c r="T57" i="1"/>
  <c r="AE58" i="1" s="1"/>
  <c r="AD58" i="1" s="1"/>
  <c r="W56" i="1"/>
  <c r="T56" i="1"/>
  <c r="W55" i="1"/>
  <c r="T55" i="1"/>
  <c r="W54" i="1"/>
  <c r="T54" i="1"/>
  <c r="W53" i="1"/>
  <c r="T53" i="1"/>
  <c r="AE54" i="1" s="1"/>
  <c r="AD54" i="1" s="1"/>
  <c r="W52" i="1"/>
  <c r="T52" i="1"/>
  <c r="W51" i="1"/>
  <c r="T51" i="1"/>
  <c r="W50" i="1"/>
  <c r="T50" i="1"/>
  <c r="W49" i="1"/>
  <c r="T49" i="1"/>
  <c r="AE50" i="1" s="1"/>
  <c r="AD50" i="1" s="1"/>
  <c r="W48" i="1"/>
  <c r="T48" i="1"/>
  <c r="W47" i="1"/>
  <c r="T47" i="1"/>
  <c r="W46" i="1"/>
  <c r="T46" i="1"/>
  <c r="W45" i="1"/>
  <c r="T45" i="1"/>
  <c r="AE46" i="1" s="1"/>
  <c r="AD46" i="1" s="1"/>
  <c r="W44" i="1"/>
  <c r="T44" i="1"/>
  <c r="W43" i="1"/>
  <c r="T43" i="1"/>
  <c r="W42" i="1"/>
  <c r="T42" i="1"/>
  <c r="W41" i="1"/>
  <c r="T41" i="1"/>
  <c r="AE42" i="1" s="1"/>
  <c r="AD42" i="1" s="1"/>
  <c r="W40" i="1"/>
  <c r="T40" i="1"/>
  <c r="W39" i="1"/>
  <c r="T39" i="1"/>
  <c r="W38" i="1"/>
  <c r="T38" i="1"/>
  <c r="W37" i="1"/>
  <c r="T37" i="1"/>
  <c r="AE38" i="1" s="1"/>
  <c r="AD38" i="1" s="1"/>
  <c r="W36" i="1"/>
  <c r="T36" i="1"/>
  <c r="W35" i="1"/>
  <c r="T35" i="1"/>
  <c r="W34" i="1"/>
  <c r="T34" i="1"/>
  <c r="W33" i="1"/>
  <c r="T33" i="1"/>
  <c r="AE34" i="1" s="1"/>
  <c r="AD34" i="1" s="1"/>
  <c r="W32" i="1"/>
  <c r="T32" i="1"/>
  <c r="W31" i="1"/>
  <c r="T31" i="1"/>
  <c r="W30" i="1"/>
  <c r="T30" i="1"/>
  <c r="W29" i="1"/>
  <c r="T29" i="1"/>
  <c r="AE30" i="1" s="1"/>
  <c r="AD30" i="1" s="1"/>
  <c r="W28" i="1"/>
  <c r="T28" i="1"/>
  <c r="W27" i="1"/>
  <c r="T27" i="1"/>
  <c r="W26" i="1"/>
  <c r="T26" i="1"/>
  <c r="W25" i="1"/>
  <c r="T25" i="1"/>
  <c r="AE26" i="1" s="1"/>
  <c r="AD26" i="1" s="1"/>
  <c r="W24" i="1"/>
  <c r="T24" i="1"/>
  <c r="W23" i="1"/>
  <c r="T23" i="1"/>
  <c r="W22" i="1"/>
  <c r="T22" i="1"/>
  <c r="W21" i="1"/>
  <c r="T21" i="1"/>
  <c r="AE22" i="1" s="1"/>
  <c r="AD22" i="1" s="1"/>
  <c r="W20" i="1"/>
  <c r="T20" i="1"/>
  <c r="W19" i="1"/>
  <c r="T19" i="1"/>
  <c r="W18" i="1"/>
  <c r="T18" i="1"/>
  <c r="W17" i="1"/>
  <c r="T17" i="1"/>
  <c r="AE18" i="1" s="1"/>
  <c r="AD18" i="1" s="1"/>
  <c r="W16" i="1"/>
  <c r="T16" i="1"/>
  <c r="W15" i="1"/>
  <c r="T15" i="1"/>
  <c r="AE17" i="1" l="1"/>
  <c r="AD17" i="1" s="1"/>
  <c r="AE19" i="1"/>
  <c r="AD19" i="1" s="1"/>
  <c r="AE23" i="1"/>
  <c r="AD23" i="1" s="1"/>
  <c r="AE29" i="1"/>
  <c r="AD29" i="1" s="1"/>
  <c r="AE31" i="1"/>
  <c r="AD31" i="1" s="1"/>
  <c r="AE35" i="1"/>
  <c r="AD35" i="1" s="1"/>
  <c r="AE37" i="1"/>
  <c r="AD37" i="1" s="1"/>
  <c r="AE41" i="1"/>
  <c r="AD41" i="1" s="1"/>
  <c r="AE43" i="1"/>
  <c r="AD43" i="1" s="1"/>
  <c r="AE47" i="1"/>
  <c r="AD47" i="1" s="1"/>
  <c r="AE49" i="1"/>
  <c r="AD49" i="1" s="1"/>
  <c r="AE53" i="1"/>
  <c r="AD53" i="1" s="1"/>
  <c r="AE61" i="1"/>
  <c r="AD61" i="1" s="1"/>
  <c r="AE25" i="1"/>
  <c r="AD25" i="1" s="1"/>
  <c r="AE65" i="1"/>
  <c r="AD65" i="1" s="1"/>
  <c r="AE62" i="1"/>
  <c r="AD62" i="1" s="1"/>
  <c r="AE55" i="1"/>
  <c r="AD55" i="1" s="1"/>
  <c r="AE59" i="1"/>
  <c r="AD59" i="1" s="1"/>
  <c r="AE67" i="1"/>
  <c r="AD67" i="1" s="1"/>
  <c r="AE16" i="1"/>
  <c r="AD16" i="1" s="1"/>
  <c r="AE20" i="1"/>
  <c r="AD20" i="1" s="1"/>
  <c r="AE24" i="1"/>
  <c r="AD24" i="1" s="1"/>
  <c r="AE28" i="1"/>
  <c r="AD28" i="1" s="1"/>
  <c r="AE32" i="1"/>
  <c r="AD32" i="1" s="1"/>
  <c r="AE36" i="1"/>
  <c r="AD36" i="1" s="1"/>
  <c r="AE40" i="1"/>
  <c r="AD40" i="1" s="1"/>
  <c r="AE44" i="1"/>
  <c r="AD44" i="1" s="1"/>
  <c r="AE48" i="1"/>
  <c r="AD48" i="1" s="1"/>
  <c r="AE52" i="1"/>
  <c r="AD52" i="1" s="1"/>
  <c r="AE56" i="1"/>
  <c r="AD56" i="1" s="1"/>
  <c r="AE60" i="1"/>
  <c r="AD60" i="1" s="1"/>
  <c r="AE64" i="1"/>
  <c r="AD64" i="1" s="1"/>
  <c r="AE68" i="1"/>
  <c r="AD68" i="1" s="1"/>
  <c r="AA63" i="1"/>
  <c r="AA65" i="1"/>
  <c r="AA67" i="1"/>
  <c r="AE63" i="1"/>
  <c r="AD63" i="1" s="1"/>
  <c r="AA64" i="1"/>
  <c r="AA66" i="1"/>
  <c r="AA68" i="1"/>
  <c r="AA57" i="1"/>
  <c r="AA59" i="1"/>
  <c r="AA61" i="1"/>
  <c r="AE57" i="1"/>
  <c r="AD57" i="1" s="1"/>
  <c r="AA58" i="1"/>
  <c r="AA60" i="1"/>
  <c r="AA62" i="1"/>
  <c r="AA51" i="1"/>
  <c r="AA53" i="1"/>
  <c r="AA55" i="1"/>
  <c r="AE51" i="1"/>
  <c r="AD51" i="1" s="1"/>
  <c r="AA52" i="1"/>
  <c r="AA54" i="1"/>
  <c r="AA56" i="1"/>
  <c r="AA45" i="1"/>
  <c r="AA47" i="1"/>
  <c r="AA49" i="1"/>
  <c r="AE45" i="1"/>
  <c r="AD45" i="1" s="1"/>
  <c r="AA46" i="1"/>
  <c r="AA48" i="1"/>
  <c r="AA50" i="1"/>
  <c r="AA39" i="1"/>
  <c r="AA41" i="1"/>
  <c r="AA43" i="1"/>
  <c r="AE39" i="1"/>
  <c r="AD39" i="1" s="1"/>
  <c r="AA40" i="1"/>
  <c r="AA42" i="1"/>
  <c r="AA44" i="1"/>
  <c r="AA33" i="1"/>
  <c r="AA35" i="1"/>
  <c r="AA37" i="1"/>
  <c r="AE33" i="1"/>
  <c r="AD33" i="1" s="1"/>
  <c r="AA34" i="1"/>
  <c r="AA36" i="1"/>
  <c r="AA38" i="1"/>
  <c r="AA27" i="1"/>
  <c r="AA29" i="1"/>
  <c r="AA31" i="1"/>
  <c r="AE27" i="1"/>
  <c r="AD27" i="1" s="1"/>
  <c r="AA28" i="1"/>
  <c r="AA30" i="1"/>
  <c r="AA32" i="1"/>
  <c r="AA21" i="1"/>
  <c r="AA23" i="1"/>
  <c r="AA25" i="1"/>
  <c r="AE21" i="1"/>
  <c r="AD21" i="1" s="1"/>
  <c r="AA22" i="1"/>
  <c r="AA24" i="1"/>
  <c r="AA26" i="1"/>
  <c r="AA15" i="1"/>
  <c r="AA17" i="1"/>
  <c r="AA19" i="1"/>
  <c r="AA16" i="1"/>
  <c r="AA18" i="1"/>
  <c r="AA20" i="1"/>
  <c r="AC68" i="1" l="1"/>
  <c r="AB68" i="1"/>
  <c r="AF68" i="1" s="1"/>
  <c r="AC66" i="1"/>
  <c r="AB66" i="1"/>
  <c r="AF66" i="1" s="1"/>
  <c r="AC64" i="1"/>
  <c r="AB64" i="1"/>
  <c r="AF64" i="1" s="1"/>
  <c r="AC67" i="1"/>
  <c r="AB67" i="1"/>
  <c r="AF67" i="1" s="1"/>
  <c r="AC65" i="1"/>
  <c r="AB65" i="1"/>
  <c r="AF65" i="1" s="1"/>
  <c r="AC63" i="1"/>
  <c r="AB63" i="1"/>
  <c r="AF63" i="1" s="1"/>
  <c r="AC62" i="1"/>
  <c r="AB62" i="1"/>
  <c r="AF62" i="1" s="1"/>
  <c r="AC60" i="1"/>
  <c r="AB60" i="1"/>
  <c r="AF60" i="1" s="1"/>
  <c r="AC58" i="1"/>
  <c r="AB58" i="1"/>
  <c r="AF58" i="1" s="1"/>
  <c r="AC61" i="1"/>
  <c r="AB61" i="1"/>
  <c r="AF61" i="1" s="1"/>
  <c r="AC59" i="1"/>
  <c r="AB59" i="1"/>
  <c r="AF59" i="1" s="1"/>
  <c r="AC57" i="1"/>
  <c r="AB57" i="1"/>
  <c r="AF57" i="1" s="1"/>
  <c r="AC56" i="1"/>
  <c r="AB56" i="1"/>
  <c r="AF56" i="1" s="1"/>
  <c r="AC54" i="1"/>
  <c r="AB54" i="1"/>
  <c r="AF54" i="1" s="1"/>
  <c r="AC52" i="1"/>
  <c r="AB52" i="1"/>
  <c r="AF52" i="1" s="1"/>
  <c r="AC55" i="1"/>
  <c r="AB55" i="1"/>
  <c r="AF55" i="1" s="1"/>
  <c r="AC53" i="1"/>
  <c r="AB53" i="1"/>
  <c r="AF53" i="1" s="1"/>
  <c r="AC51" i="1"/>
  <c r="AB51" i="1"/>
  <c r="AF51" i="1" s="1"/>
  <c r="AC50" i="1"/>
  <c r="AB50" i="1"/>
  <c r="AF50" i="1" s="1"/>
  <c r="AC48" i="1"/>
  <c r="AB48" i="1"/>
  <c r="AF48" i="1" s="1"/>
  <c r="AC46" i="1"/>
  <c r="AB46" i="1"/>
  <c r="AF46" i="1" s="1"/>
  <c r="AC49" i="1"/>
  <c r="AB49" i="1"/>
  <c r="AF49" i="1" s="1"/>
  <c r="AC47" i="1"/>
  <c r="AB47" i="1"/>
  <c r="AF47" i="1" s="1"/>
  <c r="AC45" i="1"/>
  <c r="AB45" i="1"/>
  <c r="AF45" i="1" s="1"/>
  <c r="AC44" i="1"/>
  <c r="AB44" i="1"/>
  <c r="AF44" i="1" s="1"/>
  <c r="AC42" i="1"/>
  <c r="AB42" i="1"/>
  <c r="AF42" i="1" s="1"/>
  <c r="AC40" i="1"/>
  <c r="AB40" i="1"/>
  <c r="AF40" i="1" s="1"/>
  <c r="AC43" i="1"/>
  <c r="AB43" i="1"/>
  <c r="AF43" i="1" s="1"/>
  <c r="AC41" i="1"/>
  <c r="AB41" i="1"/>
  <c r="AF41" i="1" s="1"/>
  <c r="AC39" i="1"/>
  <c r="AB39" i="1"/>
  <c r="AF39" i="1" s="1"/>
  <c r="AC38" i="1"/>
  <c r="AB38" i="1"/>
  <c r="AF38" i="1" s="1"/>
  <c r="AC36" i="1"/>
  <c r="AB36" i="1"/>
  <c r="AF36" i="1" s="1"/>
  <c r="AC34" i="1"/>
  <c r="AB34" i="1"/>
  <c r="AF34" i="1" s="1"/>
  <c r="AB37" i="1"/>
  <c r="AF37" i="1" s="1"/>
  <c r="AC37" i="1"/>
  <c r="AB35" i="1"/>
  <c r="AF35" i="1" s="1"/>
  <c r="AC35" i="1"/>
  <c r="AC33" i="1"/>
  <c r="AB33" i="1"/>
  <c r="AF33" i="1" s="1"/>
  <c r="AC32" i="1"/>
  <c r="AB32" i="1"/>
  <c r="AF32" i="1" s="1"/>
  <c r="AC30" i="1"/>
  <c r="AB30" i="1"/>
  <c r="AF30" i="1" s="1"/>
  <c r="AC28" i="1"/>
  <c r="AB28" i="1"/>
  <c r="AF28" i="1" s="1"/>
  <c r="AC31" i="1"/>
  <c r="AB31" i="1"/>
  <c r="AF31" i="1" s="1"/>
  <c r="AC29" i="1"/>
  <c r="AB29" i="1"/>
  <c r="AF29" i="1" s="1"/>
  <c r="AC27" i="1"/>
  <c r="AB27" i="1"/>
  <c r="AF27" i="1" s="1"/>
  <c r="AC24" i="1"/>
  <c r="AB24" i="1"/>
  <c r="AF24" i="1" s="1"/>
  <c r="AC22" i="1"/>
  <c r="AB22" i="1"/>
  <c r="AF22" i="1" s="1"/>
  <c r="AC25" i="1"/>
  <c r="AB25" i="1"/>
  <c r="AF25" i="1" s="1"/>
  <c r="AC26" i="1"/>
  <c r="AB26" i="1"/>
  <c r="AF26" i="1" s="1"/>
  <c r="AC23" i="1"/>
  <c r="AB23" i="1"/>
  <c r="AF23" i="1" s="1"/>
  <c r="AC21" i="1"/>
  <c r="AB21" i="1"/>
  <c r="AF21" i="1" s="1"/>
  <c r="AC20" i="1"/>
  <c r="AB20" i="1"/>
  <c r="AF20" i="1" s="1"/>
  <c r="AC18" i="1"/>
  <c r="AB18" i="1"/>
  <c r="AF18" i="1" s="1"/>
  <c r="AC19" i="1"/>
  <c r="AB19" i="1"/>
  <c r="AF19" i="1" s="1"/>
  <c r="AC17" i="1"/>
  <c r="AB17" i="1"/>
  <c r="AF17" i="1" s="1"/>
  <c r="AC16" i="1"/>
  <c r="AB16" i="1"/>
  <c r="AF16" i="1" s="1"/>
  <c r="AC15" i="1"/>
  <c r="AB15" i="1"/>
  <c r="K10" i="1" l="1"/>
  <c r="K21" i="1"/>
  <c r="L21" i="1" s="1"/>
  <c r="K27" i="1"/>
  <c r="K33" i="1"/>
  <c r="L33" i="1" s="1"/>
  <c r="K39" i="1"/>
  <c r="L39" i="1" s="1"/>
  <c r="K45" i="1"/>
  <c r="L45" i="1" s="1"/>
  <c r="K51" i="1"/>
  <c r="L51" i="1" s="1"/>
  <c r="K57" i="1"/>
  <c r="L57" i="1" s="1"/>
  <c r="K63" i="1"/>
  <c r="L63" i="1" s="1"/>
  <c r="W12" i="1"/>
  <c r="W13" i="1"/>
  <c r="W14" i="1"/>
  <c r="W11" i="1"/>
  <c r="N56" i="1"/>
  <c r="N68" i="1"/>
  <c r="N64" i="1"/>
  <c r="N52" i="1"/>
  <c r="N53" i="1"/>
  <c r="N22" i="1"/>
  <c r="N44" i="1"/>
  <c r="N32" i="1"/>
  <c r="N31" i="1"/>
  <c r="N34" i="1"/>
  <c r="N46" i="1"/>
  <c r="N28" i="1"/>
  <c r="N65" i="1"/>
  <c r="N41" i="1"/>
  <c r="N49" i="1"/>
  <c r="N47" i="1"/>
  <c r="N62" i="1"/>
  <c r="N30" i="1"/>
  <c r="N54" i="1"/>
  <c r="N50" i="1"/>
  <c r="N58" i="1"/>
  <c r="N67" i="1"/>
  <c r="N35" i="1"/>
  <c r="N48" i="1"/>
  <c r="N26" i="1"/>
  <c r="N23" i="1"/>
  <c r="N36" i="1"/>
  <c r="N24" i="1"/>
  <c r="N66" i="1"/>
  <c r="N38" i="1"/>
  <c r="N25" i="1"/>
  <c r="N40" i="1"/>
  <c r="N61" i="1"/>
  <c r="N42" i="1"/>
  <c r="N29" i="1"/>
  <c r="N59" i="1"/>
  <c r="N55" i="1"/>
  <c r="N43" i="1"/>
  <c r="N60" i="1"/>
  <c r="N37" i="1"/>
  <c r="L27" i="1" l="1"/>
  <c r="T11" i="1" l="1"/>
  <c r="F217" i="13"/>
  <c r="T13" i="1"/>
  <c r="T14" i="1"/>
  <c r="W10" i="1" l="1"/>
  <c r="T10" i="1"/>
  <c r="L10" i="1" l="1"/>
  <c r="N18" i="1"/>
  <c r="N16" i="1"/>
  <c r="N17" i="1"/>
  <c r="N20" i="1"/>
  <c r="N19" i="1"/>
  <c r="F221" i="13" l="1"/>
  <c r="F211" i="13"/>
  <c r="F212" i="13"/>
  <c r="F213" i="13"/>
  <c r="F214" i="13"/>
  <c r="F215" i="13"/>
  <c r="F216" i="13"/>
  <c r="F218" i="13"/>
  <c r="F219" i="13"/>
  <c r="F220" i="13"/>
  <c r="F210" i="13"/>
  <c r="N13" i="1"/>
  <c r="B221" i="13" a="1"/>
  <c r="N11" i="1"/>
  <c r="N12" i="1"/>
  <c r="N14"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5" i="1" l="1"/>
  <c r="L15"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AA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14" i="1" l="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4" i="1" l="1"/>
  <c r="AC14"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1" i="1" l="1"/>
  <c r="O21" i="1" s="1"/>
  <c r="N27" i="1"/>
  <c r="O27" i="1" s="1"/>
  <c r="N33" i="1"/>
  <c r="O33" i="1" s="1"/>
  <c r="N39" i="1"/>
  <c r="O39" i="1" s="1"/>
  <c r="N45" i="1"/>
  <c r="O45" i="1" s="1"/>
  <c r="N51" i="1"/>
  <c r="O51" i="1" s="1"/>
  <c r="N57" i="1"/>
  <c r="O57" i="1" s="1"/>
  <c r="N63" i="1"/>
  <c r="O63" i="1" s="1"/>
  <c r="N15" i="1"/>
  <c r="O15"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5" i="1"/>
  <c r="R30" i="18"/>
  <c r="AD38" i="18"/>
  <c r="AD22" i="18"/>
  <c r="P15" i="1"/>
  <c r="AE15" i="1" s="1"/>
  <c r="AD15" i="1" s="1"/>
  <c r="AF15" i="1" s="1"/>
  <c r="L30" i="18"/>
  <c r="AJ14" i="18"/>
  <c r="L14" i="18"/>
  <c r="X38" i="18"/>
  <c r="L22" i="18"/>
  <c r="AD30" i="18"/>
  <c r="AJ22" i="18"/>
  <c r="X14" i="18"/>
  <c r="X6" i="18"/>
  <c r="R22" i="18"/>
  <c r="L6" i="18"/>
  <c r="X22" i="18"/>
  <c r="P63" i="1"/>
  <c r="Q6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7" i="1"/>
  <c r="Q5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1" i="1"/>
  <c r="P5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5" i="1"/>
  <c r="Q4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9" i="1"/>
  <c r="P39"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3" i="1"/>
  <c r="P33"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7" i="1"/>
  <c r="Q27"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1" i="1"/>
  <c r="Q21"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6" i="19"/>
  <c r="AB46" i="19"/>
  <c r="J6" i="19"/>
  <c r="AB26" i="19"/>
  <c r="J16" i="19"/>
  <c r="V26" i="19"/>
  <c r="P26" i="19"/>
  <c r="V16" i="19"/>
  <c r="AF10" i="1"/>
  <c r="AB6" i="19"/>
  <c r="J36" i="19"/>
  <c r="J26" i="19"/>
  <c r="J46" i="19"/>
  <c r="P46" i="19"/>
  <c r="AH46" i="19"/>
  <c r="AH26" i="19"/>
  <c r="P6" i="19" l="1"/>
  <c r="V36" i="19"/>
  <c r="AH36" i="19"/>
  <c r="P16" i="19"/>
  <c r="AH16" i="19"/>
  <c r="AB16" i="19"/>
  <c r="V4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E14" i="1"/>
  <c r="AD14"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4"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B223" i="13"/>
  <c r="B222" i="13"/>
</calcChain>
</file>

<file path=xl/comments1.xml><?xml version="1.0" encoding="utf-8"?>
<comments xmlns="http://schemas.openxmlformats.org/spreadsheetml/2006/main">
  <authors>
    <author>tc={5264F845-1FA0-44F8-897E-ECB5C0467FE9}</author>
  </authors>
  <commentList>
    <comment ref="AP9"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riesgo de inoportunidad de respuesta, esta materializado, se debe diligenciar la matriz de eventos y presentar las acciones de mejora o planes de acción</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<sst xmlns="http://schemas.openxmlformats.org/spreadsheetml/2006/main" count="847" uniqueCount="465">
  <si>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</si>
  <si>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</si>
  <si>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</si>
  <si>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</si>
  <si>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</si>
  <si>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</si>
  <si>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</si>
  <si>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</si>
  <si>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</si>
  <si>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</si>
  <si>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</si>
  <si>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</si>
  <si>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</si>
  <si>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</si>
  <si>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</si>
  <si>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</si>
  <si>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</si>
  <si>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</si>
  <si>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</si>
  <si>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</si>
  <si>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</si>
  <si>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</si>
  <si>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</si>
  <si>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</si>
  <si>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</si>
  <si>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</si>
  <si>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</si>
  <si>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</si>
  <si>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</si>
  <si>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</si>
  <si>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</si>
  <si>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</si>
  <si>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</si>
  <si>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</si>
  <si>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</si>
  <si>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</si>
  <si>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</si>
  <si>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</si>
  <si>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</si>
  <si>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</si>
  <si>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</si>
  <si>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</si>
  <si>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</si>
  <si>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</si>
  <si>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</si>
  <si>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</si>
  <si>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</si>
  <si>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</si>
  <si>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</si>
  <si>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</si>
  <si>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</si>
  <si>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</si>
  <si>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</si>
  <si>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</si>
  <si>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</si>
  <si>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</si>
  <si>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</si>
  <si>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</si>
  <si>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</si>
  <si>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</si>
  <si>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</si>
  <si>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</si>
  <si>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</si>
  <si>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</si>
  <si>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</si>
  <si>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</si>
  <si>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</si>
  <si>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</si>
  <si>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</si>
  <si>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</si>
  <si>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</si>
  <si>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</si>
  <si>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</si>
  <si>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</si>
  <si>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</si>
  <si>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</si>
  <si>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</si>
  <si>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</si>
  <si>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</si>
  <si>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</si>
  <si>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</si>
  <si>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</si>
  <si>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</si>
  <si>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</si>
  <si>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</si>
  <si>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</si>
  <si>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</si>
  <si>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</si>
  <si>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</si>
  <si>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</si>
  <si>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</si>
  <si>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</si>
  <si>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</si>
  <si>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</si>
  <si>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</si>
  <si>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</si>
  <si>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</si>
  <si>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</si>
  <si>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</si>
  <si>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</si>
  <si>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</si>
  <si>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</si>
  <si>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</si>
  <si>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</si>
  <si>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</si>
  <si>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</si>
  <si>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</si>
  <si>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</si>
  <si>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</si>
  <si>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</si>
  <si>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</si>
  <si>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</si>
  <si>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</si>
  <si>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</si>
  <si>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</si>
  <si>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</si>
  <si>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</si>
  <si>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</si>
  <si>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</si>
  <si>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</si>
  <si>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</si>
  <si>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</si>
  <si>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</si>
  <si>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</si>
  <si>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</si>
  <si>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</si>
  <si>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</si>
  <si>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</si>
  <si>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</si>
  <si>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</si>
  <si>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</si>
  <si>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</si>
  <si>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</si>
  <si>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</si>
  <si>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</si>
  <si>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</si>
  <si>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</si>
  <si>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</si>
  <si>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</si>
  <si>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</si>
  <si>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</si>
  <si>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</si>
  <si>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</si>
  <si>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</si>
  <si>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</si>
  <si>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</si>
  <si>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</si>
  <si>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</si>
  <si>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</si>
  <si>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</si>
  <si>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</si>
  <si>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</si>
  <si>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</si>
  <si>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</si>
  <si>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</si>
  <si>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</si>
  <si>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</si>
  <si>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</si>
  <si>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</si>
  <si>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</si>
  <si>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</si>
  <si>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</si>
  <si>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</si>
  <si>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</si>
  <si>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</si>
  <si>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</si>
  <si>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</si>
  <si>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</si>
  <si>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</si>
  <si>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</si>
  <si>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</si>
  <si>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</si>
  <si>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</si>
  <si>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</si>
  <si>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</si>
  <si>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</si>
  <si>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</si>
  <si>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</si>
  <si>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</si>
  <si>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</si>
  <si>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</si>
  <si>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</si>
  <si>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</si>
  <si>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</si>
  <si>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</si>
  <si>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</si>
  <si>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</si>
  <si>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</si>
  <si>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</si>
  <si>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</si>
  <si>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</si>
  <si>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</si>
  <si>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</si>
  <si>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</si>
  <si>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</si>
  <si>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</si>
  <si>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</si>
  <si>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</si>
  <si>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</si>
  <si>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</si>
  <si>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</si>
  <si>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</si>
  <si>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</si>
  <si>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</si>
  <si>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</si>
  <si>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</si>
  <si>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</si>
  <si>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</si>
  <si>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</si>
  <si>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</si>
  <si>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</si>
  <si>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</si>
  <si>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</si>
  <si>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</si>
  <si>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</si>
  <si>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</si>
  <si>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</si>
  <si>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</si>
  <si>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</si>
  <si>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</si>
  <si>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</si>
  <si>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</si>
  <si>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</si>
  <si>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</si>
  <si>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</si>
  <si>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</si>
  <si>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</si>
  <si>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</si>
  <si>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</si>
  <si>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</si>
  <si>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</si>
  <si>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</si>
  <si>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</si>
  <si>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</si>
  <si>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</si>
  <si>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</si>
  <si>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</si>
  <si>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</si>
  <si>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</si>
  <si>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</si>
  <si>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</si>
  <si>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</si>
  <si>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</si>
  <si>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</si>
  <si>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</si>
  <si>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</si>
  <si>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</si>
  <si>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</si>
  <si>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</si>
  <si>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</si>
  <si>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</si>
  <si>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</si>
  <si>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</si>
  <si>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</si>
  <si>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</si>
  <si>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</si>
  <si>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</si>
  <si>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</si>
  <si>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</si>
  <si>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</si>
  <si>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</si>
  <si>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</si>
  <si>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</si>
  <si>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</si>
  <si>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</si>
  <si>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</si>
  <si>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</si>
  <si>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 Cambios Climaticos</t>
  </si>
  <si>
    <t>PERSONAL DE LA ENTIDAD (Capacidad del personal, políticas de manejo del talento humano, idoneidad)</t>
  </si>
  <si>
    <t>* Demoras en los procesos contractuales para el personal de prestación de servicios</t>
  </si>
  <si>
    <t>DISEÑO DEL PROCESO</t>
  </si>
  <si>
    <t xml:space="preserve">* Dificultad y conocimiento en actualización en Tramites y servicios Catastrales </t>
  </si>
  <si>
    <t>*Dificultades por Orden público</t>
  </si>
  <si>
    <t>TECNOLOGÍA (integridad de datos, disponibilidad de datos y sistemas, desarrollo, producción, mantenimiento de sistemas de información)</t>
  </si>
  <si>
    <t>* Carencia en el suministro de equipos tecnologicos para el buen funcionamiento del proceso tales como impresosras, plotter, papeleria, etc</t>
  </si>
  <si>
    <t>* Dificultad en la Planeación e implementación del Proceso de Gestión Catastral</t>
  </si>
  <si>
    <t>* Dificultad en los medios de transporte y acceso de vías para acudir a las visitas requeridas</t>
  </si>
  <si>
    <t>COMMUNICACIÓN INTERNA</t>
  </si>
  <si>
    <t>*Falta de comunicación Directiva para agilizar las decisiones  y delegar funciones.</t>
  </si>
  <si>
    <t>TRANSVERSALIDAD</t>
  </si>
  <si>
    <t>* Incertidumbre por la transversalidad del proceso por deficiencia de personal de planta</t>
  </si>
  <si>
    <t>* Dicficulatades en la aprobación de la planta del personal por parte del Concejo Municipal</t>
  </si>
  <si>
    <t>* No contar con personal capacitado para prevenir y/o solucionar problemas tecnologicos</t>
  </si>
  <si>
    <t>RESPONSABLES DEL PROCESO</t>
  </si>
  <si>
    <t>*Dificultades en la aprobación de documentación, socialización e implementación de los procesos catastrales.</t>
  </si>
  <si>
    <t>* Cambios de Gobierno</t>
  </si>
  <si>
    <t>PROCESOS OPERATIVOS</t>
  </si>
  <si>
    <t>* Cambios en el P.O.T de la ciudad</t>
  </si>
  <si>
    <t>* Dificultades con los lideres del proceso para priorizar la prestación del servicio catastral de manera continua</t>
  </si>
  <si>
    <t>ECONÓMICOS Y FINANCIEROS</t>
  </si>
  <si>
    <t>* Crisis Economica Nacional e Internacional</t>
  </si>
  <si>
    <t>* Desarticulación entre las dos sedes donde funciona el proceso de gestión catastral ( Cam La Pola - Cam Galarza)</t>
  </si>
  <si>
    <t>NORMATIVIDAD</t>
  </si>
  <si>
    <t>* Cambios en la delegación de las responsabilidades para realizar la gestión y operación catastral</t>
  </si>
  <si>
    <t>LEGALES Y REGLAMENTARIOS</t>
  </si>
  <si>
    <t>* Constante cambios en Política de precios, emitidas por el IGAC</t>
  </si>
  <si>
    <t>FACTORES GEOGRÁFICOS (ubicación, espacio,topografía, clima, recursos naturales, etc.)</t>
  </si>
  <si>
    <t>* Falta de mantenimiento periodico de las instalaciones donde se desarrolla el proceso de gestión catastral</t>
  </si>
  <si>
    <t>ARTICULACIÓN DE LOS PROCESOS</t>
  </si>
  <si>
    <t>* Dificultad en la integración de las plataformas</t>
  </si>
  <si>
    <t>* Cambios en las Normativas emitidas por los organismos de control fiscal y entidades de vigilancia</t>
  </si>
  <si>
    <t>falta de personal de planta yAlta rotación de personal contratista</t>
  </si>
  <si>
    <t>* Poca experiencia para ejecución de actividades catastrales</t>
  </si>
  <si>
    <t>* Ataques Ciberneticos</t>
  </si>
  <si>
    <t>* Constantes Cambios en los parametros de los procesos contractuales</t>
  </si>
  <si>
    <t>* Idoneidad del Personal para ejecutar los procesos catasatrales</t>
  </si>
  <si>
    <t>* Pandemias y Endemias</t>
  </si>
  <si>
    <t>* Carencia de licencias para el manejo diario de los procesos (Office, ArcGis, etc)</t>
  </si>
  <si>
    <t>* Catastofres Naturales</t>
  </si>
  <si>
    <t xml:space="preserve">* Obsolescencia Tecnologica </t>
  </si>
  <si>
    <t>PROCEDIMIENTOS DEL PROCESO</t>
  </si>
  <si>
    <t>* Deficiencia en la gestión documental del proceso</t>
  </si>
  <si>
    <t>ACTIVOS DE SEGURIDAD DIGITAL DEL PROCESO</t>
  </si>
  <si>
    <t>* Dificultad en la continuidad de la prestación del servicio de seguridad digital para el proceso</t>
  </si>
  <si>
    <t>*Concentración de poder en un solo funcionario</t>
  </si>
  <si>
    <t>* Uso de plataformas que no son propias de la entidad para el desarrollo y seguimiento de los tramites y productos</t>
  </si>
  <si>
    <t>34. ¿Se presentan fallas en los canales de información?</t>
  </si>
  <si>
    <t>33. ¿Se presentan fallas en el sistema de gestión documental para comunicar o notificar?</t>
  </si>
  <si>
    <t>32. ¿Falta comportamientos de integridad de lo público del servidor que decide la solicitud?</t>
  </si>
  <si>
    <t>31. ¿Falta control en el proceso financiero de pagos?</t>
  </si>
  <si>
    <t>30. ¿Se evidencia falsificación o manipulación en la información?</t>
  </si>
  <si>
    <t>29. ¿Falta controles administrativos en el proceso de revisión?</t>
  </si>
  <si>
    <t>28. ¿Falta comportamientos de integridad de lo público del servidor que revisa?</t>
  </si>
  <si>
    <t>27. ¿ Se evidencia debilidad en los controles existentes en los procesos y procedimientos?</t>
  </si>
  <si>
    <t>26. ¿El proceso de radicación presencial es complejo?</t>
  </si>
  <si>
    <t>25. ¿Hay debilidad en los canales de acceso a la publicidad de las condiciones del trámite?</t>
  </si>
  <si>
    <t>24. ¿Se evidencia falsificación en los documentos?</t>
  </si>
  <si>
    <t>23. ¿Los sistemas de información carecen de controles?</t>
  </si>
  <si>
    <t>22. ¿Hay fallas en la cultura de la probidad (honradez)?</t>
  </si>
  <si>
    <t xml:space="preserve">21. ¿Falta información clara? </t>
  </si>
  <si>
    <t>Otras causas generadoras</t>
  </si>
  <si>
    <t>20. ¿Todas las fases de ejecución de un trámite están soportadas con el uso de herramientas tecnológicas que previenen las acciones presenciales?</t>
  </si>
  <si>
    <t>19. ¿Existen espacios o puntos de encuentro entre el servidor y el usuario donde se pueda presentar?</t>
  </si>
  <si>
    <t>18. ¿La complejidad de los procedimientos del trámite desborda la capacidad de comprensión del usuario?</t>
  </si>
  <si>
    <t>17. ¿Existen servidores que tengan nexos con la temática que regulan?</t>
  </si>
  <si>
    <t>16. ¿Existen actores de presión en el tema regulado por el trámite que puedan incidir en las decisiones institucionales?</t>
  </si>
  <si>
    <t>15. ¿Existen bancos de conceptos técnico-jurídicos que frenen la interpretación subjetiva de las normas o reglamentos?</t>
  </si>
  <si>
    <t>14. ¿Existen parámetros técnicos que frenen el proceso de discrecionalidad?</t>
  </si>
  <si>
    <t>13. ¿Existen fases de análisis de los requisitos con excesiva reserva que impida la transparencia en el proceso?</t>
  </si>
  <si>
    <t>12. ¿Existe autonomía profesional para el análisis de requisitos y no existe manipulación de decisiones por encima de la decisión técnica?</t>
  </si>
  <si>
    <t>11. ¿Existen controles de la gestión de trámites a diario?</t>
  </si>
  <si>
    <t>10. ¿Los niveles salariales de los funcionarios que atienden los trámites, se ajustan a la complejidad de su función?</t>
  </si>
  <si>
    <t>9. ¿Se evidencia relaciones de amistad entre los servidores y tramitadores u oficinas especializadas en la gestión de trámites?</t>
  </si>
  <si>
    <t>8. ¿Existen mecanismos de verificación de legalidad de los requisitos acreditados por los ciudadanos?</t>
  </si>
  <si>
    <t>7. ¿Existe registros detallados de los documentos aportados y controles para evitar su pérdida?</t>
  </si>
  <si>
    <t>6. ¿Existe exceso de procedimientos y participación de varios funcionarios que interviene en la relación con el ciudadano?</t>
  </si>
  <si>
    <t xml:space="preserve">5 ¿Existe una caja menor o cuentas corrientes para recibir dineros correspondientes a trámites? </t>
  </si>
  <si>
    <t xml:space="preserve">4 ¿El sistema de turnos es asignado electrónicamente o manualmente con criterios de discrecionalidad del servidor? </t>
  </si>
  <si>
    <t xml:space="preserve">3 ¿Los servidores del área evidencian niveles de vida por encima del promedio del salario? </t>
  </si>
  <si>
    <t xml:space="preserve">2. ¿Los servidores del área de radicación manejan dinero de los usuarios o información privilegiada que pueda afectar la dinámica del mercado? </t>
  </si>
  <si>
    <t>1 ¿Los servidores del área de radicación efectúan registros manuales o electrónicos?</t>
  </si>
  <si>
    <t>NO</t>
  </si>
  <si>
    <t>SI</t>
  </si>
  <si>
    <r>
      <t>RESPUESTA 
(</t>
    </r>
    <r>
      <rPr>
        <b/>
        <i/>
        <sz val="10"/>
        <color theme="1"/>
        <rFont val="Arial"/>
        <family val="2"/>
      </rPr>
      <t>seleccione con</t>
    </r>
    <r>
      <rPr>
        <b/>
        <sz val="10"/>
        <color theme="1"/>
        <rFont val="Arial"/>
        <family val="2"/>
      </rPr>
      <t xml:space="preserve"> X)</t>
    </r>
  </si>
  <si>
    <t>Posibles causas de hechos de corrupción en actividades asociadas al trámite</t>
  </si>
  <si>
    <t>Riesgo de corrupción asociado al trámite</t>
  </si>
  <si>
    <t>X</t>
  </si>
  <si>
    <t>Posibilidad de recibir o solicitar cualquier dadiva o beneficio a nombre propio o de terceros con el fin de agilizar un tramite o producto, o de dar una respuesta conveniente al usuario</t>
  </si>
  <si>
    <t xml:space="preserve"> 4 de 15</t>
  </si>
  <si>
    <t>Pagina:</t>
  </si>
  <si>
    <t>Fecha:</t>
  </si>
  <si>
    <t>FORMATO: PRIORIZACIÓN DE CAUSAS DE  RIESGOS DE CORRUPCIÓN ASOCIADOS A TRÁMITES</t>
  </si>
  <si>
    <t>Versión:</t>
  </si>
  <si>
    <t>FOR-13-PRO-SIG-05</t>
  </si>
  <si>
    <t xml:space="preserve">Codigo:                        </t>
  </si>
  <si>
    <t>10. Cambios de Gobierno</t>
  </si>
  <si>
    <t>9. Condiciones tecnológicas insuficientes de almacenamiento y procesamiento de información, ataques ciberneticos (Hakeos)</t>
  </si>
  <si>
    <t>8. Gran Cantidad de leyes que pueden generar confusión y/o Vacios Normativos que pueden generar diversas interpretaciones o dificultar la gestión</t>
  </si>
  <si>
    <t>7. Condiciones Ambientales ( temblores, sismos, etc)</t>
  </si>
  <si>
    <t>6. Dependencia Financiera y Funcional</t>
  </si>
  <si>
    <t>5. Penalidades por incumplimiento en Normatividad</t>
  </si>
  <si>
    <r>
      <t xml:space="preserve">D4D6D14A1A3A10: </t>
    </r>
    <r>
      <rPr>
        <sz val="10"/>
        <rFont val="Arial"/>
        <family val="2"/>
      </rPr>
      <t>Reportar a conrol interno y control disciplinario y/o Denuncia disciplinaria, penal  o la pertinente del caso, reportortar al personal de planta y contratista que incumpla sus funciones y actualizar el mapa de riesgos.</t>
    </r>
  </si>
  <si>
    <t>4. rechazo de la ciudadania a procesos de actualización de la información catastral</t>
  </si>
  <si>
    <r>
      <t xml:space="preserve">D5A5 </t>
    </r>
    <r>
      <rPr>
        <sz val="10"/>
        <rFont val="Arial"/>
        <family val="2"/>
      </rPr>
      <t xml:space="preserve">Solicitar información y capacitación para actualiación de conocimientos relacionados con las diferentes normatividades que se manejan o rigen el proceso, estas se pueden solicitar a los entres regulatorios como la SNR y el IGAC </t>
    </r>
  </si>
  <si>
    <t>3. Condiciones de inseguridad de algunas zonas del Territorio</t>
  </si>
  <si>
    <r>
      <rPr>
        <b/>
        <sz val="10"/>
        <rFont val="Arial"/>
        <family val="2"/>
      </rPr>
      <t xml:space="preserve">D8A9 </t>
    </r>
    <r>
      <rPr>
        <sz val="10"/>
        <rFont val="Arial"/>
        <family val="2"/>
      </rPr>
      <t>Solicitar el apoyo necesario de la secretaria de las TIC´s para contrarrestrar hakeos en los sistemas manejados en el proceso</t>
    </r>
  </si>
  <si>
    <t>2. Dinámica de crecimiento y desarrollo de la ciudad y los actuales retos que le planteará el Plan de Desarrollo 2024-2027</t>
  </si>
  <si>
    <r>
      <rPr>
        <b/>
        <sz val="10"/>
        <rFont val="Arial"/>
        <family val="2"/>
      </rPr>
      <t xml:space="preserve">F3A6 </t>
    </r>
    <r>
      <rPr>
        <sz val="10"/>
        <rFont val="Arial"/>
        <family val="2"/>
      </rPr>
      <t>Potencializar la generacion de productos que puedan generar los recursos que contrarresten un poco la dependencia financiera</t>
    </r>
  </si>
  <si>
    <r>
      <rPr>
        <b/>
        <sz val="10"/>
        <rFont val="Arial"/>
        <family val="2"/>
      </rPr>
      <t>D4A6</t>
    </r>
    <r>
      <rPr>
        <sz val="10"/>
        <rFont val="Arial"/>
        <family val="2"/>
      </rPr>
      <t xml:space="preserve"> Solicitar incorporación de recursos para la adquisición de los diferentes insumos que requiera la Dirección para el cumplimiento del proceso de gestión catastral</t>
    </r>
  </si>
  <si>
    <t>1. Aumento de las solicitudes - reclamos de los ciudadanos - usuarios</t>
  </si>
  <si>
    <t>12. Codigo de Integridad y Buen Gobierno adoptado, publicado y fomentado por la administración municipal</t>
  </si>
  <si>
    <t>11. Optimizar el uso y aprovechamiento de la información geografica</t>
  </si>
  <si>
    <t>9. Posibilidad de implementar buenas prácticas, metodologías de otros catastros u otros referentes o ideas y/o tendencias innovadoras</t>
  </si>
  <si>
    <t>7. Ampliación del Portafolio de productos y servicios para la ciudad</t>
  </si>
  <si>
    <r>
      <rPr>
        <b/>
        <sz val="10"/>
        <rFont val="Arial"/>
        <family val="2"/>
      </rPr>
      <t>D13O5O10:</t>
    </r>
    <r>
      <rPr>
        <sz val="10"/>
        <rFont val="Arial"/>
        <family val="2"/>
      </rPr>
      <t xml:space="preserve"> </t>
    </r>
    <r>
      <rPr>
        <b/>
        <sz val="10"/>
        <rFont val="Arial"/>
        <family val="2"/>
      </rPr>
      <t>a)</t>
    </r>
    <r>
      <rPr>
        <sz val="10"/>
        <rFont val="Arial"/>
        <family val="2"/>
      </rPr>
      <t xml:space="preserve"> La Secretaria de Planeación y/o la Dirección de Planeación Multipropósito deberan gestionar, revisar y analisar la contratación del Sistema Catastral y solicitar la funcionalidad de este con la empresa que se contrate para realizar el funcionamiento y mantenimiento; </t>
    </r>
    <r>
      <rPr>
        <b/>
        <sz val="10"/>
        <rFont val="Arial"/>
        <family val="2"/>
      </rPr>
      <t xml:space="preserve">b) </t>
    </r>
    <r>
      <rPr>
        <sz val="10"/>
        <rFont val="Arial"/>
        <family val="2"/>
      </rPr>
      <t>El Grupo tecnico, administrativo y de radicación siguen los pasos aprobados para la radicación y realización de un tramite o producto catastral.</t>
    </r>
  </si>
  <si>
    <t>3. Actualización y Nuevas Certificaciones</t>
  </si>
  <si>
    <r>
      <rPr>
        <b/>
        <sz val="10"/>
        <rFont val="Arial"/>
        <family val="2"/>
      </rPr>
      <t>D1D5O1</t>
    </r>
    <r>
      <rPr>
        <sz val="10"/>
        <rFont val="Arial"/>
        <family val="2"/>
      </rPr>
      <t xml:space="preserve">: La Directora o quien ella delegue debe solicitar al IGAC capacitaciones sobre experiencias y sobre las nuevas reglamentaciones aprobadas por el ente  </t>
    </r>
  </si>
  <si>
    <t>2. Posibilidad de Ingresos para la ciudad por concepto de la prestación del servicio como gestor y operador catastral</t>
  </si>
  <si>
    <r>
      <rPr>
        <b/>
        <sz val="10"/>
        <rFont val="Arial"/>
        <family val="2"/>
      </rPr>
      <t>D14O12:</t>
    </r>
    <r>
      <rPr>
        <sz val="10"/>
        <rFont val="Arial"/>
        <family val="2"/>
      </rPr>
      <t xml:space="preserve"> La Directora junto a su equipo de trabajo de manera mensual realizará comité tecnico con el fin de socializar al menos un valor o principio del codigo de integridad del buen gobierno con el proposito de interiorizar en los funcionarios y contratistas acciones eticas para el desarrollo de sus actividades</t>
    </r>
  </si>
  <si>
    <t>1. Oferta de de la entidad reguladora IGAC, de capacitaciones a nivel nacional</t>
  </si>
  <si>
    <t>14. Falta comportamientos de integridad de lo público del servidor que revisa y/o decide la solicitud</t>
  </si>
  <si>
    <t>13. Debilidad en los controles existentes en los procesos y procedimientos</t>
  </si>
  <si>
    <t>12. Responsabilidad, sentido de pertenencia, Honestidad y transparencia</t>
  </si>
  <si>
    <t>12. Debilidades en la comunicación y retroalimentación con los funcionarios</t>
  </si>
  <si>
    <t>11. Experiencia en la generación de productos catastrales</t>
  </si>
  <si>
    <t>11. Planeación sujeta a recursos financieros insuficientes frente a las necesidades</t>
  </si>
  <si>
    <t>10. Falta de mayor articulación o comunicación entre dependencias</t>
  </si>
  <si>
    <t>9. Psoibilidad de Estructuración de procesos y procedimientos</t>
  </si>
  <si>
    <t>9. Falta o baja Interoperabilidad de algunos sistemas internos y con otras entidades</t>
  </si>
  <si>
    <t>8. Utilización de métodos de recolección de información (directos, indirectos,declarativos y/o colaborativos)</t>
  </si>
  <si>
    <t>8. Dependencia de terceros para ajustes a sistemas existentes y/o desarrollos tecnológicos</t>
  </si>
  <si>
    <t>7. Ubicación Central y estratégica del Centro de Catastro Multipropósito</t>
  </si>
  <si>
    <t>6. Existencia de Cartografia Catastral Base</t>
  </si>
  <si>
    <t>6. Falta de personal en algunos temas o procesos, ej. Misionales; dada la alta demanda de trámites o nuevas demandas o retos.</t>
  </si>
  <si>
    <t>5. Disponibilidad de medios de comunicación de la entidad para dar a conocer servicios y tramites prestado dentro del proceso</t>
  </si>
  <si>
    <t>5. Desconocimiento detallado de la implementación de algunos temas. Ej. Métodos, modelos para Catastro Multipropósito (LADM-COL, métodos indirectos, colaborativos y declarativos)</t>
  </si>
  <si>
    <t>4. Contar con Moderno y Amplio Centro Catastral</t>
  </si>
  <si>
    <t>4. Demoras en la ejecución de procesos,como: Contratación, nombramientos, pagos.</t>
  </si>
  <si>
    <t>3. Rentabilidad a Mediano y Largo Plazo</t>
  </si>
  <si>
    <t>3. Incumplimiento o demora en los tiempos de respuesta a trámites y peticiones</t>
  </si>
  <si>
    <t>2. Disposición y buen servicio en el manejo de atención al usuario. y/o atención de cliente interno y externo</t>
  </si>
  <si>
    <t>2. Alta rotación de personal.</t>
  </si>
  <si>
    <t>1. Contar con sistema integrado de gestion de la entidad, Implementación de sistemas de gestión. Ej. Fortalecimiento, Control interno</t>
  </si>
  <si>
    <t>1. Algunos procesos y/o procedimientos desactualizados</t>
  </si>
  <si>
    <t>Pagina:  5 de 15</t>
  </si>
  <si>
    <t>Versión: 05</t>
  </si>
  <si>
    <t>Codigo: FOR-13-PRO-SIG-05</t>
  </si>
  <si>
    <t>Insuficiencia del personal de planta o contratistas para el adecuado cumplimiento de los tiempos de respuesta de los tramites</t>
  </si>
  <si>
    <t xml:space="preserve">Falta del sistema de información catastral adecuado y robusto que permita dar respuesta oportuna y llevar trazabilidad de los tramites </t>
  </si>
  <si>
    <t>Gestión</t>
  </si>
  <si>
    <t>GESTIÓN CATASTRAL</t>
  </si>
  <si>
    <t>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</si>
  <si>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INICIA DESDE LA PLANEACIÓN DE LAS ACTIVIDADES DE FORMACIÓN, ACTUALIZACIÓN, CONSERVACIÓN Y
DIFUSIÓN DE LA INFORMACIÓN CATASTRAL HASTA LA REALIZACIÓN DE LAS VERIFICACIONES DEL PROCESO</t>
  </si>
  <si>
    <t>Directora de Planeación Multipropósito y su equipo de trabajo</t>
  </si>
  <si>
    <t>01/May/2024 al 31/Dic/2024</t>
  </si>
  <si>
    <t>OBJETIVO: 
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</si>
  <si>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PROCESO: GESTIÓN CATASTRAL</t>
  </si>
  <si>
    <t xml:space="preserve">*Debilidad en los controles existentes en los procesos </t>
  </si>
  <si>
    <t>*Falta de comportamientos de integridad de lo publico del servidor que revisa y/o aprueba la solicitud</t>
  </si>
  <si>
    <r>
      <rPr>
        <sz val="12"/>
        <color theme="6" tint="-0.249977111117893"/>
        <rFont val="Arial Narrow"/>
        <family val="2"/>
      </rPr>
      <t xml:space="preserve">*Sanciones por parte de los entes rectores (IGAC-SNR)   </t>
    </r>
    <r>
      <rPr>
        <sz val="12"/>
        <color theme="1"/>
        <rFont val="Arial Narrow"/>
        <family val="2"/>
      </rPr>
      <t xml:space="preserve">                      </t>
    </r>
  </si>
  <si>
    <t>Getsion de eventos</t>
  </si>
  <si>
    <t>7. Captura parcial de los cambios físicos y/o economicos de los predios del municipio (urbanos y rurales),por la inclusión de nuevas variables del enfoque multipropósito.</t>
  </si>
  <si>
    <t>10. Mejoras en los procesos, resultado de la iniciativa de los funcionarios</t>
  </si>
  <si>
    <t>13. La Administración Municipal cuenta con la Plataforma Integrada de Sistemas de Información - PISAMI, la cual mide y lleva el control de los tiempos de respuesta de PQR y tramites realizados en cada Secretaria o Dirección. (PISAMI)</t>
  </si>
  <si>
    <t>14. La administración Municipal cuenta con tablas de retenciaón documental para identificación de asuntos o tramites de cada dirección,que permite llevar tiempos de respuesta y conservación de los documentos de manera fisica y digital. Grupo interdisciplinario especializado en la Gestión Documental, que cuenta con los instrumentos y procesos archivisticos y de radicación reglamentados para llevar control de la documentación. (Grupo de Gestión Documental asociado a la dirección de Recursos Fisicos de la administración Municipal)</t>
  </si>
  <si>
    <t>15. Desactualización de hojas de vida de tramites catastrales</t>
  </si>
  <si>
    <t>16. Falta de articulación del proceso catastral con los instrumentos y procesos archivisticos del grupo de gestión documental, ya que a la fecha el proceso de gestión catastral no cuenta con tablas de retención documental ni procedimentos de radicación reglamentado dentro del grupo de gestión documental.</t>
  </si>
  <si>
    <t>17. Falta de inclusión del proceso catastral dentro de la plataforma administrativa, Pisami</t>
  </si>
  <si>
    <r>
      <t xml:space="preserve">F13F14O4O10: </t>
    </r>
    <r>
      <rPr>
        <sz val="10"/>
        <rFont val="Arial"/>
        <family val="2"/>
      </rPr>
      <t>La Directora Solicitará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r>
    <r>
      <rPr>
        <b/>
        <sz val="10"/>
        <rFont val="Arial"/>
        <family val="2"/>
      </rPr>
      <t>.</t>
    </r>
  </si>
  <si>
    <t>4. Generar credibilidad y confianza en los procesos de las instituciones públicas</t>
  </si>
  <si>
    <r>
      <rPr>
        <b/>
        <sz val="10"/>
        <rFont val="Arial"/>
        <family val="2"/>
      </rPr>
      <t>D3D7D9O6O5</t>
    </r>
    <r>
      <rPr>
        <sz val="10"/>
        <rFont val="Arial"/>
        <family val="2"/>
      </rPr>
      <t>: La Directora solicitará a su equipo de trabajo y al operador de la herramienta técnologica, mantener actualizadas y cumplir con los controles y el flujo documental y los tiempos de respuesta que se implemente dentro de cada mutación catastral conforme se describe dentro de las hojas de vida de los tramites, las cuales siguen la normatividad vigente y exigida por el ente regulador, en este caso el Instituto Geografico Agustin Codazzi (IGAC)</t>
    </r>
  </si>
  <si>
    <t>5. Contrtación de un software catastral eficiente (Con miras a que este sea Apropiado por la administración Municipal)</t>
  </si>
  <si>
    <r>
      <rPr>
        <b/>
        <sz val="10"/>
        <rFont val="Arial"/>
        <family val="2"/>
      </rPr>
      <t>D15O6</t>
    </r>
    <r>
      <rPr>
        <sz val="10"/>
        <rFont val="Arial"/>
        <family val="2"/>
      </rPr>
      <t>: El equipo delegado por la Directora, se encargará de realizar la actualización de las Hojas de vida de los tramites catastrales según cada mutación siguiendo la Normatividad del IGAC, que en este caso corresponde a las resoluciones emitidas el último año, estas seran revisadas y aprobadas por la Directora.</t>
    </r>
  </si>
  <si>
    <t>6. Actualización de Hojas de Vida de tramites catastrales,reglamentadas con la ultima normatividad del IGAC, llevando control de cada tramite dentro de ellas.</t>
  </si>
  <si>
    <t>8. Apoyar el Desarrollo de la politica publica de catastro multiproposito mediante la implementación y prestación de los servicios de gestión y/u operación catastral con fines multiproposito</t>
  </si>
  <si>
    <t>10. Virtualización parcial o total de trámites y procesos; Ej. Trámites y servicios relacionamiento con el ciudadano, virtualización de documentos,control y agilización de los tiempos de respuesta.</t>
  </si>
  <si>
    <t xml:space="preserve">13. </t>
  </si>
  <si>
    <t xml:space="preserve">14. </t>
  </si>
  <si>
    <t>*Inoportunidad en los tiempos de  respuesta a los usuarios</t>
  </si>
  <si>
    <t xml:space="preserve">Posibilidad de Impacto Economico y Reputacional, por sanciones por parte de los entes rectores (IGAC-SNR, ect) debido a la Inoportunidad de respuesta a las solicitudes de tramites y productos catastrales, lo que conllevaria a constantes quejas de usuarios                                                                                          </t>
  </si>
  <si>
    <t xml:space="preserve">Desde la Radicación, cuando el usuario realiza la radicación o solicitud del tramite en oficinas diferentes a las de catastro y/o por Pisami como PQR; y cuando estos son remitidos a catastro, llegan fuera de los tiempos de respuesta. En el seguimiento y  la ejecución, debido que cuando llegan los tramites a los ejecutores estos al realizar el analisis o verificación de docuementos se pueden detectar falta de documentación, para lo cual se debe requerir al usuario para que entregue dicha documentación dentro del tiempo establecido. </t>
  </si>
  <si>
    <t>El Grupo tecnico, administrativo y de radicación siguen los pasos aprobados para la radicación y realización de un tramite o producto catastral.  Mensualmente realizar  seguimiento al plan de choque solicitado por la directora donde se consignan las respuestas brindadas a las solicitudes de los usuarios de PQR (Pisamis) y/o solicitudes radicadas en el Cam</t>
  </si>
  <si>
    <r>
      <rPr>
        <b/>
        <sz val="10"/>
        <rFont val="Arial"/>
        <family val="2"/>
      </rPr>
      <t xml:space="preserve">F5O4: </t>
    </r>
    <r>
      <rPr>
        <sz val="10"/>
        <rFont val="Arial"/>
        <family val="2"/>
      </rPr>
      <t>Generar estrategias de socialización que permita la comunicación asertiva con los diferentes encargados de los procesos catastrales para la correcta tramitación de los mismos.</t>
    </r>
  </si>
  <si>
    <t>Cuando se presenten fallas o  haya dudas en el manejo de la plataforma o se requiera actualización de algun modulo de la misma se realizara solicitud mediante correo electronico y/o se realizaran mesas de trabajo con los administradores de la plataforma.</t>
  </si>
  <si>
    <t>Directora de Planeación Multipropósito y/o su equipo de trabajo</t>
  </si>
  <si>
    <t>01/sep/2024 al 31/Dic/2024</t>
  </si>
  <si>
    <t>01/sepy/2024 al 31/Dic/2024</t>
  </si>
  <si>
    <t xml:space="preserve">La Directora verifica el personal que se requiere en la Dirección con el fin de solicitar su contratación, para desarrollar las actividades propias del proceso. Esta actividad deberá realizarce dos veces al año. En caso de no contar con el personal requerido, La Directora de Planeación Multipropósito, verifica los planes de choque  delegados de los rezagos de tramites, esto con el fin de ir evacuando los que están fuera de tiempos de respuesta, delegando por metas a cada uno de los contratistas con los que cuenta en el momento la dirección, todos los tramites deben realizarce siguiendo los controles y el flujo documental y los tiempos de respuesta que se implemente para cada mutación catastral conforme se describe dentro de las hojas de vida de los tramites; los seguimientos a estas metas se realizaran mediante reunión por lo menos una vez al mes. </t>
  </si>
  <si>
    <t>Plan de adquisiciones y actas de reuniones de segumiento realizadas a la fecha</t>
  </si>
  <si>
    <t>Se analiza la contratación de un sistema catastral que cumpla con la normatividad actual, el cual debe contar con un sistema de alertas que indique el estado del tramite, este proceso es realizado por la Secretaria de planeación junto a la Dirección de Planeación Multipropósito. Asi mismo cada vez que se requiera validar el funcionamiento del sistema de información catastral, según los requerimientos de los ejecutores y/o usuarios, se solicitara a los administradores de la plataforma la necesidad de revisar y validar el cumplimiento del servicio y fortalecer el software o los módulos de este si es necesario, dejando como evidencia, actas de reunión y/o solicitudes escritas y/o informes presentados por la empresa contratada, esta acción será realizada por la Directora de Planeación Multiproposito o a quien ella Delegue para esta actividad.</t>
  </si>
  <si>
    <t>Actas de reuiniones o planillas de asistencia o correo electronico o informes de la empresa contratada</t>
  </si>
  <si>
    <t>Falta de Ventanilla Unica para la Gestión Catastral, debido al desconocimiento de las demás ventanillas de la administración para poder orientar de forma acertada a los usuarios en cuanto a tramites catastrales</t>
  </si>
  <si>
    <t>La Dirección de Planeación Multipropósito, requiere la creación de ventanilla unica de gestión catastral, con el fin de brindar la asesoria y la recepción de los tramites catastrales en un solo lugar. Teniendo en cuenta que la gestión catastral es un servicio público único especial, que requiere del conocimiento de los requisitos de cada tramite y asi evitar errores en la solicitud, esto deberá realizarce dentro de los siguientes 2 meses. Dado el caso que la respuesta sea negativa, se solicitará la capacitación al personal de las demás ventanillas (Planeación, ventanilla alcaldia, pqr y pisami) para que puedan guiar a los usuarios y/o puedan remitirlo a las oficinas de catastro para que realicen su solicitud personalmente en el cam de la pola o por medio del enlace de la plataforma catastral que existirá para los usuarios, ademas se solicitará la inclusión de los tramites y el boton de la pagina de la plataforma dentro del sitio web de la alcaldía, esto se deberá realizar en los proximos 3 meses</t>
  </si>
  <si>
    <t>Remitir memorando o correo electronico al grupo de gestión documental para la creación de la ventanilla unica de la gestión catastral. Además de no poderse crear la ventanilla única,  La Directora Solicitará una capacitación para orientar a las demas ventanillas y requerira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</si>
  <si>
    <t>Correo electronico o memorando enviado o actas de mesas tecnicas o asistencias a 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</si>
</sst>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7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b/>
      <i/>
      <sz val="10"/>
      <color theme="1"/>
      <name val="Arial"/>
      <family val="2"/>
    </font>
    <font>
      <sz val="9"/>
      <color theme="1"/>
      <name val="Arial"/>
      <family val="2"/>
    </font>
    <font>
      <b/>
      <sz val="10"/>
      <color indexed="8"/>
      <name val="Arial"/>
      <family val="2"/>
    </font>
    <font>
      <sz val="12"/>
      <color theme="6" tint="-0.249977111117893"/>
      <name val="Arial Narrow"/>
      <family val="2"/>
    </font>
    <font>
      <sz val="8"/>
      <name val="Calibri"/>
      <family val="2"/>
      <scheme val="minor"/>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B57"/>
        <bgColor indexed="64"/>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0" fillId="0" borderId="0" xfId="0" applyAlignment="1">
      <alignment horizontal="center"/>
    </xf>
    <xf numFmtId="0" fontId="61" fillId="15" borderId="78" xfId="0" applyFont="1" applyFill="1" applyBorder="1" applyAlignment="1">
      <alignment horizontal="left" vertical="center" wrapText="1"/>
    </xf>
    <xf numFmtId="0" fontId="61" fillId="21" borderId="78" xfId="0" applyFont="1" applyFill="1" applyBorder="1" applyAlignment="1">
      <alignment horizontal="left" vertical="center" wrapText="1"/>
    </xf>
    <xf numFmtId="0" fontId="61" fillId="22" borderId="79" xfId="0" applyFont="1" applyFill="1" applyBorder="1" applyAlignment="1">
      <alignment horizontal="left" vertical="center" wrapText="1"/>
    </xf>
    <xf numFmtId="0" fontId="61" fillId="0" borderId="41" xfId="0" applyFont="1" applyBorder="1" applyAlignment="1" applyProtection="1">
      <alignment horizontal="center" vertical="center" wrapText="1"/>
      <protection locked="0"/>
    </xf>
    <xf numFmtId="0" fontId="61" fillId="0" borderId="40" xfId="0" applyFont="1" applyBorder="1" applyAlignment="1" applyProtection="1">
      <alignment horizontal="center" vertical="center" wrapText="1"/>
      <protection locked="0"/>
    </xf>
    <xf numFmtId="0" fontId="61" fillId="0" borderId="38" xfId="0" applyFont="1" applyBorder="1" applyAlignment="1" applyProtection="1">
      <alignment horizontal="center" vertical="center" wrapText="1"/>
      <protection locked="0"/>
    </xf>
    <xf numFmtId="0" fontId="61" fillId="0" borderId="33" xfId="0" applyFont="1" applyBorder="1" applyAlignment="1" applyProtection="1">
      <alignment horizontal="center" vertical="center" wrapText="1"/>
      <protection locked="0"/>
    </xf>
    <xf numFmtId="0" fontId="67" fillId="23" borderId="38" xfId="0" applyFont="1" applyFill="1" applyBorder="1" applyAlignment="1">
      <alignment horizontal="center" vertical="center"/>
    </xf>
    <xf numFmtId="0" fontId="67" fillId="23" borderId="33" xfId="0" applyFont="1" applyFill="1" applyBorder="1" applyAlignment="1">
      <alignment horizontal="center" vertical="center"/>
    </xf>
    <xf numFmtId="0" fontId="61" fillId="0" borderId="38" xfId="0" applyFont="1" applyBorder="1" applyAlignment="1" applyProtection="1">
      <alignment horizontal="left" vertical="center" wrapText="1"/>
      <protection locked="0"/>
    </xf>
    <xf numFmtId="0" fontId="66" fillId="0" borderId="40" xfId="0" applyFont="1" applyBorder="1" applyAlignment="1">
      <alignment horizontal="left" vertical="center" wrapText="1"/>
    </xf>
    <xf numFmtId="0" fontId="66" fillId="0" borderId="40" xfId="0" applyFont="1" applyBorder="1" applyAlignment="1">
      <alignment vertical="center" wrapText="1"/>
    </xf>
    <xf numFmtId="14" fontId="66" fillId="0" borderId="33" xfId="0" applyNumberFormat="1" applyFont="1" applyBorder="1" applyAlignment="1">
      <alignment horizontal="left" vertical="center" wrapText="1"/>
    </xf>
    <xf numFmtId="0" fontId="66" fillId="0" borderId="33" xfId="0" applyFont="1" applyBorder="1" applyAlignment="1">
      <alignment vertical="center" wrapText="1"/>
    </xf>
    <xf numFmtId="0" fontId="66" fillId="0" borderId="33" xfId="0" applyFont="1" applyBorder="1" applyAlignment="1">
      <alignment horizontal="left" vertical="center" wrapText="1"/>
    </xf>
    <xf numFmtId="0" fontId="66" fillId="0" borderId="78" xfId="0" applyFont="1" applyBorder="1" applyAlignment="1">
      <alignment horizontal="left" vertical="center" wrapText="1"/>
    </xf>
    <xf numFmtId="0" fontId="66" fillId="0" borderId="78" xfId="0" applyFont="1" applyBorder="1" applyAlignment="1">
      <alignment vertical="center" wrapText="1"/>
    </xf>
    <xf numFmtId="0" fontId="2" fillId="3" borderId="75" xfId="0" applyFont="1" applyFill="1" applyBorder="1" applyAlignment="1">
      <alignment vertical="center" wrapText="1"/>
    </xf>
    <xf numFmtId="0" fontId="2" fillId="0" borderId="2" xfId="0" applyFont="1" applyBorder="1" applyAlignment="1" applyProtection="1">
      <alignment horizontal="justify" vertical="top" wrapText="1"/>
      <protection locked="0"/>
    </xf>
    <xf numFmtId="0" fontId="2"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4" xfId="0" applyFont="1" applyBorder="1" applyAlignment="1" applyProtection="1">
      <alignment vertical="top" wrapText="1"/>
      <protection locked="0"/>
    </xf>
    <xf numFmtId="0" fontId="1" fillId="0" borderId="0" xfId="0" applyFont="1" applyAlignment="1">
      <alignment vertical="center" wrapText="1"/>
    </xf>
    <xf numFmtId="0" fontId="2" fillId="0" borderId="2" xfId="0" applyFont="1" applyBorder="1" applyAlignment="1" applyProtection="1">
      <alignment horizontal="center" vertical="top" wrapText="1"/>
      <protection locked="0"/>
    </xf>
    <xf numFmtId="14" fontId="27" fillId="0" borderId="4" xfId="0" applyNumberFormat="1" applyFont="1" applyBorder="1" applyAlignment="1" applyProtection="1">
      <alignment vertical="top" wrapText="1"/>
      <protection locked="0"/>
    </xf>
    <xf numFmtId="0" fontId="27" fillId="0" borderId="4" xfId="0" applyFont="1" applyBorder="1" applyAlignment="1" applyProtection="1">
      <alignment vertical="top"/>
      <protection locked="0"/>
    </xf>
    <xf numFmtId="0" fontId="50" fillId="0" borderId="4" xfId="0" applyFont="1" applyBorder="1" applyAlignment="1" applyProtection="1">
      <alignment horizontal="center" vertical="top" wrapText="1"/>
      <protection locked="0"/>
    </xf>
    <xf numFmtId="0" fontId="2" fillId="0" borderId="75" xfId="0" applyFont="1" applyBorder="1" applyAlignment="1">
      <alignmen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40" xfId="0" applyFont="1" applyBorder="1" applyAlignment="1">
      <alignment horizontal="left" vertical="center" wrapText="1"/>
    </xf>
    <xf numFmtId="0" fontId="67" fillId="23" borderId="77" xfId="0" applyFont="1" applyFill="1" applyBorder="1" applyAlignment="1">
      <alignment horizontal="center" vertical="center" wrapText="1"/>
    </xf>
    <xf numFmtId="0" fontId="67" fillId="23" borderId="37" xfId="0" applyFont="1" applyFill="1" applyBorder="1" applyAlignment="1">
      <alignment horizontal="center" vertical="center" wrapText="1"/>
    </xf>
    <xf numFmtId="0" fontId="63" fillId="23" borderId="78" xfId="0" applyFont="1" applyFill="1" applyBorder="1" applyAlignment="1">
      <alignment horizontal="center" vertical="center"/>
    </xf>
    <xf numFmtId="0" fontId="63" fillId="23" borderId="33" xfId="0" applyFont="1" applyFill="1" applyBorder="1" applyAlignment="1">
      <alignment horizontal="center" vertical="center"/>
    </xf>
    <xf numFmtId="0" fontId="68" fillId="23" borderId="78" xfId="0" applyFont="1" applyFill="1" applyBorder="1" applyAlignment="1">
      <alignment horizontal="center" vertical="center" wrapText="1"/>
    </xf>
    <xf numFmtId="0" fontId="68" fillId="23" borderId="79" xfId="0" applyFont="1"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61" fillId="0" borderId="39" xfId="0" applyFont="1" applyBorder="1" applyAlignment="1" applyProtection="1">
      <alignment horizontal="center" vertical="center" wrapText="1"/>
      <protection locked="0"/>
    </xf>
    <xf numFmtId="0" fontId="67" fillId="19" borderId="33" xfId="0" applyFont="1" applyFill="1" applyBorder="1" applyAlignment="1">
      <alignment horizontal="left" vertical="center" wrapText="1"/>
    </xf>
    <xf numFmtId="0" fontId="67" fillId="19" borderId="38" xfId="0" applyFont="1" applyFill="1" applyBorder="1" applyAlignment="1">
      <alignment horizontal="left" vertical="center" wrapText="1"/>
    </xf>
    <xf numFmtId="0" fontId="61" fillId="0" borderId="33" xfId="0" applyFont="1" applyBorder="1" applyAlignment="1">
      <alignment horizontal="left" vertical="top" wrapText="1"/>
    </xf>
    <xf numFmtId="0" fontId="66" fillId="0" borderId="85"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103" xfId="0" applyFont="1" applyBorder="1" applyAlignment="1">
      <alignment horizontal="center" vertical="center" wrapText="1"/>
    </xf>
    <xf numFmtId="0" fontId="61" fillId="13" borderId="33" xfId="0" applyFont="1" applyFill="1" applyBorder="1" applyAlignment="1">
      <alignment horizontal="left" vertical="center" wrapText="1"/>
    </xf>
    <xf numFmtId="0" fontId="61" fillId="0" borderId="77" xfId="0" applyFont="1" applyBorder="1" applyAlignment="1">
      <alignment horizontal="center"/>
    </xf>
    <xf numFmtId="0" fontId="61" fillId="0" borderId="37" xfId="0" applyFont="1" applyBorder="1" applyAlignment="1">
      <alignment horizontal="center"/>
    </xf>
    <xf numFmtId="0" fontId="61" fillId="0" borderId="39" xfId="0" applyFont="1" applyBorder="1" applyAlignment="1">
      <alignment horizontal="center"/>
    </xf>
    <xf numFmtId="0" fontId="76" fillId="0" borderId="33" xfId="0" applyFont="1" applyBorder="1" applyAlignment="1">
      <alignment horizontal="center" vertical="center" wrapText="1"/>
    </xf>
    <xf numFmtId="0" fontId="76" fillId="0" borderId="40" xfId="0" applyFont="1" applyBorder="1" applyAlignment="1">
      <alignment horizontal="center" vertical="center" wrapText="1"/>
    </xf>
    <xf numFmtId="0" fontId="61" fillId="0" borderId="14" xfId="0" applyFont="1" applyBorder="1" applyAlignment="1">
      <alignment horizontal="center"/>
    </xf>
    <xf numFmtId="0" fontId="61" fillId="0" borderId="0" xfId="0" applyFont="1" applyAlignment="1">
      <alignment horizontal="center"/>
    </xf>
    <xf numFmtId="0" fontId="67" fillId="20" borderId="77" xfId="0" applyFont="1" applyFill="1" applyBorder="1" applyAlignment="1">
      <alignment horizontal="left" vertical="center"/>
    </xf>
    <xf numFmtId="0" fontId="67" fillId="20" borderId="78" xfId="0" applyFont="1" applyFill="1" applyBorder="1" applyAlignment="1">
      <alignment horizontal="left" vertical="center"/>
    </xf>
    <xf numFmtId="0" fontId="67" fillId="20" borderId="79" xfId="0" applyFont="1" applyFill="1" applyBorder="1" applyAlignment="1">
      <alignment horizontal="left" vertical="center"/>
    </xf>
    <xf numFmtId="0" fontId="67" fillId="20" borderId="37" xfId="0" applyFont="1" applyFill="1" applyBorder="1" applyAlignment="1">
      <alignment horizontal="left" vertical="center"/>
    </xf>
    <xf numFmtId="0" fontId="67" fillId="20" borderId="33" xfId="0" applyFont="1" applyFill="1" applyBorder="1" applyAlignment="1">
      <alignment horizontal="left" vertical="center"/>
    </xf>
    <xf numFmtId="0" fontId="67" fillId="20" borderId="38" xfId="0" applyFont="1" applyFill="1" applyBorder="1" applyAlignment="1">
      <alignment horizontal="left" vertical="center"/>
    </xf>
    <xf numFmtId="0" fontId="75" fillId="20" borderId="37" xfId="0" applyFont="1" applyFill="1" applyBorder="1" applyAlignment="1">
      <alignment horizontal="left" vertical="center" wrapText="1"/>
    </xf>
    <xf numFmtId="0" fontId="75" fillId="20" borderId="33" xfId="0" applyFont="1" applyFill="1" applyBorder="1" applyAlignment="1">
      <alignment horizontal="left" vertical="center" wrapText="1"/>
    </xf>
    <xf numFmtId="0" fontId="75" fillId="20" borderId="38" xfId="0" applyFont="1" applyFill="1" applyBorder="1" applyAlignment="1">
      <alignment horizontal="left" vertical="center" wrapText="1"/>
    </xf>
    <xf numFmtId="0" fontId="75" fillId="20" borderId="39" xfId="0" applyFont="1" applyFill="1" applyBorder="1" applyAlignment="1">
      <alignment horizontal="left" vertical="center" wrapText="1"/>
    </xf>
    <xf numFmtId="0" fontId="75" fillId="20" borderId="40" xfId="0" applyFont="1" applyFill="1" applyBorder="1" applyAlignment="1">
      <alignment horizontal="left" vertical="center" wrapText="1"/>
    </xf>
    <xf numFmtId="0" fontId="75" fillId="20" borderId="41" xfId="0" applyFont="1" applyFill="1" applyBorder="1" applyAlignment="1">
      <alignment horizontal="left" vertical="center" wrapText="1"/>
    </xf>
    <xf numFmtId="0" fontId="75" fillId="3" borderId="18" xfId="0" applyFont="1" applyFill="1" applyBorder="1" applyAlignment="1">
      <alignment horizontal="center" vertical="center" wrapText="1"/>
    </xf>
    <xf numFmtId="0" fontId="65" fillId="0" borderId="33" xfId="0" applyFont="1" applyBorder="1" applyAlignment="1">
      <alignment horizontal="left" vertical="top" wrapText="1"/>
    </xf>
    <xf numFmtId="0" fontId="65" fillId="13" borderId="33" xfId="0" applyFont="1" applyFill="1" applyBorder="1" applyAlignment="1">
      <alignment horizontal="left" vertical="top" wrapText="1"/>
    </xf>
    <xf numFmtId="0" fontId="72" fillId="19" borderId="33" xfId="0" applyFont="1" applyFill="1" applyBorder="1" applyAlignment="1">
      <alignment horizontal="center" vertical="center" textRotation="255"/>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81" xfId="0" applyFont="1" applyFill="1" applyBorder="1" applyAlignment="1" applyProtection="1">
      <alignment horizontal="left" vertical="center"/>
      <protection locked="0"/>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0" borderId="81" xfId="0" applyFont="1" applyBorder="1" applyAlignment="1" applyProtection="1">
      <alignment horizontal="left" vertical="center" wrapText="1"/>
      <protection locked="0"/>
    </xf>
    <xf numFmtId="0" fontId="73" fillId="3" borderId="92"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73" fillId="3" borderId="33"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60" fillId="0" borderId="68" xfId="0" applyFont="1" applyBorder="1" applyAlignment="1">
      <alignment horizontal="center" vertical="center" wrapText="1"/>
    </xf>
    <xf numFmtId="0" fontId="60" fillId="0" borderId="70" xfId="0" applyFont="1" applyBorder="1" applyAlignment="1">
      <alignment horizontal="center" vertical="center" wrapText="1"/>
    </xf>
    <xf numFmtId="0" fontId="61" fillId="0" borderId="33" xfId="0" applyFont="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1" fillId="19" borderId="105" xfId="0" applyFont="1" applyFill="1" applyBorder="1" applyAlignment="1">
      <alignment horizontal="center" vertical="center" wrapText="1"/>
    </xf>
    <xf numFmtId="0" fontId="71" fillId="19" borderId="19" xfId="0" applyFont="1" applyFill="1" applyBorder="1" applyAlignment="1">
      <alignment horizontal="center" vertical="center" wrapText="1"/>
    </xf>
    <xf numFmtId="0" fontId="71" fillId="19" borderId="86" xfId="0" applyFont="1" applyFill="1" applyBorder="1" applyAlignment="1">
      <alignment horizontal="center" vertical="center" wrapText="1"/>
    </xf>
    <xf numFmtId="0" fontId="71" fillId="19" borderId="104" xfId="0" applyFont="1" applyFill="1" applyBorder="1" applyAlignment="1">
      <alignment horizontal="center" vertical="center" wrapText="1"/>
    </xf>
    <xf numFmtId="0" fontId="71" fillId="19" borderId="0" xfId="0" applyFont="1" applyFill="1" applyAlignment="1">
      <alignment horizontal="center" vertical="center" wrapText="1"/>
    </xf>
    <xf numFmtId="0" fontId="71" fillId="19" borderId="87" xfId="0" applyFont="1" applyFill="1" applyBorder="1" applyAlignment="1">
      <alignment horizontal="center" vertical="center" wrapText="1"/>
    </xf>
    <xf numFmtId="0" fontId="61" fillId="0" borderId="33" xfId="0" applyFont="1" applyBorder="1" applyAlignment="1">
      <alignment horizontal="center"/>
    </xf>
    <xf numFmtId="0" fontId="60" fillId="0" borderId="96" xfId="0" applyFont="1" applyBorder="1" applyAlignment="1">
      <alignment horizontal="center" vertical="center" wrapText="1"/>
    </xf>
    <xf numFmtId="0" fontId="60" fillId="0" borderId="52" xfId="0" applyFont="1" applyBorder="1" applyAlignment="1">
      <alignment horizontal="center" vertical="center" wrapText="1"/>
    </xf>
    <xf numFmtId="0" fontId="60" fillId="0" borderId="106" xfId="0" applyFont="1" applyBorder="1" applyAlignment="1">
      <alignment horizontal="center" vertical="center" wrapText="1"/>
    </xf>
    <xf numFmtId="0" fontId="60" fillId="0" borderId="90" xfId="0" applyFont="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vertical="center"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75"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163285</xdr:colOff>
      <xdr:row>0</xdr:row>
      <xdr:rowOff>87086</xdr:rowOff>
    </xdr:from>
    <xdr:to>
      <xdr:col>0</xdr:col>
      <xdr:colOff>1922811</xdr:colOff>
      <xdr:row>3</xdr:row>
      <xdr:rowOff>110280</xdr:rowOff>
    </xdr:to>
    <xdr:pic>
      <xdr:nvPicPr>
        <xdr:cNvPr id="3" name="Imagen 2">
          <a:extLst>
            <a:ext uri="{FF2B5EF4-FFF2-40B4-BE49-F238E27FC236}">
              <a16:creationId xmlns:a16="http://schemas.microsoft.com/office/drawing/2014/main" id="{80E13CAC-1F17-47BF-8E0E-1536A29329E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163285" y="87086"/>
          <a:ext cx="1759526" cy="61102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219075</xdr:colOff>
      <xdr:row>0</xdr:row>
      <xdr:rowOff>76201</xdr:rowOff>
    </xdr:from>
    <xdr:ext cx="568094" cy="514004"/>
    <xdr:pic>
      <xdr:nvPicPr>
        <xdr:cNvPr id="2" name="1 Imagen" descr="logocapitalmusical">
          <a:extLst>
            <a:ext uri="{FF2B5EF4-FFF2-40B4-BE49-F238E27FC236}">
              <a16:creationId xmlns:a16="http://schemas.microsoft.com/office/drawing/2014/main" id="{F967E1DC-F818-47AB-BEBF-A66CEEE94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8995" y="76201"/>
          <a:ext cx="568094" cy="514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167640</xdr:colOff>
      <xdr:row>0</xdr:row>
      <xdr:rowOff>45720</xdr:rowOff>
    </xdr:from>
    <xdr:to>
      <xdr:col>0</xdr:col>
      <xdr:colOff>1927166</xdr:colOff>
      <xdr:row>3</xdr:row>
      <xdr:rowOff>108103</xdr:rowOff>
    </xdr:to>
    <xdr:pic>
      <xdr:nvPicPr>
        <xdr:cNvPr id="4" name="Imagen 3">
          <a:extLst>
            <a:ext uri="{FF2B5EF4-FFF2-40B4-BE49-F238E27FC236}">
              <a16:creationId xmlns:a16="http://schemas.microsoft.com/office/drawing/2014/main" id="{6048B259-0CFB-4F0D-819F-9EE11D85E0B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167640" y="45720"/>
          <a:ext cx="1759526" cy="61102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219574</xdr:colOff>
      <xdr:row>0</xdr:row>
      <xdr:rowOff>60242</xdr:rowOff>
    </xdr:from>
    <xdr:ext cx="523875" cy="666017"/>
    <xdr:pic>
      <xdr:nvPicPr>
        <xdr:cNvPr id="2" name="1 Imagen" descr="logocapitalmusical">
          <a:extLst>
            <a:ext uri="{FF2B5EF4-FFF2-40B4-BE49-F238E27FC236}">
              <a16:creationId xmlns:a16="http://schemas.microsoft.com/office/drawing/2014/main" id="{415060D4-A60C-4FDB-A9AE-E61DB96DA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63134" y="60242"/>
          <a:ext cx="523875" cy="666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128367</xdr:colOff>
      <xdr:row>0</xdr:row>
      <xdr:rowOff>0</xdr:rowOff>
    </xdr:from>
    <xdr:to>
      <xdr:col>2</xdr:col>
      <xdr:colOff>1434796</xdr:colOff>
      <xdr:row>3</xdr:row>
      <xdr:rowOff>30731</xdr:rowOff>
    </xdr:to>
    <xdr:pic>
      <xdr:nvPicPr>
        <xdr:cNvPr id="4" name="Imagen 3">
          <a:extLst>
            <a:ext uri="{FF2B5EF4-FFF2-40B4-BE49-F238E27FC236}">
              <a16:creationId xmlns:a16="http://schemas.microsoft.com/office/drawing/2014/main" id="{41662389-6189-410C-9E9F-9DE99761A27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577947" y="0"/>
          <a:ext cx="1756009" cy="60223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a%20Paula/Downloads/46942-MR-20230216141848(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MAPA%20DE%20RIESGOS%20DE%20CORRUPCI&#211;N%20(2024).xlsx?37F333F1" TargetMode="External"/><Relationship Id="rId1" Type="http://schemas.openxmlformats.org/officeDocument/2006/relationships/externalLinkPath" Target="file:///\\37F333F1\MAPA%20DE%20RIESGOS%20DE%20CORRUPCI&#211;N%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ACER%20I3/Downloads/MR-Riesgos%20Corrupcion%20Catastro%20-%20Corregido%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SISTEMA INTEGRADO DE GESTIÓN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GESTIÓN CATASTRAL</v>
          </cell>
        </row>
        <row r="9">
          <cell r="A9" t="str">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dna Ruth Tinoco Betancourt" id="{C8BD10AC-BD67-4C0C-A845-A7FD07C0DD32}" userId="7a29d84f50c9d677" providerId="Windows Live"/>
</personList>
</file>

<file path=xl/pivotCache/_rels/pivotCacheDefinition1.xml.rels><?xml version="1.0" encoding="UTF-8" standalone="yes"?>
<Relationships xmlns="http://schemas.openxmlformats.org/package/2006/relationships"><Relationship Id="rId3" Type="http://schemas.microsoft.com/office/2019/04/relationships/externalLinkLongPath" Target="Mapa%20de%20Riesgo%20de%20Gestion%20(2024)%20(2).xlsx?37F333F1" TargetMode="External"/><Relationship Id="rId2" Type="http://schemas.openxmlformats.org/officeDocument/2006/relationships/externalLinkPath" Target="file:///\\37F333F1\Mapa%20de%20Riesgo%20de%20Gestion%20(2024)%20(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P9" dT="2024-09-24T17:03:39.68" personId="{C8BD10AC-BD67-4C0C-A845-A7FD07C0DD32}" id="{5264F845-1FA0-44F8-897E-ECB5C0467FE9}">
    <text>El riesgo de inoportunidad de respuesta, esta materializado, se debe diligenciar la matriz de eventos y presentar las acciones de mejora o planes de acción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abSelected="1" zoomScale="80" zoomScaleNormal="80" workbookViewId="0">
      <selection activeCell="B4" sqref="B4:H5"/>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249" t="s">
        <v>155</v>
      </c>
      <c r="C2" s="250"/>
      <c r="D2" s="250"/>
      <c r="E2" s="250"/>
      <c r="F2" s="250"/>
      <c r="G2" s="250"/>
      <c r="H2" s="251"/>
    </row>
    <row r="3" spans="2:8" x14ac:dyDescent="0.25">
      <c r="B3" s="68"/>
      <c r="C3" s="69"/>
      <c r="D3" s="69"/>
      <c r="E3" s="69"/>
      <c r="F3" s="69"/>
      <c r="G3" s="69"/>
      <c r="H3" s="70"/>
    </row>
    <row r="4" spans="2:8" ht="63" customHeight="1" x14ac:dyDescent="0.25">
      <c r="B4" s="252" t="s">
        <v>198</v>
      </c>
      <c r="C4" s="253"/>
      <c r="D4" s="253"/>
      <c r="E4" s="253"/>
      <c r="F4" s="253"/>
      <c r="G4" s="253"/>
      <c r="H4" s="254"/>
    </row>
    <row r="5" spans="2:8" ht="63" customHeight="1" x14ac:dyDescent="0.25">
      <c r="B5" s="255"/>
      <c r="C5" s="256"/>
      <c r="D5" s="256"/>
      <c r="E5" s="256"/>
      <c r="F5" s="256"/>
      <c r="G5" s="256"/>
      <c r="H5" s="257"/>
    </row>
    <row r="6" spans="2:8" ht="16.5" x14ac:dyDescent="0.25">
      <c r="B6" s="258" t="s">
        <v>153</v>
      </c>
      <c r="C6" s="259"/>
      <c r="D6" s="259"/>
      <c r="E6" s="259"/>
      <c r="F6" s="259"/>
      <c r="G6" s="259"/>
      <c r="H6" s="260"/>
    </row>
    <row r="7" spans="2:8" ht="95.25" customHeight="1" x14ac:dyDescent="0.25">
      <c r="B7" s="268" t="s">
        <v>158</v>
      </c>
      <c r="C7" s="269"/>
      <c r="D7" s="269"/>
      <c r="E7" s="269"/>
      <c r="F7" s="269"/>
      <c r="G7" s="269"/>
      <c r="H7" s="270"/>
    </row>
    <row r="8" spans="2:8" ht="16.5" x14ac:dyDescent="0.25">
      <c r="B8" s="102"/>
      <c r="C8" s="103"/>
      <c r="D8" s="103"/>
      <c r="E8" s="103"/>
      <c r="F8" s="103"/>
      <c r="G8" s="103"/>
      <c r="H8" s="104"/>
    </row>
    <row r="9" spans="2:8" ht="16.5" customHeight="1" x14ac:dyDescent="0.25">
      <c r="B9" s="261" t="s">
        <v>191</v>
      </c>
      <c r="C9" s="262"/>
      <c r="D9" s="262"/>
      <c r="E9" s="262"/>
      <c r="F9" s="262"/>
      <c r="G9" s="262"/>
      <c r="H9" s="263"/>
    </row>
    <row r="10" spans="2:8" ht="44.25" customHeight="1" x14ac:dyDescent="0.25">
      <c r="B10" s="261"/>
      <c r="C10" s="262"/>
      <c r="D10" s="262"/>
      <c r="E10" s="262"/>
      <c r="F10" s="262"/>
      <c r="G10" s="262"/>
      <c r="H10" s="263"/>
    </row>
    <row r="11" spans="2:8" ht="15.75" thickBot="1" x14ac:dyDescent="0.3">
      <c r="B11" s="91"/>
      <c r="C11" s="94"/>
      <c r="D11" s="99"/>
      <c r="E11" s="100"/>
      <c r="F11" s="100"/>
      <c r="G11" s="101"/>
      <c r="H11" s="95"/>
    </row>
    <row r="12" spans="2:8" ht="15.75" thickTop="1" x14ac:dyDescent="0.25">
      <c r="B12" s="91"/>
      <c r="C12" s="264" t="s">
        <v>154</v>
      </c>
      <c r="D12" s="265"/>
      <c r="E12" s="266" t="s">
        <v>192</v>
      </c>
      <c r="F12" s="267"/>
      <c r="G12" s="94"/>
      <c r="H12" s="95"/>
    </row>
    <row r="13" spans="2:8" ht="35.25" customHeight="1" x14ac:dyDescent="0.25">
      <c r="B13" s="91"/>
      <c r="C13" s="236" t="s">
        <v>185</v>
      </c>
      <c r="D13" s="237"/>
      <c r="E13" s="238" t="s">
        <v>190</v>
      </c>
      <c r="F13" s="239"/>
      <c r="G13" s="94"/>
      <c r="H13" s="95"/>
    </row>
    <row r="14" spans="2:8" ht="17.25" customHeight="1" x14ac:dyDescent="0.25">
      <c r="B14" s="91"/>
      <c r="C14" s="236" t="s">
        <v>186</v>
      </c>
      <c r="D14" s="237"/>
      <c r="E14" s="238" t="s">
        <v>188</v>
      </c>
      <c r="F14" s="239"/>
      <c r="G14" s="94"/>
      <c r="H14" s="95"/>
    </row>
    <row r="15" spans="2:8" ht="19.5" customHeight="1" x14ac:dyDescent="0.25">
      <c r="B15" s="91"/>
      <c r="C15" s="236" t="s">
        <v>187</v>
      </c>
      <c r="D15" s="237"/>
      <c r="E15" s="238" t="s">
        <v>189</v>
      </c>
      <c r="F15" s="239"/>
      <c r="G15" s="94"/>
      <c r="H15" s="95"/>
    </row>
    <row r="16" spans="2:8" ht="69.75" customHeight="1" x14ac:dyDescent="0.25">
      <c r="B16" s="91"/>
      <c r="C16" s="236" t="s">
        <v>156</v>
      </c>
      <c r="D16" s="237"/>
      <c r="E16" s="238" t="s">
        <v>157</v>
      </c>
      <c r="F16" s="239"/>
      <c r="G16" s="94"/>
      <c r="H16" s="95"/>
    </row>
    <row r="17" spans="2:8" ht="34.5" customHeight="1" x14ac:dyDescent="0.25">
      <c r="B17" s="91"/>
      <c r="C17" s="240" t="s">
        <v>2</v>
      </c>
      <c r="D17" s="241"/>
      <c r="E17" s="232" t="s">
        <v>199</v>
      </c>
      <c r="F17" s="233"/>
      <c r="G17" s="94"/>
      <c r="H17" s="95"/>
    </row>
    <row r="18" spans="2:8" ht="27.75" customHeight="1" x14ac:dyDescent="0.25">
      <c r="B18" s="91"/>
      <c r="C18" s="240" t="s">
        <v>3</v>
      </c>
      <c r="D18" s="241"/>
      <c r="E18" s="232" t="s">
        <v>200</v>
      </c>
      <c r="F18" s="233"/>
      <c r="G18" s="94"/>
      <c r="H18" s="95"/>
    </row>
    <row r="19" spans="2:8" ht="28.5" customHeight="1" x14ac:dyDescent="0.25">
      <c r="B19" s="91"/>
      <c r="C19" s="240" t="s">
        <v>42</v>
      </c>
      <c r="D19" s="241"/>
      <c r="E19" s="232" t="s">
        <v>201</v>
      </c>
      <c r="F19" s="233"/>
      <c r="G19" s="94"/>
      <c r="H19" s="95"/>
    </row>
    <row r="20" spans="2:8" ht="72.75" customHeight="1" x14ac:dyDescent="0.25">
      <c r="B20" s="91"/>
      <c r="C20" s="240" t="s">
        <v>1</v>
      </c>
      <c r="D20" s="241"/>
      <c r="E20" s="232" t="s">
        <v>202</v>
      </c>
      <c r="F20" s="233"/>
      <c r="G20" s="94"/>
      <c r="H20" s="95"/>
    </row>
    <row r="21" spans="2:8" ht="64.5" customHeight="1" x14ac:dyDescent="0.25">
      <c r="B21" s="91"/>
      <c r="C21" s="240" t="s">
        <v>50</v>
      </c>
      <c r="D21" s="241"/>
      <c r="E21" s="232" t="s">
        <v>160</v>
      </c>
      <c r="F21" s="233"/>
      <c r="G21" s="94"/>
      <c r="H21" s="95"/>
    </row>
    <row r="22" spans="2:8" ht="71.25" customHeight="1" x14ac:dyDescent="0.25">
      <c r="B22" s="91"/>
      <c r="C22" s="240" t="s">
        <v>159</v>
      </c>
      <c r="D22" s="241"/>
      <c r="E22" s="232" t="s">
        <v>161</v>
      </c>
      <c r="F22" s="233"/>
      <c r="G22" s="94"/>
      <c r="H22" s="95"/>
    </row>
    <row r="23" spans="2:8" ht="55.5" customHeight="1" x14ac:dyDescent="0.25">
      <c r="B23" s="91"/>
      <c r="C23" s="234" t="s">
        <v>162</v>
      </c>
      <c r="D23" s="235"/>
      <c r="E23" s="232" t="s">
        <v>163</v>
      </c>
      <c r="F23" s="233"/>
      <c r="G23" s="94"/>
      <c r="H23" s="95"/>
    </row>
    <row r="24" spans="2:8" ht="42" customHeight="1" x14ac:dyDescent="0.25">
      <c r="B24" s="91"/>
      <c r="C24" s="234" t="s">
        <v>48</v>
      </c>
      <c r="D24" s="235"/>
      <c r="E24" s="232" t="s">
        <v>164</v>
      </c>
      <c r="F24" s="233"/>
      <c r="G24" s="94"/>
      <c r="H24" s="95"/>
    </row>
    <row r="25" spans="2:8" ht="59.25" customHeight="1" x14ac:dyDescent="0.25">
      <c r="B25" s="91"/>
      <c r="C25" s="234" t="s">
        <v>152</v>
      </c>
      <c r="D25" s="235"/>
      <c r="E25" s="232" t="s">
        <v>165</v>
      </c>
      <c r="F25" s="233"/>
      <c r="G25" s="94"/>
      <c r="H25" s="95"/>
    </row>
    <row r="26" spans="2:8" ht="23.25" customHeight="1" x14ac:dyDescent="0.25">
      <c r="B26" s="91"/>
      <c r="C26" s="234" t="s">
        <v>12</v>
      </c>
      <c r="D26" s="235"/>
      <c r="E26" s="232" t="s">
        <v>166</v>
      </c>
      <c r="F26" s="233"/>
      <c r="G26" s="94"/>
      <c r="H26" s="95"/>
    </row>
    <row r="27" spans="2:8" ht="30.75" customHeight="1" x14ac:dyDescent="0.25">
      <c r="B27" s="91"/>
      <c r="C27" s="234" t="s">
        <v>170</v>
      </c>
      <c r="D27" s="235"/>
      <c r="E27" s="232" t="s">
        <v>167</v>
      </c>
      <c r="F27" s="233"/>
      <c r="G27" s="94"/>
      <c r="H27" s="95"/>
    </row>
    <row r="28" spans="2:8" ht="35.25" customHeight="1" x14ac:dyDescent="0.25">
      <c r="B28" s="91"/>
      <c r="C28" s="234" t="s">
        <v>171</v>
      </c>
      <c r="D28" s="235"/>
      <c r="E28" s="232" t="s">
        <v>168</v>
      </c>
      <c r="F28" s="233"/>
      <c r="G28" s="94"/>
      <c r="H28" s="95"/>
    </row>
    <row r="29" spans="2:8" ht="33" customHeight="1" x14ac:dyDescent="0.25">
      <c r="B29" s="91"/>
      <c r="C29" s="234" t="s">
        <v>171</v>
      </c>
      <c r="D29" s="235"/>
      <c r="E29" s="232" t="s">
        <v>168</v>
      </c>
      <c r="F29" s="233"/>
      <c r="G29" s="94"/>
      <c r="H29" s="95"/>
    </row>
    <row r="30" spans="2:8" ht="30" customHeight="1" x14ac:dyDescent="0.25">
      <c r="B30" s="91"/>
      <c r="C30" s="234" t="s">
        <v>172</v>
      </c>
      <c r="D30" s="235"/>
      <c r="E30" s="232" t="s">
        <v>169</v>
      </c>
      <c r="F30" s="233"/>
      <c r="G30" s="94"/>
      <c r="H30" s="95"/>
    </row>
    <row r="31" spans="2:8" ht="35.25" customHeight="1" x14ac:dyDescent="0.25">
      <c r="B31" s="91"/>
      <c r="C31" s="234" t="s">
        <v>173</v>
      </c>
      <c r="D31" s="235"/>
      <c r="E31" s="232" t="s">
        <v>174</v>
      </c>
      <c r="F31" s="233"/>
      <c r="G31" s="94"/>
      <c r="H31" s="95"/>
    </row>
    <row r="32" spans="2:8" ht="31.5" customHeight="1" x14ac:dyDescent="0.25">
      <c r="B32" s="91"/>
      <c r="C32" s="234" t="s">
        <v>175</v>
      </c>
      <c r="D32" s="235"/>
      <c r="E32" s="232" t="s">
        <v>176</v>
      </c>
      <c r="F32" s="233"/>
      <c r="G32" s="94"/>
      <c r="H32" s="95"/>
    </row>
    <row r="33" spans="2:8" ht="35.25" customHeight="1" x14ac:dyDescent="0.25">
      <c r="B33" s="91"/>
      <c r="C33" s="234" t="s">
        <v>177</v>
      </c>
      <c r="D33" s="235"/>
      <c r="E33" s="232" t="s">
        <v>178</v>
      </c>
      <c r="F33" s="233"/>
      <c r="G33" s="94"/>
      <c r="H33" s="95"/>
    </row>
    <row r="34" spans="2:8" ht="59.25" customHeight="1" x14ac:dyDescent="0.25">
      <c r="B34" s="91"/>
      <c r="C34" s="234" t="s">
        <v>179</v>
      </c>
      <c r="D34" s="235"/>
      <c r="E34" s="232" t="s">
        <v>180</v>
      </c>
      <c r="F34" s="233"/>
      <c r="G34" s="94"/>
      <c r="H34" s="95"/>
    </row>
    <row r="35" spans="2:8" ht="29.25" customHeight="1" x14ac:dyDescent="0.25">
      <c r="B35" s="91"/>
      <c r="C35" s="234" t="s">
        <v>29</v>
      </c>
      <c r="D35" s="235"/>
      <c r="E35" s="232" t="s">
        <v>181</v>
      </c>
      <c r="F35" s="233"/>
      <c r="G35" s="94"/>
      <c r="H35" s="95"/>
    </row>
    <row r="36" spans="2:8" ht="82.5" customHeight="1" x14ac:dyDescent="0.25">
      <c r="B36" s="91"/>
      <c r="C36" s="234" t="s">
        <v>183</v>
      </c>
      <c r="D36" s="235"/>
      <c r="E36" s="232" t="s">
        <v>182</v>
      </c>
      <c r="F36" s="233"/>
      <c r="G36" s="94"/>
      <c r="H36" s="95"/>
    </row>
    <row r="37" spans="2:8" ht="46.5" customHeight="1" x14ac:dyDescent="0.25">
      <c r="B37" s="91"/>
      <c r="C37" s="234" t="s">
        <v>39</v>
      </c>
      <c r="D37" s="235"/>
      <c r="E37" s="232" t="s">
        <v>184</v>
      </c>
      <c r="F37" s="233"/>
      <c r="G37" s="94"/>
      <c r="H37" s="95"/>
    </row>
    <row r="38" spans="2:8" ht="6.75" customHeight="1" thickBot="1" x14ac:dyDescent="0.3">
      <c r="B38" s="91"/>
      <c r="C38" s="245"/>
      <c r="D38" s="246"/>
      <c r="E38" s="247"/>
      <c r="F38" s="248"/>
      <c r="G38" s="94"/>
      <c r="H38" s="95"/>
    </row>
    <row r="39" spans="2:8" ht="15.75" thickTop="1" x14ac:dyDescent="0.25">
      <c r="B39" s="91"/>
      <c r="C39" s="92"/>
      <c r="D39" s="92"/>
      <c r="E39" s="93"/>
      <c r="F39" s="93"/>
      <c r="G39" s="94"/>
      <c r="H39" s="95"/>
    </row>
    <row r="40" spans="2:8" ht="21" customHeight="1" x14ac:dyDescent="0.25">
      <c r="B40" s="242" t="s">
        <v>193</v>
      </c>
      <c r="C40" s="243"/>
      <c r="D40" s="243"/>
      <c r="E40" s="243"/>
      <c r="F40" s="243"/>
      <c r="G40" s="243"/>
      <c r="H40" s="244"/>
    </row>
    <row r="41" spans="2:8" ht="20.25" customHeight="1" x14ac:dyDescent="0.25">
      <c r="B41" s="242" t="s">
        <v>194</v>
      </c>
      <c r="C41" s="243"/>
      <c r="D41" s="243"/>
      <c r="E41" s="243"/>
      <c r="F41" s="243"/>
      <c r="G41" s="243"/>
      <c r="H41" s="244"/>
    </row>
    <row r="42" spans="2:8" ht="20.25" customHeight="1" x14ac:dyDescent="0.25">
      <c r="B42" s="242" t="s">
        <v>195</v>
      </c>
      <c r="C42" s="243"/>
      <c r="D42" s="243"/>
      <c r="E42" s="243"/>
      <c r="F42" s="243"/>
      <c r="G42" s="243"/>
      <c r="H42" s="244"/>
    </row>
    <row r="43" spans="2:8" ht="20.25" customHeight="1" x14ac:dyDescent="0.25">
      <c r="B43" s="242" t="s">
        <v>196</v>
      </c>
      <c r="C43" s="243"/>
      <c r="D43" s="243"/>
      <c r="E43" s="243"/>
      <c r="F43" s="243"/>
      <c r="G43" s="243"/>
      <c r="H43" s="244"/>
    </row>
    <row r="44" spans="2:8" x14ac:dyDescent="0.25">
      <c r="B44" s="242" t="s">
        <v>197</v>
      </c>
      <c r="C44" s="243"/>
      <c r="D44" s="243"/>
      <c r="E44" s="243"/>
      <c r="F44" s="243"/>
      <c r="G44" s="243"/>
      <c r="H44" s="244"/>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634" t="s">
        <v>62</v>
      </c>
      <c r="C1" s="634"/>
      <c r="D1" s="634"/>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25" t="s">
        <v>56</v>
      </c>
      <c r="D3" s="125" t="s">
        <v>57</v>
      </c>
      <c r="E3" s="89"/>
      <c r="F3" s="89"/>
      <c r="G3" s="89"/>
      <c r="H3" s="89"/>
      <c r="I3" s="89"/>
      <c r="J3" s="89"/>
      <c r="K3" s="89"/>
      <c r="L3" s="89"/>
      <c r="M3" s="89"/>
      <c r="N3" s="89"/>
      <c r="O3" s="89"/>
      <c r="P3" s="89"/>
      <c r="Q3" s="89"/>
      <c r="R3" s="89"/>
      <c r="S3" s="89"/>
      <c r="T3" s="89"/>
      <c r="U3" s="89"/>
    </row>
    <row r="4" spans="1:21" ht="33.75" x14ac:dyDescent="0.25">
      <c r="A4" s="89" t="s">
        <v>82</v>
      </c>
      <c r="B4" s="126" t="s">
        <v>96</v>
      </c>
      <c r="C4" s="127" t="s">
        <v>205</v>
      </c>
      <c r="D4" s="128" t="s">
        <v>92</v>
      </c>
      <c r="E4" s="89"/>
      <c r="F4" s="89"/>
      <c r="G4" s="89"/>
      <c r="H4" s="89"/>
      <c r="I4" s="89"/>
      <c r="J4" s="89"/>
      <c r="K4" s="89"/>
      <c r="L4" s="89"/>
      <c r="M4" s="89"/>
      <c r="N4" s="89"/>
      <c r="O4" s="89"/>
      <c r="P4" s="89"/>
      <c r="Q4" s="89"/>
      <c r="R4" s="89"/>
      <c r="S4" s="89"/>
      <c r="T4" s="89"/>
      <c r="U4" s="89"/>
    </row>
    <row r="5" spans="1:21" ht="67.5" x14ac:dyDescent="0.25">
      <c r="A5" s="89" t="s">
        <v>83</v>
      </c>
      <c r="B5" s="129" t="s">
        <v>58</v>
      </c>
      <c r="C5" s="130" t="s">
        <v>206</v>
      </c>
      <c r="D5" s="131" t="s">
        <v>93</v>
      </c>
      <c r="E5" s="89"/>
      <c r="F5" s="89"/>
      <c r="G5" s="89"/>
      <c r="H5" s="89"/>
      <c r="I5" s="89"/>
      <c r="J5" s="89"/>
      <c r="K5" s="89"/>
      <c r="L5" s="89"/>
      <c r="M5" s="89"/>
      <c r="N5" s="89"/>
      <c r="O5" s="89"/>
      <c r="P5" s="89"/>
      <c r="Q5" s="89"/>
      <c r="R5" s="89"/>
      <c r="S5" s="89"/>
      <c r="T5" s="89"/>
      <c r="U5" s="89"/>
    </row>
    <row r="6" spans="1:21" ht="67.5" x14ac:dyDescent="0.25">
      <c r="A6" s="89" t="s">
        <v>80</v>
      </c>
      <c r="B6" s="132" t="s">
        <v>59</v>
      </c>
      <c r="C6" s="130" t="s">
        <v>210</v>
      </c>
      <c r="D6" s="131" t="s">
        <v>95</v>
      </c>
      <c r="E6" s="89"/>
      <c r="F6" s="89"/>
      <c r="G6" s="89"/>
      <c r="H6" s="89"/>
      <c r="I6" s="89"/>
      <c r="J6" s="89"/>
      <c r="K6" s="89"/>
      <c r="L6" s="89"/>
      <c r="M6" s="89"/>
      <c r="N6" s="89"/>
      <c r="O6" s="89"/>
      <c r="P6" s="89"/>
      <c r="Q6" s="89"/>
      <c r="R6" s="89"/>
      <c r="S6" s="89"/>
      <c r="T6" s="89"/>
      <c r="U6" s="89"/>
    </row>
    <row r="7" spans="1:21" ht="101.25" x14ac:dyDescent="0.25">
      <c r="A7" s="89" t="s">
        <v>7</v>
      </c>
      <c r="B7" s="133" t="s">
        <v>60</v>
      </c>
      <c r="C7" s="130" t="s">
        <v>211</v>
      </c>
      <c r="D7" s="131" t="s">
        <v>94</v>
      </c>
      <c r="E7" s="89"/>
      <c r="F7" s="89"/>
      <c r="G7" s="89"/>
      <c r="H7" s="89"/>
      <c r="I7" s="89"/>
      <c r="J7" s="89"/>
      <c r="K7" s="89"/>
      <c r="L7" s="89"/>
      <c r="M7" s="89"/>
      <c r="N7" s="89"/>
      <c r="O7" s="89"/>
      <c r="P7" s="89"/>
      <c r="Q7" s="89"/>
      <c r="R7" s="89"/>
      <c r="S7" s="89"/>
      <c r="T7" s="89"/>
      <c r="U7" s="89"/>
    </row>
    <row r="8" spans="1:21" ht="67.5" x14ac:dyDescent="0.25">
      <c r="A8" s="89" t="s">
        <v>84</v>
      </c>
      <c r="B8" s="134" t="s">
        <v>61</v>
      </c>
      <c r="C8" s="130" t="s">
        <v>207</v>
      </c>
      <c r="D8" s="131" t="s">
        <v>113</v>
      </c>
      <c r="E8" s="89"/>
      <c r="F8" s="89"/>
      <c r="G8" s="89"/>
      <c r="H8" s="89"/>
      <c r="I8" s="89"/>
      <c r="J8" s="89"/>
      <c r="K8" s="89"/>
      <c r="L8" s="89"/>
      <c r="M8" s="89"/>
      <c r="N8" s="89"/>
      <c r="O8" s="89"/>
      <c r="P8" s="89"/>
      <c r="Q8" s="89"/>
      <c r="R8" s="89"/>
      <c r="S8" s="89"/>
      <c r="T8" s="89"/>
      <c r="U8" s="89"/>
    </row>
    <row r="9" spans="1:21" s="23" customFormat="1" ht="20.25" x14ac:dyDescent="0.25">
      <c r="A9" s="87"/>
      <c r="B9" s="87"/>
      <c r="C9" s="138"/>
      <c r="D9" s="138"/>
      <c r="E9" s="87"/>
      <c r="F9" s="87"/>
      <c r="G9" s="87"/>
      <c r="H9" s="87"/>
      <c r="I9" s="87"/>
      <c r="J9" s="87"/>
      <c r="K9" s="87"/>
      <c r="L9" s="87"/>
      <c r="M9" s="87"/>
      <c r="N9" s="87"/>
      <c r="O9" s="87"/>
      <c r="P9" s="87"/>
      <c r="Q9" s="87"/>
      <c r="R9" s="87"/>
      <c r="S9" s="87"/>
      <c r="T9" s="87"/>
      <c r="U9" s="87"/>
    </row>
    <row r="10" spans="1:21" s="23" customFormat="1" ht="16.5" x14ac:dyDescent="0.25">
      <c r="A10" s="87"/>
      <c r="B10" s="139"/>
      <c r="C10" s="139"/>
      <c r="D10" s="139"/>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38"/>
      <c r="D22" s="138"/>
      <c r="E22" s="87"/>
      <c r="F22" s="87"/>
      <c r="G22" s="87"/>
      <c r="H22" s="87"/>
      <c r="I22" s="87"/>
      <c r="J22" s="87"/>
      <c r="K22" s="87"/>
      <c r="L22" s="87"/>
      <c r="M22" s="87"/>
      <c r="N22" s="87"/>
      <c r="O22" s="87"/>
    </row>
    <row r="23" spans="1:15" s="23" customFormat="1" ht="20.25" x14ac:dyDescent="0.25">
      <c r="A23" s="87"/>
      <c r="B23" s="87"/>
      <c r="C23" s="138"/>
      <c r="D23" s="138"/>
      <c r="E23" s="87"/>
      <c r="F23" s="87"/>
      <c r="G23" s="87"/>
      <c r="H23" s="87"/>
      <c r="I23" s="87"/>
      <c r="J23" s="87"/>
      <c r="K23" s="87"/>
      <c r="L23" s="87"/>
      <c r="M23" s="87"/>
      <c r="N23" s="87"/>
      <c r="O23" s="87"/>
    </row>
    <row r="24" spans="1:15" s="23" customFormat="1" ht="20.25" x14ac:dyDescent="0.25">
      <c r="A24" s="87"/>
      <c r="B24" s="87"/>
      <c r="C24" s="138"/>
      <c r="D24" s="138"/>
      <c r="E24" s="87"/>
      <c r="F24" s="87"/>
      <c r="G24" s="87"/>
      <c r="H24" s="87"/>
      <c r="I24" s="87"/>
      <c r="J24" s="87"/>
      <c r="K24" s="87"/>
      <c r="L24" s="87"/>
      <c r="M24" s="87"/>
      <c r="N24" s="87"/>
      <c r="O24" s="87"/>
    </row>
    <row r="25" spans="1:15" s="23" customFormat="1" ht="20.25" x14ac:dyDescent="0.25">
      <c r="A25" s="87"/>
      <c r="B25" s="87"/>
      <c r="C25" s="138"/>
      <c r="D25" s="138"/>
      <c r="E25" s="87"/>
      <c r="F25" s="87"/>
      <c r="G25" s="87"/>
      <c r="H25" s="87"/>
      <c r="I25" s="87"/>
      <c r="J25" s="87"/>
      <c r="K25" s="87"/>
      <c r="L25" s="87"/>
      <c r="M25" s="87"/>
      <c r="N25" s="87"/>
      <c r="O25" s="87"/>
    </row>
    <row r="26" spans="1:15" s="23" customFormat="1" ht="20.25" x14ac:dyDescent="0.25">
      <c r="A26" s="87"/>
      <c r="B26" s="87"/>
      <c r="C26" s="138"/>
      <c r="D26" s="138"/>
      <c r="E26" s="87"/>
      <c r="F26" s="87"/>
      <c r="G26" s="87"/>
      <c r="H26" s="87"/>
      <c r="I26" s="87"/>
      <c r="J26" s="87"/>
      <c r="K26" s="87"/>
      <c r="L26" s="87"/>
      <c r="M26" s="87"/>
      <c r="N26" s="87"/>
      <c r="O26" s="87"/>
    </row>
    <row r="27" spans="1:15" s="23" customFormat="1" ht="20.25" x14ac:dyDescent="0.25">
      <c r="A27" s="87"/>
      <c r="B27" s="87"/>
      <c r="C27" s="138"/>
      <c r="D27" s="138"/>
      <c r="E27" s="87"/>
      <c r="F27" s="87"/>
      <c r="G27" s="87"/>
      <c r="H27" s="87"/>
      <c r="I27" s="87"/>
      <c r="J27" s="87"/>
      <c r="K27" s="87"/>
      <c r="L27" s="87"/>
      <c r="M27" s="87"/>
      <c r="N27" s="87"/>
      <c r="O27" s="87"/>
    </row>
    <row r="28" spans="1:15" s="23" customFormat="1" ht="20.25" x14ac:dyDescent="0.25">
      <c r="A28" s="87"/>
      <c r="B28" s="87"/>
      <c r="C28" s="138"/>
      <c r="D28" s="138"/>
      <c r="E28" s="87"/>
      <c r="F28" s="87"/>
      <c r="G28" s="87"/>
      <c r="H28" s="87"/>
      <c r="I28" s="87"/>
      <c r="J28" s="87"/>
      <c r="K28" s="87"/>
      <c r="L28" s="87"/>
      <c r="M28" s="87"/>
      <c r="N28" s="87"/>
      <c r="O28" s="87"/>
    </row>
    <row r="29" spans="1:15" s="23" customFormat="1" ht="20.25" x14ac:dyDescent="0.25">
      <c r="A29" s="87"/>
      <c r="B29" s="87"/>
      <c r="C29" s="138"/>
      <c r="D29" s="138"/>
      <c r="E29" s="87"/>
      <c r="F29" s="87"/>
      <c r="G29" s="87"/>
      <c r="H29" s="87"/>
      <c r="I29" s="87"/>
      <c r="J29" s="87"/>
      <c r="K29" s="87"/>
      <c r="L29" s="87"/>
      <c r="M29" s="87"/>
      <c r="N29" s="87"/>
      <c r="O29" s="87"/>
    </row>
    <row r="30" spans="1:15" s="23" customFormat="1" ht="20.25" x14ac:dyDescent="0.25">
      <c r="A30" s="87"/>
      <c r="B30" s="87"/>
      <c r="C30" s="138"/>
      <c r="D30" s="138"/>
      <c r="E30" s="87"/>
      <c r="F30" s="87"/>
      <c r="G30" s="87"/>
      <c r="H30" s="87"/>
      <c r="I30" s="87"/>
      <c r="J30" s="87"/>
      <c r="K30" s="87"/>
      <c r="L30" s="87"/>
      <c r="M30" s="87"/>
      <c r="N30" s="87"/>
      <c r="O30" s="87"/>
    </row>
    <row r="31" spans="1:15" s="23" customFormat="1" ht="20.25" x14ac:dyDescent="0.25">
      <c r="A31" s="87"/>
      <c r="B31" s="87"/>
      <c r="C31" s="138"/>
      <c r="D31" s="138"/>
      <c r="E31" s="87"/>
      <c r="F31" s="87"/>
      <c r="G31" s="87"/>
      <c r="H31" s="87"/>
      <c r="I31" s="87"/>
      <c r="J31" s="87"/>
      <c r="K31" s="87"/>
      <c r="L31" s="87"/>
      <c r="M31" s="87"/>
      <c r="N31" s="87"/>
      <c r="O31" s="87"/>
    </row>
    <row r="32" spans="1:15" s="23" customFormat="1" ht="20.25" x14ac:dyDescent="0.25">
      <c r="A32" s="87"/>
      <c r="B32" s="87"/>
      <c r="C32" s="138"/>
      <c r="D32" s="138"/>
      <c r="E32" s="87"/>
      <c r="F32" s="87"/>
      <c r="G32" s="87"/>
      <c r="H32" s="87"/>
      <c r="I32" s="87"/>
      <c r="J32" s="87"/>
      <c r="K32" s="87"/>
      <c r="L32" s="87"/>
      <c r="M32" s="87"/>
      <c r="N32" s="87"/>
      <c r="O32" s="87"/>
    </row>
    <row r="33" spans="1:15" s="23" customFormat="1" ht="20.25" x14ac:dyDescent="0.25">
      <c r="A33" s="87"/>
      <c r="B33" s="87"/>
      <c r="C33" s="138"/>
      <c r="D33" s="138"/>
      <c r="E33" s="87"/>
      <c r="F33" s="87"/>
      <c r="G33" s="87"/>
      <c r="H33" s="87"/>
      <c r="I33" s="87"/>
      <c r="J33" s="87"/>
      <c r="K33" s="87"/>
      <c r="L33" s="87"/>
      <c r="M33" s="87"/>
      <c r="N33" s="87"/>
      <c r="O33" s="87"/>
    </row>
    <row r="34" spans="1:15" s="23" customFormat="1" ht="20.25" x14ac:dyDescent="0.25">
      <c r="A34" s="87"/>
      <c r="B34" s="87"/>
      <c r="C34" s="138"/>
      <c r="D34" s="138"/>
      <c r="E34" s="87"/>
      <c r="F34" s="87"/>
      <c r="G34" s="87"/>
      <c r="H34" s="87"/>
      <c r="I34" s="87"/>
      <c r="J34" s="87"/>
      <c r="K34" s="87"/>
      <c r="L34" s="87"/>
      <c r="M34" s="87"/>
      <c r="N34" s="87"/>
      <c r="O34" s="87"/>
    </row>
    <row r="35" spans="1:15" s="23" customFormat="1" ht="20.25" x14ac:dyDescent="0.25">
      <c r="A35" s="87"/>
      <c r="B35" s="87"/>
      <c r="C35" s="138"/>
      <c r="D35" s="138"/>
      <c r="E35" s="87"/>
      <c r="F35" s="87"/>
      <c r="G35" s="87"/>
      <c r="H35" s="87"/>
      <c r="I35" s="87"/>
      <c r="J35" s="87"/>
      <c r="K35" s="87"/>
      <c r="L35" s="87"/>
      <c r="M35" s="87"/>
      <c r="N35" s="87"/>
      <c r="O35" s="87"/>
    </row>
    <row r="36" spans="1:15" s="23" customFormat="1" ht="20.25" x14ac:dyDescent="0.25">
      <c r="A36" s="87"/>
      <c r="B36" s="87"/>
      <c r="C36" s="138"/>
      <c r="D36" s="138"/>
      <c r="E36" s="87"/>
      <c r="F36" s="87"/>
      <c r="G36" s="87"/>
      <c r="H36" s="87"/>
      <c r="I36" s="87"/>
      <c r="J36" s="87"/>
      <c r="K36" s="87"/>
      <c r="L36" s="87"/>
      <c r="M36" s="87"/>
      <c r="N36" s="87"/>
      <c r="O36" s="87"/>
    </row>
    <row r="37" spans="1:15" s="23" customFormat="1" ht="20.25" x14ac:dyDescent="0.25">
      <c r="A37" s="87"/>
      <c r="B37" s="87"/>
      <c r="C37" s="138"/>
      <c r="D37" s="138"/>
      <c r="E37" s="87"/>
      <c r="F37" s="87"/>
      <c r="G37" s="87"/>
      <c r="H37" s="87"/>
      <c r="I37" s="87"/>
      <c r="J37" s="87"/>
      <c r="K37" s="87"/>
      <c r="L37" s="87"/>
      <c r="M37" s="87"/>
      <c r="N37" s="87"/>
      <c r="O37" s="87"/>
    </row>
    <row r="38" spans="1:15" s="23" customFormat="1" ht="20.25" x14ac:dyDescent="0.25">
      <c r="A38" s="87"/>
      <c r="B38" s="87"/>
      <c r="C38" s="138"/>
      <c r="D38" s="138"/>
      <c r="E38" s="87"/>
      <c r="F38" s="87"/>
      <c r="G38" s="87"/>
      <c r="H38" s="87"/>
      <c r="I38" s="87"/>
      <c r="J38" s="87"/>
      <c r="K38" s="87"/>
      <c r="L38" s="87"/>
      <c r="M38" s="87"/>
      <c r="N38" s="87"/>
      <c r="O38" s="87"/>
    </row>
    <row r="39" spans="1:15" s="23" customFormat="1" ht="20.25" x14ac:dyDescent="0.25">
      <c r="A39" s="87"/>
      <c r="B39" s="87"/>
      <c r="C39" s="138"/>
      <c r="D39" s="138"/>
      <c r="E39" s="87"/>
      <c r="F39" s="87"/>
      <c r="G39" s="87"/>
      <c r="H39" s="87"/>
      <c r="I39" s="87"/>
      <c r="J39" s="87"/>
      <c r="K39" s="87"/>
      <c r="L39" s="87"/>
      <c r="M39" s="87"/>
      <c r="N39" s="87"/>
      <c r="O39" s="87"/>
    </row>
    <row r="40" spans="1:15" s="23" customFormat="1" ht="20.25" x14ac:dyDescent="0.25">
      <c r="A40" s="87"/>
      <c r="B40" s="87"/>
      <c r="C40" s="138"/>
      <c r="D40" s="138"/>
      <c r="E40" s="87"/>
      <c r="F40" s="87"/>
      <c r="G40" s="87"/>
      <c r="H40" s="87"/>
      <c r="I40" s="87"/>
      <c r="J40" s="87"/>
      <c r="K40" s="87"/>
      <c r="L40" s="87"/>
      <c r="M40" s="87"/>
      <c r="N40" s="87"/>
      <c r="O40" s="87"/>
    </row>
    <row r="41" spans="1:15" s="23" customFormat="1" ht="20.25" x14ac:dyDescent="0.25">
      <c r="A41" s="87"/>
      <c r="B41" s="87"/>
      <c r="C41" s="138"/>
      <c r="D41" s="138"/>
      <c r="E41" s="87"/>
      <c r="F41" s="87"/>
      <c r="G41" s="87"/>
      <c r="H41" s="87"/>
      <c r="I41" s="87"/>
      <c r="J41" s="87"/>
      <c r="K41" s="87"/>
      <c r="L41" s="87"/>
      <c r="M41" s="87"/>
      <c r="N41" s="87"/>
      <c r="O41" s="87"/>
    </row>
    <row r="42" spans="1:15" s="23" customFormat="1" ht="20.25" x14ac:dyDescent="0.25">
      <c r="A42" s="87"/>
      <c r="B42" s="87"/>
      <c r="C42" s="138"/>
      <c r="D42" s="138"/>
      <c r="E42" s="87"/>
      <c r="F42" s="87"/>
      <c r="G42" s="87"/>
      <c r="H42" s="87"/>
      <c r="I42" s="87"/>
      <c r="J42" s="87"/>
      <c r="K42" s="87"/>
      <c r="L42" s="87"/>
      <c r="M42" s="87"/>
      <c r="N42" s="87"/>
      <c r="O42" s="87"/>
    </row>
    <row r="43" spans="1:15" s="23" customFormat="1" ht="20.25" x14ac:dyDescent="0.25">
      <c r="A43" s="87"/>
      <c r="B43" s="87"/>
      <c r="C43" s="138"/>
      <c r="D43" s="138"/>
      <c r="E43" s="87"/>
      <c r="F43" s="87"/>
      <c r="G43" s="87"/>
      <c r="H43" s="87"/>
      <c r="I43" s="87"/>
      <c r="J43" s="87"/>
      <c r="K43" s="87"/>
      <c r="L43" s="87"/>
      <c r="M43" s="87"/>
      <c r="N43" s="87"/>
      <c r="O43" s="87"/>
    </row>
    <row r="44" spans="1:15" s="23" customFormat="1" ht="20.25" x14ac:dyDescent="0.25">
      <c r="A44" s="87"/>
      <c r="B44" s="87"/>
      <c r="C44" s="138"/>
      <c r="D44" s="138"/>
      <c r="E44" s="87"/>
      <c r="F44" s="87"/>
      <c r="G44" s="87"/>
      <c r="H44" s="87"/>
      <c r="I44" s="87"/>
      <c r="J44" s="87"/>
      <c r="K44" s="87"/>
      <c r="L44" s="87"/>
      <c r="M44" s="87"/>
      <c r="N44" s="87"/>
      <c r="O44" s="87"/>
    </row>
    <row r="45" spans="1:15" s="23" customFormat="1" ht="20.25" x14ac:dyDescent="0.25">
      <c r="A45" s="87"/>
      <c r="B45" s="87"/>
      <c r="C45" s="138"/>
      <c r="D45" s="138"/>
      <c r="E45" s="87"/>
      <c r="F45" s="87"/>
      <c r="G45" s="87"/>
      <c r="H45" s="87"/>
      <c r="I45" s="87"/>
      <c r="J45" s="87"/>
      <c r="K45" s="87"/>
      <c r="L45" s="87"/>
      <c r="M45" s="87"/>
      <c r="N45" s="87"/>
      <c r="O45" s="87"/>
    </row>
    <row r="46" spans="1:15" s="23" customFormat="1" ht="20.25" x14ac:dyDescent="0.25">
      <c r="A46" s="87"/>
      <c r="B46" s="87"/>
      <c r="C46" s="138"/>
      <c r="D46" s="138"/>
      <c r="E46" s="87"/>
      <c r="F46" s="87"/>
      <c r="G46" s="87"/>
      <c r="H46" s="87"/>
      <c r="I46" s="87"/>
      <c r="J46" s="87"/>
      <c r="K46" s="87"/>
      <c r="L46" s="87"/>
      <c r="M46" s="87"/>
      <c r="N46" s="87"/>
      <c r="O46" s="87"/>
    </row>
    <row r="47" spans="1:15" s="23" customFormat="1" ht="20.25" x14ac:dyDescent="0.25">
      <c r="A47" s="87"/>
      <c r="B47" s="87"/>
      <c r="C47" s="138"/>
      <c r="D47" s="138"/>
      <c r="E47" s="87"/>
      <c r="F47" s="87"/>
      <c r="G47" s="87"/>
      <c r="H47" s="87"/>
      <c r="I47" s="87"/>
      <c r="J47" s="87"/>
      <c r="K47" s="87"/>
      <c r="L47" s="87"/>
      <c r="M47" s="87"/>
      <c r="N47" s="87"/>
      <c r="O47" s="87"/>
    </row>
    <row r="48" spans="1:15" s="23" customFormat="1" ht="20.25" x14ac:dyDescent="0.25">
      <c r="A48" s="87"/>
      <c r="B48" s="87"/>
      <c r="C48" s="138"/>
      <c r="D48" s="138"/>
      <c r="E48" s="87"/>
      <c r="F48" s="87"/>
      <c r="G48" s="87"/>
      <c r="H48" s="87"/>
      <c r="I48" s="87"/>
      <c r="J48" s="87"/>
      <c r="K48" s="87"/>
      <c r="L48" s="87"/>
      <c r="M48" s="87"/>
      <c r="N48" s="87"/>
      <c r="O48" s="87"/>
    </row>
    <row r="49" spans="1:15" s="23" customFormat="1" ht="20.25" x14ac:dyDescent="0.25">
      <c r="A49" s="87"/>
      <c r="B49" s="87"/>
      <c r="C49" s="138"/>
      <c r="D49" s="138"/>
      <c r="E49" s="87"/>
      <c r="F49" s="87"/>
      <c r="G49" s="87"/>
      <c r="H49" s="87"/>
      <c r="I49" s="87"/>
      <c r="J49" s="87"/>
      <c r="K49" s="87"/>
      <c r="L49" s="87"/>
      <c r="M49" s="87"/>
      <c r="N49" s="87"/>
      <c r="O49" s="87"/>
    </row>
    <row r="50" spans="1:15" s="23" customFormat="1" ht="20.25" x14ac:dyDescent="0.25">
      <c r="A50" s="87"/>
      <c r="B50" s="87"/>
      <c r="C50" s="138"/>
      <c r="D50" s="138"/>
      <c r="E50" s="87"/>
      <c r="F50" s="87"/>
      <c r="G50" s="87"/>
      <c r="H50" s="87"/>
      <c r="I50" s="87"/>
      <c r="J50" s="87"/>
      <c r="K50" s="87"/>
      <c r="L50" s="87"/>
      <c r="M50" s="87"/>
      <c r="N50" s="87"/>
      <c r="O50" s="87"/>
    </row>
    <row r="51" spans="1:15" s="23" customFormat="1" ht="20.25" x14ac:dyDescent="0.25">
      <c r="A51" s="87"/>
      <c r="B51" s="87"/>
      <c r="C51" s="138"/>
      <c r="D51" s="138"/>
      <c r="E51" s="87"/>
      <c r="F51" s="87"/>
      <c r="G51" s="87"/>
      <c r="H51" s="87"/>
      <c r="I51" s="87"/>
      <c r="J51" s="87"/>
      <c r="K51" s="87"/>
      <c r="L51" s="87"/>
      <c r="M51" s="87"/>
      <c r="N51" s="87"/>
      <c r="O51" s="87"/>
    </row>
    <row r="52" spans="1:15" s="23" customFormat="1" ht="20.25" x14ac:dyDescent="0.25">
      <c r="A52" s="87"/>
      <c r="C52" s="140"/>
      <c r="D52" s="140"/>
    </row>
    <row r="53" spans="1:15" s="23" customFormat="1" ht="20.25" x14ac:dyDescent="0.25">
      <c r="A53" s="87"/>
      <c r="C53" s="140"/>
      <c r="D53" s="140"/>
    </row>
    <row r="54" spans="1:15" s="23" customFormat="1" ht="20.25" x14ac:dyDescent="0.25">
      <c r="A54" s="87"/>
      <c r="C54" s="140"/>
      <c r="D54" s="140"/>
    </row>
    <row r="55" spans="1:15" s="23" customFormat="1" ht="20.25" x14ac:dyDescent="0.25">
      <c r="A55" s="87"/>
      <c r="C55" s="140"/>
      <c r="D55" s="140"/>
    </row>
    <row r="56" spans="1:15" s="23" customFormat="1" ht="20.25" x14ac:dyDescent="0.25">
      <c r="A56" s="87"/>
      <c r="C56" s="140"/>
      <c r="D56" s="140"/>
    </row>
    <row r="57" spans="1:15" s="23" customFormat="1" ht="20.25" x14ac:dyDescent="0.25">
      <c r="A57" s="87"/>
      <c r="C57" s="140"/>
      <c r="D57" s="140"/>
    </row>
    <row r="58" spans="1:15" s="23" customFormat="1" ht="20.25" x14ac:dyDescent="0.25">
      <c r="A58" s="87"/>
      <c r="C58" s="140"/>
      <c r="D58" s="140"/>
    </row>
    <row r="59" spans="1:15" s="23" customFormat="1" ht="20.25" x14ac:dyDescent="0.25">
      <c r="A59" s="87"/>
      <c r="C59" s="140"/>
      <c r="D59" s="140"/>
    </row>
    <row r="60" spans="1:15" s="23" customFormat="1" ht="20.25" x14ac:dyDescent="0.25">
      <c r="A60" s="87"/>
      <c r="C60" s="140"/>
      <c r="D60" s="140"/>
    </row>
    <row r="61" spans="1:15" s="23" customFormat="1" ht="20.25" x14ac:dyDescent="0.25">
      <c r="A61" s="87"/>
      <c r="C61" s="140"/>
      <c r="D61" s="140"/>
    </row>
    <row r="62" spans="1:15" s="23" customFormat="1" ht="20.25" x14ac:dyDescent="0.25">
      <c r="A62" s="87"/>
      <c r="C62" s="140"/>
      <c r="D62" s="140"/>
    </row>
    <row r="63" spans="1:15" s="23" customFormat="1" ht="20.25" x14ac:dyDescent="0.25">
      <c r="A63" s="87"/>
      <c r="C63" s="140"/>
      <c r="D63" s="140"/>
    </row>
    <row r="64" spans="1:15" s="23" customFormat="1" ht="20.25" x14ac:dyDescent="0.25">
      <c r="A64" s="87"/>
      <c r="C64" s="140"/>
      <c r="D64" s="140"/>
    </row>
    <row r="65" spans="1:4" s="23" customFormat="1" ht="20.25" x14ac:dyDescent="0.25">
      <c r="A65" s="87"/>
      <c r="C65" s="140"/>
      <c r="D65" s="140"/>
    </row>
    <row r="66" spans="1:4" s="23" customFormat="1" ht="20.25" x14ac:dyDescent="0.25">
      <c r="A66" s="87"/>
      <c r="C66" s="140"/>
      <c r="D66" s="140"/>
    </row>
    <row r="67" spans="1:4" s="23" customFormat="1" ht="20.25" x14ac:dyDescent="0.25">
      <c r="A67" s="87"/>
      <c r="C67" s="140"/>
      <c r="D67" s="140"/>
    </row>
    <row r="68" spans="1:4" s="23" customFormat="1" ht="20.25" x14ac:dyDescent="0.25">
      <c r="A68" s="87"/>
      <c r="C68" s="140"/>
      <c r="D68" s="140"/>
    </row>
    <row r="69" spans="1:4" s="23" customFormat="1" ht="20.25" x14ac:dyDescent="0.25">
      <c r="A69" s="87"/>
      <c r="C69" s="140"/>
      <c r="D69" s="140"/>
    </row>
    <row r="70" spans="1:4" s="23" customFormat="1" ht="20.25" x14ac:dyDescent="0.25">
      <c r="A70" s="87"/>
      <c r="C70" s="140"/>
      <c r="D70" s="140"/>
    </row>
    <row r="71" spans="1:4" s="23" customFormat="1" ht="20.25" x14ac:dyDescent="0.25">
      <c r="A71" s="87"/>
      <c r="C71" s="140"/>
      <c r="D71" s="140"/>
    </row>
    <row r="72" spans="1:4" s="23" customFormat="1" ht="20.25" x14ac:dyDescent="0.25">
      <c r="A72" s="87"/>
      <c r="C72" s="140"/>
      <c r="D72" s="140"/>
    </row>
    <row r="73" spans="1:4" s="23" customFormat="1" ht="20.25" x14ac:dyDescent="0.25">
      <c r="A73" s="87"/>
      <c r="C73" s="140"/>
      <c r="D73" s="140"/>
    </row>
    <row r="74" spans="1:4" s="23" customFormat="1" ht="20.25" x14ac:dyDescent="0.25">
      <c r="A74" s="87"/>
      <c r="C74" s="140"/>
      <c r="D74" s="140"/>
    </row>
    <row r="75" spans="1:4" s="23" customFormat="1" ht="20.25" x14ac:dyDescent="0.25">
      <c r="A75" s="87"/>
      <c r="C75" s="140"/>
      <c r="D75" s="140"/>
    </row>
    <row r="76" spans="1:4" s="23" customFormat="1" ht="20.25" x14ac:dyDescent="0.25">
      <c r="A76" s="87"/>
      <c r="C76" s="140"/>
      <c r="D76" s="140"/>
    </row>
    <row r="77" spans="1:4" s="23" customFormat="1" ht="20.25" x14ac:dyDescent="0.25">
      <c r="A77" s="87"/>
      <c r="C77" s="140"/>
      <c r="D77" s="140"/>
    </row>
    <row r="78" spans="1:4" s="23" customFormat="1" ht="20.25" x14ac:dyDescent="0.25">
      <c r="A78" s="87"/>
      <c r="C78" s="140"/>
      <c r="D78" s="140"/>
    </row>
    <row r="79" spans="1:4" s="23" customFormat="1" ht="20.25" x14ac:dyDescent="0.25">
      <c r="A79" s="87"/>
      <c r="C79" s="140"/>
      <c r="D79" s="140"/>
    </row>
    <row r="80" spans="1:4" s="23" customFormat="1" ht="20.25" x14ac:dyDescent="0.25">
      <c r="A80" s="87"/>
      <c r="C80" s="140"/>
      <c r="D80" s="140"/>
    </row>
    <row r="81" spans="1:4" s="23" customFormat="1" ht="20.25" x14ac:dyDescent="0.25">
      <c r="A81" s="87"/>
      <c r="C81" s="140"/>
      <c r="D81" s="140"/>
    </row>
    <row r="82" spans="1:4" s="23" customFormat="1" ht="20.25" x14ac:dyDescent="0.25">
      <c r="A82" s="87"/>
      <c r="C82" s="140"/>
      <c r="D82" s="140"/>
    </row>
    <row r="83" spans="1:4" s="23" customFormat="1" ht="20.25" x14ac:dyDescent="0.25">
      <c r="A83" s="87"/>
      <c r="C83" s="140"/>
      <c r="D83" s="140"/>
    </row>
    <row r="84" spans="1:4" s="23" customFormat="1" ht="20.25" x14ac:dyDescent="0.25">
      <c r="A84" s="87"/>
      <c r="C84" s="140"/>
      <c r="D84" s="140"/>
    </row>
    <row r="85" spans="1:4" s="23" customFormat="1" ht="20.25" x14ac:dyDescent="0.25">
      <c r="A85" s="87"/>
      <c r="C85" s="140"/>
      <c r="D85" s="140"/>
    </row>
    <row r="86" spans="1:4" s="23" customFormat="1" ht="20.25" x14ac:dyDescent="0.25">
      <c r="A86" s="87"/>
      <c r="C86" s="140"/>
      <c r="D86" s="140"/>
    </row>
    <row r="87" spans="1:4" s="23" customFormat="1" ht="20.25" x14ac:dyDescent="0.25">
      <c r="A87" s="87"/>
      <c r="C87" s="140"/>
      <c r="D87" s="140"/>
    </row>
    <row r="88" spans="1:4" s="23" customFormat="1" ht="20.25" x14ac:dyDescent="0.25">
      <c r="A88" s="87"/>
      <c r="C88" s="140"/>
      <c r="D88" s="140"/>
    </row>
    <row r="89" spans="1:4" s="23" customFormat="1" ht="20.25" x14ac:dyDescent="0.25">
      <c r="A89" s="87"/>
      <c r="C89" s="140"/>
      <c r="D89" s="140"/>
    </row>
    <row r="90" spans="1:4" s="23" customFormat="1" ht="20.25" x14ac:dyDescent="0.25">
      <c r="A90" s="87"/>
      <c r="C90" s="140"/>
      <c r="D90" s="140"/>
    </row>
    <row r="91" spans="1:4" s="23" customFormat="1" ht="20.25" x14ac:dyDescent="0.25">
      <c r="A91" s="87"/>
      <c r="C91" s="140"/>
      <c r="D91" s="140"/>
    </row>
    <row r="92" spans="1:4" s="23" customFormat="1" ht="20.25" x14ac:dyDescent="0.25">
      <c r="A92" s="87"/>
      <c r="C92" s="140"/>
      <c r="D92" s="140"/>
    </row>
    <row r="93" spans="1:4" s="23" customFormat="1" ht="20.25" x14ac:dyDescent="0.25">
      <c r="A93" s="87"/>
      <c r="C93" s="140"/>
      <c r="D93" s="140"/>
    </row>
    <row r="94" spans="1:4" s="23" customFormat="1" ht="20.25" x14ac:dyDescent="0.25">
      <c r="A94" s="87"/>
      <c r="C94" s="140"/>
      <c r="D94" s="140"/>
    </row>
    <row r="95" spans="1:4" s="23" customFormat="1" ht="20.25" x14ac:dyDescent="0.25">
      <c r="A95" s="87"/>
      <c r="C95" s="140"/>
      <c r="D95" s="140"/>
    </row>
    <row r="96" spans="1:4" s="23" customFormat="1" ht="20.25" x14ac:dyDescent="0.25">
      <c r="A96" s="87"/>
      <c r="C96" s="140"/>
      <c r="D96" s="140"/>
    </row>
    <row r="97" spans="1:4" s="23" customFormat="1" ht="20.25" x14ac:dyDescent="0.25">
      <c r="A97" s="87"/>
      <c r="C97" s="140"/>
      <c r="D97" s="140"/>
    </row>
    <row r="98" spans="1:4" s="23" customFormat="1" ht="20.25" x14ac:dyDescent="0.25">
      <c r="A98" s="87"/>
      <c r="C98" s="140"/>
      <c r="D98" s="140"/>
    </row>
    <row r="99" spans="1:4" s="23" customFormat="1" ht="20.25" x14ac:dyDescent="0.25">
      <c r="A99" s="87"/>
      <c r="C99" s="140"/>
      <c r="D99" s="140"/>
    </row>
    <row r="100" spans="1:4" s="23" customFormat="1" ht="20.25" x14ac:dyDescent="0.25">
      <c r="A100" s="87"/>
      <c r="C100" s="140"/>
      <c r="D100" s="140"/>
    </row>
    <row r="101" spans="1:4" s="23" customFormat="1" ht="20.25" x14ac:dyDescent="0.25">
      <c r="A101" s="87"/>
      <c r="C101" s="140"/>
      <c r="D101" s="140"/>
    </row>
    <row r="102" spans="1:4" s="23" customFormat="1" ht="20.25" x14ac:dyDescent="0.25">
      <c r="A102" s="87"/>
      <c r="C102" s="140"/>
      <c r="D102" s="140"/>
    </row>
    <row r="103" spans="1:4" s="23" customFormat="1" ht="20.25" x14ac:dyDescent="0.25">
      <c r="A103" s="87"/>
      <c r="C103" s="140"/>
      <c r="D103" s="140"/>
    </row>
    <row r="104" spans="1:4" s="23" customFormat="1" ht="20.25" x14ac:dyDescent="0.25">
      <c r="A104" s="87"/>
      <c r="C104" s="140"/>
      <c r="D104" s="140"/>
    </row>
    <row r="105" spans="1:4" s="23" customFormat="1" ht="20.25" x14ac:dyDescent="0.25">
      <c r="A105" s="87"/>
      <c r="C105" s="140"/>
      <c r="D105" s="140"/>
    </row>
    <row r="106" spans="1:4" s="23" customFormat="1" ht="20.25" x14ac:dyDescent="0.25">
      <c r="A106" s="87"/>
      <c r="C106" s="140"/>
      <c r="D106" s="140"/>
    </row>
    <row r="107" spans="1:4" s="23" customFormat="1" ht="20.25" x14ac:dyDescent="0.25">
      <c r="A107" s="87"/>
      <c r="C107" s="140"/>
      <c r="D107" s="140"/>
    </row>
    <row r="108" spans="1:4" s="23" customFormat="1" ht="20.25" x14ac:dyDescent="0.25">
      <c r="A108" s="87"/>
      <c r="C108" s="140"/>
      <c r="D108" s="140"/>
    </row>
    <row r="109" spans="1:4" s="23" customFormat="1" ht="20.25" x14ac:dyDescent="0.25">
      <c r="A109" s="87"/>
      <c r="C109" s="140"/>
      <c r="D109" s="140"/>
    </row>
    <row r="110" spans="1:4" s="23" customFormat="1" ht="20.25" x14ac:dyDescent="0.25">
      <c r="A110" s="87"/>
      <c r="C110" s="140"/>
      <c r="D110" s="140"/>
    </row>
    <row r="111" spans="1:4" s="23" customFormat="1" ht="20.25" x14ac:dyDescent="0.25">
      <c r="A111" s="87"/>
      <c r="C111" s="140"/>
      <c r="D111" s="140"/>
    </row>
    <row r="112" spans="1:4" s="23" customFormat="1" ht="20.25" x14ac:dyDescent="0.25">
      <c r="A112" s="87"/>
      <c r="C112" s="140"/>
      <c r="D112" s="140"/>
    </row>
    <row r="113" spans="1:4" s="23" customFormat="1" ht="20.25" x14ac:dyDescent="0.25">
      <c r="A113" s="87"/>
      <c r="C113" s="140"/>
      <c r="D113" s="140"/>
    </row>
    <row r="114" spans="1:4" s="23" customFormat="1" ht="20.25" x14ac:dyDescent="0.25">
      <c r="A114" s="87"/>
      <c r="C114" s="140"/>
      <c r="D114" s="140"/>
    </row>
    <row r="115" spans="1:4" s="23" customFormat="1" ht="20.25" x14ac:dyDescent="0.25">
      <c r="A115" s="87"/>
      <c r="C115" s="140"/>
      <c r="D115" s="140"/>
    </row>
    <row r="116" spans="1:4" s="23" customFormat="1" ht="20.25" x14ac:dyDescent="0.25">
      <c r="A116" s="87"/>
      <c r="C116" s="140"/>
      <c r="D116" s="140"/>
    </row>
    <row r="117" spans="1:4" s="23" customFormat="1" ht="20.25" x14ac:dyDescent="0.25">
      <c r="A117" s="87"/>
      <c r="C117" s="140"/>
      <c r="D117" s="140"/>
    </row>
    <row r="118" spans="1:4" s="23" customFormat="1" ht="20.25" x14ac:dyDescent="0.25">
      <c r="A118" s="87"/>
      <c r="C118" s="140"/>
      <c r="D118" s="140"/>
    </row>
    <row r="119" spans="1:4" s="23" customFormat="1" ht="20.25" x14ac:dyDescent="0.25">
      <c r="A119" s="87"/>
      <c r="C119" s="140"/>
      <c r="D119" s="140"/>
    </row>
    <row r="120" spans="1:4" s="23" customFormat="1" ht="20.25" x14ac:dyDescent="0.25">
      <c r="A120" s="87"/>
      <c r="C120" s="140"/>
      <c r="D120" s="140"/>
    </row>
    <row r="121" spans="1:4" s="23" customFormat="1" ht="20.25" x14ac:dyDescent="0.25">
      <c r="A121" s="87"/>
      <c r="C121" s="140"/>
      <c r="D121" s="140"/>
    </row>
    <row r="122" spans="1:4" s="23" customFormat="1" ht="20.25" x14ac:dyDescent="0.25">
      <c r="A122" s="87"/>
      <c r="C122" s="140"/>
      <c r="D122" s="140"/>
    </row>
    <row r="123" spans="1:4" s="23" customFormat="1" ht="20.25" x14ac:dyDescent="0.25">
      <c r="A123" s="87"/>
      <c r="C123" s="140"/>
      <c r="D123" s="140"/>
    </row>
    <row r="124" spans="1:4" s="23" customFormat="1" ht="20.25" x14ac:dyDescent="0.25">
      <c r="A124" s="87"/>
      <c r="C124" s="140"/>
      <c r="D124" s="140"/>
    </row>
    <row r="125" spans="1:4" s="23" customFormat="1" ht="20.25" x14ac:dyDescent="0.25">
      <c r="A125" s="87"/>
      <c r="C125" s="140"/>
      <c r="D125" s="140"/>
    </row>
    <row r="126" spans="1:4" s="23" customFormat="1" ht="20.25" x14ac:dyDescent="0.25">
      <c r="A126" s="87"/>
      <c r="C126" s="140"/>
      <c r="D126" s="140"/>
    </row>
    <row r="127" spans="1:4" s="23" customFormat="1" ht="20.25" x14ac:dyDescent="0.25">
      <c r="A127" s="87"/>
      <c r="C127" s="140"/>
      <c r="D127" s="140"/>
    </row>
    <row r="128" spans="1:4" s="23" customFormat="1" ht="20.25" x14ac:dyDescent="0.25">
      <c r="A128" s="87"/>
      <c r="C128" s="140"/>
      <c r="D128" s="140"/>
    </row>
    <row r="129" spans="1:4" s="23" customFormat="1" ht="20.25" x14ac:dyDescent="0.25">
      <c r="A129" s="87"/>
      <c r="C129" s="140"/>
      <c r="D129" s="140"/>
    </row>
    <row r="130" spans="1:4" s="23" customFormat="1" ht="20.25" x14ac:dyDescent="0.25">
      <c r="A130" s="87"/>
      <c r="C130" s="140"/>
      <c r="D130" s="140"/>
    </row>
    <row r="131" spans="1:4" s="23" customFormat="1" ht="20.25" x14ac:dyDescent="0.25">
      <c r="A131" s="87"/>
      <c r="C131" s="140"/>
      <c r="D131" s="140"/>
    </row>
    <row r="132" spans="1:4" s="23" customFormat="1" ht="20.25" x14ac:dyDescent="0.25">
      <c r="A132" s="87"/>
      <c r="C132" s="140"/>
      <c r="D132" s="140"/>
    </row>
    <row r="133" spans="1:4" s="23" customFormat="1" ht="20.25" x14ac:dyDescent="0.25">
      <c r="A133" s="87"/>
      <c r="C133" s="140"/>
      <c r="D133" s="140"/>
    </row>
    <row r="134" spans="1:4" s="23" customFormat="1" ht="20.25" x14ac:dyDescent="0.25">
      <c r="A134" s="87"/>
      <c r="C134" s="140"/>
      <c r="D134" s="140"/>
    </row>
    <row r="135" spans="1:4" s="23" customFormat="1" ht="20.25" x14ac:dyDescent="0.25">
      <c r="A135" s="87"/>
      <c r="C135" s="140"/>
      <c r="D135" s="140"/>
    </row>
    <row r="136" spans="1:4" s="23" customFormat="1" ht="20.25" x14ac:dyDescent="0.25">
      <c r="A136" s="87"/>
      <c r="C136" s="140"/>
      <c r="D136" s="140"/>
    </row>
    <row r="137" spans="1:4" s="23" customFormat="1" ht="20.25" x14ac:dyDescent="0.25">
      <c r="A137" s="87"/>
      <c r="C137" s="140"/>
      <c r="D137" s="140"/>
    </row>
    <row r="138" spans="1:4" s="23" customFormat="1" ht="20.25" x14ac:dyDescent="0.25">
      <c r="A138" s="87"/>
      <c r="C138" s="140"/>
      <c r="D138" s="140"/>
    </row>
    <row r="139" spans="1:4" s="23" customFormat="1" ht="20.25" x14ac:dyDescent="0.25">
      <c r="A139" s="87"/>
      <c r="C139" s="140"/>
      <c r="D139" s="140"/>
    </row>
    <row r="140" spans="1:4" s="23" customFormat="1" ht="20.25" x14ac:dyDescent="0.25">
      <c r="A140" s="87"/>
      <c r="C140" s="140"/>
      <c r="D140" s="140"/>
    </row>
    <row r="141" spans="1:4" s="23" customFormat="1" ht="20.25" x14ac:dyDescent="0.25">
      <c r="A141" s="87"/>
      <c r="C141" s="140"/>
      <c r="D141" s="140"/>
    </row>
    <row r="142" spans="1:4" s="23" customFormat="1" ht="20.25" x14ac:dyDescent="0.25">
      <c r="A142" s="87"/>
      <c r="C142" s="140"/>
      <c r="D142" s="140"/>
    </row>
    <row r="143" spans="1:4" s="23" customFormat="1" ht="20.25" x14ac:dyDescent="0.25">
      <c r="A143" s="87"/>
      <c r="C143" s="140"/>
      <c r="D143" s="140"/>
    </row>
    <row r="144" spans="1:4" s="23" customFormat="1" ht="20.25" x14ac:dyDescent="0.25">
      <c r="A144" s="87"/>
      <c r="C144" s="140"/>
      <c r="D144" s="140"/>
    </row>
    <row r="145" spans="1:4" s="23" customFormat="1" ht="20.25" x14ac:dyDescent="0.25">
      <c r="A145" s="87"/>
      <c r="C145" s="140"/>
      <c r="D145" s="140"/>
    </row>
    <row r="146" spans="1:4" s="23" customFormat="1" ht="20.25" x14ac:dyDescent="0.25">
      <c r="A146" s="87"/>
      <c r="C146" s="140"/>
      <c r="D146" s="140"/>
    </row>
    <row r="147" spans="1:4" s="23" customFormat="1" ht="20.25" x14ac:dyDescent="0.25">
      <c r="A147" s="87"/>
      <c r="C147" s="140"/>
      <c r="D147" s="140"/>
    </row>
    <row r="148" spans="1:4" s="23" customFormat="1" ht="20.25" x14ac:dyDescent="0.25">
      <c r="A148" s="87"/>
      <c r="C148" s="140"/>
      <c r="D148" s="140"/>
    </row>
    <row r="149" spans="1:4" s="23" customFormat="1" ht="20.25" x14ac:dyDescent="0.25">
      <c r="A149" s="87"/>
      <c r="C149" s="140"/>
      <c r="D149" s="140"/>
    </row>
    <row r="150" spans="1:4" s="23" customFormat="1" ht="20.25" x14ac:dyDescent="0.25">
      <c r="A150" s="87"/>
      <c r="C150" s="140"/>
      <c r="D150" s="140"/>
    </row>
    <row r="151" spans="1:4" s="23" customFormat="1" ht="20.25" x14ac:dyDescent="0.25">
      <c r="A151" s="87"/>
      <c r="C151" s="140"/>
      <c r="D151" s="140"/>
    </row>
    <row r="152" spans="1:4" s="23" customFormat="1" ht="20.25" x14ac:dyDescent="0.25">
      <c r="A152" s="87"/>
      <c r="C152" s="140"/>
      <c r="D152" s="140"/>
    </row>
    <row r="153" spans="1:4" s="23" customFormat="1" ht="20.25" x14ac:dyDescent="0.25">
      <c r="A153" s="87"/>
      <c r="C153" s="140"/>
      <c r="D153" s="140"/>
    </row>
    <row r="154" spans="1:4" s="23" customFormat="1" ht="20.25" x14ac:dyDescent="0.25">
      <c r="A154" s="87"/>
      <c r="C154" s="140"/>
      <c r="D154" s="140"/>
    </row>
    <row r="155" spans="1:4" s="23" customFormat="1" ht="20.25" x14ac:dyDescent="0.25">
      <c r="A155" s="87"/>
      <c r="C155" s="140"/>
      <c r="D155" s="140"/>
    </row>
    <row r="156" spans="1:4" s="23" customFormat="1" ht="20.25" x14ac:dyDescent="0.25">
      <c r="A156" s="87"/>
      <c r="C156" s="140"/>
      <c r="D156" s="140"/>
    </row>
    <row r="157" spans="1:4" s="23" customFormat="1" ht="20.25" x14ac:dyDescent="0.25">
      <c r="A157" s="87"/>
      <c r="C157" s="140"/>
      <c r="D157" s="140"/>
    </row>
    <row r="158" spans="1:4" s="23" customFormat="1" ht="20.25" x14ac:dyDescent="0.25">
      <c r="A158" s="87"/>
      <c r="C158" s="140"/>
      <c r="D158" s="140"/>
    </row>
    <row r="159" spans="1:4" s="23" customFormat="1" ht="20.25" x14ac:dyDescent="0.25">
      <c r="A159" s="87"/>
      <c r="C159" s="140"/>
      <c r="D159" s="140"/>
    </row>
    <row r="160" spans="1:4" s="23" customFormat="1" ht="20.25" x14ac:dyDescent="0.25">
      <c r="A160" s="87"/>
      <c r="C160" s="140"/>
      <c r="D160" s="140"/>
    </row>
    <row r="161" spans="1:4" s="23" customFormat="1" ht="20.25" x14ac:dyDescent="0.25">
      <c r="A161" s="87"/>
      <c r="C161" s="140"/>
      <c r="D161" s="140"/>
    </row>
    <row r="162" spans="1:4" s="23" customFormat="1" ht="20.25" x14ac:dyDescent="0.25">
      <c r="A162" s="87"/>
      <c r="C162" s="140"/>
      <c r="D162" s="140"/>
    </row>
    <row r="163" spans="1:4" s="23" customFormat="1" ht="20.25" x14ac:dyDescent="0.25">
      <c r="A163" s="87"/>
      <c r="C163" s="140"/>
      <c r="D163" s="140"/>
    </row>
    <row r="164" spans="1:4" s="23" customFormat="1" ht="20.25" x14ac:dyDescent="0.25">
      <c r="A164" s="87"/>
      <c r="C164" s="140"/>
      <c r="D164" s="140"/>
    </row>
    <row r="165" spans="1:4" s="23" customFormat="1" ht="20.25" x14ac:dyDescent="0.25">
      <c r="A165" s="87"/>
      <c r="C165" s="140"/>
      <c r="D165" s="140"/>
    </row>
    <row r="166" spans="1:4" s="23" customFormat="1" ht="20.25" x14ac:dyDescent="0.25">
      <c r="A166" s="87"/>
      <c r="C166" s="140"/>
      <c r="D166" s="140"/>
    </row>
    <row r="167" spans="1:4" s="23" customFormat="1" ht="20.25" x14ac:dyDescent="0.25">
      <c r="A167" s="87"/>
      <c r="C167" s="140"/>
      <c r="D167" s="140"/>
    </row>
    <row r="168" spans="1:4" s="23" customFormat="1" ht="20.25" x14ac:dyDescent="0.25">
      <c r="A168" s="87"/>
      <c r="C168" s="140"/>
      <c r="D168" s="140"/>
    </row>
    <row r="169" spans="1:4" s="23" customFormat="1" ht="20.25" x14ac:dyDescent="0.25">
      <c r="A169" s="87"/>
      <c r="C169" s="140"/>
      <c r="D169" s="140"/>
    </row>
    <row r="170" spans="1:4" s="23" customFormat="1" ht="20.25" x14ac:dyDescent="0.25">
      <c r="A170" s="87"/>
      <c r="C170" s="140"/>
      <c r="D170" s="140"/>
    </row>
    <row r="171" spans="1:4" s="23" customFormat="1" ht="20.25" x14ac:dyDescent="0.25">
      <c r="A171" s="87"/>
      <c r="C171" s="140"/>
      <c r="D171" s="140"/>
    </row>
    <row r="172" spans="1:4" s="23" customFormat="1" ht="20.25" x14ac:dyDescent="0.25">
      <c r="A172" s="87"/>
      <c r="C172" s="140"/>
      <c r="D172" s="140"/>
    </row>
    <row r="173" spans="1:4" s="23" customFormat="1" ht="20.25" x14ac:dyDescent="0.25">
      <c r="A173" s="87"/>
      <c r="C173" s="140"/>
      <c r="D173" s="140"/>
    </row>
    <row r="174" spans="1:4" s="23" customFormat="1" ht="20.25" x14ac:dyDescent="0.25">
      <c r="A174" s="87"/>
      <c r="C174" s="140"/>
      <c r="D174" s="140"/>
    </row>
    <row r="175" spans="1:4" s="23" customFormat="1" ht="20.25" x14ac:dyDescent="0.25">
      <c r="A175" s="87"/>
      <c r="C175" s="140"/>
      <c r="D175" s="140"/>
    </row>
    <row r="176" spans="1:4" s="23" customFormat="1" ht="20.25" x14ac:dyDescent="0.25">
      <c r="A176" s="87"/>
      <c r="C176" s="140"/>
      <c r="D176" s="140"/>
    </row>
    <row r="177" spans="1:4" s="23" customFormat="1" ht="20.25" x14ac:dyDescent="0.25">
      <c r="A177" s="87"/>
      <c r="C177" s="140"/>
      <c r="D177" s="140"/>
    </row>
    <row r="178" spans="1:4" s="23" customFormat="1" ht="20.25" x14ac:dyDescent="0.25">
      <c r="A178" s="87"/>
      <c r="C178" s="140"/>
      <c r="D178" s="140"/>
    </row>
    <row r="179" spans="1:4" s="23" customFormat="1" ht="20.25" x14ac:dyDescent="0.25">
      <c r="A179" s="87"/>
      <c r="C179" s="140"/>
      <c r="D179" s="140"/>
    </row>
    <row r="180" spans="1:4" s="23" customFormat="1" ht="20.25" x14ac:dyDescent="0.25">
      <c r="A180" s="87"/>
      <c r="C180" s="140"/>
      <c r="D180" s="140"/>
    </row>
    <row r="181" spans="1:4" s="23" customFormat="1" ht="20.25" x14ac:dyDescent="0.25">
      <c r="A181" s="87"/>
      <c r="C181" s="140"/>
      <c r="D181" s="140"/>
    </row>
    <row r="182" spans="1:4" s="23" customFormat="1" ht="20.25" x14ac:dyDescent="0.25">
      <c r="A182" s="87"/>
      <c r="C182" s="140"/>
      <c r="D182" s="140"/>
    </row>
    <row r="183" spans="1:4" s="23" customFormat="1" ht="20.25" x14ac:dyDescent="0.25">
      <c r="A183" s="87"/>
      <c r="C183" s="140"/>
      <c r="D183" s="140"/>
    </row>
    <row r="184" spans="1:4" s="23" customFormat="1" ht="20.25" x14ac:dyDescent="0.25">
      <c r="A184" s="87"/>
      <c r="C184" s="140"/>
      <c r="D184" s="140"/>
    </row>
    <row r="185" spans="1:4" s="23" customFormat="1" ht="20.25" x14ac:dyDescent="0.25">
      <c r="A185" s="87"/>
      <c r="C185" s="140"/>
      <c r="D185" s="140"/>
    </row>
    <row r="186" spans="1:4" s="23" customFormat="1" ht="20.25" x14ac:dyDescent="0.25">
      <c r="A186" s="87"/>
      <c r="C186" s="140"/>
      <c r="D186" s="140"/>
    </row>
    <row r="187" spans="1:4" s="23" customFormat="1" ht="20.25" x14ac:dyDescent="0.25">
      <c r="A187" s="87"/>
      <c r="C187" s="140"/>
      <c r="D187" s="140"/>
    </row>
    <row r="188" spans="1:4" s="23" customFormat="1" ht="20.25" x14ac:dyDescent="0.25">
      <c r="A188" s="87"/>
      <c r="C188" s="140"/>
      <c r="D188" s="140"/>
    </row>
    <row r="189" spans="1:4" s="23" customFormat="1" ht="20.25" x14ac:dyDescent="0.25">
      <c r="A189" s="87"/>
      <c r="C189" s="140"/>
      <c r="D189" s="140"/>
    </row>
    <row r="190" spans="1:4" s="23" customFormat="1" ht="20.25" x14ac:dyDescent="0.25">
      <c r="A190" s="87"/>
      <c r="C190" s="140"/>
      <c r="D190" s="140"/>
    </row>
    <row r="191" spans="1:4" s="23" customFormat="1" ht="20.25" x14ac:dyDescent="0.25">
      <c r="A191" s="87"/>
      <c r="C191" s="140"/>
      <c r="D191" s="140"/>
    </row>
    <row r="192" spans="1:4" s="23" customFormat="1" ht="20.25" x14ac:dyDescent="0.25">
      <c r="A192" s="87"/>
      <c r="C192" s="140"/>
      <c r="D192" s="140"/>
    </row>
    <row r="193" spans="1:4" s="23" customFormat="1" ht="20.25" x14ac:dyDescent="0.25">
      <c r="A193" s="87"/>
      <c r="C193" s="140"/>
      <c r="D193" s="140"/>
    </row>
    <row r="194" spans="1:4" s="23" customFormat="1" ht="20.25" x14ac:dyDescent="0.25">
      <c r="A194" s="87"/>
      <c r="C194" s="140"/>
      <c r="D194" s="140"/>
    </row>
    <row r="195" spans="1:4" s="23" customFormat="1" ht="20.25" x14ac:dyDescent="0.25">
      <c r="A195" s="87"/>
      <c r="C195" s="140"/>
      <c r="D195" s="140"/>
    </row>
    <row r="196" spans="1:4" s="23" customFormat="1" ht="20.25" x14ac:dyDescent="0.25">
      <c r="A196" s="87"/>
      <c r="C196" s="140"/>
      <c r="D196" s="140"/>
    </row>
    <row r="197" spans="1:4" s="23" customFormat="1" ht="20.25" x14ac:dyDescent="0.25">
      <c r="A197" s="87"/>
      <c r="C197" s="140"/>
      <c r="D197" s="140"/>
    </row>
    <row r="198" spans="1:4" s="23" customFormat="1" ht="20.25" x14ac:dyDescent="0.25">
      <c r="A198" s="87"/>
      <c r="C198" s="140"/>
      <c r="D198" s="140"/>
    </row>
    <row r="199" spans="1:4" s="23" customFormat="1" ht="20.25" x14ac:dyDescent="0.25">
      <c r="A199" s="87"/>
      <c r="C199" s="140"/>
      <c r="D199" s="140"/>
    </row>
    <row r="200" spans="1:4" s="23" customFormat="1" ht="20.25" x14ac:dyDescent="0.25">
      <c r="A200" s="87"/>
      <c r="C200" s="140"/>
      <c r="D200" s="140"/>
    </row>
    <row r="201" spans="1:4" s="23" customFormat="1" ht="20.25" x14ac:dyDescent="0.25">
      <c r="A201" s="87"/>
      <c r="C201" s="140"/>
      <c r="D201" s="140"/>
    </row>
    <row r="202" spans="1:4" s="23" customFormat="1" ht="20.25" x14ac:dyDescent="0.25">
      <c r="A202" s="87"/>
      <c r="C202" s="140"/>
      <c r="D202" s="140"/>
    </row>
    <row r="203" spans="1:4" s="23" customFormat="1" ht="20.25" x14ac:dyDescent="0.25">
      <c r="A203" s="87"/>
      <c r="C203" s="140"/>
      <c r="D203" s="140"/>
    </row>
    <row r="204" spans="1:4" s="23" customFormat="1" ht="20.25" x14ac:dyDescent="0.25">
      <c r="A204" s="87"/>
      <c r="C204" s="140"/>
      <c r="D204" s="140"/>
    </row>
    <row r="205" spans="1:4" s="23" customFormat="1" ht="20.25" x14ac:dyDescent="0.25">
      <c r="A205" s="87"/>
      <c r="C205" s="140"/>
      <c r="D205" s="140"/>
    </row>
    <row r="206" spans="1:4" s="23" customFormat="1" ht="20.25" x14ac:dyDescent="0.25">
      <c r="A206" s="87"/>
      <c r="C206" s="140"/>
      <c r="D206" s="140"/>
    </row>
    <row r="207" spans="1:4" s="23" customFormat="1" ht="20.25" x14ac:dyDescent="0.25">
      <c r="A207" s="87"/>
      <c r="C207" s="140"/>
      <c r="D207" s="140"/>
    </row>
    <row r="208" spans="1:4" s="23" customFormat="1" x14ac:dyDescent="0.25">
      <c r="A208" s="87"/>
    </row>
    <row r="209" spans="1:8" s="23" customFormat="1" ht="20.25" x14ac:dyDescent="0.25">
      <c r="A209" s="87"/>
      <c r="B209" s="141" t="s">
        <v>87</v>
      </c>
      <c r="C209" s="141" t="s">
        <v>140</v>
      </c>
      <c r="D209" s="142" t="s">
        <v>87</v>
      </c>
      <c r="E209" s="142" t="s">
        <v>140</v>
      </c>
    </row>
    <row r="210" spans="1:8" s="23" customFormat="1" ht="42" x14ac:dyDescent="0.35">
      <c r="A210" s="87"/>
      <c r="B210" s="143" t="s">
        <v>89</v>
      </c>
      <c r="C210" s="143"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35">
      <c r="A211" s="87"/>
      <c r="B211" s="143" t="s">
        <v>89</v>
      </c>
      <c r="C211" s="143" t="s">
        <v>206</v>
      </c>
      <c r="E211" s="23" t="s">
        <v>205</v>
      </c>
      <c r="F211" s="23" t="str">
        <f t="shared" ref="F211:F221" si="0">IF(NOT(ISBLANK(D211)),D211,IF(NOT(ISBLANK(E211)),"     "&amp;E211,FALSE))</f>
        <v xml:space="preserve">     Afectación menor a 200 SMLMV</v>
      </c>
    </row>
    <row r="212" spans="1:8" s="23" customFormat="1" ht="42" x14ac:dyDescent="0.35">
      <c r="A212" s="87"/>
      <c r="B212" s="143" t="s">
        <v>89</v>
      </c>
      <c r="C212" s="143" t="s">
        <v>210</v>
      </c>
      <c r="E212" s="23" t="s">
        <v>206</v>
      </c>
      <c r="F212" s="23" t="str">
        <f t="shared" si="0"/>
        <v xml:space="preserve">     Entre 200 y 1000 SMLMV</v>
      </c>
    </row>
    <row r="213" spans="1:8" s="23" customFormat="1" ht="42" x14ac:dyDescent="0.35">
      <c r="A213" s="87"/>
      <c r="B213" s="143" t="s">
        <v>89</v>
      </c>
      <c r="C213" s="143" t="s">
        <v>211</v>
      </c>
      <c r="E213" s="23" t="s">
        <v>210</v>
      </c>
      <c r="F213" s="23" t="str">
        <f t="shared" si="0"/>
        <v xml:space="preserve">     Entre 1000 y 5000 SMLMV </v>
      </c>
    </row>
    <row r="214" spans="1:8" s="23" customFormat="1" ht="42" x14ac:dyDescent="0.35">
      <c r="A214" s="87"/>
      <c r="B214" s="143" t="s">
        <v>89</v>
      </c>
      <c r="C214" s="143" t="s">
        <v>207</v>
      </c>
      <c r="E214" s="23" t="s">
        <v>211</v>
      </c>
      <c r="F214" s="23" t="str">
        <f t="shared" si="0"/>
        <v xml:space="preserve">     Entre 5000 y 10000 SMLMV</v>
      </c>
    </row>
    <row r="215" spans="1:8" s="23" customFormat="1" ht="42" x14ac:dyDescent="0.35">
      <c r="A215" s="87"/>
      <c r="B215" s="143" t="s">
        <v>57</v>
      </c>
      <c r="C215" s="143" t="s">
        <v>92</v>
      </c>
      <c r="E215" s="23" t="s">
        <v>207</v>
      </c>
      <c r="F215" s="23" t="str">
        <f t="shared" si="0"/>
        <v xml:space="preserve">     Mayor a 10000 SMLMV</v>
      </c>
    </row>
    <row r="216" spans="1:8" s="23" customFormat="1" ht="63" x14ac:dyDescent="0.35">
      <c r="A216" s="87"/>
      <c r="B216" s="143" t="s">
        <v>57</v>
      </c>
      <c r="C216" s="143" t="s">
        <v>93</v>
      </c>
      <c r="D216" s="23" t="s">
        <v>57</v>
      </c>
      <c r="F216" s="23" t="str">
        <f t="shared" si="0"/>
        <v>Pérdida Reputacional</v>
      </c>
    </row>
    <row r="217" spans="1:8" s="23" customFormat="1" ht="42" x14ac:dyDescent="0.35">
      <c r="A217" s="87"/>
      <c r="B217" s="143" t="s">
        <v>57</v>
      </c>
      <c r="C217" s="143" t="s">
        <v>95</v>
      </c>
      <c r="E217" s="23" t="s">
        <v>92</v>
      </c>
      <c r="F217" s="23" t="str">
        <f>IF(NOT(ISBLANK(D217)),D217,IF(NOT(ISBLANK(E217)),"     "&amp;E217,FALSE))</f>
        <v xml:space="preserve">     El riesgo afecta la imagen de alguna área de la organización</v>
      </c>
    </row>
    <row r="218" spans="1:8" s="23" customFormat="1" ht="63" x14ac:dyDescent="0.35">
      <c r="A218" s="87"/>
      <c r="B218" s="143" t="s">
        <v>57</v>
      </c>
      <c r="C218" s="143"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43" t="s">
        <v>57</v>
      </c>
      <c r="C219" s="143"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25">
      <c r="A222" s="87"/>
      <c r="B222" s="23" t="str">
        <v>Afectación Económica o presupuestal</v>
      </c>
    </row>
    <row r="223" spans="1:8" s="23" customFormat="1" x14ac:dyDescent="0.25">
      <c r="B223" s="23" t="str">
        <v>Pérdida Reputacional</v>
      </c>
      <c r="F223" s="144" t="s">
        <v>141</v>
      </c>
    </row>
    <row r="224" spans="1:8" s="23" customFormat="1" x14ac:dyDescent="0.25">
      <c r="F224" s="144"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635" t="s">
        <v>77</v>
      </c>
      <c r="C1" s="636"/>
      <c r="D1" s="636"/>
      <c r="E1" s="636"/>
      <c r="F1" s="637"/>
    </row>
    <row r="2" spans="2:6" ht="16.5" thickBot="1" x14ac:dyDescent="0.3">
      <c r="B2" s="73"/>
      <c r="C2" s="73"/>
      <c r="D2" s="73"/>
      <c r="E2" s="73"/>
      <c r="F2" s="73"/>
    </row>
    <row r="3" spans="2:6" ht="16.5" thickBot="1" x14ac:dyDescent="0.25">
      <c r="B3" s="639" t="s">
        <v>63</v>
      </c>
      <c r="C3" s="640"/>
      <c r="D3" s="640"/>
      <c r="E3" s="85" t="s">
        <v>64</v>
      </c>
      <c r="F3" s="86" t="s">
        <v>65</v>
      </c>
    </row>
    <row r="4" spans="2:6" ht="31.5" x14ac:dyDescent="0.2">
      <c r="B4" s="641" t="s">
        <v>66</v>
      </c>
      <c r="C4" s="643" t="s">
        <v>13</v>
      </c>
      <c r="D4" s="74" t="s">
        <v>14</v>
      </c>
      <c r="E4" s="75" t="s">
        <v>67</v>
      </c>
      <c r="F4" s="76">
        <v>0.25</v>
      </c>
    </row>
    <row r="5" spans="2:6" ht="47.25" x14ac:dyDescent="0.2">
      <c r="B5" s="642"/>
      <c r="C5" s="644"/>
      <c r="D5" s="77" t="s">
        <v>15</v>
      </c>
      <c r="E5" s="78" t="s">
        <v>68</v>
      </c>
      <c r="F5" s="79">
        <v>0.15</v>
      </c>
    </row>
    <row r="6" spans="2:6" ht="47.25" x14ac:dyDescent="0.2">
      <c r="B6" s="642"/>
      <c r="C6" s="644"/>
      <c r="D6" s="77" t="s">
        <v>16</v>
      </c>
      <c r="E6" s="78" t="s">
        <v>69</v>
      </c>
      <c r="F6" s="79">
        <v>0.1</v>
      </c>
    </row>
    <row r="7" spans="2:6" ht="63" x14ac:dyDescent="0.2">
      <c r="B7" s="642"/>
      <c r="C7" s="644" t="s">
        <v>17</v>
      </c>
      <c r="D7" s="77" t="s">
        <v>10</v>
      </c>
      <c r="E7" s="78" t="s">
        <v>70</v>
      </c>
      <c r="F7" s="79">
        <v>0.25</v>
      </c>
    </row>
    <row r="8" spans="2:6" ht="31.5" x14ac:dyDescent="0.2">
      <c r="B8" s="642"/>
      <c r="C8" s="644"/>
      <c r="D8" s="77" t="s">
        <v>9</v>
      </c>
      <c r="E8" s="78" t="s">
        <v>71</v>
      </c>
      <c r="F8" s="79">
        <v>0.15</v>
      </c>
    </row>
    <row r="9" spans="2:6" ht="47.25" x14ac:dyDescent="0.2">
      <c r="B9" s="642" t="s">
        <v>151</v>
      </c>
      <c r="C9" s="644" t="s">
        <v>18</v>
      </c>
      <c r="D9" s="77" t="s">
        <v>19</v>
      </c>
      <c r="E9" s="78" t="s">
        <v>72</v>
      </c>
      <c r="F9" s="80" t="s">
        <v>73</v>
      </c>
    </row>
    <row r="10" spans="2:6" ht="63" x14ac:dyDescent="0.2">
      <c r="B10" s="642"/>
      <c r="C10" s="644"/>
      <c r="D10" s="77" t="s">
        <v>20</v>
      </c>
      <c r="E10" s="78" t="s">
        <v>74</v>
      </c>
      <c r="F10" s="80" t="s">
        <v>73</v>
      </c>
    </row>
    <row r="11" spans="2:6" ht="47.25" x14ac:dyDescent="0.2">
      <c r="B11" s="642"/>
      <c r="C11" s="644" t="s">
        <v>21</v>
      </c>
      <c r="D11" s="77" t="s">
        <v>22</v>
      </c>
      <c r="E11" s="78" t="s">
        <v>75</v>
      </c>
      <c r="F11" s="80" t="s">
        <v>73</v>
      </c>
    </row>
    <row r="12" spans="2:6" ht="47.25" x14ac:dyDescent="0.2">
      <c r="B12" s="642"/>
      <c r="C12" s="644"/>
      <c r="D12" s="77" t="s">
        <v>23</v>
      </c>
      <c r="E12" s="78" t="s">
        <v>76</v>
      </c>
      <c r="F12" s="80" t="s">
        <v>73</v>
      </c>
    </row>
    <row r="13" spans="2:6" ht="31.5" x14ac:dyDescent="0.2">
      <c r="B13" s="642"/>
      <c r="C13" s="644" t="s">
        <v>24</v>
      </c>
      <c r="D13" s="77" t="s">
        <v>114</v>
      </c>
      <c r="E13" s="78" t="s">
        <v>117</v>
      </c>
      <c r="F13" s="80" t="s">
        <v>73</v>
      </c>
    </row>
    <row r="14" spans="2:6" ht="32.25" thickBot="1" x14ac:dyDescent="0.25">
      <c r="B14" s="645"/>
      <c r="C14" s="646"/>
      <c r="D14" s="81" t="s">
        <v>115</v>
      </c>
      <c r="E14" s="82" t="s">
        <v>116</v>
      </c>
      <c r="F14" s="83" t="s">
        <v>73</v>
      </c>
    </row>
    <row r="15" spans="2:6" ht="49.5" customHeight="1" x14ac:dyDescent="0.2">
      <c r="B15" s="638" t="s">
        <v>148</v>
      </c>
      <c r="C15" s="638"/>
      <c r="D15" s="638"/>
      <c r="E15" s="638"/>
      <c r="F15" s="638"/>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70" zoomScaleNormal="70" workbookViewId="0">
      <selection activeCell="H20" sqref="H20"/>
    </sheetView>
  </sheetViews>
  <sheetFormatPr baseColWidth="10" defaultColWidth="11.42578125" defaultRowHeight="14.25" x14ac:dyDescent="0.2"/>
  <cols>
    <col min="1" max="1" width="29.42578125" style="147" customWidth="1"/>
    <col min="2" max="2" width="29.140625" style="147" customWidth="1"/>
    <col min="3" max="3" width="30.28515625" style="147" customWidth="1"/>
    <col min="4" max="4" width="31.85546875" style="147" customWidth="1"/>
    <col min="5" max="5" width="32.5703125" style="147" customWidth="1"/>
    <col min="6" max="6" width="32" style="147" customWidth="1"/>
    <col min="7" max="16384" width="11.42578125" style="147"/>
  </cols>
  <sheetData>
    <row r="1" spans="1:10" ht="15" customHeight="1" x14ac:dyDescent="0.2">
      <c r="A1" s="275"/>
      <c r="B1" s="277" t="s">
        <v>261</v>
      </c>
      <c r="C1" s="277"/>
      <c r="D1" s="277"/>
      <c r="E1" s="145" t="s">
        <v>262</v>
      </c>
      <c r="F1" s="279"/>
      <c r="G1" s="146"/>
      <c r="J1" s="281"/>
    </row>
    <row r="2" spans="1:10" ht="15" customHeight="1" x14ac:dyDescent="0.2">
      <c r="A2" s="276"/>
      <c r="B2" s="278"/>
      <c r="C2" s="278"/>
      <c r="D2" s="278"/>
      <c r="E2" s="149" t="s">
        <v>263</v>
      </c>
      <c r="F2" s="280"/>
      <c r="G2" s="146"/>
      <c r="J2" s="281"/>
    </row>
    <row r="3" spans="1:10" ht="15" customHeight="1" x14ac:dyDescent="0.2">
      <c r="A3" s="276"/>
      <c r="B3" s="278" t="s">
        <v>215</v>
      </c>
      <c r="C3" s="278"/>
      <c r="D3" s="278"/>
      <c r="E3" s="149" t="s">
        <v>264</v>
      </c>
      <c r="F3" s="280"/>
      <c r="G3" s="146"/>
      <c r="J3" s="281"/>
    </row>
    <row r="4" spans="1:10" ht="15.75" customHeight="1" x14ac:dyDescent="0.2">
      <c r="A4" s="276"/>
      <c r="B4" s="278"/>
      <c r="C4" s="278"/>
      <c r="D4" s="278"/>
      <c r="E4" s="149" t="s">
        <v>265</v>
      </c>
      <c r="F4" s="280"/>
      <c r="G4" s="146"/>
      <c r="J4" s="281"/>
    </row>
    <row r="5" spans="1:10" ht="15.75" customHeight="1" x14ac:dyDescent="0.2">
      <c r="A5" s="282"/>
      <c r="B5" s="283"/>
      <c r="C5" s="283"/>
      <c r="D5" s="283"/>
      <c r="E5" s="283"/>
      <c r="F5" s="284"/>
      <c r="G5" s="146"/>
      <c r="J5" s="148"/>
    </row>
    <row r="6" spans="1:10" ht="15" customHeight="1" x14ac:dyDescent="0.2">
      <c r="A6" s="285" t="s">
        <v>216</v>
      </c>
      <c r="B6" s="286"/>
      <c r="C6" s="286"/>
      <c r="D6" s="286"/>
      <c r="E6" s="286"/>
      <c r="F6" s="287"/>
    </row>
    <row r="7" spans="1:10" ht="15.75" customHeight="1" x14ac:dyDescent="0.2">
      <c r="A7" s="285"/>
      <c r="B7" s="286"/>
      <c r="C7" s="286"/>
      <c r="D7" s="286"/>
      <c r="E7" s="286"/>
      <c r="F7" s="287"/>
    </row>
    <row r="8" spans="1:10" ht="27" customHeight="1" x14ac:dyDescent="0.2">
      <c r="A8" s="288" t="s">
        <v>426</v>
      </c>
      <c r="B8" s="289"/>
      <c r="C8" s="289"/>
      <c r="D8" s="289"/>
      <c r="E8" s="289"/>
      <c r="F8" s="290"/>
    </row>
    <row r="9" spans="1:10" ht="77.25" customHeight="1" thickBot="1" x14ac:dyDescent="0.25">
      <c r="A9" s="271" t="s">
        <v>425</v>
      </c>
      <c r="B9" s="272"/>
      <c r="C9" s="272"/>
      <c r="D9" s="272"/>
      <c r="E9" s="272"/>
      <c r="F9" s="273"/>
    </row>
    <row r="10" spans="1:10" ht="18.75" customHeight="1" thickBot="1" x14ac:dyDescent="0.25">
      <c r="A10" s="274"/>
      <c r="B10" s="274"/>
      <c r="C10" s="274"/>
      <c r="D10" s="274"/>
      <c r="E10" s="274"/>
      <c r="F10" s="274"/>
    </row>
    <row r="11" spans="1:10" ht="22.5" customHeight="1" thickBot="1" x14ac:dyDescent="0.25">
      <c r="A11" s="150" t="s">
        <v>217</v>
      </c>
      <c r="B11" s="151" t="s">
        <v>218</v>
      </c>
      <c r="C11" s="151" t="s">
        <v>219</v>
      </c>
      <c r="D11" s="151" t="s">
        <v>218</v>
      </c>
      <c r="E11" s="151" t="s">
        <v>220</v>
      </c>
      <c r="F11" s="152" t="s">
        <v>218</v>
      </c>
    </row>
    <row r="12" spans="1:10" ht="88.9" customHeight="1" x14ac:dyDescent="0.2">
      <c r="A12" s="153" t="s">
        <v>224</v>
      </c>
      <c r="B12" s="204" t="s">
        <v>267</v>
      </c>
      <c r="C12" s="154" t="s">
        <v>268</v>
      </c>
      <c r="D12" s="205" t="s">
        <v>269</v>
      </c>
      <c r="E12" s="154" t="s">
        <v>270</v>
      </c>
      <c r="F12" s="206" t="s">
        <v>271</v>
      </c>
    </row>
    <row r="13" spans="1:10" ht="70.150000000000006" customHeight="1" x14ac:dyDescent="0.2">
      <c r="A13" s="155" t="s">
        <v>221</v>
      </c>
      <c r="B13" s="156" t="s">
        <v>272</v>
      </c>
      <c r="C13" s="157" t="s">
        <v>273</v>
      </c>
      <c r="D13" s="158" t="s">
        <v>274</v>
      </c>
      <c r="E13" s="157" t="s">
        <v>270</v>
      </c>
      <c r="F13" s="159" t="s">
        <v>275</v>
      </c>
    </row>
    <row r="14" spans="1:10" ht="82.5" customHeight="1" x14ac:dyDescent="0.2">
      <c r="A14" s="155" t="s">
        <v>221</v>
      </c>
      <c r="B14" s="156" t="s">
        <v>276</v>
      </c>
      <c r="C14" s="157" t="s">
        <v>277</v>
      </c>
      <c r="D14" s="158" t="s">
        <v>278</v>
      </c>
      <c r="E14" s="157" t="s">
        <v>279</v>
      </c>
      <c r="F14" s="159" t="s">
        <v>280</v>
      </c>
    </row>
    <row r="15" spans="1:10" ht="73.5" customHeight="1" x14ac:dyDescent="0.2">
      <c r="A15" s="155" t="s">
        <v>222</v>
      </c>
      <c r="B15" s="158" t="s">
        <v>281</v>
      </c>
      <c r="C15" s="157" t="s">
        <v>273</v>
      </c>
      <c r="D15" s="158" t="s">
        <v>282</v>
      </c>
      <c r="E15" s="157" t="s">
        <v>283</v>
      </c>
      <c r="F15" s="159" t="s">
        <v>284</v>
      </c>
    </row>
    <row r="16" spans="1:10" ht="59.25" customHeight="1" x14ac:dyDescent="0.2">
      <c r="A16" s="155" t="s">
        <v>222</v>
      </c>
      <c r="B16" s="158" t="s">
        <v>285</v>
      </c>
      <c r="C16" s="157" t="s">
        <v>286</v>
      </c>
      <c r="D16" s="158" t="s">
        <v>287</v>
      </c>
      <c r="E16" s="157" t="s">
        <v>283</v>
      </c>
      <c r="F16" s="159" t="s">
        <v>288</v>
      </c>
    </row>
    <row r="17" spans="1:6" ht="69.75" customHeight="1" x14ac:dyDescent="0.2">
      <c r="A17" s="155" t="s">
        <v>289</v>
      </c>
      <c r="B17" s="158" t="s">
        <v>290</v>
      </c>
      <c r="C17" s="157" t="s">
        <v>277</v>
      </c>
      <c r="D17" s="158" t="s">
        <v>291</v>
      </c>
      <c r="E17" s="157" t="s">
        <v>292</v>
      </c>
      <c r="F17" s="159" t="s">
        <v>293</v>
      </c>
    </row>
    <row r="18" spans="1:6" ht="66.75" customHeight="1" x14ac:dyDescent="0.2">
      <c r="A18" s="155" t="s">
        <v>294</v>
      </c>
      <c r="B18" s="158" t="s">
        <v>295</v>
      </c>
      <c r="C18" s="157" t="s">
        <v>296</v>
      </c>
      <c r="D18" s="158" t="s">
        <v>297</v>
      </c>
      <c r="E18" s="157" t="s">
        <v>298</v>
      </c>
      <c r="F18" s="159" t="s">
        <v>299</v>
      </c>
    </row>
    <row r="19" spans="1:6" ht="73.5" customHeight="1" x14ac:dyDescent="0.2">
      <c r="A19" s="155" t="s">
        <v>294</v>
      </c>
      <c r="B19" s="158" t="s">
        <v>300</v>
      </c>
      <c r="C19" s="157" t="s">
        <v>268</v>
      </c>
      <c r="D19" s="158" t="s">
        <v>301</v>
      </c>
      <c r="E19" s="157" t="s">
        <v>225</v>
      </c>
      <c r="F19" s="159" t="s">
        <v>302</v>
      </c>
    </row>
    <row r="20" spans="1:6" ht="65.25" customHeight="1" x14ac:dyDescent="0.2">
      <c r="A20" s="155" t="s">
        <v>223</v>
      </c>
      <c r="B20" s="158" t="s">
        <v>303</v>
      </c>
      <c r="C20" s="157" t="s">
        <v>225</v>
      </c>
      <c r="D20" s="160" t="s">
        <v>304</v>
      </c>
      <c r="E20" s="157" t="s">
        <v>225</v>
      </c>
      <c r="F20" s="159" t="s">
        <v>305</v>
      </c>
    </row>
    <row r="21" spans="1:6" ht="66.75" customHeight="1" x14ac:dyDescent="0.2">
      <c r="A21" s="155" t="s">
        <v>225</v>
      </c>
      <c r="B21" s="158" t="s">
        <v>306</v>
      </c>
      <c r="C21" s="157" t="s">
        <v>268</v>
      </c>
      <c r="D21" s="158" t="s">
        <v>427</v>
      </c>
      <c r="E21" s="157" t="s">
        <v>225</v>
      </c>
      <c r="F21" s="159" t="s">
        <v>307</v>
      </c>
    </row>
    <row r="22" spans="1:6" ht="69" customHeight="1" x14ac:dyDescent="0.2">
      <c r="A22" s="155" t="s">
        <v>224</v>
      </c>
      <c r="B22" s="158" t="s">
        <v>308</v>
      </c>
      <c r="C22" s="157" t="s">
        <v>268</v>
      </c>
      <c r="D22" s="158" t="s">
        <v>428</v>
      </c>
      <c r="E22" s="157" t="s">
        <v>225</v>
      </c>
      <c r="F22" s="159" t="s">
        <v>309</v>
      </c>
    </row>
    <row r="23" spans="1:6" ht="61.5" customHeight="1" x14ac:dyDescent="0.2">
      <c r="A23" s="155"/>
      <c r="B23" s="158"/>
      <c r="C23" s="157"/>
      <c r="D23" s="160"/>
      <c r="E23" s="157" t="s">
        <v>310</v>
      </c>
      <c r="F23" s="159" t="s">
        <v>311</v>
      </c>
    </row>
    <row r="24" spans="1:6" ht="57.75" customHeight="1" x14ac:dyDescent="0.2">
      <c r="A24" s="155"/>
      <c r="B24" s="158"/>
      <c r="C24" s="157"/>
      <c r="D24" s="160"/>
      <c r="E24" s="157" t="s">
        <v>312</v>
      </c>
      <c r="F24" s="159" t="s">
        <v>313</v>
      </c>
    </row>
    <row r="25" spans="1:6" ht="62.25" customHeight="1" x14ac:dyDescent="0.2">
      <c r="A25" s="155"/>
      <c r="B25" s="158"/>
      <c r="C25" s="157"/>
      <c r="D25" s="160"/>
      <c r="E25" s="157" t="s">
        <v>298</v>
      </c>
      <c r="F25" s="159" t="s">
        <v>314</v>
      </c>
    </row>
    <row r="26" spans="1:6" ht="56.25" customHeight="1" thickBot="1" x14ac:dyDescent="0.25">
      <c r="A26" s="161"/>
      <c r="B26" s="162"/>
      <c r="C26" s="163"/>
      <c r="D26" s="164"/>
      <c r="E26" s="163" t="s">
        <v>312</v>
      </c>
      <c r="F26" s="165" t="s">
        <v>315</v>
      </c>
    </row>
    <row r="27" spans="1:6" ht="65.25" customHeight="1" x14ac:dyDescent="0.2">
      <c r="A27" s="166"/>
      <c r="B27" s="167"/>
      <c r="C27" s="166"/>
      <c r="D27" s="168"/>
      <c r="E27" s="166"/>
      <c r="F27" s="168"/>
    </row>
    <row r="28" spans="1:6" ht="62.25" customHeight="1" x14ac:dyDescent="0.2">
      <c r="A28" s="166"/>
      <c r="B28" s="167"/>
      <c r="C28" s="166"/>
      <c r="D28" s="168"/>
      <c r="E28" s="166"/>
      <c r="F28" s="168"/>
    </row>
    <row r="29" spans="1:6" ht="63" customHeight="1" x14ac:dyDescent="0.2">
      <c r="A29" s="166"/>
      <c r="B29" s="167"/>
      <c r="C29" s="166"/>
      <c r="D29" s="168"/>
      <c r="E29" s="166"/>
      <c r="F29" s="167"/>
    </row>
    <row r="30" spans="1:6" ht="51.75" customHeight="1" x14ac:dyDescent="0.2">
      <c r="A30" s="166"/>
      <c r="B30" s="167"/>
      <c r="C30" s="166"/>
      <c r="D30" s="168"/>
      <c r="E30" s="166"/>
      <c r="F30" s="167"/>
    </row>
    <row r="31" spans="1:6" ht="52.5" customHeight="1" x14ac:dyDescent="0.2">
      <c r="A31" s="166"/>
      <c r="B31" s="168"/>
      <c r="C31" s="166"/>
      <c r="D31" s="168"/>
      <c r="E31" s="166"/>
      <c r="F31" s="168"/>
    </row>
    <row r="32" spans="1:6" ht="63.75" customHeight="1" x14ac:dyDescent="0.2">
      <c r="A32" s="166"/>
      <c r="B32" s="168"/>
      <c r="C32" s="166"/>
      <c r="D32" s="168"/>
      <c r="E32" s="166"/>
      <c r="F32" s="168"/>
    </row>
    <row r="33" spans="1:6" ht="66" customHeight="1" x14ac:dyDescent="0.2">
      <c r="A33" s="166"/>
      <c r="B33" s="169"/>
      <c r="C33" s="166"/>
      <c r="D33" s="170"/>
      <c r="E33" s="166"/>
      <c r="F33" s="169"/>
    </row>
    <row r="34" spans="1:6" ht="55.5" customHeight="1" x14ac:dyDescent="0.2">
      <c r="A34" s="166"/>
      <c r="B34" s="169"/>
      <c r="C34" s="166"/>
      <c r="D34" s="170"/>
      <c r="E34" s="166"/>
      <c r="F34" s="171"/>
    </row>
    <row r="35" spans="1:6" ht="51.75" customHeight="1" x14ac:dyDescent="0.2">
      <c r="A35" s="166"/>
      <c r="B35" s="171"/>
      <c r="C35" s="166"/>
      <c r="D35" s="172"/>
      <c r="E35" s="166"/>
      <c r="F35" s="171"/>
    </row>
    <row r="36" spans="1:6" ht="55.5" customHeight="1" x14ac:dyDescent="0.2">
      <c r="A36" s="166"/>
      <c r="B36" s="171"/>
      <c r="C36" s="166"/>
      <c r="D36" s="171"/>
      <c r="E36" s="166"/>
      <c r="F36" s="171"/>
    </row>
    <row r="37" spans="1:6" ht="55.5" customHeight="1" x14ac:dyDescent="0.2">
      <c r="A37" s="166"/>
      <c r="B37" s="171"/>
      <c r="C37" s="166"/>
      <c r="D37" s="171"/>
      <c r="E37" s="166"/>
      <c r="F37" s="171"/>
    </row>
    <row r="38" spans="1:6" ht="54.75" customHeight="1" x14ac:dyDescent="0.2">
      <c r="A38" s="166"/>
      <c r="B38" s="171"/>
      <c r="C38" s="166"/>
      <c r="D38" s="171"/>
      <c r="E38" s="166"/>
      <c r="F38" s="171"/>
    </row>
    <row r="39" spans="1:6" ht="56.25" customHeight="1" x14ac:dyDescent="0.2">
      <c r="A39" s="166"/>
      <c r="B39" s="171"/>
      <c r="C39" s="166"/>
      <c r="D39" s="171"/>
      <c r="E39" s="166"/>
      <c r="F39" s="171"/>
    </row>
    <row r="40" spans="1:6" ht="54.75" customHeight="1" x14ac:dyDescent="0.2">
      <c r="A40" s="166"/>
      <c r="B40" s="169"/>
      <c r="C40" s="166"/>
      <c r="D40" s="170"/>
      <c r="E40" s="166"/>
      <c r="F40" s="169"/>
    </row>
    <row r="41" spans="1:6" ht="55.5" customHeight="1" x14ac:dyDescent="0.2">
      <c r="A41" s="166"/>
      <c r="B41" s="169"/>
      <c r="C41" s="166"/>
      <c r="D41" s="170"/>
      <c r="E41" s="166"/>
      <c r="F41" s="171"/>
    </row>
    <row r="42" spans="1:6" ht="54.75" customHeight="1" x14ac:dyDescent="0.2">
      <c r="A42" s="166"/>
      <c r="B42" s="171"/>
      <c r="C42" s="166"/>
      <c r="D42" s="172"/>
      <c r="E42" s="166"/>
      <c r="F42" s="171"/>
    </row>
    <row r="43" spans="1:6" ht="55.5" customHeight="1" x14ac:dyDescent="0.2">
      <c r="A43" s="166"/>
      <c r="B43" s="171"/>
      <c r="C43" s="166"/>
      <c r="D43" s="171"/>
      <c r="E43" s="166"/>
      <c r="F43" s="171"/>
    </row>
    <row r="44" spans="1:6" ht="56.25" customHeight="1" x14ac:dyDescent="0.2">
      <c r="A44" s="166"/>
      <c r="B44" s="171"/>
      <c r="C44" s="166"/>
      <c r="D44" s="171"/>
      <c r="E44" s="166"/>
      <c r="F44" s="171"/>
    </row>
    <row r="45" spans="1:6" ht="59.25" customHeight="1" x14ac:dyDescent="0.2">
      <c r="A45" s="166"/>
      <c r="B45" s="171"/>
      <c r="C45" s="166"/>
      <c r="D45" s="171"/>
      <c r="E45" s="166"/>
      <c r="F45" s="171"/>
    </row>
    <row r="46" spans="1:6" ht="55.5" customHeight="1" x14ac:dyDescent="0.2">
      <c r="A46" s="166"/>
      <c r="B46" s="171"/>
      <c r="C46" s="166"/>
      <c r="D46" s="171"/>
      <c r="E46" s="166"/>
      <c r="F46" s="171"/>
    </row>
    <row r="47" spans="1:6" ht="55.5" customHeight="1" x14ac:dyDescent="0.2">
      <c r="A47" s="166"/>
      <c r="B47" s="169"/>
      <c r="C47" s="166"/>
      <c r="D47" s="170"/>
      <c r="E47" s="166"/>
      <c r="F47" s="169"/>
    </row>
    <row r="48" spans="1:6" ht="56.25" customHeight="1" x14ac:dyDescent="0.2">
      <c r="A48" s="166"/>
      <c r="B48" s="169"/>
      <c r="C48" s="166"/>
      <c r="D48" s="170"/>
      <c r="E48" s="166"/>
      <c r="F48" s="171"/>
    </row>
    <row r="49" spans="1:6" ht="54" customHeight="1" x14ac:dyDescent="0.2">
      <c r="A49" s="166"/>
      <c r="B49" s="171"/>
      <c r="C49" s="166"/>
      <c r="D49" s="172"/>
      <c r="E49" s="166"/>
      <c r="F49" s="171"/>
    </row>
    <row r="50" spans="1:6" ht="56.25" customHeight="1" x14ac:dyDescent="0.2">
      <c r="A50" s="166"/>
      <c r="B50" s="171"/>
      <c r="C50" s="166"/>
      <c r="D50" s="171"/>
      <c r="E50" s="166"/>
      <c r="F50" s="171"/>
    </row>
    <row r="51" spans="1:6" ht="59.25" customHeight="1" x14ac:dyDescent="0.2">
      <c r="A51" s="166"/>
      <c r="B51" s="171"/>
      <c r="C51" s="166"/>
      <c r="D51" s="171"/>
      <c r="E51" s="166"/>
      <c r="F51" s="171"/>
    </row>
    <row r="52" spans="1:6" ht="54.75" customHeight="1" x14ac:dyDescent="0.2">
      <c r="A52" s="166"/>
      <c r="B52" s="171"/>
      <c r="C52" s="166"/>
      <c r="D52" s="171"/>
      <c r="E52" s="166"/>
      <c r="F52" s="171"/>
    </row>
    <row r="53" spans="1:6" ht="55.5" customHeight="1" x14ac:dyDescent="0.2">
      <c r="A53" s="166"/>
      <c r="B53" s="171"/>
      <c r="C53" s="166"/>
      <c r="D53" s="171"/>
      <c r="E53" s="166"/>
      <c r="F53" s="171"/>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workbookViewId="0">
      <selection activeCell="X3" sqref="X3"/>
    </sheetView>
  </sheetViews>
  <sheetFormatPr baseColWidth="10" defaultColWidth="11.42578125" defaultRowHeight="15" x14ac:dyDescent="0.25"/>
  <cols>
    <col min="1" max="1" width="5.140625" style="200" customWidth="1"/>
    <col min="2" max="2" width="40.42578125" style="201" customWidth="1"/>
    <col min="3" max="17" width="6.42578125" style="201" customWidth="1"/>
    <col min="18" max="18" width="8.140625" style="201" customWidth="1"/>
    <col min="19" max="19" width="13" style="202" customWidth="1"/>
    <col min="20" max="20" width="19.7109375" customWidth="1"/>
    <col min="21" max="23" width="11.42578125" hidden="1" customWidth="1"/>
  </cols>
  <sheetData>
    <row r="1" spans="1:24" ht="30.75" customHeight="1" x14ac:dyDescent="0.25">
      <c r="A1" s="293"/>
      <c r="B1" s="296" t="str">
        <f>[1]CONTEXTO!B1</f>
        <v xml:space="preserve">PROCESO: </v>
      </c>
      <c r="C1" s="296"/>
      <c r="D1" s="296"/>
      <c r="E1" s="296"/>
      <c r="F1" s="296"/>
      <c r="G1" s="296"/>
      <c r="H1" s="296"/>
      <c r="I1" s="296"/>
      <c r="J1" s="296"/>
      <c r="K1" s="296"/>
      <c r="L1" s="296"/>
      <c r="M1" s="296"/>
      <c r="N1" s="296"/>
      <c r="O1" s="296"/>
      <c r="P1" s="296"/>
      <c r="Q1" s="296"/>
      <c r="R1" s="296"/>
      <c r="S1" s="297"/>
      <c r="T1" s="300" t="s">
        <v>262</v>
      </c>
      <c r="U1" s="300"/>
      <c r="V1" s="300"/>
      <c r="W1" s="301"/>
    </row>
    <row r="2" spans="1:24" ht="25.5" customHeight="1" x14ac:dyDescent="0.25">
      <c r="A2" s="294"/>
      <c r="B2" s="298"/>
      <c r="C2" s="298"/>
      <c r="D2" s="298"/>
      <c r="E2" s="298"/>
      <c r="F2" s="298"/>
      <c r="G2" s="298"/>
      <c r="H2" s="298"/>
      <c r="I2" s="298"/>
      <c r="J2" s="298"/>
      <c r="K2" s="298"/>
      <c r="L2" s="298"/>
      <c r="M2" s="298"/>
      <c r="N2" s="298"/>
      <c r="O2" s="298"/>
      <c r="P2" s="298"/>
      <c r="Q2" s="298"/>
      <c r="R2" s="298"/>
      <c r="S2" s="299"/>
      <c r="T2" s="302" t="s">
        <v>263</v>
      </c>
      <c r="U2" s="302"/>
      <c r="V2" s="302"/>
      <c r="W2" s="303"/>
    </row>
    <row r="3" spans="1:24" ht="15" customHeight="1" x14ac:dyDescent="0.25">
      <c r="A3" s="294"/>
      <c r="B3" s="298" t="s">
        <v>226</v>
      </c>
      <c r="C3" s="298"/>
      <c r="D3" s="298"/>
      <c r="E3" s="298"/>
      <c r="F3" s="298"/>
      <c r="G3" s="298"/>
      <c r="H3" s="298"/>
      <c r="I3" s="298"/>
      <c r="J3" s="298"/>
      <c r="K3" s="298"/>
      <c r="L3" s="298"/>
      <c r="M3" s="298"/>
      <c r="N3" s="298"/>
      <c r="O3" s="298"/>
      <c r="P3" s="298"/>
      <c r="Q3" s="298"/>
      <c r="R3" s="298"/>
      <c r="S3" s="299"/>
      <c r="T3" s="302" t="s">
        <v>266</v>
      </c>
      <c r="U3" s="302"/>
      <c r="V3" s="302"/>
      <c r="W3" s="303"/>
    </row>
    <row r="4" spans="1:24" ht="15.75" customHeight="1" x14ac:dyDescent="0.25">
      <c r="A4" s="295"/>
      <c r="B4" s="304"/>
      <c r="C4" s="304"/>
      <c r="D4" s="304"/>
      <c r="E4" s="304"/>
      <c r="F4" s="304"/>
      <c r="G4" s="304"/>
      <c r="H4" s="304"/>
      <c r="I4" s="304"/>
      <c r="J4" s="304"/>
      <c r="K4" s="304"/>
      <c r="L4" s="304"/>
      <c r="M4" s="304"/>
      <c r="N4" s="304"/>
      <c r="O4" s="304"/>
      <c r="P4" s="304"/>
      <c r="Q4" s="304"/>
      <c r="R4" s="304"/>
      <c r="S4" s="305"/>
      <c r="T4" s="302" t="s">
        <v>265</v>
      </c>
      <c r="U4" s="302"/>
      <c r="V4" s="302"/>
      <c r="W4" s="303"/>
    </row>
    <row r="5" spans="1:24" ht="15.75" customHeight="1" x14ac:dyDescent="0.25">
      <c r="A5" s="295"/>
      <c r="B5" s="295"/>
      <c r="C5" s="295"/>
      <c r="D5" s="295"/>
      <c r="E5" s="295"/>
      <c r="F5" s="295"/>
      <c r="G5" s="295"/>
      <c r="H5" s="295"/>
      <c r="I5" s="295"/>
      <c r="J5" s="295"/>
      <c r="K5" s="295"/>
      <c r="L5" s="295"/>
      <c r="M5" s="295"/>
      <c r="N5" s="295"/>
      <c r="O5" s="295"/>
      <c r="P5" s="295"/>
      <c r="Q5" s="295"/>
      <c r="R5" s="295"/>
      <c r="S5" s="295"/>
      <c r="T5" s="306"/>
      <c r="U5" s="167"/>
      <c r="V5" s="167"/>
      <c r="W5" s="173"/>
    </row>
    <row r="6" spans="1:24" s="147" customFormat="1" ht="27" customHeight="1" x14ac:dyDescent="0.2">
      <c r="A6" s="307"/>
      <c r="B6" s="307"/>
      <c r="C6" s="307"/>
      <c r="D6" s="307"/>
      <c r="E6" s="307"/>
      <c r="F6" s="307"/>
      <c r="G6" s="307"/>
      <c r="H6" s="307"/>
      <c r="I6" s="307"/>
      <c r="J6" s="307"/>
      <c r="K6" s="307"/>
      <c r="L6" s="307"/>
      <c r="M6" s="307"/>
      <c r="N6" s="307"/>
      <c r="O6" s="307"/>
      <c r="P6" s="307"/>
      <c r="Q6" s="307"/>
      <c r="R6" s="307"/>
      <c r="S6" s="307"/>
      <c r="T6" s="307"/>
      <c r="W6" s="174"/>
    </row>
    <row r="7" spans="1:24" s="147" customFormat="1" ht="81" customHeight="1" thickBot="1" x14ac:dyDescent="0.25">
      <c r="A7" s="308"/>
      <c r="B7" s="308"/>
      <c r="C7" s="308"/>
      <c r="D7" s="308"/>
      <c r="E7" s="308"/>
      <c r="F7" s="308"/>
      <c r="G7" s="308"/>
      <c r="H7" s="308"/>
      <c r="I7" s="308"/>
      <c r="J7" s="308"/>
      <c r="K7" s="308"/>
      <c r="L7" s="308"/>
      <c r="M7" s="308"/>
      <c r="N7" s="308"/>
      <c r="O7" s="308"/>
      <c r="P7" s="308"/>
      <c r="Q7" s="308"/>
      <c r="R7" s="308"/>
      <c r="S7" s="308"/>
      <c r="T7" s="308"/>
      <c r="U7" s="175"/>
      <c r="V7" s="175"/>
      <c r="W7" s="176"/>
    </row>
    <row r="8" spans="1:24" s="147" customFormat="1" ht="26.25" customHeight="1" thickBot="1" x14ac:dyDescent="0.25">
      <c r="A8" s="177"/>
      <c r="B8" s="177"/>
      <c r="C8" s="177"/>
      <c r="D8" s="177"/>
      <c r="E8" s="177"/>
      <c r="F8" s="177"/>
      <c r="G8" s="177"/>
      <c r="H8" s="177"/>
      <c r="I8" s="177"/>
      <c r="J8" s="177"/>
      <c r="K8" s="177"/>
      <c r="L8" s="177"/>
      <c r="M8" s="177"/>
      <c r="N8" s="177"/>
      <c r="O8" s="177"/>
      <c r="P8" s="177"/>
      <c r="Q8" s="177"/>
      <c r="R8" s="177"/>
      <c r="S8" s="177"/>
      <c r="T8" s="178"/>
      <c r="X8" s="179"/>
    </row>
    <row r="9" spans="1:24" s="147" customFormat="1" ht="39.75" customHeight="1" thickBot="1" x14ac:dyDescent="0.25">
      <c r="A9" s="309"/>
      <c r="B9" s="309"/>
      <c r="C9" s="309" t="b">
        <v>0</v>
      </c>
      <c r="D9" s="309"/>
      <c r="E9" s="309"/>
      <c r="F9" s="309"/>
      <c r="G9" s="309"/>
      <c r="H9" s="309"/>
      <c r="I9" s="309"/>
      <c r="J9" s="309"/>
      <c r="K9" s="309"/>
      <c r="L9" s="309"/>
      <c r="M9" s="309"/>
      <c r="N9" s="309"/>
      <c r="O9" s="309"/>
      <c r="P9" s="309"/>
      <c r="Q9" s="309"/>
      <c r="R9" s="309"/>
      <c r="S9" s="309"/>
      <c r="T9" s="310"/>
    </row>
    <row r="10" spans="1:24" s="185" customFormat="1" ht="32.25" customHeight="1" thickBot="1" x14ac:dyDescent="0.3">
      <c r="A10" s="180" t="s">
        <v>227</v>
      </c>
      <c r="B10" s="181" t="s">
        <v>228</v>
      </c>
      <c r="C10" s="181" t="s">
        <v>229</v>
      </c>
      <c r="D10" s="181" t="s">
        <v>230</v>
      </c>
      <c r="E10" s="181" t="s">
        <v>231</v>
      </c>
      <c r="F10" s="181" t="s">
        <v>232</v>
      </c>
      <c r="G10" s="181" t="s">
        <v>233</v>
      </c>
      <c r="H10" s="181" t="s">
        <v>234</v>
      </c>
      <c r="I10" s="181" t="s">
        <v>235</v>
      </c>
      <c r="J10" s="181" t="s">
        <v>236</v>
      </c>
      <c r="K10" s="181" t="s">
        <v>237</v>
      </c>
      <c r="L10" s="181" t="s">
        <v>238</v>
      </c>
      <c r="M10" s="181" t="s">
        <v>239</v>
      </c>
      <c r="N10" s="181" t="s">
        <v>240</v>
      </c>
      <c r="O10" s="181" t="s">
        <v>241</v>
      </c>
      <c r="P10" s="181" t="s">
        <v>242</v>
      </c>
      <c r="Q10" s="181" t="s">
        <v>243</v>
      </c>
      <c r="R10" s="182" t="s">
        <v>244</v>
      </c>
      <c r="S10" s="183" t="s">
        <v>245</v>
      </c>
      <c r="T10" s="184" t="s">
        <v>246</v>
      </c>
    </row>
    <row r="11" spans="1:24" ht="39.75" customHeight="1" x14ac:dyDescent="0.25">
      <c r="A11" s="186">
        <v>1</v>
      </c>
      <c r="B11" s="158"/>
      <c r="C11" s="187"/>
      <c r="D11" s="187"/>
      <c r="E11" s="187"/>
      <c r="F11" s="187"/>
      <c r="G11" s="187"/>
      <c r="H11" s="187"/>
      <c r="I11" s="187"/>
      <c r="J11" s="187"/>
      <c r="K11" s="187"/>
      <c r="L11" s="187"/>
      <c r="M11" s="187"/>
      <c r="N11" s="187"/>
      <c r="O11" s="187"/>
      <c r="P11" s="187"/>
      <c r="Q11" s="187"/>
      <c r="R11" s="186"/>
      <c r="S11" s="188"/>
      <c r="T11" s="189"/>
    </row>
    <row r="12" spans="1:24" ht="45.75" customHeight="1" x14ac:dyDescent="0.25">
      <c r="A12" s="186">
        <v>2</v>
      </c>
      <c r="B12" s="158"/>
      <c r="C12" s="187"/>
      <c r="D12" s="187"/>
      <c r="E12" s="187"/>
      <c r="F12" s="187"/>
      <c r="G12" s="187"/>
      <c r="H12" s="187"/>
      <c r="I12" s="187"/>
      <c r="J12" s="187"/>
      <c r="K12" s="187"/>
      <c r="L12" s="187"/>
      <c r="M12" s="187"/>
      <c r="N12" s="187"/>
      <c r="O12" s="187"/>
      <c r="P12" s="187"/>
      <c r="Q12" s="187"/>
      <c r="R12" s="186"/>
      <c r="S12" s="188"/>
      <c r="T12" s="190"/>
    </row>
    <row r="13" spans="1:24" ht="65.25" customHeight="1" x14ac:dyDescent="0.25">
      <c r="A13" s="186">
        <v>3</v>
      </c>
      <c r="B13" s="158"/>
      <c r="C13" s="187"/>
      <c r="D13" s="187"/>
      <c r="E13" s="187"/>
      <c r="F13" s="187"/>
      <c r="G13" s="187"/>
      <c r="H13" s="187"/>
      <c r="I13" s="187"/>
      <c r="J13" s="187"/>
      <c r="K13" s="187"/>
      <c r="L13" s="187"/>
      <c r="M13" s="187"/>
      <c r="N13" s="187"/>
      <c r="O13" s="187"/>
      <c r="P13" s="187"/>
      <c r="Q13" s="187"/>
      <c r="R13" s="186"/>
      <c r="S13" s="188"/>
      <c r="T13" s="191"/>
    </row>
    <row r="14" spans="1:24" ht="39.75" customHeight="1" x14ac:dyDescent="0.25">
      <c r="A14" s="186">
        <v>4</v>
      </c>
      <c r="B14" s="158"/>
      <c r="C14" s="187"/>
      <c r="D14" s="187"/>
      <c r="E14" s="187"/>
      <c r="F14" s="187"/>
      <c r="G14" s="187"/>
      <c r="H14" s="187"/>
      <c r="I14" s="187"/>
      <c r="J14" s="187"/>
      <c r="K14" s="187"/>
      <c r="L14" s="187"/>
      <c r="M14" s="187"/>
      <c r="N14" s="187"/>
      <c r="O14" s="187"/>
      <c r="P14" s="187"/>
      <c r="Q14" s="187"/>
      <c r="R14" s="186"/>
      <c r="S14" s="188"/>
      <c r="T14" s="191"/>
    </row>
    <row r="15" spans="1:24" ht="39.75" customHeight="1" x14ac:dyDescent="0.25">
      <c r="A15" s="186">
        <v>5</v>
      </c>
      <c r="B15" s="158"/>
      <c r="C15" s="187"/>
      <c r="D15" s="187"/>
      <c r="E15" s="187"/>
      <c r="F15" s="187"/>
      <c r="G15" s="187"/>
      <c r="H15" s="187"/>
      <c r="I15" s="187"/>
      <c r="J15" s="187"/>
      <c r="K15" s="187"/>
      <c r="L15" s="187"/>
      <c r="M15" s="187"/>
      <c r="N15" s="187"/>
      <c r="O15" s="187"/>
      <c r="P15" s="187"/>
      <c r="Q15" s="187"/>
      <c r="R15" s="186"/>
      <c r="S15" s="188"/>
      <c r="T15" s="191"/>
    </row>
    <row r="16" spans="1:24" ht="39.75" customHeight="1" x14ac:dyDescent="0.25">
      <c r="A16" s="186">
        <v>6</v>
      </c>
      <c r="B16" s="158"/>
      <c r="C16" s="187"/>
      <c r="D16" s="187"/>
      <c r="E16" s="187"/>
      <c r="F16" s="187"/>
      <c r="G16" s="187"/>
      <c r="H16" s="187"/>
      <c r="I16" s="187"/>
      <c r="J16" s="187"/>
      <c r="K16" s="187"/>
      <c r="L16" s="187"/>
      <c r="M16" s="187"/>
      <c r="N16" s="187"/>
      <c r="O16" s="187"/>
      <c r="P16" s="187"/>
      <c r="Q16" s="187"/>
      <c r="R16" s="186"/>
      <c r="S16" s="188"/>
      <c r="T16" s="191"/>
    </row>
    <row r="17" spans="1:20" ht="39.75" customHeight="1" x14ac:dyDescent="0.25">
      <c r="A17" s="186">
        <v>7</v>
      </c>
      <c r="B17" s="158"/>
      <c r="C17" s="187"/>
      <c r="D17" s="187"/>
      <c r="E17" s="187"/>
      <c r="F17" s="187"/>
      <c r="G17" s="187"/>
      <c r="H17" s="187"/>
      <c r="I17" s="187"/>
      <c r="J17" s="187"/>
      <c r="K17" s="187"/>
      <c r="L17" s="187"/>
      <c r="M17" s="187"/>
      <c r="N17" s="187"/>
      <c r="O17" s="187"/>
      <c r="P17" s="187"/>
      <c r="Q17" s="187"/>
      <c r="R17" s="186"/>
      <c r="S17" s="188"/>
      <c r="T17" s="191"/>
    </row>
    <row r="18" spans="1:20" ht="46.5" customHeight="1" x14ac:dyDescent="0.25">
      <c r="A18" s="186">
        <v>8</v>
      </c>
      <c r="B18" s="158"/>
      <c r="C18" s="187"/>
      <c r="D18" s="187"/>
      <c r="E18" s="187"/>
      <c r="F18" s="187"/>
      <c r="G18" s="187"/>
      <c r="H18" s="187"/>
      <c r="I18" s="187"/>
      <c r="J18" s="187"/>
      <c r="K18" s="187"/>
      <c r="L18" s="187"/>
      <c r="M18" s="187"/>
      <c r="N18" s="187"/>
      <c r="O18" s="187"/>
      <c r="P18" s="187"/>
      <c r="Q18" s="187"/>
      <c r="R18" s="186"/>
      <c r="S18" s="188"/>
      <c r="T18" s="191"/>
    </row>
    <row r="19" spans="1:20" ht="47.25" customHeight="1" x14ac:dyDescent="0.25">
      <c r="A19" s="186">
        <v>9</v>
      </c>
      <c r="B19" s="158"/>
      <c r="C19" s="187"/>
      <c r="D19" s="187"/>
      <c r="E19" s="187"/>
      <c r="F19" s="187"/>
      <c r="G19" s="187"/>
      <c r="H19" s="187"/>
      <c r="I19" s="187"/>
      <c r="J19" s="187"/>
      <c r="K19" s="187"/>
      <c r="L19" s="187"/>
      <c r="M19" s="187"/>
      <c r="N19" s="187"/>
      <c r="O19" s="187"/>
      <c r="P19" s="187"/>
      <c r="Q19" s="187"/>
      <c r="R19" s="186"/>
      <c r="S19" s="188"/>
      <c r="T19" s="191"/>
    </row>
    <row r="20" spans="1:20" ht="39.75" customHeight="1" x14ac:dyDescent="0.25">
      <c r="A20" s="186">
        <v>10</v>
      </c>
      <c r="B20" s="158"/>
      <c r="C20" s="187"/>
      <c r="D20" s="187"/>
      <c r="E20" s="187"/>
      <c r="F20" s="187"/>
      <c r="G20" s="187"/>
      <c r="H20" s="187"/>
      <c r="I20" s="187"/>
      <c r="J20" s="187"/>
      <c r="K20" s="187"/>
      <c r="L20" s="187"/>
      <c r="M20" s="187"/>
      <c r="N20" s="187"/>
      <c r="O20" s="187"/>
      <c r="P20" s="187"/>
      <c r="Q20" s="187"/>
      <c r="R20" s="186"/>
      <c r="S20" s="188"/>
      <c r="T20" s="191"/>
    </row>
    <row r="21" spans="1:20" ht="39.75" customHeight="1" x14ac:dyDescent="0.25">
      <c r="A21" s="186">
        <v>11</v>
      </c>
      <c r="B21" s="158"/>
      <c r="C21" s="187"/>
      <c r="D21" s="187"/>
      <c r="E21" s="187"/>
      <c r="F21" s="187"/>
      <c r="G21" s="187"/>
      <c r="H21" s="187"/>
      <c r="I21" s="187"/>
      <c r="J21" s="187"/>
      <c r="K21" s="187"/>
      <c r="L21" s="187"/>
      <c r="M21" s="187"/>
      <c r="N21" s="187"/>
      <c r="O21" s="187"/>
      <c r="P21" s="187"/>
      <c r="Q21" s="187"/>
      <c r="R21" s="186"/>
      <c r="S21" s="188"/>
      <c r="T21" s="191"/>
    </row>
    <row r="22" spans="1:20" ht="45.75" customHeight="1" x14ac:dyDescent="0.25">
      <c r="A22" s="186">
        <v>12</v>
      </c>
      <c r="B22" s="158"/>
      <c r="C22" s="187"/>
      <c r="D22" s="187"/>
      <c r="E22" s="187"/>
      <c r="F22" s="187"/>
      <c r="G22" s="187"/>
      <c r="H22" s="187"/>
      <c r="I22" s="187"/>
      <c r="J22" s="187"/>
      <c r="K22" s="187"/>
      <c r="L22" s="187"/>
      <c r="M22" s="187"/>
      <c r="N22" s="187"/>
      <c r="O22" s="187"/>
      <c r="P22" s="187"/>
      <c r="Q22" s="187"/>
      <c r="R22" s="186"/>
      <c r="S22" s="188"/>
      <c r="T22" s="191"/>
    </row>
    <row r="23" spans="1:20" ht="49.5" customHeight="1" x14ac:dyDescent="0.25">
      <c r="A23" s="186">
        <v>13</v>
      </c>
      <c r="B23" s="158"/>
      <c r="C23" s="187"/>
      <c r="D23" s="187"/>
      <c r="E23" s="187"/>
      <c r="F23" s="187"/>
      <c r="G23" s="187"/>
      <c r="H23" s="187"/>
      <c r="I23" s="187"/>
      <c r="J23" s="187"/>
      <c r="K23" s="187"/>
      <c r="L23" s="187"/>
      <c r="M23" s="187"/>
      <c r="N23" s="187"/>
      <c r="O23" s="187"/>
      <c r="P23" s="187"/>
      <c r="Q23" s="187"/>
      <c r="R23" s="186"/>
      <c r="S23" s="188"/>
      <c r="T23" s="191"/>
    </row>
    <row r="24" spans="1:20" ht="39.75" customHeight="1" x14ac:dyDescent="0.25">
      <c r="A24" s="186">
        <v>14</v>
      </c>
      <c r="B24" s="158"/>
      <c r="C24" s="187"/>
      <c r="D24" s="187"/>
      <c r="E24" s="187"/>
      <c r="F24" s="187"/>
      <c r="G24" s="187"/>
      <c r="H24" s="187"/>
      <c r="I24" s="187"/>
      <c r="J24" s="187"/>
      <c r="K24" s="187"/>
      <c r="L24" s="187"/>
      <c r="M24" s="187"/>
      <c r="N24" s="187"/>
      <c r="O24" s="187"/>
      <c r="P24" s="187"/>
      <c r="Q24" s="187"/>
      <c r="R24" s="186"/>
      <c r="S24" s="188"/>
      <c r="T24" s="191"/>
    </row>
    <row r="25" spans="1:20" ht="39.75" customHeight="1" x14ac:dyDescent="0.25">
      <c r="A25" s="186">
        <v>15</v>
      </c>
      <c r="B25" s="158"/>
      <c r="C25" s="187"/>
      <c r="D25" s="187"/>
      <c r="E25" s="187"/>
      <c r="F25" s="187"/>
      <c r="G25" s="187"/>
      <c r="H25" s="187"/>
      <c r="I25" s="187"/>
      <c r="J25" s="187"/>
      <c r="K25" s="187"/>
      <c r="L25" s="187"/>
      <c r="M25" s="187"/>
      <c r="N25" s="187"/>
      <c r="O25" s="187"/>
      <c r="P25" s="187"/>
      <c r="Q25" s="187"/>
      <c r="R25" s="186"/>
      <c r="S25" s="188"/>
      <c r="T25" s="191"/>
    </row>
    <row r="26" spans="1:20" ht="48.75" customHeight="1" x14ac:dyDescent="0.25">
      <c r="A26" s="186">
        <v>16</v>
      </c>
      <c r="B26" s="158"/>
      <c r="C26" s="187"/>
      <c r="D26" s="187"/>
      <c r="E26" s="187"/>
      <c r="F26" s="187"/>
      <c r="G26" s="187"/>
      <c r="H26" s="187"/>
      <c r="I26" s="187"/>
      <c r="J26" s="187"/>
      <c r="K26" s="187"/>
      <c r="L26" s="187"/>
      <c r="M26" s="187"/>
      <c r="N26" s="187"/>
      <c r="O26" s="187"/>
      <c r="P26" s="187"/>
      <c r="Q26" s="187"/>
      <c r="R26" s="186"/>
      <c r="S26" s="188"/>
      <c r="T26" s="191"/>
    </row>
    <row r="27" spans="1:20" ht="39.75" customHeight="1" x14ac:dyDescent="0.25">
      <c r="A27" s="186">
        <v>17</v>
      </c>
      <c r="B27" s="158"/>
      <c r="C27" s="187"/>
      <c r="D27" s="187"/>
      <c r="E27" s="187"/>
      <c r="F27" s="187"/>
      <c r="G27" s="187"/>
      <c r="H27" s="187"/>
      <c r="I27" s="187"/>
      <c r="J27" s="187"/>
      <c r="K27" s="187"/>
      <c r="L27" s="187"/>
      <c r="M27" s="187"/>
      <c r="N27" s="187"/>
      <c r="O27" s="187"/>
      <c r="P27" s="187"/>
      <c r="Q27" s="187"/>
      <c r="R27" s="186"/>
      <c r="S27" s="188"/>
      <c r="T27" s="191"/>
    </row>
    <row r="28" spans="1:20" ht="39.75" customHeight="1" x14ac:dyDescent="0.25">
      <c r="A28" s="186">
        <v>18</v>
      </c>
      <c r="B28" s="158"/>
      <c r="C28" s="187"/>
      <c r="D28" s="187"/>
      <c r="E28" s="187"/>
      <c r="F28" s="187"/>
      <c r="G28" s="187"/>
      <c r="H28" s="187"/>
      <c r="I28" s="187"/>
      <c r="J28" s="187"/>
      <c r="K28" s="187"/>
      <c r="L28" s="187"/>
      <c r="M28" s="187"/>
      <c r="N28" s="187"/>
      <c r="O28" s="187"/>
      <c r="P28" s="187"/>
      <c r="Q28" s="187"/>
      <c r="R28" s="186"/>
      <c r="S28" s="188"/>
      <c r="T28" s="191"/>
    </row>
    <row r="29" spans="1:20" ht="48" customHeight="1" x14ac:dyDescent="0.25">
      <c r="A29" s="186">
        <v>19</v>
      </c>
      <c r="B29" s="158"/>
      <c r="C29" s="187"/>
      <c r="D29" s="187"/>
      <c r="E29" s="187"/>
      <c r="F29" s="187"/>
      <c r="G29" s="187"/>
      <c r="H29" s="187"/>
      <c r="I29" s="187"/>
      <c r="J29" s="187"/>
      <c r="K29" s="187"/>
      <c r="L29" s="187"/>
      <c r="M29" s="187"/>
      <c r="N29" s="187"/>
      <c r="O29" s="187"/>
      <c r="P29" s="187"/>
      <c r="Q29" s="187"/>
      <c r="R29" s="186"/>
      <c r="S29" s="188"/>
      <c r="T29" s="191"/>
    </row>
    <row r="30" spans="1:20" ht="39.75" customHeight="1" x14ac:dyDescent="0.25">
      <c r="A30" s="186">
        <v>20</v>
      </c>
      <c r="B30" s="158"/>
      <c r="C30" s="187"/>
      <c r="D30" s="187"/>
      <c r="E30" s="187"/>
      <c r="F30" s="187"/>
      <c r="G30" s="187"/>
      <c r="H30" s="187"/>
      <c r="I30" s="187"/>
      <c r="J30" s="187"/>
      <c r="K30" s="187"/>
      <c r="L30" s="187"/>
      <c r="M30" s="187"/>
      <c r="N30" s="187"/>
      <c r="O30" s="187"/>
      <c r="P30" s="187"/>
      <c r="Q30" s="187"/>
      <c r="R30" s="186"/>
      <c r="S30" s="188"/>
      <c r="T30" s="191"/>
    </row>
    <row r="31" spans="1:20" ht="49.5" customHeight="1" x14ac:dyDescent="0.25">
      <c r="A31" s="186">
        <v>21</v>
      </c>
      <c r="B31" s="158"/>
      <c r="C31" s="187"/>
      <c r="D31" s="187"/>
      <c r="E31" s="187"/>
      <c r="F31" s="187"/>
      <c r="G31" s="187"/>
      <c r="H31" s="187"/>
      <c r="I31" s="187"/>
      <c r="J31" s="187"/>
      <c r="K31" s="187"/>
      <c r="L31" s="187"/>
      <c r="M31" s="187"/>
      <c r="N31" s="187"/>
      <c r="O31" s="187"/>
      <c r="P31" s="187"/>
      <c r="Q31" s="187"/>
      <c r="R31" s="186"/>
      <c r="S31" s="188"/>
      <c r="T31" s="191"/>
    </row>
    <row r="32" spans="1:20" ht="42" customHeight="1" x14ac:dyDescent="0.25">
      <c r="A32" s="186">
        <v>22</v>
      </c>
      <c r="B32" s="158"/>
      <c r="C32" s="187"/>
      <c r="D32" s="187"/>
      <c r="E32" s="187"/>
      <c r="F32" s="187"/>
      <c r="G32" s="187"/>
      <c r="H32" s="187"/>
      <c r="I32" s="187"/>
      <c r="J32" s="187"/>
      <c r="K32" s="187"/>
      <c r="L32" s="187"/>
      <c r="M32" s="187"/>
      <c r="N32" s="187"/>
      <c r="O32" s="187"/>
      <c r="P32" s="187"/>
      <c r="Q32" s="187"/>
      <c r="R32" s="186"/>
      <c r="S32" s="192"/>
      <c r="T32" s="191"/>
    </row>
    <row r="33" spans="1:20" ht="48" customHeight="1" x14ac:dyDescent="0.25">
      <c r="A33" s="186">
        <v>23</v>
      </c>
      <c r="B33" s="158"/>
      <c r="C33" s="187"/>
      <c r="D33" s="187"/>
      <c r="E33" s="187"/>
      <c r="F33" s="187"/>
      <c r="G33" s="187"/>
      <c r="H33" s="187"/>
      <c r="I33" s="187"/>
      <c r="J33" s="187"/>
      <c r="K33" s="187"/>
      <c r="L33" s="187"/>
      <c r="M33" s="187"/>
      <c r="N33" s="187"/>
      <c r="O33" s="187"/>
      <c r="P33" s="187"/>
      <c r="Q33" s="187"/>
      <c r="R33" s="186"/>
      <c r="S33" s="192"/>
      <c r="T33" s="191"/>
    </row>
    <row r="34" spans="1:20" ht="46.5" customHeight="1" x14ac:dyDescent="0.25">
      <c r="A34" s="186">
        <v>24</v>
      </c>
      <c r="B34" s="158"/>
      <c r="C34" s="187"/>
      <c r="D34" s="187"/>
      <c r="E34" s="187"/>
      <c r="F34" s="187"/>
      <c r="G34" s="187"/>
      <c r="H34" s="187"/>
      <c r="I34" s="187"/>
      <c r="J34" s="187"/>
      <c r="K34" s="187"/>
      <c r="L34" s="187"/>
      <c r="M34" s="187"/>
      <c r="N34" s="187"/>
      <c r="O34" s="187"/>
      <c r="P34" s="187"/>
      <c r="Q34" s="187"/>
      <c r="R34" s="186"/>
      <c r="S34" s="192"/>
      <c r="T34" s="191"/>
    </row>
    <row r="35" spans="1:20" ht="44.25" customHeight="1" x14ac:dyDescent="0.25">
      <c r="A35" s="186">
        <v>25</v>
      </c>
      <c r="B35" s="158"/>
      <c r="C35" s="187"/>
      <c r="D35" s="187"/>
      <c r="E35" s="187"/>
      <c r="F35" s="187"/>
      <c r="G35" s="187"/>
      <c r="H35" s="187"/>
      <c r="I35" s="187"/>
      <c r="J35" s="187"/>
      <c r="K35" s="187"/>
      <c r="L35" s="187"/>
      <c r="M35" s="187"/>
      <c r="N35" s="187"/>
      <c r="O35" s="187"/>
      <c r="P35" s="187"/>
      <c r="Q35" s="187"/>
      <c r="R35" s="186">
        <f t="shared" ref="R35:R39" si="0">SUM(C35:Q35)</f>
        <v>0</v>
      </c>
      <c r="S35" s="192">
        <f t="shared" ref="S35:S39" si="1">IF(ISERROR(AVERAGE(C35:Q35)),0,AVERAGE(C35:Q35))</f>
        <v>0</v>
      </c>
      <c r="T35" s="191"/>
    </row>
    <row r="36" spans="1:20" ht="42.75" customHeight="1" x14ac:dyDescent="0.25">
      <c r="A36" s="186">
        <v>26</v>
      </c>
      <c r="B36" s="158"/>
      <c r="C36" s="187"/>
      <c r="D36" s="187"/>
      <c r="E36" s="187"/>
      <c r="F36" s="187"/>
      <c r="G36" s="187"/>
      <c r="H36" s="187"/>
      <c r="I36" s="187"/>
      <c r="J36" s="187"/>
      <c r="K36" s="187"/>
      <c r="L36" s="187"/>
      <c r="M36" s="187"/>
      <c r="N36" s="187"/>
      <c r="O36" s="187"/>
      <c r="P36" s="187"/>
      <c r="Q36" s="187"/>
      <c r="R36" s="186">
        <f t="shared" si="0"/>
        <v>0</v>
      </c>
      <c r="S36" s="192">
        <f t="shared" si="1"/>
        <v>0</v>
      </c>
      <c r="T36" s="191"/>
    </row>
    <row r="37" spans="1:20" ht="42" customHeight="1" x14ac:dyDescent="0.25">
      <c r="A37" s="186">
        <v>27</v>
      </c>
      <c r="B37" s="158"/>
      <c r="C37" s="187"/>
      <c r="D37" s="187"/>
      <c r="E37" s="187"/>
      <c r="F37" s="187"/>
      <c r="G37" s="187"/>
      <c r="H37" s="187"/>
      <c r="I37" s="187"/>
      <c r="J37" s="187"/>
      <c r="K37" s="187"/>
      <c r="L37" s="187"/>
      <c r="M37" s="187"/>
      <c r="N37" s="187"/>
      <c r="O37" s="187"/>
      <c r="P37" s="187"/>
      <c r="Q37" s="187"/>
      <c r="R37" s="186">
        <f t="shared" si="0"/>
        <v>0</v>
      </c>
      <c r="S37" s="192">
        <f t="shared" si="1"/>
        <v>0</v>
      </c>
      <c r="T37" s="191"/>
    </row>
    <row r="38" spans="1:20" ht="42.75" customHeight="1" x14ac:dyDescent="0.25">
      <c r="A38" s="186">
        <v>28</v>
      </c>
      <c r="B38" s="158"/>
      <c r="C38" s="187"/>
      <c r="D38" s="187"/>
      <c r="E38" s="187"/>
      <c r="F38" s="187"/>
      <c r="G38" s="187"/>
      <c r="H38" s="187"/>
      <c r="I38" s="187"/>
      <c r="J38" s="187"/>
      <c r="K38" s="187"/>
      <c r="L38" s="187"/>
      <c r="M38" s="187"/>
      <c r="N38" s="187"/>
      <c r="O38" s="187"/>
      <c r="P38" s="187"/>
      <c r="Q38" s="187"/>
      <c r="R38" s="186">
        <f t="shared" si="0"/>
        <v>0</v>
      </c>
      <c r="S38" s="192">
        <f t="shared" si="1"/>
        <v>0</v>
      </c>
      <c r="T38" s="191"/>
    </row>
    <row r="39" spans="1:20" ht="47.25" customHeight="1" x14ac:dyDescent="0.25">
      <c r="A39" s="186">
        <v>29</v>
      </c>
      <c r="B39" s="158"/>
      <c r="C39" s="187"/>
      <c r="D39" s="187"/>
      <c r="E39" s="187"/>
      <c r="F39" s="187"/>
      <c r="G39" s="187"/>
      <c r="H39" s="187"/>
      <c r="I39" s="187"/>
      <c r="J39" s="187"/>
      <c r="K39" s="187"/>
      <c r="L39" s="187"/>
      <c r="M39" s="187"/>
      <c r="N39" s="187"/>
      <c r="O39" s="187"/>
      <c r="P39" s="187"/>
      <c r="Q39" s="187"/>
      <c r="R39" s="186">
        <f t="shared" si="0"/>
        <v>0</v>
      </c>
      <c r="S39" s="192">
        <f t="shared" si="1"/>
        <v>0</v>
      </c>
      <c r="T39" s="191"/>
    </row>
    <row r="40" spans="1:20" ht="50.25" customHeight="1" thickBot="1" x14ac:dyDescent="0.3">
      <c r="A40" s="193">
        <v>30</v>
      </c>
      <c r="B40" s="194"/>
      <c r="C40" s="195"/>
      <c r="D40" s="195"/>
      <c r="E40" s="195"/>
      <c r="F40" s="195"/>
      <c r="G40" s="195"/>
      <c r="H40" s="195"/>
      <c r="I40" s="195"/>
      <c r="J40" s="195"/>
      <c r="K40" s="195"/>
      <c r="L40" s="195"/>
      <c r="M40" s="195"/>
      <c r="N40" s="195"/>
      <c r="O40" s="195"/>
      <c r="P40" s="195"/>
      <c r="Q40" s="195"/>
      <c r="R40" s="193">
        <f>SUM(C40:Q40)</f>
        <v>0</v>
      </c>
      <c r="S40" s="196">
        <f>IF(ISERROR(AVERAGE(C40:Q40)),0,AVERAGE(C40:Q40))</f>
        <v>0</v>
      </c>
      <c r="T40" s="197"/>
    </row>
    <row r="41" spans="1:20" ht="24" customHeight="1" x14ac:dyDescent="0.25">
      <c r="A41" s="311" t="s">
        <v>247</v>
      </c>
      <c r="B41" s="312"/>
      <c r="C41" s="312"/>
      <c r="D41" s="312"/>
      <c r="E41" s="312"/>
      <c r="F41" s="312"/>
      <c r="G41" s="312"/>
      <c r="H41" s="312"/>
      <c r="I41" s="312"/>
      <c r="J41" s="312"/>
      <c r="K41" s="312"/>
      <c r="L41" s="312"/>
      <c r="M41" s="312"/>
      <c r="N41" s="312"/>
      <c r="O41" s="312"/>
      <c r="P41" s="312"/>
      <c r="Q41" s="312"/>
      <c r="R41" s="313"/>
      <c r="S41" s="198">
        <f>SUM(S11:S40)</f>
        <v>0</v>
      </c>
    </row>
    <row r="42" spans="1:20" ht="28.5" customHeight="1" thickBot="1" x14ac:dyDescent="0.3">
      <c r="A42" s="291" t="s">
        <v>245</v>
      </c>
      <c r="B42" s="292"/>
      <c r="C42" s="292"/>
      <c r="D42" s="292"/>
      <c r="E42" s="292"/>
      <c r="F42" s="292"/>
      <c r="G42" s="292"/>
      <c r="H42" s="292"/>
      <c r="I42" s="292"/>
      <c r="J42" s="292"/>
      <c r="K42" s="292"/>
      <c r="L42" s="292"/>
      <c r="M42" s="292"/>
      <c r="N42" s="292"/>
      <c r="O42" s="292"/>
      <c r="P42" s="292"/>
      <c r="Q42" s="292"/>
      <c r="R42" s="292"/>
      <c r="S42" s="199">
        <f>S41/A40</f>
        <v>0</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2"/>
  <sheetViews>
    <sheetView zoomScaleNormal="100" workbookViewId="0">
      <selection activeCell="B45" sqref="B45:C45"/>
    </sheetView>
  </sheetViews>
  <sheetFormatPr baseColWidth="10" defaultRowHeight="15" x14ac:dyDescent="0.25"/>
  <cols>
    <col min="1" max="1" width="30.42578125" customWidth="1"/>
    <col min="2" max="2" width="78.85546875" customWidth="1"/>
    <col min="3" max="3" width="10" customWidth="1"/>
    <col min="4" max="4" width="20.140625" style="203" customWidth="1"/>
    <col min="5" max="5" width="15.85546875" customWidth="1"/>
  </cols>
  <sheetData>
    <row r="1" spans="1:5" x14ac:dyDescent="0.25">
      <c r="A1" s="330"/>
      <c r="B1" s="277" t="str">
        <f>[2]CONTEXTO!B1</f>
        <v xml:space="preserve">PROCESO:  SISTEMA INTEGRADO DE GESTIÓN </v>
      </c>
      <c r="C1" s="220" t="s">
        <v>364</v>
      </c>
      <c r="D1" s="219" t="s">
        <v>363</v>
      </c>
      <c r="E1" s="326"/>
    </row>
    <row r="2" spans="1:5" x14ac:dyDescent="0.25">
      <c r="A2" s="331"/>
      <c r="B2" s="278"/>
      <c r="C2" s="217" t="s">
        <v>362</v>
      </c>
      <c r="D2" s="218">
        <v>5</v>
      </c>
      <c r="E2" s="327"/>
    </row>
    <row r="3" spans="1:5" x14ac:dyDescent="0.25">
      <c r="A3" s="331"/>
      <c r="B3" s="333" t="s">
        <v>361</v>
      </c>
      <c r="C3" s="217" t="s">
        <v>360</v>
      </c>
      <c r="D3" s="216">
        <v>45343</v>
      </c>
      <c r="E3" s="327"/>
    </row>
    <row r="4" spans="1:5" ht="15.75" thickBot="1" x14ac:dyDescent="0.3">
      <c r="A4" s="332"/>
      <c r="B4" s="334"/>
      <c r="C4" s="215" t="s">
        <v>359</v>
      </c>
      <c r="D4" s="214" t="s">
        <v>358</v>
      </c>
      <c r="E4" s="328"/>
    </row>
    <row r="5" spans="1:5" ht="15.75" thickBot="1" x14ac:dyDescent="0.3">
      <c r="A5" s="335"/>
      <c r="B5" s="336"/>
      <c r="C5" s="336"/>
      <c r="D5" s="336"/>
      <c r="E5" s="336"/>
    </row>
    <row r="6" spans="1:5" x14ac:dyDescent="0.25">
      <c r="A6" s="337" t="str">
        <f>+[3]CONTEXTO!A8</f>
        <v>PROCESO: GESTIÓN CATASTRAL</v>
      </c>
      <c r="B6" s="338"/>
      <c r="C6" s="338"/>
      <c r="D6" s="338"/>
      <c r="E6" s="339"/>
    </row>
    <row r="7" spans="1:5" x14ac:dyDescent="0.25">
      <c r="A7" s="340"/>
      <c r="B7" s="341"/>
      <c r="C7" s="341"/>
      <c r="D7" s="341"/>
      <c r="E7" s="342"/>
    </row>
    <row r="8" spans="1:5" ht="21" customHeight="1" x14ac:dyDescent="0.25">
      <c r="A8" s="343" t="str">
        <f>+[3]CONTEXTO!A9</f>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
      <c r="B8" s="344"/>
      <c r="C8" s="344"/>
      <c r="D8" s="344"/>
      <c r="E8" s="345"/>
    </row>
    <row r="9" spans="1:5" ht="27" customHeight="1" thickBot="1" x14ac:dyDescent="0.3">
      <c r="A9" s="346"/>
      <c r="B9" s="347"/>
      <c r="C9" s="347"/>
      <c r="D9" s="347"/>
      <c r="E9" s="348"/>
    </row>
    <row r="10" spans="1:5" ht="15.75" thickBot="1" x14ac:dyDescent="0.3">
      <c r="A10" s="349"/>
      <c r="B10" s="349"/>
      <c r="C10" s="349"/>
      <c r="D10" s="349"/>
      <c r="E10" s="349"/>
    </row>
    <row r="11" spans="1:5" ht="27.75" customHeight="1" x14ac:dyDescent="0.25">
      <c r="A11" s="315" t="s">
        <v>355</v>
      </c>
      <c r="B11" s="317" t="s">
        <v>354</v>
      </c>
      <c r="C11" s="317"/>
      <c r="D11" s="319" t="s">
        <v>353</v>
      </c>
      <c r="E11" s="320"/>
    </row>
    <row r="12" spans="1:5" ht="14.45" customHeight="1" x14ac:dyDescent="0.25">
      <c r="A12" s="316"/>
      <c r="B12" s="318"/>
      <c r="C12" s="318"/>
      <c r="D12" s="212" t="s">
        <v>352</v>
      </c>
      <c r="E12" s="211" t="s">
        <v>351</v>
      </c>
    </row>
    <row r="13" spans="1:5" ht="33" customHeight="1" x14ac:dyDescent="0.25">
      <c r="A13" s="321" t="s">
        <v>357</v>
      </c>
      <c r="B13" s="325" t="s">
        <v>350</v>
      </c>
      <c r="C13" s="325"/>
      <c r="D13" s="210" t="s">
        <v>356</v>
      </c>
      <c r="E13" s="209"/>
    </row>
    <row r="14" spans="1:5" ht="33" customHeight="1" x14ac:dyDescent="0.25">
      <c r="A14" s="321"/>
      <c r="B14" s="325" t="s">
        <v>349</v>
      </c>
      <c r="C14" s="325"/>
      <c r="D14" s="210"/>
      <c r="E14" s="209" t="s">
        <v>356</v>
      </c>
    </row>
    <row r="15" spans="1:5" ht="33" customHeight="1" x14ac:dyDescent="0.25">
      <c r="A15" s="321"/>
      <c r="B15" s="325" t="s">
        <v>348</v>
      </c>
      <c r="C15" s="325"/>
      <c r="D15" s="210"/>
      <c r="E15" s="209" t="s">
        <v>356</v>
      </c>
    </row>
    <row r="16" spans="1:5" ht="33" customHeight="1" x14ac:dyDescent="0.25">
      <c r="A16" s="321"/>
      <c r="B16" s="325" t="s">
        <v>347</v>
      </c>
      <c r="C16" s="325"/>
      <c r="D16" s="210"/>
      <c r="E16" s="209" t="s">
        <v>356</v>
      </c>
    </row>
    <row r="17" spans="1:5" ht="33" customHeight="1" x14ac:dyDescent="0.25">
      <c r="A17" s="321"/>
      <c r="B17" s="325" t="s">
        <v>346</v>
      </c>
      <c r="C17" s="325"/>
      <c r="D17" s="210"/>
      <c r="E17" s="209" t="s">
        <v>356</v>
      </c>
    </row>
    <row r="18" spans="1:5" ht="33" customHeight="1" x14ac:dyDescent="0.25">
      <c r="A18" s="321"/>
      <c r="B18" s="350" t="s">
        <v>345</v>
      </c>
      <c r="C18" s="350"/>
      <c r="D18" s="210"/>
      <c r="E18" s="209" t="s">
        <v>356</v>
      </c>
    </row>
    <row r="19" spans="1:5" ht="33" customHeight="1" x14ac:dyDescent="0.25">
      <c r="A19" s="321"/>
      <c r="B19" s="325" t="s">
        <v>344</v>
      </c>
      <c r="C19" s="325"/>
      <c r="D19" s="210" t="s">
        <v>356</v>
      </c>
      <c r="E19" s="209"/>
    </row>
    <row r="20" spans="1:5" ht="33" customHeight="1" x14ac:dyDescent="0.25">
      <c r="A20" s="321"/>
      <c r="B20" s="350" t="s">
        <v>343</v>
      </c>
      <c r="C20" s="350"/>
      <c r="D20" s="210" t="s">
        <v>356</v>
      </c>
      <c r="E20" s="209"/>
    </row>
    <row r="21" spans="1:5" ht="33" customHeight="1" x14ac:dyDescent="0.25">
      <c r="A21" s="321"/>
      <c r="B21" s="325" t="s">
        <v>342</v>
      </c>
      <c r="C21" s="325"/>
      <c r="D21" s="210"/>
      <c r="E21" s="209" t="s">
        <v>356</v>
      </c>
    </row>
    <row r="22" spans="1:5" ht="33" customHeight="1" x14ac:dyDescent="0.25">
      <c r="A22" s="321"/>
      <c r="B22" s="325" t="s">
        <v>341</v>
      </c>
      <c r="C22" s="325"/>
      <c r="D22" s="210"/>
      <c r="E22" s="209" t="s">
        <v>356</v>
      </c>
    </row>
    <row r="23" spans="1:5" ht="33" customHeight="1" x14ac:dyDescent="0.25">
      <c r="A23" s="321"/>
      <c r="B23" s="325" t="s">
        <v>340</v>
      </c>
      <c r="C23" s="325"/>
      <c r="D23" s="210" t="s">
        <v>356</v>
      </c>
      <c r="E23" s="209"/>
    </row>
    <row r="24" spans="1:5" ht="33" customHeight="1" x14ac:dyDescent="0.25">
      <c r="A24" s="321"/>
      <c r="B24" s="325" t="s">
        <v>339</v>
      </c>
      <c r="C24" s="325"/>
      <c r="D24" s="210" t="s">
        <v>356</v>
      </c>
      <c r="E24" s="209"/>
    </row>
    <row r="25" spans="1:5" ht="33" customHeight="1" x14ac:dyDescent="0.25">
      <c r="A25" s="321"/>
      <c r="B25" s="350" t="s">
        <v>338</v>
      </c>
      <c r="C25" s="350"/>
      <c r="D25" s="210"/>
      <c r="E25" s="209" t="s">
        <v>356</v>
      </c>
    </row>
    <row r="26" spans="1:5" ht="33" customHeight="1" x14ac:dyDescent="0.25">
      <c r="A26" s="321"/>
      <c r="B26" s="351" t="s">
        <v>337</v>
      </c>
      <c r="C26" s="351"/>
      <c r="D26" s="210" t="s">
        <v>356</v>
      </c>
      <c r="E26" s="209"/>
    </row>
    <row r="27" spans="1:5" ht="33" customHeight="1" x14ac:dyDescent="0.25">
      <c r="A27" s="321"/>
      <c r="B27" s="350" t="s">
        <v>336</v>
      </c>
      <c r="C27" s="350"/>
      <c r="D27" s="210" t="s">
        <v>356</v>
      </c>
      <c r="E27" s="209"/>
    </row>
    <row r="28" spans="1:5" ht="33" customHeight="1" x14ac:dyDescent="0.25">
      <c r="A28" s="321"/>
      <c r="B28" s="350" t="s">
        <v>335</v>
      </c>
      <c r="C28" s="350"/>
      <c r="D28" s="210"/>
      <c r="E28" s="209" t="s">
        <v>356</v>
      </c>
    </row>
    <row r="29" spans="1:5" ht="33" customHeight="1" x14ac:dyDescent="0.25">
      <c r="A29" s="321"/>
      <c r="B29" s="350" t="s">
        <v>334</v>
      </c>
      <c r="C29" s="350"/>
      <c r="D29" s="210"/>
      <c r="E29" s="209" t="s">
        <v>356</v>
      </c>
    </row>
    <row r="30" spans="1:5" ht="33" customHeight="1" x14ac:dyDescent="0.25">
      <c r="A30" s="321"/>
      <c r="B30" s="325" t="s">
        <v>333</v>
      </c>
      <c r="C30" s="325"/>
      <c r="D30" s="210" t="s">
        <v>356</v>
      </c>
      <c r="E30" s="209"/>
    </row>
    <row r="31" spans="1:5" ht="33" customHeight="1" x14ac:dyDescent="0.25">
      <c r="A31" s="321"/>
      <c r="B31" s="302" t="s">
        <v>332</v>
      </c>
      <c r="C31" s="302"/>
      <c r="D31" s="210"/>
      <c r="E31" s="209" t="s">
        <v>356</v>
      </c>
    </row>
    <row r="32" spans="1:5" ht="33" customHeight="1" x14ac:dyDescent="0.25">
      <c r="A32" s="321"/>
      <c r="B32" s="325" t="s">
        <v>331</v>
      </c>
      <c r="C32" s="325"/>
      <c r="D32" s="210" t="s">
        <v>356</v>
      </c>
      <c r="E32" s="209"/>
    </row>
    <row r="33" spans="1:5" ht="22.5" customHeight="1" x14ac:dyDescent="0.25">
      <c r="A33" s="321"/>
      <c r="B33" s="323" t="s">
        <v>330</v>
      </c>
      <c r="C33" s="323"/>
      <c r="D33" s="323"/>
      <c r="E33" s="324"/>
    </row>
    <row r="34" spans="1:5" ht="33" customHeight="1" x14ac:dyDescent="0.25">
      <c r="A34" s="321"/>
      <c r="B34" s="302" t="s">
        <v>329</v>
      </c>
      <c r="C34" s="302"/>
      <c r="D34" s="210" t="s">
        <v>356</v>
      </c>
      <c r="E34" s="209"/>
    </row>
    <row r="35" spans="1:5" ht="33" customHeight="1" x14ac:dyDescent="0.25">
      <c r="A35" s="321"/>
      <c r="B35" s="302" t="s">
        <v>328</v>
      </c>
      <c r="C35" s="302"/>
      <c r="D35" s="210"/>
      <c r="E35" s="209" t="s">
        <v>356</v>
      </c>
    </row>
    <row r="36" spans="1:5" ht="33" customHeight="1" x14ac:dyDescent="0.25">
      <c r="A36" s="321"/>
      <c r="B36" s="302" t="s">
        <v>327</v>
      </c>
      <c r="C36" s="302"/>
      <c r="D36" s="210"/>
      <c r="E36" s="209" t="s">
        <v>356</v>
      </c>
    </row>
    <row r="37" spans="1:5" ht="33" customHeight="1" x14ac:dyDescent="0.25">
      <c r="A37" s="321"/>
      <c r="B37" s="302" t="s">
        <v>326</v>
      </c>
      <c r="C37" s="302"/>
      <c r="D37" s="210"/>
      <c r="E37" s="209" t="s">
        <v>356</v>
      </c>
    </row>
    <row r="38" spans="1:5" ht="33" customHeight="1" x14ac:dyDescent="0.25">
      <c r="A38" s="321"/>
      <c r="B38" s="302" t="s">
        <v>325</v>
      </c>
      <c r="C38" s="302"/>
      <c r="D38" s="210" t="s">
        <v>356</v>
      </c>
      <c r="E38" s="209"/>
    </row>
    <row r="39" spans="1:5" ht="33" customHeight="1" x14ac:dyDescent="0.25">
      <c r="A39" s="321"/>
      <c r="B39" s="302" t="s">
        <v>324</v>
      </c>
      <c r="C39" s="302"/>
      <c r="D39" s="210"/>
      <c r="E39" s="209" t="s">
        <v>356</v>
      </c>
    </row>
    <row r="40" spans="1:5" ht="33" customHeight="1" x14ac:dyDescent="0.25">
      <c r="A40" s="321"/>
      <c r="B40" s="329" t="s">
        <v>323</v>
      </c>
      <c r="C40" s="329"/>
      <c r="D40" s="210" t="s">
        <v>356</v>
      </c>
      <c r="E40" s="209"/>
    </row>
    <row r="41" spans="1:5" ht="33" customHeight="1" x14ac:dyDescent="0.25">
      <c r="A41" s="321"/>
      <c r="B41" s="329" t="s">
        <v>322</v>
      </c>
      <c r="C41" s="329"/>
      <c r="D41" s="210" t="s">
        <v>356</v>
      </c>
      <c r="E41" s="209"/>
    </row>
    <row r="42" spans="1:5" ht="33" customHeight="1" x14ac:dyDescent="0.25">
      <c r="A42" s="321"/>
      <c r="B42" s="302" t="s">
        <v>321</v>
      </c>
      <c r="C42" s="302"/>
      <c r="D42" s="210"/>
      <c r="E42" s="209" t="s">
        <v>356</v>
      </c>
    </row>
    <row r="43" spans="1:5" ht="33" customHeight="1" x14ac:dyDescent="0.25">
      <c r="A43" s="321"/>
      <c r="B43" s="302" t="s">
        <v>320</v>
      </c>
      <c r="C43" s="302"/>
      <c r="D43" s="210"/>
      <c r="E43" s="209" t="s">
        <v>356</v>
      </c>
    </row>
    <row r="44" spans="1:5" ht="33" customHeight="1" x14ac:dyDescent="0.25">
      <c r="A44" s="321"/>
      <c r="B44" s="302" t="s">
        <v>319</v>
      </c>
      <c r="C44" s="302"/>
      <c r="D44" s="210"/>
      <c r="E44" s="209" t="s">
        <v>356</v>
      </c>
    </row>
    <row r="45" spans="1:5" ht="33" customHeight="1" x14ac:dyDescent="0.25">
      <c r="A45" s="321"/>
      <c r="B45" s="329" t="s">
        <v>318</v>
      </c>
      <c r="C45" s="329"/>
      <c r="D45" s="210" t="s">
        <v>356</v>
      </c>
      <c r="E45" s="209"/>
    </row>
    <row r="46" spans="1:5" ht="33" customHeight="1" x14ac:dyDescent="0.25">
      <c r="A46" s="321"/>
      <c r="B46" s="302" t="s">
        <v>317</v>
      </c>
      <c r="C46" s="302"/>
      <c r="D46" s="210" t="s">
        <v>356</v>
      </c>
      <c r="E46" s="209"/>
    </row>
    <row r="47" spans="1:5" ht="33" customHeight="1" thickBot="1" x14ac:dyDescent="0.3">
      <c r="A47" s="322"/>
      <c r="B47" s="314" t="s">
        <v>316</v>
      </c>
      <c r="C47" s="314"/>
      <c r="D47" s="208" t="s">
        <v>356</v>
      </c>
      <c r="E47" s="207"/>
    </row>
    <row r="49" spans="1:5" ht="15.75" thickBot="1" x14ac:dyDescent="0.3"/>
    <row r="50" spans="1:5" ht="30.75" customHeight="1" x14ac:dyDescent="0.25">
      <c r="A50" s="315" t="s">
        <v>355</v>
      </c>
      <c r="B50" s="317" t="s">
        <v>354</v>
      </c>
      <c r="C50" s="317"/>
      <c r="D50" s="319" t="s">
        <v>353</v>
      </c>
      <c r="E50" s="320"/>
    </row>
    <row r="51" spans="1:5" x14ac:dyDescent="0.25">
      <c r="A51" s="316"/>
      <c r="B51" s="318"/>
      <c r="C51" s="318"/>
      <c r="D51" s="212" t="s">
        <v>352</v>
      </c>
      <c r="E51" s="211" t="s">
        <v>351</v>
      </c>
    </row>
    <row r="52" spans="1:5" ht="33" customHeight="1" x14ac:dyDescent="0.25">
      <c r="A52" s="321"/>
      <c r="B52" s="302" t="s">
        <v>350</v>
      </c>
      <c r="C52" s="302"/>
      <c r="D52" s="210"/>
      <c r="E52" s="209"/>
    </row>
    <row r="53" spans="1:5" ht="33" customHeight="1" x14ac:dyDescent="0.25">
      <c r="A53" s="321"/>
      <c r="B53" s="302" t="s">
        <v>349</v>
      </c>
      <c r="C53" s="302"/>
      <c r="D53" s="210"/>
      <c r="E53" s="209"/>
    </row>
    <row r="54" spans="1:5" ht="33" customHeight="1" x14ac:dyDescent="0.25">
      <c r="A54" s="321"/>
      <c r="B54" s="302" t="s">
        <v>348</v>
      </c>
      <c r="C54" s="302"/>
      <c r="D54" s="210"/>
      <c r="E54" s="209"/>
    </row>
    <row r="55" spans="1:5" ht="33" customHeight="1" x14ac:dyDescent="0.25">
      <c r="A55" s="321"/>
      <c r="B55" s="302" t="s">
        <v>347</v>
      </c>
      <c r="C55" s="302"/>
      <c r="D55" s="210"/>
      <c r="E55" s="209"/>
    </row>
    <row r="56" spans="1:5" ht="33" customHeight="1" x14ac:dyDescent="0.25">
      <c r="A56" s="321"/>
      <c r="B56" s="302" t="s">
        <v>346</v>
      </c>
      <c r="C56" s="302"/>
      <c r="D56" s="210"/>
      <c r="E56" s="209"/>
    </row>
    <row r="57" spans="1:5" ht="33" customHeight="1" x14ac:dyDescent="0.25">
      <c r="A57" s="321"/>
      <c r="B57" s="302" t="s">
        <v>345</v>
      </c>
      <c r="C57" s="302"/>
      <c r="D57" s="210"/>
      <c r="E57" s="209"/>
    </row>
    <row r="58" spans="1:5" ht="33" customHeight="1" x14ac:dyDescent="0.25">
      <c r="A58" s="321"/>
      <c r="B58" s="302" t="s">
        <v>344</v>
      </c>
      <c r="C58" s="302"/>
      <c r="D58" s="210"/>
      <c r="E58" s="209"/>
    </row>
    <row r="59" spans="1:5" ht="33" customHeight="1" x14ac:dyDescent="0.25">
      <c r="A59" s="321"/>
      <c r="B59" s="302" t="s">
        <v>343</v>
      </c>
      <c r="C59" s="302"/>
      <c r="D59" s="210"/>
      <c r="E59" s="209"/>
    </row>
    <row r="60" spans="1:5" ht="33" customHeight="1" x14ac:dyDescent="0.25">
      <c r="A60" s="321"/>
      <c r="B60" s="302" t="s">
        <v>342</v>
      </c>
      <c r="C60" s="302"/>
      <c r="D60" s="210"/>
      <c r="E60" s="209"/>
    </row>
    <row r="61" spans="1:5" ht="33" customHeight="1" x14ac:dyDescent="0.25">
      <c r="A61" s="321"/>
      <c r="B61" s="302" t="s">
        <v>341</v>
      </c>
      <c r="C61" s="302"/>
      <c r="D61" s="210"/>
      <c r="E61" s="209"/>
    </row>
    <row r="62" spans="1:5" ht="33" customHeight="1" x14ac:dyDescent="0.25">
      <c r="A62" s="321"/>
      <c r="B62" s="302" t="s">
        <v>340</v>
      </c>
      <c r="C62" s="302"/>
      <c r="D62" s="210"/>
      <c r="E62" s="209"/>
    </row>
    <row r="63" spans="1:5" ht="33" customHeight="1" x14ac:dyDescent="0.25">
      <c r="A63" s="321"/>
      <c r="B63" s="302" t="s">
        <v>339</v>
      </c>
      <c r="C63" s="302"/>
      <c r="D63" s="210"/>
      <c r="E63" s="209"/>
    </row>
    <row r="64" spans="1:5" ht="33" customHeight="1" x14ac:dyDescent="0.25">
      <c r="A64" s="321"/>
      <c r="B64" s="302" t="s">
        <v>338</v>
      </c>
      <c r="C64" s="302"/>
      <c r="D64" s="210"/>
      <c r="E64" s="209"/>
    </row>
    <row r="65" spans="1:5" ht="33" customHeight="1" x14ac:dyDescent="0.25">
      <c r="A65" s="321"/>
      <c r="B65" s="302" t="s">
        <v>337</v>
      </c>
      <c r="C65" s="302"/>
      <c r="D65" s="210"/>
      <c r="E65" s="209"/>
    </row>
    <row r="66" spans="1:5" ht="33" customHeight="1" x14ac:dyDescent="0.25">
      <c r="A66" s="321"/>
      <c r="B66" s="302" t="s">
        <v>336</v>
      </c>
      <c r="C66" s="302"/>
      <c r="D66" s="210"/>
      <c r="E66" s="209"/>
    </row>
    <row r="67" spans="1:5" ht="33" customHeight="1" x14ac:dyDescent="0.25">
      <c r="A67" s="321"/>
      <c r="B67" s="302" t="s">
        <v>335</v>
      </c>
      <c r="C67" s="302"/>
      <c r="D67" s="210"/>
      <c r="E67" s="209"/>
    </row>
    <row r="68" spans="1:5" ht="33" customHeight="1" x14ac:dyDescent="0.25">
      <c r="A68" s="321"/>
      <c r="B68" s="302" t="s">
        <v>334</v>
      </c>
      <c r="C68" s="302"/>
      <c r="D68" s="210"/>
      <c r="E68" s="209"/>
    </row>
    <row r="69" spans="1:5" ht="33" customHeight="1" x14ac:dyDescent="0.25">
      <c r="A69" s="321"/>
      <c r="B69" s="302" t="s">
        <v>333</v>
      </c>
      <c r="C69" s="302"/>
      <c r="D69" s="210"/>
      <c r="E69" s="209"/>
    </row>
    <row r="70" spans="1:5" ht="33" customHeight="1" x14ac:dyDescent="0.25">
      <c r="A70" s="321"/>
      <c r="B70" s="302" t="s">
        <v>332</v>
      </c>
      <c r="C70" s="302"/>
      <c r="D70" s="210"/>
      <c r="E70" s="209"/>
    </row>
    <row r="71" spans="1:5" ht="33" customHeight="1" x14ac:dyDescent="0.25">
      <c r="A71" s="321"/>
      <c r="B71" s="302" t="s">
        <v>331</v>
      </c>
      <c r="C71" s="302"/>
      <c r="D71" s="210"/>
      <c r="E71" s="209"/>
    </row>
    <row r="72" spans="1:5" ht="33" customHeight="1" x14ac:dyDescent="0.25">
      <c r="A72" s="321"/>
      <c r="B72" s="323" t="s">
        <v>330</v>
      </c>
      <c r="C72" s="323"/>
      <c r="D72" s="323"/>
      <c r="E72" s="324"/>
    </row>
    <row r="73" spans="1:5" ht="33" customHeight="1" x14ac:dyDescent="0.25">
      <c r="A73" s="321"/>
      <c r="B73" s="302" t="s">
        <v>329</v>
      </c>
      <c r="C73" s="302"/>
      <c r="D73" s="210"/>
      <c r="E73" s="209"/>
    </row>
    <row r="74" spans="1:5" ht="33" customHeight="1" x14ac:dyDescent="0.25">
      <c r="A74" s="321"/>
      <c r="B74" s="302" t="s">
        <v>328</v>
      </c>
      <c r="C74" s="302"/>
      <c r="D74" s="210"/>
      <c r="E74" s="209"/>
    </row>
    <row r="75" spans="1:5" ht="33" customHeight="1" x14ac:dyDescent="0.25">
      <c r="A75" s="321"/>
      <c r="B75" s="302" t="s">
        <v>327</v>
      </c>
      <c r="C75" s="302"/>
      <c r="D75" s="210"/>
      <c r="E75" s="209"/>
    </row>
    <row r="76" spans="1:5" ht="33" customHeight="1" x14ac:dyDescent="0.25">
      <c r="A76" s="321"/>
      <c r="B76" s="302" t="s">
        <v>326</v>
      </c>
      <c r="C76" s="302"/>
      <c r="D76" s="210"/>
      <c r="E76" s="209"/>
    </row>
    <row r="77" spans="1:5" ht="33" customHeight="1" x14ac:dyDescent="0.25">
      <c r="A77" s="321"/>
      <c r="B77" s="302" t="s">
        <v>325</v>
      </c>
      <c r="C77" s="302"/>
      <c r="D77" s="210"/>
      <c r="E77" s="209"/>
    </row>
    <row r="78" spans="1:5" ht="33" customHeight="1" x14ac:dyDescent="0.25">
      <c r="A78" s="321"/>
      <c r="B78" s="302" t="s">
        <v>324</v>
      </c>
      <c r="C78" s="302"/>
      <c r="D78" s="210"/>
      <c r="E78" s="209"/>
    </row>
    <row r="79" spans="1:5" ht="33" customHeight="1" x14ac:dyDescent="0.25">
      <c r="A79" s="321"/>
      <c r="B79" s="302" t="s">
        <v>323</v>
      </c>
      <c r="C79" s="302"/>
      <c r="D79" s="210"/>
      <c r="E79" s="209"/>
    </row>
    <row r="80" spans="1:5" ht="33" customHeight="1" x14ac:dyDescent="0.25">
      <c r="A80" s="321"/>
      <c r="B80" s="302" t="s">
        <v>322</v>
      </c>
      <c r="C80" s="302"/>
      <c r="D80" s="210"/>
      <c r="E80" s="209"/>
    </row>
    <row r="81" spans="1:5" ht="33" customHeight="1" x14ac:dyDescent="0.25">
      <c r="A81" s="321"/>
      <c r="B81" s="302" t="s">
        <v>321</v>
      </c>
      <c r="C81" s="302"/>
      <c r="D81" s="210"/>
      <c r="E81" s="209"/>
    </row>
    <row r="82" spans="1:5" ht="33" customHeight="1" x14ac:dyDescent="0.25">
      <c r="A82" s="321"/>
      <c r="B82" s="302" t="s">
        <v>320</v>
      </c>
      <c r="C82" s="302"/>
      <c r="D82" s="210"/>
      <c r="E82" s="209"/>
    </row>
    <row r="83" spans="1:5" ht="33" customHeight="1" x14ac:dyDescent="0.25">
      <c r="A83" s="321"/>
      <c r="B83" s="302" t="s">
        <v>319</v>
      </c>
      <c r="C83" s="302"/>
      <c r="D83" s="210"/>
      <c r="E83" s="209"/>
    </row>
    <row r="84" spans="1:5" ht="33" customHeight="1" x14ac:dyDescent="0.25">
      <c r="A84" s="321"/>
      <c r="B84" s="302" t="s">
        <v>318</v>
      </c>
      <c r="C84" s="302"/>
      <c r="D84" s="210"/>
      <c r="E84" s="209"/>
    </row>
    <row r="85" spans="1:5" ht="33" customHeight="1" x14ac:dyDescent="0.25">
      <c r="A85" s="321"/>
      <c r="B85" s="302" t="s">
        <v>317</v>
      </c>
      <c r="C85" s="302"/>
      <c r="D85" s="210"/>
      <c r="E85" s="209"/>
    </row>
    <row r="86" spans="1:5" ht="33" customHeight="1" thickBot="1" x14ac:dyDescent="0.3">
      <c r="A86" s="322"/>
      <c r="B86" s="314" t="s">
        <v>316</v>
      </c>
      <c r="C86" s="314"/>
      <c r="D86" s="208"/>
      <c r="E86" s="207"/>
    </row>
    <row r="88" spans="1:5" ht="15.75" thickBot="1" x14ac:dyDescent="0.3"/>
    <row r="89" spans="1:5" ht="28.5" customHeight="1" x14ac:dyDescent="0.25">
      <c r="A89" s="315" t="s">
        <v>355</v>
      </c>
      <c r="B89" s="317" t="s">
        <v>354</v>
      </c>
      <c r="C89" s="317"/>
      <c r="D89" s="319" t="s">
        <v>353</v>
      </c>
      <c r="E89" s="320"/>
    </row>
    <row r="90" spans="1:5" x14ac:dyDescent="0.25">
      <c r="A90" s="316"/>
      <c r="B90" s="318"/>
      <c r="C90" s="318"/>
      <c r="D90" s="212" t="s">
        <v>352</v>
      </c>
      <c r="E90" s="211" t="s">
        <v>351</v>
      </c>
    </row>
    <row r="91" spans="1:5" ht="33" customHeight="1" x14ac:dyDescent="0.25">
      <c r="A91" s="321"/>
      <c r="B91" s="325" t="s">
        <v>350</v>
      </c>
      <c r="C91" s="325"/>
      <c r="D91" s="210"/>
      <c r="E91" s="213"/>
    </row>
    <row r="92" spans="1:5" ht="33" customHeight="1" x14ac:dyDescent="0.25">
      <c r="A92" s="321"/>
      <c r="B92" s="325" t="s">
        <v>349</v>
      </c>
      <c r="C92" s="325"/>
      <c r="D92" s="210"/>
      <c r="E92" s="213"/>
    </row>
    <row r="93" spans="1:5" ht="33" customHeight="1" x14ac:dyDescent="0.25">
      <c r="A93" s="321"/>
      <c r="B93" s="325" t="s">
        <v>348</v>
      </c>
      <c r="C93" s="325"/>
      <c r="D93" s="210"/>
      <c r="E93" s="213"/>
    </row>
    <row r="94" spans="1:5" ht="33" customHeight="1" x14ac:dyDescent="0.25">
      <c r="A94" s="321"/>
      <c r="B94" s="325" t="s">
        <v>347</v>
      </c>
      <c r="C94" s="325"/>
      <c r="D94" s="210"/>
      <c r="E94" s="213"/>
    </row>
    <row r="95" spans="1:5" ht="33" customHeight="1" x14ac:dyDescent="0.25">
      <c r="A95" s="321"/>
      <c r="B95" s="325" t="s">
        <v>346</v>
      </c>
      <c r="C95" s="325"/>
      <c r="D95" s="210"/>
      <c r="E95" s="213"/>
    </row>
    <row r="96" spans="1:5" ht="33" customHeight="1" x14ac:dyDescent="0.25">
      <c r="A96" s="321"/>
      <c r="B96" s="325" t="s">
        <v>345</v>
      </c>
      <c r="C96" s="325"/>
      <c r="D96" s="210"/>
      <c r="E96" s="213"/>
    </row>
    <row r="97" spans="1:5" ht="33" customHeight="1" x14ac:dyDescent="0.25">
      <c r="A97" s="321"/>
      <c r="B97" s="325" t="s">
        <v>344</v>
      </c>
      <c r="C97" s="325"/>
      <c r="D97" s="210"/>
      <c r="E97" s="213"/>
    </row>
    <row r="98" spans="1:5" ht="33" customHeight="1" x14ac:dyDescent="0.25">
      <c r="A98" s="321"/>
      <c r="B98" s="325" t="s">
        <v>343</v>
      </c>
      <c r="C98" s="325"/>
      <c r="D98" s="210"/>
      <c r="E98" s="213"/>
    </row>
    <row r="99" spans="1:5" ht="33" customHeight="1" x14ac:dyDescent="0.25">
      <c r="A99" s="321"/>
      <c r="B99" s="325" t="s">
        <v>342</v>
      </c>
      <c r="C99" s="325"/>
      <c r="D99" s="210"/>
      <c r="E99" s="213"/>
    </row>
    <row r="100" spans="1:5" ht="33" customHeight="1" x14ac:dyDescent="0.25">
      <c r="A100" s="321"/>
      <c r="B100" s="325" t="s">
        <v>341</v>
      </c>
      <c r="C100" s="325"/>
      <c r="D100" s="210"/>
      <c r="E100" s="213"/>
    </row>
    <row r="101" spans="1:5" ht="33" customHeight="1" x14ac:dyDescent="0.25">
      <c r="A101" s="321"/>
      <c r="B101" s="325" t="s">
        <v>340</v>
      </c>
      <c r="C101" s="325"/>
      <c r="D101" s="210"/>
      <c r="E101" s="213"/>
    </row>
    <row r="102" spans="1:5" ht="33" customHeight="1" x14ac:dyDescent="0.25">
      <c r="A102" s="321"/>
      <c r="B102" s="325" t="s">
        <v>339</v>
      </c>
      <c r="C102" s="325"/>
      <c r="D102" s="210"/>
      <c r="E102" s="213"/>
    </row>
    <row r="103" spans="1:5" ht="33" customHeight="1" x14ac:dyDescent="0.25">
      <c r="A103" s="321"/>
      <c r="B103" s="325" t="s">
        <v>338</v>
      </c>
      <c r="C103" s="325"/>
      <c r="D103" s="210"/>
      <c r="E103" s="213"/>
    </row>
    <row r="104" spans="1:5" ht="33" customHeight="1" x14ac:dyDescent="0.25">
      <c r="A104" s="321"/>
      <c r="B104" s="325" t="s">
        <v>337</v>
      </c>
      <c r="C104" s="325"/>
      <c r="D104" s="210"/>
      <c r="E104" s="213"/>
    </row>
    <row r="105" spans="1:5" ht="33" customHeight="1" x14ac:dyDescent="0.25">
      <c r="A105" s="321"/>
      <c r="B105" s="325" t="s">
        <v>336</v>
      </c>
      <c r="C105" s="325"/>
      <c r="D105" s="210"/>
      <c r="E105" s="213"/>
    </row>
    <row r="106" spans="1:5" ht="33" customHeight="1" x14ac:dyDescent="0.25">
      <c r="A106" s="321"/>
      <c r="B106" s="325" t="s">
        <v>335</v>
      </c>
      <c r="C106" s="325"/>
      <c r="D106" s="210"/>
      <c r="E106" s="213"/>
    </row>
    <row r="107" spans="1:5" ht="33" customHeight="1" x14ac:dyDescent="0.25">
      <c r="A107" s="321"/>
      <c r="B107" s="325" t="s">
        <v>334</v>
      </c>
      <c r="C107" s="325"/>
      <c r="D107" s="210"/>
      <c r="E107" s="213"/>
    </row>
    <row r="108" spans="1:5" ht="33" customHeight="1" x14ac:dyDescent="0.25">
      <c r="A108" s="321"/>
      <c r="B108" s="325" t="s">
        <v>333</v>
      </c>
      <c r="C108" s="325"/>
      <c r="D108" s="210"/>
      <c r="E108" s="213"/>
    </row>
    <row r="109" spans="1:5" ht="33" customHeight="1" x14ac:dyDescent="0.25">
      <c r="A109" s="321"/>
      <c r="B109" s="302" t="s">
        <v>332</v>
      </c>
      <c r="C109" s="302"/>
      <c r="D109" s="210"/>
      <c r="E109" s="213"/>
    </row>
    <row r="110" spans="1:5" ht="33" customHeight="1" x14ac:dyDescent="0.25">
      <c r="A110" s="321"/>
      <c r="B110" s="325" t="s">
        <v>331</v>
      </c>
      <c r="C110" s="325"/>
      <c r="D110" s="210"/>
      <c r="E110" s="213"/>
    </row>
    <row r="111" spans="1:5" ht="33" customHeight="1" x14ac:dyDescent="0.25">
      <c r="A111" s="321"/>
      <c r="B111" s="323" t="s">
        <v>330</v>
      </c>
      <c r="C111" s="323"/>
      <c r="D111" s="323"/>
      <c r="E111" s="324"/>
    </row>
    <row r="112" spans="1:5" ht="33" customHeight="1" x14ac:dyDescent="0.25">
      <c r="A112" s="321"/>
      <c r="B112" s="302" t="s">
        <v>329</v>
      </c>
      <c r="C112" s="302"/>
      <c r="D112" s="210"/>
      <c r="E112" s="209"/>
    </row>
    <row r="113" spans="1:5" ht="33" customHeight="1" x14ac:dyDescent="0.25">
      <c r="A113" s="321"/>
      <c r="B113" s="302" t="s">
        <v>328</v>
      </c>
      <c r="C113" s="302"/>
      <c r="D113" s="210"/>
      <c r="E113" s="209"/>
    </row>
    <row r="114" spans="1:5" ht="33" customHeight="1" x14ac:dyDescent="0.25">
      <c r="A114" s="321"/>
      <c r="B114" s="302" t="s">
        <v>327</v>
      </c>
      <c r="C114" s="302"/>
      <c r="D114" s="210"/>
      <c r="E114" s="209"/>
    </row>
    <row r="115" spans="1:5" ht="33" customHeight="1" x14ac:dyDescent="0.25">
      <c r="A115" s="321"/>
      <c r="B115" s="302" t="s">
        <v>326</v>
      </c>
      <c r="C115" s="302"/>
      <c r="D115" s="210"/>
      <c r="E115" s="209"/>
    </row>
    <row r="116" spans="1:5" ht="33" customHeight="1" x14ac:dyDescent="0.25">
      <c r="A116" s="321"/>
      <c r="B116" s="302" t="s">
        <v>325</v>
      </c>
      <c r="C116" s="302"/>
      <c r="D116" s="210"/>
      <c r="E116" s="209"/>
    </row>
    <row r="117" spans="1:5" ht="33" customHeight="1" x14ac:dyDescent="0.25">
      <c r="A117" s="321"/>
      <c r="B117" s="302" t="s">
        <v>324</v>
      </c>
      <c r="C117" s="302"/>
      <c r="D117" s="210"/>
      <c r="E117" s="209"/>
    </row>
    <row r="118" spans="1:5" ht="33" customHeight="1" x14ac:dyDescent="0.25">
      <c r="A118" s="321"/>
      <c r="B118" s="302" t="s">
        <v>323</v>
      </c>
      <c r="C118" s="302"/>
      <c r="D118" s="210"/>
      <c r="E118" s="209"/>
    </row>
    <row r="119" spans="1:5" ht="33" customHeight="1" x14ac:dyDescent="0.25">
      <c r="A119" s="321"/>
      <c r="B119" s="302" t="s">
        <v>322</v>
      </c>
      <c r="C119" s="302"/>
      <c r="D119" s="210"/>
      <c r="E119" s="209"/>
    </row>
    <row r="120" spans="1:5" ht="33" customHeight="1" x14ac:dyDescent="0.25">
      <c r="A120" s="321"/>
      <c r="B120" s="302" t="s">
        <v>321</v>
      </c>
      <c r="C120" s="302"/>
      <c r="D120" s="210"/>
      <c r="E120" s="209"/>
    </row>
    <row r="121" spans="1:5" ht="33" customHeight="1" x14ac:dyDescent="0.25">
      <c r="A121" s="321"/>
      <c r="B121" s="302" t="s">
        <v>320</v>
      </c>
      <c r="C121" s="302"/>
      <c r="D121" s="210"/>
      <c r="E121" s="209"/>
    </row>
    <row r="122" spans="1:5" ht="33" customHeight="1" x14ac:dyDescent="0.25">
      <c r="A122" s="321"/>
      <c r="B122" s="302" t="s">
        <v>319</v>
      </c>
      <c r="C122" s="302"/>
      <c r="D122" s="210"/>
      <c r="E122" s="209"/>
    </row>
    <row r="123" spans="1:5" ht="33" customHeight="1" x14ac:dyDescent="0.25">
      <c r="A123" s="321"/>
      <c r="B123" s="302" t="s">
        <v>318</v>
      </c>
      <c r="C123" s="302"/>
      <c r="D123" s="210"/>
      <c r="E123" s="209"/>
    </row>
    <row r="124" spans="1:5" ht="33" customHeight="1" x14ac:dyDescent="0.25">
      <c r="A124" s="321"/>
      <c r="B124" s="302" t="s">
        <v>317</v>
      </c>
      <c r="C124" s="302"/>
      <c r="D124" s="210"/>
      <c r="E124" s="209"/>
    </row>
    <row r="125" spans="1:5" ht="33" customHeight="1" thickBot="1" x14ac:dyDescent="0.3">
      <c r="A125" s="322"/>
      <c r="B125" s="314" t="s">
        <v>316</v>
      </c>
      <c r="C125" s="314"/>
      <c r="D125" s="208"/>
      <c r="E125" s="207"/>
    </row>
    <row r="127" spans="1:5" ht="15.75" thickBot="1" x14ac:dyDescent="0.3"/>
    <row r="128" spans="1:5" ht="30" customHeight="1" x14ac:dyDescent="0.25">
      <c r="A128" s="315" t="s">
        <v>355</v>
      </c>
      <c r="B128" s="317" t="s">
        <v>354</v>
      </c>
      <c r="C128" s="317"/>
      <c r="D128" s="319" t="s">
        <v>353</v>
      </c>
      <c r="E128" s="320"/>
    </row>
    <row r="129" spans="1:5" x14ac:dyDescent="0.25">
      <c r="A129" s="316"/>
      <c r="B129" s="318"/>
      <c r="C129" s="318"/>
      <c r="D129" s="212" t="s">
        <v>352</v>
      </c>
      <c r="E129" s="211" t="s">
        <v>351</v>
      </c>
    </row>
    <row r="130" spans="1:5" ht="33" customHeight="1" x14ac:dyDescent="0.25">
      <c r="A130" s="321"/>
      <c r="B130" s="302" t="s">
        <v>350</v>
      </c>
      <c r="C130" s="302"/>
      <c r="D130" s="210"/>
      <c r="E130" s="209"/>
    </row>
    <row r="131" spans="1:5" ht="33" customHeight="1" x14ac:dyDescent="0.25">
      <c r="A131" s="321"/>
      <c r="B131" s="302" t="s">
        <v>349</v>
      </c>
      <c r="C131" s="302"/>
      <c r="D131" s="210"/>
      <c r="E131" s="209"/>
    </row>
    <row r="132" spans="1:5" ht="33" customHeight="1" x14ac:dyDescent="0.25">
      <c r="A132" s="321"/>
      <c r="B132" s="302" t="s">
        <v>348</v>
      </c>
      <c r="C132" s="302"/>
      <c r="D132" s="210"/>
      <c r="E132" s="209"/>
    </row>
    <row r="133" spans="1:5" ht="33" customHeight="1" x14ac:dyDescent="0.25">
      <c r="A133" s="321"/>
      <c r="B133" s="302" t="s">
        <v>347</v>
      </c>
      <c r="C133" s="302"/>
      <c r="D133" s="210"/>
      <c r="E133" s="209"/>
    </row>
    <row r="134" spans="1:5" ht="33" customHeight="1" x14ac:dyDescent="0.25">
      <c r="A134" s="321"/>
      <c r="B134" s="302" t="s">
        <v>346</v>
      </c>
      <c r="C134" s="302"/>
      <c r="D134" s="210"/>
      <c r="E134" s="209"/>
    </row>
    <row r="135" spans="1:5" ht="33" customHeight="1" x14ac:dyDescent="0.25">
      <c r="A135" s="321"/>
      <c r="B135" s="302" t="s">
        <v>345</v>
      </c>
      <c r="C135" s="302"/>
      <c r="D135" s="210"/>
      <c r="E135" s="209"/>
    </row>
    <row r="136" spans="1:5" ht="33" customHeight="1" x14ac:dyDescent="0.25">
      <c r="A136" s="321"/>
      <c r="B136" s="302" t="s">
        <v>344</v>
      </c>
      <c r="C136" s="302"/>
      <c r="D136" s="210"/>
      <c r="E136" s="209"/>
    </row>
    <row r="137" spans="1:5" ht="33" customHeight="1" x14ac:dyDescent="0.25">
      <c r="A137" s="321"/>
      <c r="B137" s="302" t="s">
        <v>343</v>
      </c>
      <c r="C137" s="302"/>
      <c r="D137" s="210"/>
      <c r="E137" s="209"/>
    </row>
    <row r="138" spans="1:5" ht="33" customHeight="1" x14ac:dyDescent="0.25">
      <c r="A138" s="321"/>
      <c r="B138" s="302" t="s">
        <v>342</v>
      </c>
      <c r="C138" s="302"/>
      <c r="D138" s="210"/>
      <c r="E138" s="209"/>
    </row>
    <row r="139" spans="1:5" ht="33" customHeight="1" x14ac:dyDescent="0.25">
      <c r="A139" s="321"/>
      <c r="B139" s="302" t="s">
        <v>341</v>
      </c>
      <c r="C139" s="302"/>
      <c r="D139" s="210"/>
      <c r="E139" s="209"/>
    </row>
    <row r="140" spans="1:5" ht="33" customHeight="1" x14ac:dyDescent="0.25">
      <c r="A140" s="321"/>
      <c r="B140" s="302" t="s">
        <v>340</v>
      </c>
      <c r="C140" s="302"/>
      <c r="D140" s="210"/>
      <c r="E140" s="209"/>
    </row>
    <row r="141" spans="1:5" ht="33" customHeight="1" x14ac:dyDescent="0.25">
      <c r="A141" s="321"/>
      <c r="B141" s="302" t="s">
        <v>339</v>
      </c>
      <c r="C141" s="302"/>
      <c r="D141" s="210"/>
      <c r="E141" s="209"/>
    </row>
    <row r="142" spans="1:5" ht="33" customHeight="1" x14ac:dyDescent="0.25">
      <c r="A142" s="321"/>
      <c r="B142" s="302" t="s">
        <v>338</v>
      </c>
      <c r="C142" s="302"/>
      <c r="D142" s="210"/>
      <c r="E142" s="209"/>
    </row>
    <row r="143" spans="1:5" ht="33" customHeight="1" x14ac:dyDescent="0.25">
      <c r="A143" s="321"/>
      <c r="B143" s="302" t="s">
        <v>337</v>
      </c>
      <c r="C143" s="302"/>
      <c r="D143" s="210"/>
      <c r="E143" s="209"/>
    </row>
    <row r="144" spans="1:5" ht="33" customHeight="1" x14ac:dyDescent="0.25">
      <c r="A144" s="321"/>
      <c r="B144" s="302" t="s">
        <v>336</v>
      </c>
      <c r="C144" s="302"/>
      <c r="D144" s="210"/>
      <c r="E144" s="209"/>
    </row>
    <row r="145" spans="1:5" ht="33" customHeight="1" x14ac:dyDescent="0.25">
      <c r="A145" s="321"/>
      <c r="B145" s="302" t="s">
        <v>335</v>
      </c>
      <c r="C145" s="302"/>
      <c r="D145" s="210"/>
      <c r="E145" s="209"/>
    </row>
    <row r="146" spans="1:5" ht="33" customHeight="1" x14ac:dyDescent="0.25">
      <c r="A146" s="321"/>
      <c r="B146" s="302" t="s">
        <v>334</v>
      </c>
      <c r="C146" s="302"/>
      <c r="D146" s="210"/>
      <c r="E146" s="209"/>
    </row>
    <row r="147" spans="1:5" ht="33" customHeight="1" x14ac:dyDescent="0.25">
      <c r="A147" s="321"/>
      <c r="B147" s="302" t="s">
        <v>333</v>
      </c>
      <c r="C147" s="302"/>
      <c r="D147" s="210"/>
      <c r="E147" s="209"/>
    </row>
    <row r="148" spans="1:5" ht="33" customHeight="1" x14ac:dyDescent="0.25">
      <c r="A148" s="321"/>
      <c r="B148" s="302" t="s">
        <v>332</v>
      </c>
      <c r="C148" s="302"/>
      <c r="D148" s="210"/>
      <c r="E148" s="209"/>
    </row>
    <row r="149" spans="1:5" ht="33" customHeight="1" x14ac:dyDescent="0.25">
      <c r="A149" s="321"/>
      <c r="B149" s="302" t="s">
        <v>331</v>
      </c>
      <c r="C149" s="302"/>
      <c r="D149" s="210"/>
      <c r="E149" s="209"/>
    </row>
    <row r="150" spans="1:5" ht="33" customHeight="1" x14ac:dyDescent="0.25">
      <c r="A150" s="321"/>
      <c r="B150" s="323" t="s">
        <v>330</v>
      </c>
      <c r="C150" s="323"/>
      <c r="D150" s="323"/>
      <c r="E150" s="324"/>
    </row>
    <row r="151" spans="1:5" ht="33" customHeight="1" x14ac:dyDescent="0.25">
      <c r="A151" s="321"/>
      <c r="B151" s="302" t="s">
        <v>329</v>
      </c>
      <c r="C151" s="302"/>
      <c r="D151" s="210"/>
      <c r="E151" s="209"/>
    </row>
    <row r="152" spans="1:5" ht="33" customHeight="1" x14ac:dyDescent="0.25">
      <c r="A152" s="321"/>
      <c r="B152" s="302" t="s">
        <v>328</v>
      </c>
      <c r="C152" s="302"/>
      <c r="D152" s="210"/>
      <c r="E152" s="209"/>
    </row>
    <row r="153" spans="1:5" ht="33" customHeight="1" x14ac:dyDescent="0.25">
      <c r="A153" s="321"/>
      <c r="B153" s="302" t="s">
        <v>327</v>
      </c>
      <c r="C153" s="302"/>
      <c r="D153" s="210"/>
      <c r="E153" s="209"/>
    </row>
    <row r="154" spans="1:5" ht="33" customHeight="1" x14ac:dyDescent="0.25">
      <c r="A154" s="321"/>
      <c r="B154" s="302" t="s">
        <v>326</v>
      </c>
      <c r="C154" s="302"/>
      <c r="D154" s="210"/>
      <c r="E154" s="209"/>
    </row>
    <row r="155" spans="1:5" ht="33" customHeight="1" x14ac:dyDescent="0.25">
      <c r="A155" s="321"/>
      <c r="B155" s="302" t="s">
        <v>325</v>
      </c>
      <c r="C155" s="302"/>
      <c r="D155" s="210"/>
      <c r="E155" s="209"/>
    </row>
    <row r="156" spans="1:5" ht="33" customHeight="1" x14ac:dyDescent="0.25">
      <c r="A156" s="321"/>
      <c r="B156" s="302" t="s">
        <v>324</v>
      </c>
      <c r="C156" s="302"/>
      <c r="D156" s="210"/>
      <c r="E156" s="209"/>
    </row>
    <row r="157" spans="1:5" ht="33" customHeight="1" x14ac:dyDescent="0.25">
      <c r="A157" s="321"/>
      <c r="B157" s="302" t="s">
        <v>323</v>
      </c>
      <c r="C157" s="302"/>
      <c r="D157" s="210"/>
      <c r="E157" s="209"/>
    </row>
    <row r="158" spans="1:5" ht="33" customHeight="1" x14ac:dyDescent="0.25">
      <c r="A158" s="321"/>
      <c r="B158" s="302" t="s">
        <v>322</v>
      </c>
      <c r="C158" s="302"/>
      <c r="D158" s="210"/>
      <c r="E158" s="209"/>
    </row>
    <row r="159" spans="1:5" ht="33" customHeight="1" x14ac:dyDescent="0.25">
      <c r="A159" s="321"/>
      <c r="B159" s="302" t="s">
        <v>321</v>
      </c>
      <c r="C159" s="302"/>
      <c r="D159" s="210"/>
      <c r="E159" s="209"/>
    </row>
    <row r="160" spans="1:5" ht="33" customHeight="1" x14ac:dyDescent="0.25">
      <c r="A160" s="321"/>
      <c r="B160" s="302" t="s">
        <v>320</v>
      </c>
      <c r="C160" s="302"/>
      <c r="D160" s="210"/>
      <c r="E160" s="209"/>
    </row>
    <row r="161" spans="1:5" ht="33" customHeight="1" x14ac:dyDescent="0.25">
      <c r="A161" s="321"/>
      <c r="B161" s="302" t="s">
        <v>319</v>
      </c>
      <c r="C161" s="302"/>
      <c r="D161" s="210"/>
      <c r="E161" s="209"/>
    </row>
    <row r="162" spans="1:5" ht="33" customHeight="1" x14ac:dyDescent="0.25">
      <c r="A162" s="321"/>
      <c r="B162" s="302" t="s">
        <v>318</v>
      </c>
      <c r="C162" s="302"/>
      <c r="D162" s="210"/>
      <c r="E162" s="209"/>
    </row>
    <row r="163" spans="1:5" ht="33" customHeight="1" x14ac:dyDescent="0.25">
      <c r="A163" s="321"/>
      <c r="B163" s="302" t="s">
        <v>317</v>
      </c>
      <c r="C163" s="302"/>
      <c r="D163" s="210"/>
      <c r="E163" s="209"/>
    </row>
    <row r="164" spans="1:5" ht="33" customHeight="1" thickBot="1" x14ac:dyDescent="0.3">
      <c r="A164" s="322"/>
      <c r="B164" s="314" t="s">
        <v>316</v>
      </c>
      <c r="C164" s="314"/>
      <c r="D164" s="208"/>
      <c r="E164" s="207"/>
    </row>
    <row r="166" spans="1:5" ht="15.75" thickBot="1" x14ac:dyDescent="0.3"/>
    <row r="167" spans="1:5" ht="30" customHeight="1" x14ac:dyDescent="0.25">
      <c r="A167" s="315" t="s">
        <v>355</v>
      </c>
      <c r="B167" s="317" t="s">
        <v>354</v>
      </c>
      <c r="C167" s="317"/>
      <c r="D167" s="319" t="s">
        <v>353</v>
      </c>
      <c r="E167" s="320"/>
    </row>
    <row r="168" spans="1:5" x14ac:dyDescent="0.25">
      <c r="A168" s="316"/>
      <c r="B168" s="318"/>
      <c r="C168" s="318"/>
      <c r="D168" s="212" t="s">
        <v>352</v>
      </c>
      <c r="E168" s="211" t="s">
        <v>351</v>
      </c>
    </row>
    <row r="169" spans="1:5" ht="33" customHeight="1" x14ac:dyDescent="0.25">
      <c r="A169" s="321"/>
      <c r="B169" s="302" t="s">
        <v>350</v>
      </c>
      <c r="C169" s="302"/>
      <c r="D169" s="210"/>
      <c r="E169" s="209"/>
    </row>
    <row r="170" spans="1:5" ht="33" customHeight="1" x14ac:dyDescent="0.25">
      <c r="A170" s="321"/>
      <c r="B170" s="302" t="s">
        <v>349</v>
      </c>
      <c r="C170" s="302"/>
      <c r="D170" s="210"/>
      <c r="E170" s="209"/>
    </row>
    <row r="171" spans="1:5" ht="33" customHeight="1" x14ac:dyDescent="0.25">
      <c r="A171" s="321"/>
      <c r="B171" s="302" t="s">
        <v>348</v>
      </c>
      <c r="C171" s="302"/>
      <c r="D171" s="210"/>
      <c r="E171" s="209"/>
    </row>
    <row r="172" spans="1:5" ht="33" customHeight="1" x14ac:dyDescent="0.25">
      <c r="A172" s="321"/>
      <c r="B172" s="302" t="s">
        <v>347</v>
      </c>
      <c r="C172" s="302"/>
      <c r="D172" s="210"/>
      <c r="E172" s="209"/>
    </row>
    <row r="173" spans="1:5" ht="33" customHeight="1" x14ac:dyDescent="0.25">
      <c r="A173" s="321"/>
      <c r="B173" s="302" t="s">
        <v>346</v>
      </c>
      <c r="C173" s="302"/>
      <c r="D173" s="210"/>
      <c r="E173" s="209"/>
    </row>
    <row r="174" spans="1:5" ht="33" customHeight="1" x14ac:dyDescent="0.25">
      <c r="A174" s="321"/>
      <c r="B174" s="302" t="s">
        <v>345</v>
      </c>
      <c r="C174" s="302"/>
      <c r="D174" s="210"/>
      <c r="E174" s="209"/>
    </row>
    <row r="175" spans="1:5" ht="33" customHeight="1" x14ac:dyDescent="0.25">
      <c r="A175" s="321"/>
      <c r="B175" s="302" t="s">
        <v>344</v>
      </c>
      <c r="C175" s="302"/>
      <c r="D175" s="210"/>
      <c r="E175" s="209"/>
    </row>
    <row r="176" spans="1:5" ht="33" customHeight="1" x14ac:dyDescent="0.25">
      <c r="A176" s="321"/>
      <c r="B176" s="302" t="s">
        <v>343</v>
      </c>
      <c r="C176" s="302"/>
      <c r="D176" s="210"/>
      <c r="E176" s="209"/>
    </row>
    <row r="177" spans="1:5" ht="33" customHeight="1" x14ac:dyDescent="0.25">
      <c r="A177" s="321"/>
      <c r="B177" s="302" t="s">
        <v>342</v>
      </c>
      <c r="C177" s="302"/>
      <c r="D177" s="210"/>
      <c r="E177" s="209"/>
    </row>
    <row r="178" spans="1:5" ht="33" customHeight="1" x14ac:dyDescent="0.25">
      <c r="A178" s="321"/>
      <c r="B178" s="302" t="s">
        <v>341</v>
      </c>
      <c r="C178" s="302"/>
      <c r="D178" s="210"/>
      <c r="E178" s="209"/>
    </row>
    <row r="179" spans="1:5" ht="33" customHeight="1" x14ac:dyDescent="0.25">
      <c r="A179" s="321"/>
      <c r="B179" s="302" t="s">
        <v>340</v>
      </c>
      <c r="C179" s="302"/>
      <c r="D179" s="210"/>
      <c r="E179" s="209"/>
    </row>
    <row r="180" spans="1:5" ht="33" customHeight="1" x14ac:dyDescent="0.25">
      <c r="A180" s="321"/>
      <c r="B180" s="302" t="s">
        <v>339</v>
      </c>
      <c r="C180" s="302"/>
      <c r="D180" s="210"/>
      <c r="E180" s="209"/>
    </row>
    <row r="181" spans="1:5" ht="33" customHeight="1" x14ac:dyDescent="0.25">
      <c r="A181" s="321"/>
      <c r="B181" s="302" t="s">
        <v>338</v>
      </c>
      <c r="C181" s="302"/>
      <c r="D181" s="210"/>
      <c r="E181" s="209"/>
    </row>
    <row r="182" spans="1:5" ht="33" customHeight="1" x14ac:dyDescent="0.25">
      <c r="A182" s="321"/>
      <c r="B182" s="302" t="s">
        <v>337</v>
      </c>
      <c r="C182" s="302"/>
      <c r="D182" s="210"/>
      <c r="E182" s="209"/>
    </row>
    <row r="183" spans="1:5" ht="33" customHeight="1" x14ac:dyDescent="0.25">
      <c r="A183" s="321"/>
      <c r="B183" s="302" t="s">
        <v>336</v>
      </c>
      <c r="C183" s="302"/>
      <c r="D183" s="210"/>
      <c r="E183" s="209"/>
    </row>
    <row r="184" spans="1:5" ht="33" customHeight="1" x14ac:dyDescent="0.25">
      <c r="A184" s="321"/>
      <c r="B184" s="302" t="s">
        <v>335</v>
      </c>
      <c r="C184" s="302"/>
      <c r="D184" s="210"/>
      <c r="E184" s="209"/>
    </row>
    <row r="185" spans="1:5" ht="33" customHeight="1" x14ac:dyDescent="0.25">
      <c r="A185" s="321"/>
      <c r="B185" s="302" t="s">
        <v>334</v>
      </c>
      <c r="C185" s="302"/>
      <c r="D185" s="210"/>
      <c r="E185" s="209"/>
    </row>
    <row r="186" spans="1:5" ht="33" customHeight="1" x14ac:dyDescent="0.25">
      <c r="A186" s="321"/>
      <c r="B186" s="302" t="s">
        <v>333</v>
      </c>
      <c r="C186" s="302"/>
      <c r="D186" s="210"/>
      <c r="E186" s="209"/>
    </row>
    <row r="187" spans="1:5" ht="33" customHeight="1" x14ac:dyDescent="0.25">
      <c r="A187" s="321"/>
      <c r="B187" s="302" t="s">
        <v>332</v>
      </c>
      <c r="C187" s="302"/>
      <c r="D187" s="210"/>
      <c r="E187" s="209"/>
    </row>
    <row r="188" spans="1:5" ht="33" customHeight="1" x14ac:dyDescent="0.25">
      <c r="A188" s="321"/>
      <c r="B188" s="302" t="s">
        <v>331</v>
      </c>
      <c r="C188" s="302"/>
      <c r="D188" s="210"/>
      <c r="E188" s="209"/>
    </row>
    <row r="189" spans="1:5" ht="33" customHeight="1" x14ac:dyDescent="0.25">
      <c r="A189" s="321"/>
      <c r="B189" s="323" t="s">
        <v>330</v>
      </c>
      <c r="C189" s="323"/>
      <c r="D189" s="323"/>
      <c r="E189" s="324"/>
    </row>
    <row r="190" spans="1:5" ht="33" customHeight="1" x14ac:dyDescent="0.25">
      <c r="A190" s="321"/>
      <c r="B190" s="302" t="s">
        <v>329</v>
      </c>
      <c r="C190" s="302"/>
      <c r="D190" s="210"/>
      <c r="E190" s="209"/>
    </row>
    <row r="191" spans="1:5" ht="33" customHeight="1" x14ac:dyDescent="0.25">
      <c r="A191" s="321"/>
      <c r="B191" s="302" t="s">
        <v>328</v>
      </c>
      <c r="C191" s="302"/>
      <c r="D191" s="210"/>
      <c r="E191" s="209"/>
    </row>
    <row r="192" spans="1:5" ht="33" customHeight="1" x14ac:dyDescent="0.25">
      <c r="A192" s="321"/>
      <c r="B192" s="302" t="s">
        <v>327</v>
      </c>
      <c r="C192" s="302"/>
      <c r="D192" s="210"/>
      <c r="E192" s="209"/>
    </row>
    <row r="193" spans="1:5" ht="33" customHeight="1" x14ac:dyDescent="0.25">
      <c r="A193" s="321"/>
      <c r="B193" s="302" t="s">
        <v>326</v>
      </c>
      <c r="C193" s="302"/>
      <c r="D193" s="210"/>
      <c r="E193" s="209"/>
    </row>
    <row r="194" spans="1:5" ht="33" customHeight="1" x14ac:dyDescent="0.25">
      <c r="A194" s="321"/>
      <c r="B194" s="302" t="s">
        <v>325</v>
      </c>
      <c r="C194" s="302"/>
      <c r="D194" s="210"/>
      <c r="E194" s="209"/>
    </row>
    <row r="195" spans="1:5" ht="33" customHeight="1" x14ac:dyDescent="0.25">
      <c r="A195" s="321"/>
      <c r="B195" s="302" t="s">
        <v>324</v>
      </c>
      <c r="C195" s="302"/>
      <c r="D195" s="210"/>
      <c r="E195" s="209"/>
    </row>
    <row r="196" spans="1:5" ht="33" customHeight="1" x14ac:dyDescent="0.25">
      <c r="A196" s="321"/>
      <c r="B196" s="302" t="s">
        <v>323</v>
      </c>
      <c r="C196" s="302"/>
      <c r="D196" s="210"/>
      <c r="E196" s="209"/>
    </row>
    <row r="197" spans="1:5" ht="33" customHeight="1" x14ac:dyDescent="0.25">
      <c r="A197" s="321"/>
      <c r="B197" s="302" t="s">
        <v>322</v>
      </c>
      <c r="C197" s="302"/>
      <c r="D197" s="210"/>
      <c r="E197" s="209"/>
    </row>
    <row r="198" spans="1:5" ht="33" customHeight="1" x14ac:dyDescent="0.25">
      <c r="A198" s="321"/>
      <c r="B198" s="302" t="s">
        <v>321</v>
      </c>
      <c r="C198" s="302"/>
      <c r="D198" s="210"/>
      <c r="E198" s="209"/>
    </row>
    <row r="199" spans="1:5" ht="33" customHeight="1" x14ac:dyDescent="0.25">
      <c r="A199" s="321"/>
      <c r="B199" s="302" t="s">
        <v>320</v>
      </c>
      <c r="C199" s="302"/>
      <c r="D199" s="210"/>
      <c r="E199" s="209"/>
    </row>
    <row r="200" spans="1:5" ht="33" customHeight="1" x14ac:dyDescent="0.25">
      <c r="A200" s="321"/>
      <c r="B200" s="302" t="s">
        <v>319</v>
      </c>
      <c r="C200" s="302"/>
      <c r="D200" s="210"/>
      <c r="E200" s="209"/>
    </row>
    <row r="201" spans="1:5" ht="33" customHeight="1" x14ac:dyDescent="0.25">
      <c r="A201" s="321"/>
      <c r="B201" s="302" t="s">
        <v>318</v>
      </c>
      <c r="C201" s="302"/>
      <c r="D201" s="210"/>
      <c r="E201" s="209"/>
    </row>
    <row r="202" spans="1:5" ht="33" customHeight="1" x14ac:dyDescent="0.25">
      <c r="A202" s="321"/>
      <c r="B202" s="302" t="s">
        <v>317</v>
      </c>
      <c r="C202" s="302"/>
      <c r="D202" s="210"/>
      <c r="E202" s="209"/>
    </row>
    <row r="203" spans="1:5" ht="33" customHeight="1" thickBot="1" x14ac:dyDescent="0.3">
      <c r="A203" s="322"/>
      <c r="B203" s="314" t="s">
        <v>316</v>
      </c>
      <c r="C203" s="314"/>
      <c r="D203" s="208"/>
      <c r="E203" s="207"/>
    </row>
    <row r="205" spans="1:5" ht="15.75" thickBot="1" x14ac:dyDescent="0.3"/>
    <row r="206" spans="1:5" ht="29.25" customHeight="1" x14ac:dyDescent="0.25">
      <c r="A206" s="315" t="s">
        <v>355</v>
      </c>
      <c r="B206" s="317" t="s">
        <v>354</v>
      </c>
      <c r="C206" s="317"/>
      <c r="D206" s="319" t="s">
        <v>353</v>
      </c>
      <c r="E206" s="320"/>
    </row>
    <row r="207" spans="1:5" x14ac:dyDescent="0.25">
      <c r="A207" s="316"/>
      <c r="B207" s="318"/>
      <c r="C207" s="318"/>
      <c r="D207" s="212" t="s">
        <v>352</v>
      </c>
      <c r="E207" s="211" t="s">
        <v>351</v>
      </c>
    </row>
    <row r="208" spans="1:5" ht="33" customHeight="1" x14ac:dyDescent="0.25">
      <c r="A208" s="321"/>
      <c r="B208" s="302" t="s">
        <v>350</v>
      </c>
      <c r="C208" s="302"/>
      <c r="D208" s="210"/>
      <c r="E208" s="209"/>
    </row>
    <row r="209" spans="1:5" ht="33" customHeight="1" x14ac:dyDescent="0.25">
      <c r="A209" s="321"/>
      <c r="B209" s="302" t="s">
        <v>349</v>
      </c>
      <c r="C209" s="302"/>
      <c r="D209" s="210"/>
      <c r="E209" s="209"/>
    </row>
    <row r="210" spans="1:5" ht="33" customHeight="1" x14ac:dyDescent="0.25">
      <c r="A210" s="321"/>
      <c r="B210" s="302" t="s">
        <v>348</v>
      </c>
      <c r="C210" s="302"/>
      <c r="D210" s="210"/>
      <c r="E210" s="209"/>
    </row>
    <row r="211" spans="1:5" ht="33" customHeight="1" x14ac:dyDescent="0.25">
      <c r="A211" s="321"/>
      <c r="B211" s="302" t="s">
        <v>347</v>
      </c>
      <c r="C211" s="302"/>
      <c r="D211" s="210"/>
      <c r="E211" s="209"/>
    </row>
    <row r="212" spans="1:5" ht="33" customHeight="1" x14ac:dyDescent="0.25">
      <c r="A212" s="321"/>
      <c r="B212" s="302" t="s">
        <v>346</v>
      </c>
      <c r="C212" s="302"/>
      <c r="D212" s="210"/>
      <c r="E212" s="209"/>
    </row>
    <row r="213" spans="1:5" ht="33" customHeight="1" x14ac:dyDescent="0.25">
      <c r="A213" s="321"/>
      <c r="B213" s="302" t="s">
        <v>345</v>
      </c>
      <c r="C213" s="302"/>
      <c r="D213" s="210"/>
      <c r="E213" s="209"/>
    </row>
    <row r="214" spans="1:5" ht="33" customHeight="1" x14ac:dyDescent="0.25">
      <c r="A214" s="321"/>
      <c r="B214" s="302" t="s">
        <v>344</v>
      </c>
      <c r="C214" s="302"/>
      <c r="D214" s="210"/>
      <c r="E214" s="209"/>
    </row>
    <row r="215" spans="1:5" ht="33" customHeight="1" x14ac:dyDescent="0.25">
      <c r="A215" s="321"/>
      <c r="B215" s="302" t="s">
        <v>343</v>
      </c>
      <c r="C215" s="302"/>
      <c r="D215" s="210"/>
      <c r="E215" s="209"/>
    </row>
    <row r="216" spans="1:5" ht="33" customHeight="1" x14ac:dyDescent="0.25">
      <c r="A216" s="321"/>
      <c r="B216" s="302" t="s">
        <v>342</v>
      </c>
      <c r="C216" s="302"/>
      <c r="D216" s="210"/>
      <c r="E216" s="209"/>
    </row>
    <row r="217" spans="1:5" ht="33" customHeight="1" x14ac:dyDescent="0.25">
      <c r="A217" s="321"/>
      <c r="B217" s="302" t="s">
        <v>341</v>
      </c>
      <c r="C217" s="302"/>
      <c r="D217" s="210"/>
      <c r="E217" s="209"/>
    </row>
    <row r="218" spans="1:5" ht="33" customHeight="1" x14ac:dyDescent="0.25">
      <c r="A218" s="321"/>
      <c r="B218" s="302" t="s">
        <v>340</v>
      </c>
      <c r="C218" s="302"/>
      <c r="D218" s="210"/>
      <c r="E218" s="209"/>
    </row>
    <row r="219" spans="1:5" ht="33" customHeight="1" x14ac:dyDescent="0.25">
      <c r="A219" s="321"/>
      <c r="B219" s="302" t="s">
        <v>339</v>
      </c>
      <c r="C219" s="302"/>
      <c r="D219" s="210"/>
      <c r="E219" s="209"/>
    </row>
    <row r="220" spans="1:5" ht="33" customHeight="1" x14ac:dyDescent="0.25">
      <c r="A220" s="321"/>
      <c r="B220" s="302" t="s">
        <v>338</v>
      </c>
      <c r="C220" s="302"/>
      <c r="D220" s="210"/>
      <c r="E220" s="209"/>
    </row>
    <row r="221" spans="1:5" ht="33" customHeight="1" x14ac:dyDescent="0.25">
      <c r="A221" s="321"/>
      <c r="B221" s="302" t="s">
        <v>337</v>
      </c>
      <c r="C221" s="302"/>
      <c r="D221" s="210"/>
      <c r="E221" s="209"/>
    </row>
    <row r="222" spans="1:5" ht="33" customHeight="1" x14ac:dyDescent="0.25">
      <c r="A222" s="321"/>
      <c r="B222" s="302" t="s">
        <v>336</v>
      </c>
      <c r="C222" s="302"/>
      <c r="D222" s="210"/>
      <c r="E222" s="209"/>
    </row>
    <row r="223" spans="1:5" ht="33" customHeight="1" x14ac:dyDescent="0.25">
      <c r="A223" s="321"/>
      <c r="B223" s="302" t="s">
        <v>335</v>
      </c>
      <c r="C223" s="302"/>
      <c r="D223" s="210"/>
      <c r="E223" s="209"/>
    </row>
    <row r="224" spans="1:5" ht="33" customHeight="1" x14ac:dyDescent="0.25">
      <c r="A224" s="321"/>
      <c r="B224" s="302" t="s">
        <v>334</v>
      </c>
      <c r="C224" s="302"/>
      <c r="D224" s="210"/>
      <c r="E224" s="209"/>
    </row>
    <row r="225" spans="1:5" ht="33" customHeight="1" x14ac:dyDescent="0.25">
      <c r="A225" s="321"/>
      <c r="B225" s="302" t="s">
        <v>333</v>
      </c>
      <c r="C225" s="302"/>
      <c r="D225" s="210"/>
      <c r="E225" s="209"/>
    </row>
    <row r="226" spans="1:5" ht="33" customHeight="1" x14ac:dyDescent="0.25">
      <c r="A226" s="321"/>
      <c r="B226" s="302" t="s">
        <v>332</v>
      </c>
      <c r="C226" s="302"/>
      <c r="D226" s="210"/>
      <c r="E226" s="209"/>
    </row>
    <row r="227" spans="1:5" ht="33" customHeight="1" x14ac:dyDescent="0.25">
      <c r="A227" s="321"/>
      <c r="B227" s="302" t="s">
        <v>331</v>
      </c>
      <c r="C227" s="302"/>
      <c r="D227" s="210"/>
      <c r="E227" s="209"/>
    </row>
    <row r="228" spans="1:5" ht="33" customHeight="1" x14ac:dyDescent="0.25">
      <c r="A228" s="321"/>
      <c r="B228" s="323" t="s">
        <v>330</v>
      </c>
      <c r="C228" s="323"/>
      <c r="D228" s="323"/>
      <c r="E228" s="324"/>
    </row>
    <row r="229" spans="1:5" ht="33" customHeight="1" x14ac:dyDescent="0.25">
      <c r="A229" s="321"/>
      <c r="B229" s="302" t="s">
        <v>329</v>
      </c>
      <c r="C229" s="302"/>
      <c r="D229" s="210"/>
      <c r="E229" s="209"/>
    </row>
    <row r="230" spans="1:5" ht="33" customHeight="1" x14ac:dyDescent="0.25">
      <c r="A230" s="321"/>
      <c r="B230" s="302" t="s">
        <v>328</v>
      </c>
      <c r="C230" s="302"/>
      <c r="D230" s="210"/>
      <c r="E230" s="209"/>
    </row>
    <row r="231" spans="1:5" ht="33" customHeight="1" x14ac:dyDescent="0.25">
      <c r="A231" s="321"/>
      <c r="B231" s="302" t="s">
        <v>327</v>
      </c>
      <c r="C231" s="302"/>
      <c r="D231" s="210"/>
      <c r="E231" s="209"/>
    </row>
    <row r="232" spans="1:5" ht="33" customHeight="1" x14ac:dyDescent="0.25">
      <c r="A232" s="321"/>
      <c r="B232" s="302" t="s">
        <v>326</v>
      </c>
      <c r="C232" s="302"/>
      <c r="D232" s="210"/>
      <c r="E232" s="209"/>
    </row>
    <row r="233" spans="1:5" ht="33" customHeight="1" x14ac:dyDescent="0.25">
      <c r="A233" s="321"/>
      <c r="B233" s="302" t="s">
        <v>325</v>
      </c>
      <c r="C233" s="302"/>
      <c r="D233" s="210"/>
      <c r="E233" s="209"/>
    </row>
    <row r="234" spans="1:5" ht="33" customHeight="1" x14ac:dyDescent="0.25">
      <c r="A234" s="321"/>
      <c r="B234" s="302" t="s">
        <v>324</v>
      </c>
      <c r="C234" s="302"/>
      <c r="D234" s="210"/>
      <c r="E234" s="209"/>
    </row>
    <row r="235" spans="1:5" ht="33" customHeight="1" x14ac:dyDescent="0.25">
      <c r="A235" s="321"/>
      <c r="B235" s="302" t="s">
        <v>323</v>
      </c>
      <c r="C235" s="302"/>
      <c r="D235" s="210"/>
      <c r="E235" s="209"/>
    </row>
    <row r="236" spans="1:5" ht="33" customHeight="1" x14ac:dyDescent="0.25">
      <c r="A236" s="321"/>
      <c r="B236" s="302" t="s">
        <v>322</v>
      </c>
      <c r="C236" s="302"/>
      <c r="D236" s="210"/>
      <c r="E236" s="209"/>
    </row>
    <row r="237" spans="1:5" ht="33" customHeight="1" x14ac:dyDescent="0.25">
      <c r="A237" s="321"/>
      <c r="B237" s="302" t="s">
        <v>321</v>
      </c>
      <c r="C237" s="302"/>
      <c r="D237" s="210"/>
      <c r="E237" s="209"/>
    </row>
    <row r="238" spans="1:5" ht="33" customHeight="1" x14ac:dyDescent="0.25">
      <c r="A238" s="321"/>
      <c r="B238" s="302" t="s">
        <v>320</v>
      </c>
      <c r="C238" s="302"/>
      <c r="D238" s="210"/>
      <c r="E238" s="209"/>
    </row>
    <row r="239" spans="1:5" ht="33" customHeight="1" x14ac:dyDescent="0.25">
      <c r="A239" s="321"/>
      <c r="B239" s="302" t="s">
        <v>319</v>
      </c>
      <c r="C239" s="302"/>
      <c r="D239" s="210"/>
      <c r="E239" s="209"/>
    </row>
    <row r="240" spans="1:5" ht="33" customHeight="1" x14ac:dyDescent="0.25">
      <c r="A240" s="321"/>
      <c r="B240" s="302" t="s">
        <v>318</v>
      </c>
      <c r="C240" s="302"/>
      <c r="D240" s="210"/>
      <c r="E240" s="209"/>
    </row>
    <row r="241" spans="1:5" ht="33" customHeight="1" x14ac:dyDescent="0.25">
      <c r="A241" s="321"/>
      <c r="B241" s="302" t="s">
        <v>317</v>
      </c>
      <c r="C241" s="302"/>
      <c r="D241" s="210"/>
      <c r="E241" s="209"/>
    </row>
    <row r="242" spans="1:5" ht="33" customHeight="1" thickBot="1" x14ac:dyDescent="0.3">
      <c r="A242" s="322"/>
      <c r="B242" s="314" t="s">
        <v>316</v>
      </c>
      <c r="C242" s="314"/>
      <c r="D242" s="208"/>
      <c r="E242" s="207"/>
    </row>
  </sheetData>
  <mergeCells count="242">
    <mergeCell ref="B38:C38"/>
    <mergeCell ref="B32:C32"/>
    <mergeCell ref="B25:C25"/>
    <mergeCell ref="B26:C26"/>
    <mergeCell ref="B27:C27"/>
    <mergeCell ref="B28:C28"/>
    <mergeCell ref="B29:C29"/>
    <mergeCell ref="B13:C13"/>
    <mergeCell ref="B14:C14"/>
    <mergeCell ref="B15:C15"/>
    <mergeCell ref="B16:C16"/>
    <mergeCell ref="B17:C17"/>
    <mergeCell ref="B18:C18"/>
    <mergeCell ref="B19:C19"/>
    <mergeCell ref="B20:C20"/>
    <mergeCell ref="B31:C31"/>
    <mergeCell ref="B21:C21"/>
    <mergeCell ref="B22:C22"/>
    <mergeCell ref="B23:C23"/>
    <mergeCell ref="B24:C24"/>
    <mergeCell ref="B30:C30"/>
    <mergeCell ref="E1:E4"/>
    <mergeCell ref="B33:E33"/>
    <mergeCell ref="B41:C41"/>
    <mergeCell ref="B42:C42"/>
    <mergeCell ref="B43:C43"/>
    <mergeCell ref="D50:E50"/>
    <mergeCell ref="A1:A4"/>
    <mergeCell ref="B1:B2"/>
    <mergeCell ref="B3:B4"/>
    <mergeCell ref="A5:E5"/>
    <mergeCell ref="A6:E7"/>
    <mergeCell ref="A8:E9"/>
    <mergeCell ref="B44:C44"/>
    <mergeCell ref="B45:C45"/>
    <mergeCell ref="B34:C34"/>
    <mergeCell ref="B35:C35"/>
    <mergeCell ref="B36:C36"/>
    <mergeCell ref="B37:C37"/>
    <mergeCell ref="B40:C40"/>
    <mergeCell ref="A10:E10"/>
    <mergeCell ref="A11:A12"/>
    <mergeCell ref="B11:C12"/>
    <mergeCell ref="D11:E11"/>
    <mergeCell ref="A13:A47"/>
    <mergeCell ref="B65:C65"/>
    <mergeCell ref="B66:C66"/>
    <mergeCell ref="B67:C67"/>
    <mergeCell ref="B68:C68"/>
    <mergeCell ref="B63:C63"/>
    <mergeCell ref="B74:C74"/>
    <mergeCell ref="B75:C75"/>
    <mergeCell ref="B76:C76"/>
    <mergeCell ref="B39:C39"/>
    <mergeCell ref="B46:C46"/>
    <mergeCell ref="B47:C47"/>
    <mergeCell ref="B52:C52"/>
    <mergeCell ref="B53:C53"/>
    <mergeCell ref="B54:C54"/>
    <mergeCell ref="B55:C55"/>
    <mergeCell ref="B56:C56"/>
    <mergeCell ref="B57:C57"/>
    <mergeCell ref="B58:C58"/>
    <mergeCell ref="B59:C59"/>
    <mergeCell ref="B64:C64"/>
    <mergeCell ref="A50:A51"/>
    <mergeCell ref="B50:C51"/>
    <mergeCell ref="B60:C60"/>
    <mergeCell ref="B61:C61"/>
    <mergeCell ref="B62:C62"/>
    <mergeCell ref="D89:E89"/>
    <mergeCell ref="B77:C77"/>
    <mergeCell ref="B78:C78"/>
    <mergeCell ref="B69:C69"/>
    <mergeCell ref="B70:C70"/>
    <mergeCell ref="B71:C71"/>
    <mergeCell ref="B72:E72"/>
    <mergeCell ref="B73:C73"/>
    <mergeCell ref="B84:C84"/>
    <mergeCell ref="B85:C85"/>
    <mergeCell ref="B86:C86"/>
    <mergeCell ref="A89:A90"/>
    <mergeCell ref="B89:C90"/>
    <mergeCell ref="B79:C79"/>
    <mergeCell ref="B80:C80"/>
    <mergeCell ref="B81:C81"/>
    <mergeCell ref="B82:C82"/>
    <mergeCell ref="B83:C83"/>
    <mergeCell ref="A52:A86"/>
    <mergeCell ref="B99:C99"/>
    <mergeCell ref="B100:C100"/>
    <mergeCell ref="B115:C115"/>
    <mergeCell ref="B116:C116"/>
    <mergeCell ref="B117:C117"/>
    <mergeCell ref="B112:C112"/>
    <mergeCell ref="B113:C113"/>
    <mergeCell ref="B114:C114"/>
    <mergeCell ref="B105:C105"/>
    <mergeCell ref="B106:C106"/>
    <mergeCell ref="B107:C107"/>
    <mergeCell ref="B108:C108"/>
    <mergeCell ref="B101:C101"/>
    <mergeCell ref="B102:C102"/>
    <mergeCell ref="B103:C103"/>
    <mergeCell ref="B104:C104"/>
    <mergeCell ref="B110:C110"/>
    <mergeCell ref="B111:E111"/>
    <mergeCell ref="B152:C152"/>
    <mergeCell ref="B153:C153"/>
    <mergeCell ref="B109:C109"/>
    <mergeCell ref="B120:C120"/>
    <mergeCell ref="B121:C121"/>
    <mergeCell ref="B122:C122"/>
    <mergeCell ref="B123:C123"/>
    <mergeCell ref="B124:C124"/>
    <mergeCell ref="A128:A129"/>
    <mergeCell ref="B128:C129"/>
    <mergeCell ref="B125:C125"/>
    <mergeCell ref="B118:C118"/>
    <mergeCell ref="B119:C119"/>
    <mergeCell ref="A91:A125"/>
    <mergeCell ref="B91:C91"/>
    <mergeCell ref="B92:C92"/>
    <mergeCell ref="B93:C93"/>
    <mergeCell ref="B94:C94"/>
    <mergeCell ref="B140:C140"/>
    <mergeCell ref="B151:C151"/>
    <mergeCell ref="B95:C95"/>
    <mergeCell ref="B96:C96"/>
    <mergeCell ref="B97:C97"/>
    <mergeCell ref="B98:C98"/>
    <mergeCell ref="D128:E128"/>
    <mergeCell ref="A130:A164"/>
    <mergeCell ref="B130:C130"/>
    <mergeCell ref="B131:C131"/>
    <mergeCell ref="B132:C132"/>
    <mergeCell ref="B133:C133"/>
    <mergeCell ref="B134:C134"/>
    <mergeCell ref="B135:C135"/>
    <mergeCell ref="B141:C141"/>
    <mergeCell ref="B142:C142"/>
    <mergeCell ref="B143:C143"/>
    <mergeCell ref="B144:C144"/>
    <mergeCell ref="B145:C145"/>
    <mergeCell ref="B136:C136"/>
    <mergeCell ref="B137:C137"/>
    <mergeCell ref="B138:C138"/>
    <mergeCell ref="B139:C139"/>
    <mergeCell ref="B154:C154"/>
    <mergeCell ref="B155:C155"/>
    <mergeCell ref="B146:C146"/>
    <mergeCell ref="B147:C147"/>
    <mergeCell ref="B148:C148"/>
    <mergeCell ref="B149:C149"/>
    <mergeCell ref="B150:E150"/>
    <mergeCell ref="A167:A168"/>
    <mergeCell ref="B167:C168"/>
    <mergeCell ref="B156:C156"/>
    <mergeCell ref="B157:C157"/>
    <mergeCell ref="B158:C158"/>
    <mergeCell ref="B159:C159"/>
    <mergeCell ref="B160:C160"/>
    <mergeCell ref="B161:C161"/>
    <mergeCell ref="B162:C162"/>
    <mergeCell ref="B163:C163"/>
    <mergeCell ref="B164:C164"/>
    <mergeCell ref="B177:C177"/>
    <mergeCell ref="B178:C178"/>
    <mergeCell ref="B179:C179"/>
    <mergeCell ref="B180:C180"/>
    <mergeCell ref="B181:C181"/>
    <mergeCell ref="B182:C182"/>
    <mergeCell ref="B190:C190"/>
    <mergeCell ref="B198:C198"/>
    <mergeCell ref="B199:C199"/>
    <mergeCell ref="B200:C200"/>
    <mergeCell ref="B201:C201"/>
    <mergeCell ref="B188:C188"/>
    <mergeCell ref="B189:E189"/>
    <mergeCell ref="B192:C192"/>
    <mergeCell ref="B183:C183"/>
    <mergeCell ref="B184:C184"/>
    <mergeCell ref="B185:C185"/>
    <mergeCell ref="B191:C191"/>
    <mergeCell ref="B213:C213"/>
    <mergeCell ref="B214:C214"/>
    <mergeCell ref="B215:C215"/>
    <mergeCell ref="B216:C216"/>
    <mergeCell ref="B217:C217"/>
    <mergeCell ref="B218:C218"/>
    <mergeCell ref="D167:E167"/>
    <mergeCell ref="A169:A203"/>
    <mergeCell ref="B169:C169"/>
    <mergeCell ref="B170:C170"/>
    <mergeCell ref="B171:C171"/>
    <mergeCell ref="B172:C172"/>
    <mergeCell ref="B173:C173"/>
    <mergeCell ref="B174:C174"/>
    <mergeCell ref="B175:C175"/>
    <mergeCell ref="B176:C176"/>
    <mergeCell ref="B202:C202"/>
    <mergeCell ref="B193:C193"/>
    <mergeCell ref="B194:C194"/>
    <mergeCell ref="B195:C195"/>
    <mergeCell ref="B196:C196"/>
    <mergeCell ref="B197:C197"/>
    <mergeCell ref="B186:C186"/>
    <mergeCell ref="B187:C187"/>
    <mergeCell ref="B221:C221"/>
    <mergeCell ref="B222:C222"/>
    <mergeCell ref="B223:C223"/>
    <mergeCell ref="B230:C230"/>
    <mergeCell ref="B231:C231"/>
    <mergeCell ref="B224:C224"/>
    <mergeCell ref="B225:C225"/>
    <mergeCell ref="B226:C226"/>
    <mergeCell ref="B227:C227"/>
    <mergeCell ref="B228:E228"/>
    <mergeCell ref="B232:C232"/>
    <mergeCell ref="B233:C233"/>
    <mergeCell ref="B229:C229"/>
    <mergeCell ref="B203:C203"/>
    <mergeCell ref="A206:A207"/>
    <mergeCell ref="B206:C207"/>
    <mergeCell ref="D206:E206"/>
    <mergeCell ref="A208:A242"/>
    <mergeCell ref="B208:C208"/>
    <mergeCell ref="B209:C209"/>
    <mergeCell ref="B210:C210"/>
    <mergeCell ref="B211:C211"/>
    <mergeCell ref="B212:C212"/>
    <mergeCell ref="B241:C241"/>
    <mergeCell ref="B242:C242"/>
    <mergeCell ref="B234:C234"/>
    <mergeCell ref="B235:C235"/>
    <mergeCell ref="B236:C236"/>
    <mergeCell ref="B237:C237"/>
    <mergeCell ref="B238:C238"/>
    <mergeCell ref="B239:C239"/>
    <mergeCell ref="B240:C240"/>
    <mergeCell ref="B219:C219"/>
    <mergeCell ref="B220:C220"/>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32"/>
  <sheetViews>
    <sheetView zoomScale="70" zoomScaleNormal="70" workbookViewId="0">
      <selection activeCell="E32" sqref="E32:F32"/>
    </sheetView>
  </sheetViews>
  <sheetFormatPr baseColWidth="10" defaultColWidth="11.42578125" defaultRowHeight="14.25" x14ac:dyDescent="0.2"/>
  <cols>
    <col min="1" max="2" width="6.5703125" style="147" customWidth="1"/>
    <col min="3" max="3" width="32.7109375" style="147" customWidth="1"/>
    <col min="4" max="4" width="26.42578125" style="147" customWidth="1"/>
    <col min="5" max="5" width="38" style="147" customWidth="1"/>
    <col min="6" max="6" width="29.7109375" style="147" customWidth="1"/>
    <col min="7" max="7" width="18.28515625" style="147" customWidth="1"/>
    <col min="8" max="8" width="15.5703125" style="147" customWidth="1"/>
    <col min="9" max="9" width="19.28515625" style="147" customWidth="1"/>
    <col min="10" max="10" width="14.5703125" style="147" customWidth="1"/>
    <col min="11" max="16384" width="11.42578125" style="147"/>
  </cols>
  <sheetData>
    <row r="1" spans="1:14" ht="15" customHeight="1" x14ac:dyDescent="0.2">
      <c r="A1" s="398"/>
      <c r="B1" s="398"/>
      <c r="C1" s="398"/>
      <c r="D1" s="399" t="str">
        <f>[2]CONTEXTO!B1</f>
        <v xml:space="preserve">PROCESO:  SISTEMA INTEGRADO DE GESTIÓN </v>
      </c>
      <c r="E1" s="400"/>
      <c r="F1" s="400"/>
      <c r="G1" s="401"/>
      <c r="H1" s="302" t="s">
        <v>416</v>
      </c>
      <c r="I1" s="302"/>
      <c r="J1" s="389"/>
      <c r="K1" s="146"/>
      <c r="N1" s="281"/>
    </row>
    <row r="2" spans="1:14" ht="15" customHeight="1" x14ac:dyDescent="0.2">
      <c r="A2" s="398"/>
      <c r="B2" s="398"/>
      <c r="C2" s="398"/>
      <c r="D2" s="402"/>
      <c r="E2" s="304"/>
      <c r="F2" s="304"/>
      <c r="G2" s="305"/>
      <c r="H2" s="302" t="s">
        <v>415</v>
      </c>
      <c r="I2" s="302"/>
      <c r="J2" s="389"/>
      <c r="K2" s="146"/>
      <c r="N2" s="281"/>
    </row>
    <row r="3" spans="1:14" ht="15" customHeight="1" x14ac:dyDescent="0.2">
      <c r="A3" s="398"/>
      <c r="B3" s="398"/>
      <c r="C3" s="398"/>
      <c r="D3" s="399" t="s">
        <v>248</v>
      </c>
      <c r="E3" s="400"/>
      <c r="F3" s="400"/>
      <c r="G3" s="401"/>
      <c r="H3" s="302" t="s">
        <v>264</v>
      </c>
      <c r="I3" s="302"/>
      <c r="J3" s="389"/>
      <c r="K3" s="146"/>
      <c r="N3" s="281"/>
    </row>
    <row r="4" spans="1:14" ht="15.75" customHeight="1" x14ac:dyDescent="0.2">
      <c r="A4" s="398"/>
      <c r="B4" s="398"/>
      <c r="C4" s="398"/>
      <c r="D4" s="402"/>
      <c r="E4" s="304"/>
      <c r="F4" s="304"/>
      <c r="G4" s="305"/>
      <c r="H4" s="302" t="s">
        <v>414</v>
      </c>
      <c r="I4" s="302"/>
      <c r="J4" s="389"/>
      <c r="K4" s="146"/>
      <c r="N4" s="281"/>
    </row>
    <row r="5" spans="1:14" ht="15.75" customHeight="1" x14ac:dyDescent="0.2">
      <c r="A5" s="387"/>
      <c r="B5" s="304"/>
      <c r="C5" s="304"/>
      <c r="D5" s="304"/>
      <c r="E5" s="304"/>
      <c r="F5" s="304"/>
      <c r="G5" s="304"/>
      <c r="H5" s="304"/>
      <c r="I5" s="304"/>
      <c r="J5" s="388"/>
      <c r="K5" s="146"/>
      <c r="N5" s="148"/>
    </row>
    <row r="6" spans="1:14" ht="15" customHeight="1" x14ac:dyDescent="0.2">
      <c r="A6" s="381" t="str">
        <f>[3]CONTEXTO!A8</f>
        <v>PROCESO: GESTIÓN CATASTRAL</v>
      </c>
      <c r="B6" s="382"/>
      <c r="C6" s="382"/>
      <c r="D6" s="382"/>
      <c r="E6" s="382"/>
      <c r="F6" s="382"/>
      <c r="G6" s="382"/>
      <c r="H6" s="382"/>
      <c r="I6" s="382"/>
      <c r="J6" s="383"/>
    </row>
    <row r="7" spans="1:14" ht="32.25" customHeight="1" thickBot="1" x14ac:dyDescent="0.25">
      <c r="A7" s="384"/>
      <c r="B7" s="385"/>
      <c r="C7" s="385"/>
      <c r="D7" s="385"/>
      <c r="E7" s="385"/>
      <c r="F7" s="385"/>
      <c r="G7" s="385"/>
      <c r="H7" s="385"/>
      <c r="I7" s="385"/>
      <c r="J7" s="386"/>
    </row>
    <row r="8" spans="1:14" ht="23.25" customHeight="1" x14ac:dyDescent="0.2">
      <c r="A8" s="392" t="s">
        <v>249</v>
      </c>
      <c r="B8" s="393"/>
      <c r="C8" s="393"/>
      <c r="D8" s="394"/>
      <c r="E8" s="378" t="s">
        <v>219</v>
      </c>
      <c r="F8" s="390"/>
      <c r="G8" s="390"/>
      <c r="H8" s="390"/>
      <c r="I8" s="390"/>
      <c r="J8" s="391"/>
    </row>
    <row r="9" spans="1:14" ht="23.25" customHeight="1" x14ac:dyDescent="0.2">
      <c r="A9" s="395"/>
      <c r="B9" s="396"/>
      <c r="C9" s="396"/>
      <c r="D9" s="397"/>
      <c r="E9" s="377" t="s">
        <v>250</v>
      </c>
      <c r="F9" s="377"/>
      <c r="G9" s="377" t="s">
        <v>251</v>
      </c>
      <c r="H9" s="377"/>
      <c r="I9" s="377"/>
      <c r="J9" s="377"/>
    </row>
    <row r="10" spans="1:14" ht="23.25" customHeight="1" x14ac:dyDescent="0.25">
      <c r="A10" s="395"/>
      <c r="B10" s="396"/>
      <c r="C10" s="396"/>
      <c r="D10" s="397"/>
      <c r="E10" s="358" t="s">
        <v>252</v>
      </c>
      <c r="F10" s="358"/>
      <c r="G10" s="403" t="s">
        <v>253</v>
      </c>
      <c r="H10" s="404"/>
      <c r="I10" s="404"/>
      <c r="J10" s="405"/>
    </row>
    <row r="11" spans="1:14" ht="43.5" customHeight="1" x14ac:dyDescent="0.2">
      <c r="A11" s="395"/>
      <c r="B11" s="396"/>
      <c r="C11" s="396"/>
      <c r="D11" s="397"/>
      <c r="E11" s="359" t="s">
        <v>413</v>
      </c>
      <c r="F11" s="360"/>
      <c r="G11" s="376" t="s">
        <v>412</v>
      </c>
      <c r="H11" s="376"/>
      <c r="I11" s="376"/>
      <c r="J11" s="376"/>
    </row>
    <row r="12" spans="1:14" ht="43.5" customHeight="1" x14ac:dyDescent="0.2">
      <c r="A12" s="395"/>
      <c r="B12" s="396"/>
      <c r="C12" s="396"/>
      <c r="D12" s="397"/>
      <c r="E12" s="359" t="s">
        <v>411</v>
      </c>
      <c r="F12" s="360"/>
      <c r="G12" s="376" t="s">
        <v>410</v>
      </c>
      <c r="H12" s="376"/>
      <c r="I12" s="376"/>
      <c r="J12" s="376"/>
    </row>
    <row r="13" spans="1:14" ht="43.5" customHeight="1" x14ac:dyDescent="0.2">
      <c r="A13" s="395"/>
      <c r="B13" s="396"/>
      <c r="C13" s="396"/>
      <c r="D13" s="397"/>
      <c r="E13" s="359" t="s">
        <v>409</v>
      </c>
      <c r="F13" s="360"/>
      <c r="G13" s="376" t="s">
        <v>408</v>
      </c>
      <c r="H13" s="376"/>
      <c r="I13" s="376"/>
      <c r="J13" s="376"/>
    </row>
    <row r="14" spans="1:14" ht="43.5" customHeight="1" x14ac:dyDescent="0.2">
      <c r="A14" s="395"/>
      <c r="B14" s="396"/>
      <c r="C14" s="396"/>
      <c r="D14" s="397"/>
      <c r="E14" s="359" t="s">
        <v>407</v>
      </c>
      <c r="F14" s="360"/>
      <c r="G14" s="376" t="s">
        <v>406</v>
      </c>
      <c r="H14" s="376"/>
      <c r="I14" s="376"/>
      <c r="J14" s="376"/>
    </row>
    <row r="15" spans="1:14" ht="49.5" customHeight="1" x14ac:dyDescent="0.2">
      <c r="A15" s="395"/>
      <c r="B15" s="396"/>
      <c r="C15" s="396"/>
      <c r="D15" s="397"/>
      <c r="E15" s="359" t="s">
        <v>405</v>
      </c>
      <c r="F15" s="360"/>
      <c r="G15" s="375" t="s">
        <v>404</v>
      </c>
      <c r="H15" s="375"/>
      <c r="I15" s="375"/>
      <c r="J15" s="375"/>
    </row>
    <row r="16" spans="1:14" ht="49.5" customHeight="1" x14ac:dyDescent="0.2">
      <c r="A16" s="395"/>
      <c r="B16" s="396"/>
      <c r="C16" s="396"/>
      <c r="D16" s="397"/>
      <c r="E16" s="359" t="s">
        <v>403</v>
      </c>
      <c r="F16" s="360"/>
      <c r="G16" s="376" t="s">
        <v>402</v>
      </c>
      <c r="H16" s="376"/>
      <c r="I16" s="376"/>
      <c r="J16" s="376"/>
    </row>
    <row r="17" spans="1:10" ht="54.75" customHeight="1" x14ac:dyDescent="0.2">
      <c r="A17" s="395"/>
      <c r="B17" s="396"/>
      <c r="C17" s="396"/>
      <c r="D17" s="397"/>
      <c r="E17" s="359" t="s">
        <v>431</v>
      </c>
      <c r="F17" s="360"/>
      <c r="G17" s="376" t="s">
        <v>401</v>
      </c>
      <c r="H17" s="376"/>
      <c r="I17" s="376"/>
      <c r="J17" s="376"/>
    </row>
    <row r="18" spans="1:10" ht="48.75" customHeight="1" x14ac:dyDescent="0.2">
      <c r="A18" s="395"/>
      <c r="B18" s="396"/>
      <c r="C18" s="396"/>
      <c r="D18" s="397"/>
      <c r="E18" s="359" t="s">
        <v>400</v>
      </c>
      <c r="F18" s="360"/>
      <c r="G18" s="376" t="s">
        <v>399</v>
      </c>
      <c r="H18" s="376"/>
      <c r="I18" s="376"/>
      <c r="J18" s="376"/>
    </row>
    <row r="19" spans="1:10" ht="54.75" customHeight="1" x14ac:dyDescent="0.2">
      <c r="A19" s="395"/>
      <c r="B19" s="396"/>
      <c r="C19" s="396"/>
      <c r="D19" s="397"/>
      <c r="E19" s="359" t="s">
        <v>398</v>
      </c>
      <c r="F19" s="360"/>
      <c r="G19" s="376" t="s">
        <v>397</v>
      </c>
      <c r="H19" s="376"/>
      <c r="I19" s="376"/>
      <c r="J19" s="376"/>
    </row>
    <row r="20" spans="1:10" ht="59.25" customHeight="1" x14ac:dyDescent="0.2">
      <c r="A20" s="395"/>
      <c r="B20" s="396"/>
      <c r="C20" s="396"/>
      <c r="D20" s="397"/>
      <c r="E20" s="359" t="s">
        <v>396</v>
      </c>
      <c r="F20" s="360"/>
      <c r="G20" s="373" t="s">
        <v>432</v>
      </c>
      <c r="H20" s="373"/>
      <c r="I20" s="373"/>
      <c r="J20" s="373"/>
    </row>
    <row r="21" spans="1:10" ht="49.5" customHeight="1" x14ac:dyDescent="0.2">
      <c r="A21" s="395"/>
      <c r="B21" s="396"/>
      <c r="C21" s="396"/>
      <c r="D21" s="397"/>
      <c r="E21" s="359" t="s">
        <v>395</v>
      </c>
      <c r="F21" s="360"/>
      <c r="G21" s="373" t="s">
        <v>394</v>
      </c>
      <c r="H21" s="373"/>
      <c r="I21" s="373"/>
      <c r="J21" s="373"/>
    </row>
    <row r="22" spans="1:10" ht="49.5" customHeight="1" x14ac:dyDescent="0.2">
      <c r="A22" s="395"/>
      <c r="B22" s="396"/>
      <c r="C22" s="396"/>
      <c r="D22" s="397"/>
      <c r="E22" s="359" t="s">
        <v>393</v>
      </c>
      <c r="F22" s="360"/>
      <c r="G22" s="373" t="s">
        <v>392</v>
      </c>
      <c r="H22" s="373"/>
      <c r="I22" s="373"/>
      <c r="J22" s="373"/>
    </row>
    <row r="23" spans="1:10" ht="49.5" customHeight="1" x14ac:dyDescent="0.2">
      <c r="A23" s="395"/>
      <c r="B23" s="396"/>
      <c r="C23" s="396"/>
      <c r="D23" s="397"/>
      <c r="E23" s="359" t="s">
        <v>391</v>
      </c>
      <c r="F23" s="360"/>
      <c r="G23" s="376" t="s">
        <v>433</v>
      </c>
      <c r="H23" s="376"/>
      <c r="I23" s="376"/>
      <c r="J23" s="376"/>
    </row>
    <row r="24" spans="1:10" ht="95.45" customHeight="1" x14ac:dyDescent="0.2">
      <c r="A24" s="395"/>
      <c r="B24" s="396"/>
      <c r="C24" s="396"/>
      <c r="D24" s="397"/>
      <c r="E24" s="359" t="s">
        <v>390</v>
      </c>
      <c r="F24" s="360"/>
      <c r="G24" s="376" t="s">
        <v>434</v>
      </c>
      <c r="H24" s="376"/>
      <c r="I24" s="376"/>
      <c r="J24" s="376"/>
    </row>
    <row r="25" spans="1:10" ht="49.5" customHeight="1" x14ac:dyDescent="0.2">
      <c r="A25" s="395"/>
      <c r="B25" s="396"/>
      <c r="C25" s="396"/>
      <c r="D25" s="397"/>
      <c r="E25" s="359" t="s">
        <v>435</v>
      </c>
      <c r="F25" s="360"/>
      <c r="G25" s="373"/>
      <c r="H25" s="373"/>
      <c r="I25" s="373"/>
      <c r="J25" s="373"/>
    </row>
    <row r="26" spans="1:10" ht="51.75" customHeight="1" x14ac:dyDescent="0.2">
      <c r="A26" s="395"/>
      <c r="B26" s="396"/>
      <c r="C26" s="396"/>
      <c r="D26" s="397"/>
      <c r="E26" s="359" t="s">
        <v>436</v>
      </c>
      <c r="F26" s="360"/>
      <c r="G26" s="373"/>
      <c r="H26" s="373"/>
      <c r="I26" s="373"/>
      <c r="J26" s="373"/>
    </row>
    <row r="27" spans="1:10" ht="59.45" customHeight="1" x14ac:dyDescent="0.2">
      <c r="A27" s="395"/>
      <c r="B27" s="396"/>
      <c r="C27" s="396"/>
      <c r="D27" s="397"/>
      <c r="E27" s="359" t="s">
        <v>437</v>
      </c>
      <c r="F27" s="360"/>
      <c r="G27" s="373"/>
      <c r="H27" s="373"/>
      <c r="I27" s="373"/>
      <c r="J27" s="373"/>
    </row>
    <row r="28" spans="1:10" ht="51" customHeight="1" x14ac:dyDescent="0.2">
      <c r="A28" s="352" t="s">
        <v>217</v>
      </c>
      <c r="B28" s="352" t="s">
        <v>251</v>
      </c>
      <c r="C28" s="358" t="s">
        <v>254</v>
      </c>
      <c r="D28" s="358"/>
      <c r="E28" s="377" t="s">
        <v>255</v>
      </c>
      <c r="F28" s="358"/>
      <c r="G28" s="378" t="s">
        <v>256</v>
      </c>
      <c r="H28" s="379"/>
      <c r="I28" s="379"/>
      <c r="J28" s="380"/>
    </row>
    <row r="29" spans="1:10" ht="78" customHeight="1" x14ac:dyDescent="0.2">
      <c r="A29" s="352"/>
      <c r="B29" s="352"/>
      <c r="C29" s="356" t="s">
        <v>389</v>
      </c>
      <c r="D29" s="357"/>
      <c r="E29" s="359" t="s">
        <v>388</v>
      </c>
      <c r="F29" s="360"/>
      <c r="G29" s="356" t="s">
        <v>452</v>
      </c>
      <c r="H29" s="361"/>
      <c r="I29" s="361"/>
      <c r="J29" s="357"/>
    </row>
    <row r="30" spans="1:10" ht="101.45" customHeight="1" x14ac:dyDescent="0.2">
      <c r="A30" s="352"/>
      <c r="B30" s="352"/>
      <c r="C30" s="356" t="s">
        <v>387</v>
      </c>
      <c r="D30" s="357"/>
      <c r="E30" s="359" t="s">
        <v>386</v>
      </c>
      <c r="F30" s="360"/>
      <c r="G30" s="372" t="s">
        <v>438</v>
      </c>
      <c r="H30" s="361"/>
      <c r="I30" s="361"/>
      <c r="J30" s="357"/>
    </row>
    <row r="31" spans="1:10" ht="82.9" customHeight="1" x14ac:dyDescent="0.2">
      <c r="A31" s="352"/>
      <c r="B31" s="352"/>
      <c r="C31" s="356" t="s">
        <v>385</v>
      </c>
      <c r="D31" s="357"/>
      <c r="E31" s="359" t="s">
        <v>384</v>
      </c>
      <c r="F31" s="360"/>
      <c r="G31" s="356"/>
      <c r="H31" s="361"/>
      <c r="I31" s="361"/>
      <c r="J31" s="357"/>
    </row>
    <row r="32" spans="1:10" ht="79.150000000000006" customHeight="1" x14ac:dyDescent="0.2">
      <c r="A32" s="352"/>
      <c r="B32" s="352"/>
      <c r="C32" s="356" t="s">
        <v>439</v>
      </c>
      <c r="D32" s="357"/>
      <c r="E32" s="359" t="s">
        <v>440</v>
      </c>
      <c r="F32" s="360"/>
      <c r="G32" s="356"/>
      <c r="H32" s="361"/>
      <c r="I32" s="361"/>
      <c r="J32" s="357"/>
    </row>
    <row r="33" spans="1:10" ht="75.599999999999994" customHeight="1" x14ac:dyDescent="0.2">
      <c r="A33" s="352"/>
      <c r="B33" s="352"/>
      <c r="C33" s="356" t="s">
        <v>441</v>
      </c>
      <c r="D33" s="357"/>
      <c r="E33" s="359" t="s">
        <v>442</v>
      </c>
      <c r="F33" s="360"/>
      <c r="G33" s="356"/>
      <c r="H33" s="361"/>
      <c r="I33" s="361"/>
      <c r="J33" s="357"/>
    </row>
    <row r="34" spans="1:10" ht="51" customHeight="1" x14ac:dyDescent="0.2">
      <c r="A34" s="352"/>
      <c r="B34" s="352"/>
      <c r="C34" s="356" t="s">
        <v>443</v>
      </c>
      <c r="D34" s="357"/>
      <c r="E34" s="359"/>
      <c r="F34" s="360"/>
      <c r="G34" s="356"/>
      <c r="H34" s="361"/>
      <c r="I34" s="361"/>
      <c r="J34" s="357"/>
    </row>
    <row r="35" spans="1:10" ht="51" customHeight="1" x14ac:dyDescent="0.2">
      <c r="A35" s="352"/>
      <c r="B35" s="352"/>
      <c r="C35" s="356" t="s">
        <v>383</v>
      </c>
      <c r="D35" s="357"/>
      <c r="E35" s="359"/>
      <c r="F35" s="360"/>
      <c r="G35" s="356"/>
      <c r="H35" s="361"/>
      <c r="I35" s="361"/>
      <c r="J35" s="357"/>
    </row>
    <row r="36" spans="1:10" ht="51" customHeight="1" x14ac:dyDescent="0.2">
      <c r="A36" s="352"/>
      <c r="B36" s="352"/>
      <c r="C36" s="356" t="s">
        <v>444</v>
      </c>
      <c r="D36" s="357"/>
      <c r="E36" s="359"/>
      <c r="F36" s="360"/>
      <c r="G36" s="356"/>
      <c r="H36" s="361"/>
      <c r="I36" s="361"/>
      <c r="J36" s="357"/>
    </row>
    <row r="37" spans="1:10" ht="45.75" customHeight="1" x14ac:dyDescent="0.2">
      <c r="A37" s="352"/>
      <c r="B37" s="352"/>
      <c r="C37" s="356" t="s">
        <v>382</v>
      </c>
      <c r="D37" s="357"/>
      <c r="E37" s="359"/>
      <c r="F37" s="360"/>
      <c r="G37" s="356"/>
      <c r="H37" s="361"/>
      <c r="I37" s="361"/>
      <c r="J37" s="357"/>
    </row>
    <row r="38" spans="1:10" ht="41.25" customHeight="1" x14ac:dyDescent="0.2">
      <c r="A38" s="352"/>
      <c r="B38" s="352"/>
      <c r="C38" s="356" t="s">
        <v>445</v>
      </c>
      <c r="D38" s="357"/>
      <c r="E38" s="359"/>
      <c r="F38" s="360"/>
      <c r="G38" s="356"/>
      <c r="H38" s="361"/>
      <c r="I38" s="361"/>
      <c r="J38" s="357"/>
    </row>
    <row r="39" spans="1:10" ht="66" customHeight="1" x14ac:dyDescent="0.2">
      <c r="A39" s="352"/>
      <c r="B39" s="352"/>
      <c r="C39" s="356" t="s">
        <v>381</v>
      </c>
      <c r="D39" s="357"/>
      <c r="E39" s="359"/>
      <c r="F39" s="360"/>
      <c r="G39" s="356"/>
      <c r="H39" s="361"/>
      <c r="I39" s="361"/>
      <c r="J39" s="357"/>
    </row>
    <row r="40" spans="1:10" ht="51.75" customHeight="1" x14ac:dyDescent="0.2">
      <c r="A40" s="352"/>
      <c r="B40" s="352"/>
      <c r="C40" s="356" t="s">
        <v>380</v>
      </c>
      <c r="D40" s="357"/>
      <c r="E40" s="359"/>
      <c r="F40" s="360"/>
      <c r="G40" s="356"/>
      <c r="H40" s="361"/>
      <c r="I40" s="361"/>
      <c r="J40" s="357"/>
    </row>
    <row r="41" spans="1:10" ht="47.25" customHeight="1" x14ac:dyDescent="0.2">
      <c r="A41" s="352"/>
      <c r="B41" s="352"/>
      <c r="C41" s="356" t="s">
        <v>446</v>
      </c>
      <c r="D41" s="357"/>
      <c r="E41" s="359"/>
      <c r="F41" s="360"/>
      <c r="G41" s="356"/>
      <c r="H41" s="361"/>
      <c r="I41" s="361"/>
      <c r="J41" s="357"/>
    </row>
    <row r="42" spans="1:10" ht="49.5" customHeight="1" x14ac:dyDescent="0.2">
      <c r="A42" s="352"/>
      <c r="B42" s="352"/>
      <c r="C42" s="356" t="s">
        <v>447</v>
      </c>
      <c r="D42" s="357"/>
      <c r="E42" s="353"/>
      <c r="F42" s="354"/>
      <c r="G42" s="362"/>
      <c r="H42" s="364"/>
      <c r="I42" s="364"/>
      <c r="J42" s="363"/>
    </row>
    <row r="43" spans="1:10" ht="60" customHeight="1" x14ac:dyDescent="0.25">
      <c r="A43" s="352"/>
      <c r="B43" s="352" t="s">
        <v>250</v>
      </c>
      <c r="C43" s="358" t="s">
        <v>257</v>
      </c>
      <c r="D43" s="358"/>
      <c r="E43" s="366" t="s">
        <v>258</v>
      </c>
      <c r="F43" s="367"/>
      <c r="G43" s="368" t="s">
        <v>259</v>
      </c>
      <c r="H43" s="369"/>
      <c r="I43" s="369"/>
      <c r="J43" s="370"/>
    </row>
    <row r="44" spans="1:10" ht="45.75" customHeight="1" x14ac:dyDescent="0.2">
      <c r="A44" s="352"/>
      <c r="B44" s="352"/>
      <c r="C44" s="356" t="s">
        <v>379</v>
      </c>
      <c r="D44" s="357"/>
      <c r="E44" s="356" t="s">
        <v>378</v>
      </c>
      <c r="F44" s="357"/>
      <c r="G44" s="359" t="s">
        <v>377</v>
      </c>
      <c r="H44" s="371"/>
      <c r="I44" s="371"/>
      <c r="J44" s="360"/>
    </row>
    <row r="45" spans="1:10" ht="45.75" customHeight="1" x14ac:dyDescent="0.2">
      <c r="A45" s="352"/>
      <c r="B45" s="352"/>
      <c r="C45" s="356" t="s">
        <v>376</v>
      </c>
      <c r="D45" s="357"/>
      <c r="E45" s="359" t="s">
        <v>375</v>
      </c>
      <c r="F45" s="360"/>
      <c r="G45" s="356"/>
      <c r="H45" s="361"/>
      <c r="I45" s="361"/>
      <c r="J45" s="357"/>
    </row>
    <row r="46" spans="1:10" ht="58.9" customHeight="1" x14ac:dyDescent="0.2">
      <c r="A46" s="352"/>
      <c r="B46" s="352"/>
      <c r="C46" s="356" t="s">
        <v>374</v>
      </c>
      <c r="D46" s="357"/>
      <c r="E46" s="374" t="s">
        <v>373</v>
      </c>
      <c r="F46" s="375"/>
      <c r="G46" s="356"/>
      <c r="H46" s="361"/>
      <c r="I46" s="361"/>
      <c r="J46" s="357"/>
    </row>
    <row r="47" spans="1:10" ht="50.25" customHeight="1" x14ac:dyDescent="0.2">
      <c r="A47" s="352"/>
      <c r="B47" s="352"/>
      <c r="C47" s="356" t="s">
        <v>372</v>
      </c>
      <c r="D47" s="357"/>
      <c r="E47" s="374" t="s">
        <v>371</v>
      </c>
      <c r="F47" s="375"/>
      <c r="G47" s="355"/>
      <c r="H47" s="355"/>
      <c r="I47" s="355"/>
      <c r="J47" s="355"/>
    </row>
    <row r="48" spans="1:10" ht="52.5" customHeight="1" x14ac:dyDescent="0.2">
      <c r="A48" s="352"/>
      <c r="B48" s="352"/>
      <c r="C48" s="353" t="s">
        <v>370</v>
      </c>
      <c r="D48" s="354"/>
      <c r="E48" s="355"/>
      <c r="F48" s="355"/>
      <c r="G48" s="355"/>
      <c r="H48" s="355"/>
      <c r="I48" s="355"/>
      <c r="J48" s="355"/>
    </row>
    <row r="49" spans="1:10" ht="48" customHeight="1" x14ac:dyDescent="0.2">
      <c r="A49" s="352"/>
      <c r="B49" s="352"/>
      <c r="C49" s="355" t="s">
        <v>369</v>
      </c>
      <c r="D49" s="355"/>
      <c r="E49" s="355"/>
      <c r="F49" s="355"/>
      <c r="G49" s="355"/>
      <c r="H49" s="355"/>
      <c r="I49" s="355"/>
      <c r="J49" s="355"/>
    </row>
    <row r="50" spans="1:10" ht="46.5" customHeight="1" x14ac:dyDescent="0.2">
      <c r="A50" s="352"/>
      <c r="B50" s="352"/>
      <c r="C50" s="353" t="s">
        <v>368</v>
      </c>
      <c r="D50" s="354"/>
      <c r="E50" s="353"/>
      <c r="F50" s="354"/>
      <c r="G50" s="353"/>
      <c r="H50" s="365"/>
      <c r="I50" s="365"/>
      <c r="J50" s="354"/>
    </row>
    <row r="51" spans="1:10" ht="48" customHeight="1" x14ac:dyDescent="0.2">
      <c r="A51" s="352"/>
      <c r="B51" s="352"/>
      <c r="C51" s="356" t="s">
        <v>367</v>
      </c>
      <c r="D51" s="357"/>
      <c r="E51" s="353"/>
      <c r="F51" s="354"/>
      <c r="G51" s="353"/>
      <c r="H51" s="365"/>
      <c r="I51" s="365"/>
      <c r="J51" s="354"/>
    </row>
    <row r="52" spans="1:10" ht="53.25" customHeight="1" x14ac:dyDescent="0.2">
      <c r="A52" s="352"/>
      <c r="B52" s="352"/>
      <c r="C52" s="356" t="s">
        <v>366</v>
      </c>
      <c r="D52" s="357"/>
      <c r="E52" s="362"/>
      <c r="F52" s="363"/>
      <c r="G52" s="362"/>
      <c r="H52" s="364"/>
      <c r="I52" s="364"/>
      <c r="J52" s="363"/>
    </row>
    <row r="53" spans="1:10" ht="43.5" customHeight="1" x14ac:dyDescent="0.2">
      <c r="A53" s="352"/>
      <c r="B53" s="352"/>
      <c r="C53" s="353" t="s">
        <v>365</v>
      </c>
      <c r="D53" s="354"/>
      <c r="E53" s="353"/>
      <c r="F53" s="354"/>
      <c r="G53" s="353"/>
      <c r="H53" s="365"/>
      <c r="I53" s="365"/>
      <c r="J53" s="354"/>
    </row>
    <row r="54" spans="1:10" ht="48.75" customHeight="1" x14ac:dyDescent="0.2">
      <c r="A54" s="352"/>
      <c r="B54" s="352"/>
      <c r="C54" s="353"/>
      <c r="D54" s="354"/>
      <c r="E54" s="362"/>
      <c r="F54" s="363"/>
      <c r="G54" s="362"/>
      <c r="H54" s="364"/>
      <c r="I54" s="364"/>
      <c r="J54" s="363"/>
    </row>
    <row r="55" spans="1:10" x14ac:dyDescent="0.2">
      <c r="A55" s="352"/>
      <c r="B55" s="352"/>
      <c r="C55" s="353"/>
      <c r="D55" s="354"/>
      <c r="E55" s="353"/>
      <c r="F55" s="354"/>
      <c r="G55" s="353"/>
      <c r="H55" s="365"/>
      <c r="I55" s="365"/>
      <c r="J55" s="354"/>
    </row>
    <row r="56" spans="1:10" x14ac:dyDescent="0.2">
      <c r="A56" s="352"/>
      <c r="B56" s="352"/>
      <c r="C56" s="353"/>
      <c r="D56" s="354"/>
      <c r="E56" s="353"/>
      <c r="F56" s="354"/>
      <c r="G56" s="353"/>
      <c r="H56" s="365"/>
      <c r="I56" s="365"/>
      <c r="J56" s="354"/>
    </row>
    <row r="57" spans="1:10" x14ac:dyDescent="0.2">
      <c r="A57" s="352"/>
      <c r="B57" s="352"/>
      <c r="C57" s="355"/>
      <c r="D57" s="355"/>
      <c r="E57" s="355"/>
      <c r="F57" s="355"/>
      <c r="G57" s="355"/>
      <c r="H57" s="355"/>
      <c r="I57" s="355"/>
      <c r="J57" s="355"/>
    </row>
    <row r="58" spans="1:10" x14ac:dyDescent="0.2">
      <c r="A58" s="352"/>
      <c r="B58" s="352"/>
      <c r="C58" s="355"/>
      <c r="D58" s="355"/>
      <c r="E58" s="355"/>
      <c r="F58" s="355"/>
      <c r="G58" s="355"/>
      <c r="H58" s="355"/>
      <c r="I58" s="355"/>
      <c r="J58" s="355"/>
    </row>
    <row r="59" spans="1:10" x14ac:dyDescent="0.2">
      <c r="E59" s="336"/>
      <c r="F59" s="336"/>
      <c r="G59" s="336"/>
      <c r="H59" s="336"/>
      <c r="I59" s="336"/>
      <c r="J59" s="336"/>
    </row>
    <row r="60" spans="1:10" x14ac:dyDescent="0.2">
      <c r="E60" s="336"/>
      <c r="F60" s="336"/>
      <c r="G60" s="336"/>
      <c r="H60" s="336"/>
      <c r="I60" s="336"/>
      <c r="J60" s="336"/>
    </row>
    <row r="61" spans="1:10" x14ac:dyDescent="0.2">
      <c r="E61" s="336"/>
      <c r="F61" s="336"/>
      <c r="G61" s="336"/>
      <c r="H61" s="336"/>
      <c r="I61" s="336"/>
      <c r="J61" s="336"/>
    </row>
    <row r="62" spans="1:10" x14ac:dyDescent="0.2">
      <c r="E62" s="336"/>
      <c r="F62" s="336"/>
      <c r="G62" s="336"/>
      <c r="H62" s="336"/>
      <c r="I62" s="336"/>
      <c r="J62" s="336"/>
    </row>
    <row r="63" spans="1:10" x14ac:dyDescent="0.2">
      <c r="E63" s="336"/>
      <c r="F63" s="336"/>
      <c r="G63" s="336"/>
      <c r="H63" s="336"/>
      <c r="I63" s="336"/>
      <c r="J63" s="336"/>
    </row>
    <row r="64" spans="1:10" x14ac:dyDescent="0.2">
      <c r="E64" s="336"/>
      <c r="F64" s="336"/>
      <c r="G64" s="336"/>
      <c r="H64" s="336"/>
      <c r="I64" s="336"/>
      <c r="J64" s="336"/>
    </row>
    <row r="65" spans="5:10" x14ac:dyDescent="0.2">
      <c r="E65" s="336"/>
      <c r="F65" s="336"/>
      <c r="G65" s="336"/>
      <c r="H65" s="336"/>
      <c r="I65" s="336"/>
      <c r="J65" s="336"/>
    </row>
    <row r="66" spans="5:10" x14ac:dyDescent="0.2">
      <c r="E66" s="336"/>
      <c r="F66" s="336"/>
      <c r="G66" s="336"/>
      <c r="H66" s="336"/>
      <c r="I66" s="336"/>
      <c r="J66" s="336"/>
    </row>
    <row r="67" spans="5:10" x14ac:dyDescent="0.2">
      <c r="E67" s="336"/>
      <c r="F67" s="336"/>
      <c r="G67" s="336"/>
      <c r="H67" s="336"/>
      <c r="I67" s="336"/>
      <c r="J67" s="336"/>
    </row>
    <row r="68" spans="5:10" x14ac:dyDescent="0.2">
      <c r="E68" s="336"/>
      <c r="F68" s="336"/>
      <c r="G68" s="336"/>
      <c r="H68" s="336"/>
      <c r="I68" s="336"/>
      <c r="J68" s="336"/>
    </row>
    <row r="69" spans="5:10" x14ac:dyDescent="0.2">
      <c r="E69" s="336"/>
      <c r="F69" s="336"/>
      <c r="G69" s="336"/>
      <c r="H69" s="336"/>
      <c r="I69" s="336"/>
      <c r="J69" s="336"/>
    </row>
    <row r="70" spans="5:10" x14ac:dyDescent="0.2">
      <c r="E70" s="336"/>
      <c r="F70" s="336"/>
      <c r="G70" s="336"/>
      <c r="H70" s="336"/>
      <c r="I70" s="336"/>
      <c r="J70" s="336"/>
    </row>
    <row r="71" spans="5:10" x14ac:dyDescent="0.2">
      <c r="E71" s="336"/>
      <c r="F71" s="336"/>
      <c r="G71" s="336"/>
      <c r="H71" s="336"/>
      <c r="I71" s="336"/>
      <c r="J71" s="336"/>
    </row>
    <row r="72" spans="5:10" x14ac:dyDescent="0.2">
      <c r="E72" s="336"/>
      <c r="F72" s="336"/>
      <c r="G72" s="336"/>
      <c r="H72" s="336"/>
      <c r="I72" s="336"/>
      <c r="J72" s="336"/>
    </row>
    <row r="73" spans="5:10" x14ac:dyDescent="0.2">
      <c r="E73" s="336"/>
      <c r="F73" s="336"/>
      <c r="G73" s="336"/>
      <c r="H73" s="336"/>
      <c r="I73" s="336"/>
      <c r="J73" s="336"/>
    </row>
    <row r="74" spans="5:10" x14ac:dyDescent="0.2">
      <c r="E74" s="336"/>
      <c r="F74" s="336"/>
      <c r="G74" s="336"/>
      <c r="H74" s="336"/>
      <c r="I74" s="336"/>
      <c r="J74" s="336"/>
    </row>
    <row r="75" spans="5:10" x14ac:dyDescent="0.2">
      <c r="E75" s="336"/>
      <c r="F75" s="336"/>
      <c r="G75" s="336"/>
      <c r="H75" s="336"/>
      <c r="I75" s="336"/>
      <c r="J75" s="336"/>
    </row>
    <row r="76" spans="5:10" x14ac:dyDescent="0.2">
      <c r="E76" s="336"/>
      <c r="F76" s="336"/>
      <c r="G76" s="336"/>
      <c r="H76" s="336"/>
      <c r="I76" s="336"/>
      <c r="J76" s="336"/>
    </row>
    <row r="77" spans="5:10" x14ac:dyDescent="0.2">
      <c r="E77" s="336"/>
      <c r="F77" s="336"/>
      <c r="G77" s="336"/>
      <c r="H77" s="336"/>
      <c r="I77" s="336"/>
      <c r="J77" s="336"/>
    </row>
    <row r="78" spans="5:10" x14ac:dyDescent="0.2">
      <c r="E78" s="336"/>
      <c r="F78" s="336"/>
      <c r="G78" s="336"/>
      <c r="H78" s="336"/>
      <c r="I78" s="336"/>
      <c r="J78" s="336"/>
    </row>
    <row r="79" spans="5:10" x14ac:dyDescent="0.2">
      <c r="E79" s="336"/>
      <c r="F79" s="336"/>
      <c r="G79" s="336"/>
      <c r="H79" s="336"/>
      <c r="I79" s="336"/>
      <c r="J79" s="336"/>
    </row>
    <row r="80" spans="5:10" x14ac:dyDescent="0.2">
      <c r="E80" s="336"/>
      <c r="F80" s="336"/>
      <c r="G80" s="336"/>
      <c r="H80" s="336"/>
      <c r="I80" s="336"/>
      <c r="J80" s="336"/>
    </row>
    <row r="81" spans="5:10" x14ac:dyDescent="0.2">
      <c r="E81" s="336"/>
      <c r="F81" s="336"/>
      <c r="G81" s="336"/>
      <c r="H81" s="336"/>
      <c r="I81" s="336"/>
      <c r="J81" s="336"/>
    </row>
    <row r="82" spans="5:10" x14ac:dyDescent="0.2">
      <c r="E82" s="336"/>
      <c r="F82" s="336"/>
      <c r="G82" s="336"/>
      <c r="H82" s="336"/>
      <c r="I82" s="336"/>
      <c r="J82" s="336"/>
    </row>
    <row r="83" spans="5:10" x14ac:dyDescent="0.2">
      <c r="E83" s="336"/>
      <c r="F83" s="336"/>
      <c r="G83" s="336"/>
      <c r="H83" s="336"/>
      <c r="I83" s="336"/>
      <c r="J83" s="336"/>
    </row>
    <row r="84" spans="5:10" x14ac:dyDescent="0.2">
      <c r="E84" s="336"/>
      <c r="F84" s="336"/>
      <c r="G84" s="336"/>
      <c r="H84" s="336"/>
      <c r="I84" s="336"/>
      <c r="J84" s="336"/>
    </row>
    <row r="85" spans="5:10" x14ac:dyDescent="0.2">
      <c r="E85" s="336"/>
      <c r="F85" s="336"/>
      <c r="G85" s="336"/>
      <c r="H85" s="336"/>
      <c r="I85" s="336"/>
      <c r="J85" s="336"/>
    </row>
    <row r="86" spans="5:10" x14ac:dyDescent="0.2">
      <c r="E86" s="336"/>
      <c r="F86" s="336"/>
      <c r="G86" s="336"/>
      <c r="H86" s="336"/>
      <c r="I86" s="336"/>
      <c r="J86" s="336"/>
    </row>
    <row r="87" spans="5:10" x14ac:dyDescent="0.2">
      <c r="E87" s="336"/>
      <c r="F87" s="336"/>
      <c r="G87" s="336"/>
      <c r="H87" s="336"/>
      <c r="I87" s="336"/>
      <c r="J87" s="336"/>
    </row>
    <row r="88" spans="5:10" x14ac:dyDescent="0.2">
      <c r="E88" s="336"/>
      <c r="F88" s="336"/>
      <c r="G88" s="336"/>
      <c r="H88" s="336"/>
      <c r="I88" s="336"/>
      <c r="J88" s="336"/>
    </row>
    <row r="89" spans="5:10" x14ac:dyDescent="0.2">
      <c r="E89" s="336"/>
      <c r="F89" s="336"/>
      <c r="G89" s="336"/>
      <c r="H89" s="336"/>
      <c r="I89" s="336"/>
      <c r="J89" s="336"/>
    </row>
    <row r="90" spans="5:10" x14ac:dyDescent="0.2">
      <c r="E90" s="336"/>
      <c r="F90" s="336"/>
      <c r="G90" s="336"/>
      <c r="H90" s="336"/>
      <c r="I90" s="336"/>
      <c r="J90" s="336"/>
    </row>
    <row r="91" spans="5:10" x14ac:dyDescent="0.2">
      <c r="E91" s="336"/>
      <c r="F91" s="336"/>
      <c r="G91" s="336"/>
      <c r="H91" s="336"/>
      <c r="I91" s="336"/>
      <c r="J91" s="336"/>
    </row>
    <row r="92" spans="5:10" x14ac:dyDescent="0.2">
      <c r="E92" s="336"/>
      <c r="F92" s="336"/>
      <c r="G92" s="336"/>
      <c r="H92" s="336"/>
      <c r="I92" s="336"/>
      <c r="J92" s="336"/>
    </row>
    <row r="93" spans="5:10" x14ac:dyDescent="0.2">
      <c r="E93" s="336"/>
      <c r="F93" s="336"/>
      <c r="G93" s="336"/>
      <c r="H93" s="336"/>
      <c r="I93" s="336"/>
      <c r="J93" s="336"/>
    </row>
    <row r="94" spans="5:10" x14ac:dyDescent="0.2">
      <c r="E94" s="336"/>
      <c r="F94" s="336"/>
      <c r="G94" s="336"/>
      <c r="H94" s="336"/>
      <c r="I94" s="336"/>
      <c r="J94" s="336"/>
    </row>
    <row r="95" spans="5:10" x14ac:dyDescent="0.2">
      <c r="E95" s="336"/>
      <c r="F95" s="336"/>
      <c r="G95" s="336"/>
      <c r="H95" s="336"/>
      <c r="I95" s="336"/>
      <c r="J95" s="336"/>
    </row>
    <row r="96" spans="5:10" x14ac:dyDescent="0.2">
      <c r="E96" s="336"/>
      <c r="F96" s="336"/>
      <c r="G96" s="336"/>
      <c r="H96" s="336"/>
      <c r="I96" s="336"/>
      <c r="J96" s="336"/>
    </row>
    <row r="97" spans="5:10" x14ac:dyDescent="0.2">
      <c r="E97" s="336"/>
      <c r="F97" s="336"/>
      <c r="G97" s="336"/>
      <c r="H97" s="336"/>
      <c r="I97" s="336"/>
      <c r="J97" s="336"/>
    </row>
    <row r="98" spans="5:10" x14ac:dyDescent="0.2">
      <c r="E98" s="336"/>
      <c r="F98" s="336"/>
      <c r="G98" s="336"/>
      <c r="H98" s="336"/>
      <c r="I98" s="336"/>
      <c r="J98" s="336"/>
    </row>
    <row r="99" spans="5:10" x14ac:dyDescent="0.2">
      <c r="E99" s="336"/>
      <c r="F99" s="336"/>
      <c r="G99" s="336"/>
      <c r="H99" s="336"/>
      <c r="I99" s="336"/>
      <c r="J99" s="336"/>
    </row>
    <row r="100" spans="5:10" x14ac:dyDescent="0.2">
      <c r="E100" s="336"/>
      <c r="F100" s="336"/>
      <c r="G100" s="336"/>
      <c r="H100" s="336"/>
      <c r="I100" s="336"/>
      <c r="J100" s="336"/>
    </row>
    <row r="101" spans="5:10" x14ac:dyDescent="0.2">
      <c r="E101" s="336"/>
      <c r="F101" s="336"/>
      <c r="G101" s="336"/>
      <c r="H101" s="336"/>
      <c r="I101" s="336"/>
      <c r="J101" s="336"/>
    </row>
    <row r="102" spans="5:10" x14ac:dyDescent="0.2">
      <c r="E102" s="336"/>
      <c r="F102" s="336"/>
      <c r="G102" s="336"/>
      <c r="H102" s="336"/>
      <c r="I102" s="336"/>
      <c r="J102" s="336"/>
    </row>
    <row r="103" spans="5:10" x14ac:dyDescent="0.2">
      <c r="E103" s="336"/>
      <c r="F103" s="336"/>
      <c r="G103" s="336"/>
      <c r="H103" s="336"/>
      <c r="I103" s="336"/>
      <c r="J103" s="336"/>
    </row>
    <row r="104" spans="5:10" x14ac:dyDescent="0.2">
      <c r="E104" s="336"/>
      <c r="F104" s="336"/>
      <c r="G104" s="336"/>
      <c r="H104" s="336"/>
      <c r="I104" s="336"/>
      <c r="J104" s="336"/>
    </row>
    <row r="105" spans="5:10" x14ac:dyDescent="0.2">
      <c r="E105" s="336"/>
      <c r="F105" s="336"/>
      <c r="G105" s="336"/>
      <c r="H105" s="336"/>
      <c r="I105" s="336"/>
      <c r="J105" s="336"/>
    </row>
    <row r="106" spans="5:10" x14ac:dyDescent="0.2">
      <c r="E106" s="336"/>
      <c r="F106" s="336"/>
      <c r="G106" s="336"/>
      <c r="H106" s="336"/>
      <c r="I106" s="336"/>
      <c r="J106" s="336"/>
    </row>
    <row r="107" spans="5:10" x14ac:dyDescent="0.2">
      <c r="E107" s="336"/>
      <c r="F107" s="336"/>
      <c r="G107" s="336"/>
      <c r="H107" s="336"/>
      <c r="I107" s="336"/>
      <c r="J107" s="336"/>
    </row>
    <row r="108" spans="5:10" x14ac:dyDescent="0.2">
      <c r="E108" s="336"/>
      <c r="F108" s="336"/>
      <c r="G108" s="336"/>
      <c r="H108" s="336"/>
      <c r="I108" s="336"/>
      <c r="J108" s="336"/>
    </row>
    <row r="109" spans="5:10" x14ac:dyDescent="0.2">
      <c r="E109" s="336"/>
      <c r="F109" s="336"/>
      <c r="G109" s="336"/>
      <c r="H109" s="336"/>
      <c r="I109" s="336"/>
      <c r="J109" s="336"/>
    </row>
    <row r="110" spans="5:10" x14ac:dyDescent="0.2">
      <c r="E110" s="336"/>
      <c r="F110" s="336"/>
      <c r="G110" s="336"/>
      <c r="H110" s="336"/>
      <c r="I110" s="336"/>
      <c r="J110" s="336"/>
    </row>
    <row r="111" spans="5:10" x14ac:dyDescent="0.2">
      <c r="E111" s="336"/>
      <c r="F111" s="336"/>
      <c r="G111" s="336"/>
      <c r="H111" s="336"/>
      <c r="I111" s="336"/>
      <c r="J111" s="336"/>
    </row>
    <row r="112" spans="5:10" x14ac:dyDescent="0.2">
      <c r="E112" s="336"/>
      <c r="F112" s="336"/>
      <c r="G112" s="336"/>
      <c r="H112" s="336"/>
      <c r="I112" s="336"/>
      <c r="J112" s="336"/>
    </row>
    <row r="113" spans="5:10" x14ac:dyDescent="0.2">
      <c r="E113" s="336"/>
      <c r="F113" s="336"/>
      <c r="G113" s="336"/>
      <c r="H113" s="336"/>
      <c r="I113" s="336"/>
      <c r="J113" s="336"/>
    </row>
    <row r="114" spans="5:10" x14ac:dyDescent="0.2">
      <c r="E114" s="336"/>
      <c r="F114" s="336"/>
      <c r="G114" s="336"/>
      <c r="H114" s="336"/>
      <c r="I114" s="336"/>
      <c r="J114" s="336"/>
    </row>
    <row r="115" spans="5:10" x14ac:dyDescent="0.2">
      <c r="E115" s="336"/>
      <c r="F115" s="336"/>
      <c r="G115" s="336"/>
      <c r="H115" s="336"/>
      <c r="I115" s="336"/>
      <c r="J115" s="336"/>
    </row>
    <row r="116" spans="5:10" x14ac:dyDescent="0.2">
      <c r="E116" s="336"/>
      <c r="F116" s="336"/>
      <c r="G116" s="336"/>
      <c r="H116" s="336"/>
      <c r="I116" s="336"/>
      <c r="J116" s="336"/>
    </row>
    <row r="117" spans="5:10" x14ac:dyDescent="0.2">
      <c r="E117" s="336"/>
      <c r="F117" s="336"/>
      <c r="G117" s="336"/>
      <c r="H117" s="336"/>
      <c r="I117" s="336"/>
      <c r="J117" s="336"/>
    </row>
    <row r="118" spans="5:10" x14ac:dyDescent="0.2">
      <c r="E118" s="336"/>
      <c r="F118" s="336"/>
      <c r="G118" s="336"/>
      <c r="H118" s="336"/>
      <c r="I118" s="336"/>
      <c r="J118" s="336"/>
    </row>
    <row r="119" spans="5:10" x14ac:dyDescent="0.2">
      <c r="E119" s="336"/>
      <c r="F119" s="336"/>
      <c r="G119" s="336"/>
      <c r="H119" s="336"/>
      <c r="I119" s="336"/>
      <c r="J119" s="336"/>
    </row>
    <row r="120" spans="5:10" x14ac:dyDescent="0.2">
      <c r="E120" s="336"/>
      <c r="F120" s="336"/>
      <c r="G120" s="336"/>
      <c r="H120" s="336"/>
      <c r="I120" s="336"/>
      <c r="J120" s="336"/>
    </row>
    <row r="121" spans="5:10" x14ac:dyDescent="0.2">
      <c r="E121" s="336"/>
      <c r="F121" s="336"/>
      <c r="G121" s="336"/>
      <c r="H121" s="336"/>
      <c r="I121" s="336"/>
      <c r="J121" s="336"/>
    </row>
    <row r="122" spans="5:10" x14ac:dyDescent="0.2">
      <c r="E122" s="336"/>
      <c r="F122" s="336"/>
      <c r="G122" s="336"/>
      <c r="H122" s="336"/>
      <c r="I122" s="336"/>
      <c r="J122" s="336"/>
    </row>
    <row r="123" spans="5:10" x14ac:dyDescent="0.2">
      <c r="E123" s="336"/>
      <c r="F123" s="336"/>
      <c r="G123" s="336"/>
      <c r="H123" s="336"/>
      <c r="I123" s="336"/>
      <c r="J123" s="336"/>
    </row>
    <row r="124" spans="5:10" x14ac:dyDescent="0.2">
      <c r="E124" s="336"/>
      <c r="F124" s="336"/>
      <c r="G124" s="336"/>
      <c r="H124" s="336"/>
      <c r="I124" s="336"/>
      <c r="J124" s="336"/>
    </row>
    <row r="125" spans="5:10" x14ac:dyDescent="0.2">
      <c r="E125" s="336"/>
      <c r="F125" s="336"/>
      <c r="G125" s="336"/>
      <c r="H125" s="336"/>
      <c r="I125" s="336"/>
      <c r="J125" s="336"/>
    </row>
    <row r="126" spans="5:10" x14ac:dyDescent="0.2">
      <c r="E126" s="336"/>
      <c r="F126" s="336"/>
      <c r="G126" s="336"/>
      <c r="H126" s="336"/>
      <c r="I126" s="336"/>
      <c r="J126" s="336"/>
    </row>
    <row r="127" spans="5:10" x14ac:dyDescent="0.2">
      <c r="E127" s="336"/>
      <c r="F127" s="336"/>
      <c r="G127" s="336"/>
      <c r="H127" s="336"/>
      <c r="I127" s="336"/>
      <c r="J127" s="336"/>
    </row>
    <row r="128" spans="5:10" x14ac:dyDescent="0.2">
      <c r="E128" s="336"/>
      <c r="F128" s="336"/>
      <c r="G128" s="336"/>
      <c r="H128" s="336"/>
      <c r="I128" s="336"/>
      <c r="J128" s="336"/>
    </row>
    <row r="129" spans="5:10" x14ac:dyDescent="0.2">
      <c r="E129" s="336"/>
      <c r="F129" s="336"/>
      <c r="G129" s="336"/>
      <c r="H129" s="336"/>
      <c r="I129" s="336"/>
      <c r="J129" s="336"/>
    </row>
    <row r="130" spans="5:10" x14ac:dyDescent="0.2">
      <c r="E130" s="336"/>
      <c r="F130" s="336"/>
      <c r="G130" s="336"/>
      <c r="H130" s="336"/>
      <c r="I130" s="336"/>
      <c r="J130" s="336"/>
    </row>
    <row r="131" spans="5:10" x14ac:dyDescent="0.2">
      <c r="E131" s="336"/>
      <c r="F131" s="336"/>
      <c r="G131" s="336"/>
      <c r="H131" s="336"/>
      <c r="I131" s="336"/>
      <c r="J131" s="336"/>
    </row>
    <row r="132" spans="5:10" x14ac:dyDescent="0.2">
      <c r="E132" s="336"/>
      <c r="F132" s="336"/>
      <c r="G132" s="336"/>
      <c r="H132" s="336"/>
      <c r="I132" s="336"/>
      <c r="J132" s="336"/>
    </row>
  </sheetData>
  <sheetProtection selectLockedCells="1"/>
  <mergeCells count="295">
    <mergeCell ref="E18:F18"/>
    <mergeCell ref="G18:J18"/>
    <mergeCell ref="E19:F19"/>
    <mergeCell ref="G19:J19"/>
    <mergeCell ref="E14:F14"/>
    <mergeCell ref="G14:J14"/>
    <mergeCell ref="E15:F15"/>
    <mergeCell ref="A1:C4"/>
    <mergeCell ref="D1:G2"/>
    <mergeCell ref="D3:G4"/>
    <mergeCell ref="E13:F13"/>
    <mergeCell ref="G13:J13"/>
    <mergeCell ref="E17:F17"/>
    <mergeCell ref="E11:F11"/>
    <mergeCell ref="G11:J11"/>
    <mergeCell ref="E12:F12"/>
    <mergeCell ref="G12:J12"/>
    <mergeCell ref="E9:F9"/>
    <mergeCell ref="E10:F10"/>
    <mergeCell ref="G9:J9"/>
    <mergeCell ref="G10:J10"/>
    <mergeCell ref="G16:J16"/>
    <mergeCell ref="G17:J17"/>
    <mergeCell ref="G15:J15"/>
    <mergeCell ref="E16:F16"/>
    <mergeCell ref="E22:F22"/>
    <mergeCell ref="E23:F23"/>
    <mergeCell ref="E24:F24"/>
    <mergeCell ref="G29:J29"/>
    <mergeCell ref="N1:N4"/>
    <mergeCell ref="H1:I1"/>
    <mergeCell ref="H2:I2"/>
    <mergeCell ref="H3:I3"/>
    <mergeCell ref="H4:I4"/>
    <mergeCell ref="G21:J21"/>
    <mergeCell ref="G25:J25"/>
    <mergeCell ref="G22:J22"/>
    <mergeCell ref="G23:J23"/>
    <mergeCell ref="G24:J24"/>
    <mergeCell ref="E28:F28"/>
    <mergeCell ref="G28:J28"/>
    <mergeCell ref="E21:F21"/>
    <mergeCell ref="E25:F25"/>
    <mergeCell ref="A6:J7"/>
    <mergeCell ref="A5:J5"/>
    <mergeCell ref="J1:J4"/>
    <mergeCell ref="E8:J8"/>
    <mergeCell ref="A8:D27"/>
    <mergeCell ref="G30:J30"/>
    <mergeCell ref="E20:F20"/>
    <mergeCell ref="G20:J20"/>
    <mergeCell ref="E26:F26"/>
    <mergeCell ref="G26:J26"/>
    <mergeCell ref="E27:F27"/>
    <mergeCell ref="G27:J27"/>
    <mergeCell ref="E52:F52"/>
    <mergeCell ref="E36:F36"/>
    <mergeCell ref="G46:J46"/>
    <mergeCell ref="G47:J47"/>
    <mergeCell ref="G36:J36"/>
    <mergeCell ref="G37:J37"/>
    <mergeCell ref="E46:F46"/>
    <mergeCell ref="E47:F47"/>
    <mergeCell ref="E34:F34"/>
    <mergeCell ref="G34:J34"/>
    <mergeCell ref="E35:F35"/>
    <mergeCell ref="G35:J35"/>
    <mergeCell ref="E38:F38"/>
    <mergeCell ref="G38:J38"/>
    <mergeCell ref="E31:F31"/>
    <mergeCell ref="G31:J31"/>
    <mergeCell ref="G32:J32"/>
    <mergeCell ref="G33:J33"/>
    <mergeCell ref="E33:F33"/>
    <mergeCell ref="E43:F43"/>
    <mergeCell ref="G43:J43"/>
    <mergeCell ref="G56:J56"/>
    <mergeCell ref="G44:J44"/>
    <mergeCell ref="E45:F45"/>
    <mergeCell ref="G45:J45"/>
    <mergeCell ref="E42:F42"/>
    <mergeCell ref="G42:J42"/>
    <mergeCell ref="E48:F48"/>
    <mergeCell ref="G48:J48"/>
    <mergeCell ref="E37:F37"/>
    <mergeCell ref="G39:J39"/>
    <mergeCell ref="G61:J61"/>
    <mergeCell ref="E40:F40"/>
    <mergeCell ref="G40:J40"/>
    <mergeCell ref="E41:F41"/>
    <mergeCell ref="G41:J41"/>
    <mergeCell ref="E54:F54"/>
    <mergeCell ref="G54:J54"/>
    <mergeCell ref="E55:F55"/>
    <mergeCell ref="G55:J55"/>
    <mergeCell ref="E57:F57"/>
    <mergeCell ref="E49:F49"/>
    <mergeCell ref="G59:J59"/>
    <mergeCell ref="E60:F60"/>
    <mergeCell ref="G60:J60"/>
    <mergeCell ref="G57:J57"/>
    <mergeCell ref="G58:J58"/>
    <mergeCell ref="E50:F50"/>
    <mergeCell ref="G50:J50"/>
    <mergeCell ref="E53:F53"/>
    <mergeCell ref="G53:J53"/>
    <mergeCell ref="G52:J52"/>
    <mergeCell ref="G49:J49"/>
    <mergeCell ref="G51:J51"/>
    <mergeCell ref="E61:F61"/>
    <mergeCell ref="G65:J65"/>
    <mergeCell ref="E66:F66"/>
    <mergeCell ref="G66:J66"/>
    <mergeCell ref="E67:F67"/>
    <mergeCell ref="G67:J67"/>
    <mergeCell ref="E62:F62"/>
    <mergeCell ref="G62:J62"/>
    <mergeCell ref="E63:F63"/>
    <mergeCell ref="G63:J63"/>
    <mergeCell ref="E64:F64"/>
    <mergeCell ref="E65:F65"/>
    <mergeCell ref="G64:J64"/>
    <mergeCell ref="G68:J68"/>
    <mergeCell ref="E69:F69"/>
    <mergeCell ref="G69:J69"/>
    <mergeCell ref="E70:F70"/>
    <mergeCell ref="G70:J70"/>
    <mergeCell ref="G76:J76"/>
    <mergeCell ref="G71:J71"/>
    <mergeCell ref="E72:F72"/>
    <mergeCell ref="G72:J72"/>
    <mergeCell ref="E73:F73"/>
    <mergeCell ref="G73:J73"/>
    <mergeCell ref="E71:F71"/>
    <mergeCell ref="G77:J77"/>
    <mergeCell ref="E78:F78"/>
    <mergeCell ref="G78:J78"/>
    <mergeCell ref="E79:F79"/>
    <mergeCell ref="G79:J79"/>
    <mergeCell ref="E74:F74"/>
    <mergeCell ref="G74:J74"/>
    <mergeCell ref="E75:F75"/>
    <mergeCell ref="G75:J75"/>
    <mergeCell ref="E76:F76"/>
    <mergeCell ref="E77:F77"/>
    <mergeCell ref="G80:J80"/>
    <mergeCell ref="E81:F81"/>
    <mergeCell ref="G81:J81"/>
    <mergeCell ref="E82:F82"/>
    <mergeCell ref="G82:J82"/>
    <mergeCell ref="G88:J88"/>
    <mergeCell ref="G83:J83"/>
    <mergeCell ref="E84:F84"/>
    <mergeCell ref="G84:J84"/>
    <mergeCell ref="E85:F85"/>
    <mergeCell ref="G85:J85"/>
    <mergeCell ref="E83:F83"/>
    <mergeCell ref="G89:J89"/>
    <mergeCell ref="E90:F90"/>
    <mergeCell ref="G90:J90"/>
    <mergeCell ref="E91:F91"/>
    <mergeCell ref="G91:J91"/>
    <mergeCell ref="E86:F86"/>
    <mergeCell ref="G86:J86"/>
    <mergeCell ref="E87:F87"/>
    <mergeCell ref="G87:J87"/>
    <mergeCell ref="E88:F88"/>
    <mergeCell ref="E89:F89"/>
    <mergeCell ref="G92:J92"/>
    <mergeCell ref="E93:F93"/>
    <mergeCell ref="G93:J93"/>
    <mergeCell ref="E94:F94"/>
    <mergeCell ref="G94:J94"/>
    <mergeCell ref="G100:J100"/>
    <mergeCell ref="G95:J95"/>
    <mergeCell ref="E96:F96"/>
    <mergeCell ref="G96:J96"/>
    <mergeCell ref="E97:F97"/>
    <mergeCell ref="G97:J97"/>
    <mergeCell ref="E95:F95"/>
    <mergeCell ref="G101:J101"/>
    <mergeCell ref="E102:F102"/>
    <mergeCell ref="G102:J102"/>
    <mergeCell ref="E103:F103"/>
    <mergeCell ref="G103:J103"/>
    <mergeCell ref="E98:F98"/>
    <mergeCell ref="G98:J98"/>
    <mergeCell ref="E99:F99"/>
    <mergeCell ref="G99:J99"/>
    <mergeCell ref="E100:F100"/>
    <mergeCell ref="E101:F101"/>
    <mergeCell ref="G104:J104"/>
    <mergeCell ref="E105:F105"/>
    <mergeCell ref="G105:J105"/>
    <mergeCell ref="E106:F106"/>
    <mergeCell ref="G106:J106"/>
    <mergeCell ref="E129:F129"/>
    <mergeCell ref="G129:J129"/>
    <mergeCell ref="E125:F125"/>
    <mergeCell ref="G125:J125"/>
    <mergeCell ref="E126:F126"/>
    <mergeCell ref="G126:J126"/>
    <mergeCell ref="E127:F127"/>
    <mergeCell ref="G127:J127"/>
    <mergeCell ref="E116:F116"/>
    <mergeCell ref="G116:J116"/>
    <mergeCell ref="E117:F117"/>
    <mergeCell ref="G117:J117"/>
    <mergeCell ref="E118:F118"/>
    <mergeCell ref="E128:F128"/>
    <mergeCell ref="G128:J128"/>
    <mergeCell ref="G118:J118"/>
    <mergeCell ref="G107:J107"/>
    <mergeCell ref="E108:F108"/>
    <mergeCell ref="G108:J108"/>
    <mergeCell ref="G109:J109"/>
    <mergeCell ref="G115:J115"/>
    <mergeCell ref="E112:F112"/>
    <mergeCell ref="G112:J112"/>
    <mergeCell ref="E122:F122"/>
    <mergeCell ref="G122:J122"/>
    <mergeCell ref="E113:F113"/>
    <mergeCell ref="E107:F107"/>
    <mergeCell ref="G113:J113"/>
    <mergeCell ref="E114:F114"/>
    <mergeCell ref="G114:J114"/>
    <mergeCell ref="E115:F115"/>
    <mergeCell ref="E110:F110"/>
    <mergeCell ref="G110:J110"/>
    <mergeCell ref="E111:F111"/>
    <mergeCell ref="G111:J111"/>
    <mergeCell ref="G132:J132"/>
    <mergeCell ref="G131:J131"/>
    <mergeCell ref="E119:F119"/>
    <mergeCell ref="G119:J119"/>
    <mergeCell ref="E120:F120"/>
    <mergeCell ref="G120:J120"/>
    <mergeCell ref="E121:F121"/>
    <mergeCell ref="G121:J121"/>
    <mergeCell ref="E131:F131"/>
    <mergeCell ref="E130:F130"/>
    <mergeCell ref="G130:J130"/>
    <mergeCell ref="E123:F123"/>
    <mergeCell ref="G123:J123"/>
    <mergeCell ref="E124:F124"/>
    <mergeCell ref="G124:J124"/>
    <mergeCell ref="E58:F58"/>
    <mergeCell ref="E44:F44"/>
    <mergeCell ref="E56:F56"/>
    <mergeCell ref="E59:F59"/>
    <mergeCell ref="E132:F132"/>
    <mergeCell ref="E104:F104"/>
    <mergeCell ref="E92:F92"/>
    <mergeCell ref="E80:F80"/>
    <mergeCell ref="E68:F68"/>
    <mergeCell ref="E109:F109"/>
    <mergeCell ref="C41:D41"/>
    <mergeCell ref="C29:D29"/>
    <mergeCell ref="C30:D30"/>
    <mergeCell ref="C31:D31"/>
    <mergeCell ref="C32:D32"/>
    <mergeCell ref="C52:D52"/>
    <mergeCell ref="C51:D51"/>
    <mergeCell ref="E51:F51"/>
    <mergeCell ref="E32:F32"/>
    <mergeCell ref="E30:F30"/>
    <mergeCell ref="E39:F39"/>
    <mergeCell ref="C48:D48"/>
    <mergeCell ref="C50:D50"/>
    <mergeCell ref="C49:D49"/>
    <mergeCell ref="E29:F29"/>
    <mergeCell ref="A28:A58"/>
    <mergeCell ref="B28:B42"/>
    <mergeCell ref="B43:B58"/>
    <mergeCell ref="C55:D55"/>
    <mergeCell ref="C56:D56"/>
    <mergeCell ref="C57:D57"/>
    <mergeCell ref="C58:D58"/>
    <mergeCell ref="C39:D39"/>
    <mergeCell ref="C53:D53"/>
    <mergeCell ref="C54:D54"/>
    <mergeCell ref="C28:D28"/>
    <mergeCell ref="C42:D42"/>
    <mergeCell ref="C43:D43"/>
    <mergeCell ref="C44:D44"/>
    <mergeCell ref="C45:D45"/>
    <mergeCell ref="C33:D33"/>
    <mergeCell ref="C34:D34"/>
    <mergeCell ref="C35:D35"/>
    <mergeCell ref="C38:D38"/>
    <mergeCell ref="C40:D40"/>
    <mergeCell ref="C36:D36"/>
    <mergeCell ref="C37:D37"/>
    <mergeCell ref="C46:D46"/>
    <mergeCell ref="C47:D47"/>
  </mergeCells>
  <pageMargins left="0.25" right="0.25" top="0.75" bottom="0.75" header="0.3" footer="0.3"/>
  <pageSetup paperSize="258" scale="7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S71"/>
  <sheetViews>
    <sheetView zoomScale="70" zoomScaleNormal="70" workbookViewId="0">
      <selection activeCell="C4" sqref="C4:AM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8" width="35" style="1" customWidth="1"/>
    <col min="9" max="9" width="18.140625" style="5" customWidth="1"/>
    <col min="10" max="10" width="14.28515625" style="1" customWidth="1"/>
    <col min="11" max="11" width="12" style="1" customWidth="1"/>
    <col min="12" max="12" width="6.28515625" style="1" bestFit="1" customWidth="1"/>
    <col min="13" max="13" width="24.42578125" style="1" bestFit="1" customWidth="1"/>
    <col min="14" max="14" width="28.28515625" style="1" hidden="1" customWidth="1"/>
    <col min="15" max="15" width="17.5703125" style="1" customWidth="1"/>
    <col min="16" max="16" width="6.28515625" style="1" bestFit="1" customWidth="1"/>
    <col min="17" max="17" width="16" style="1" customWidth="1"/>
    <col min="18" max="18" width="5.85546875" style="1" customWidth="1"/>
    <col min="19" max="19" width="59.28515625" style="1" customWidth="1"/>
    <col min="20" max="20" width="15.140625" style="1" bestFit="1" customWidth="1"/>
    <col min="21" max="21" width="6.85546875" style="1" customWidth="1"/>
    <col min="22" max="22" width="5" style="1" customWidth="1"/>
    <col min="23" max="23" width="5.5703125" style="1" customWidth="1"/>
    <col min="24" max="24" width="7.140625" style="1" customWidth="1"/>
    <col min="25" max="25" width="6.7109375" style="1" customWidth="1"/>
    <col min="26" max="26" width="4.7109375" style="1" bestFit="1" customWidth="1"/>
    <col min="27" max="27" width="38.5703125" style="1" bestFit="1" customWidth="1"/>
    <col min="28" max="28" width="8.7109375" style="1" customWidth="1"/>
    <col min="29" max="29" width="10.42578125" style="1" customWidth="1"/>
    <col min="30" max="30" width="9.28515625" style="1" customWidth="1"/>
    <col min="31" max="31" width="9.140625" style="1" customWidth="1"/>
    <col min="32" max="32" width="8.42578125" style="1" customWidth="1"/>
    <col min="33" max="33" width="7.28515625" style="1" customWidth="1"/>
    <col min="34" max="34" width="46.7109375" style="1" customWidth="1"/>
    <col min="35" max="35" width="18.85546875" style="1" customWidth="1"/>
    <col min="36" max="36" width="16.85546875" style="1" customWidth="1"/>
    <col min="37" max="37" width="14.85546875" style="1" customWidth="1"/>
    <col min="38" max="38" width="18.5703125" style="1" customWidth="1"/>
    <col min="39" max="39" width="21" style="1" customWidth="1"/>
    <col min="40" max="16384" width="11.42578125" style="1"/>
  </cols>
  <sheetData>
    <row r="1" spans="1:71" ht="16.5" customHeight="1" x14ac:dyDescent="0.3">
      <c r="A1" s="408" t="s">
        <v>139</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10"/>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3">
      <c r="A2" s="411"/>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3"/>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3">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3">
      <c r="A4" s="419" t="s">
        <v>43</v>
      </c>
      <c r="B4" s="420"/>
      <c r="C4" s="406" t="s">
        <v>420</v>
      </c>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3">
      <c r="A5" s="419" t="s">
        <v>125</v>
      </c>
      <c r="B5" s="420"/>
      <c r="C5" s="407" t="s">
        <v>421</v>
      </c>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3">
      <c r="A6" s="419" t="s">
        <v>44</v>
      </c>
      <c r="B6" s="420"/>
      <c r="C6" s="407" t="s">
        <v>422</v>
      </c>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3">
      <c r="A7" s="414" t="s">
        <v>134</v>
      </c>
      <c r="B7" s="415"/>
      <c r="C7" s="416"/>
      <c r="D7" s="416"/>
      <c r="E7" s="416"/>
      <c r="F7" s="416"/>
      <c r="G7" s="416"/>
      <c r="H7" s="416"/>
      <c r="I7" s="416"/>
      <c r="J7" s="417"/>
      <c r="K7" s="418" t="s">
        <v>135</v>
      </c>
      <c r="L7" s="416"/>
      <c r="M7" s="416"/>
      <c r="N7" s="416"/>
      <c r="O7" s="416"/>
      <c r="P7" s="416"/>
      <c r="Q7" s="417"/>
      <c r="R7" s="418" t="s">
        <v>136</v>
      </c>
      <c r="S7" s="416"/>
      <c r="T7" s="416"/>
      <c r="U7" s="416"/>
      <c r="V7" s="416"/>
      <c r="W7" s="416"/>
      <c r="X7" s="416"/>
      <c r="Y7" s="416"/>
      <c r="Z7" s="417"/>
      <c r="AA7" s="418" t="s">
        <v>137</v>
      </c>
      <c r="AB7" s="416"/>
      <c r="AC7" s="416"/>
      <c r="AD7" s="416"/>
      <c r="AE7" s="416"/>
      <c r="AF7" s="416"/>
      <c r="AG7" s="417"/>
      <c r="AH7" s="418" t="s">
        <v>34</v>
      </c>
      <c r="AI7" s="416"/>
      <c r="AJ7" s="416"/>
      <c r="AK7" s="416"/>
      <c r="AL7" s="416"/>
      <c r="AM7" s="417"/>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3">
      <c r="A8" s="461" t="s">
        <v>0</v>
      </c>
      <c r="B8" s="471" t="s">
        <v>2</v>
      </c>
      <c r="C8" s="463" t="s">
        <v>3</v>
      </c>
      <c r="D8" s="463" t="s">
        <v>42</v>
      </c>
      <c r="E8" s="459" t="s">
        <v>203</v>
      </c>
      <c r="F8" s="464" t="s">
        <v>1</v>
      </c>
      <c r="G8" s="135"/>
      <c r="H8" s="135"/>
      <c r="I8" s="459" t="s">
        <v>50</v>
      </c>
      <c r="J8" s="463" t="s">
        <v>130</v>
      </c>
      <c r="K8" s="460" t="s">
        <v>33</v>
      </c>
      <c r="L8" s="469" t="s">
        <v>5</v>
      </c>
      <c r="M8" s="459" t="s">
        <v>86</v>
      </c>
      <c r="N8" s="459" t="s">
        <v>91</v>
      </c>
      <c r="O8" s="470" t="s">
        <v>45</v>
      </c>
      <c r="P8" s="469" t="s">
        <v>5</v>
      </c>
      <c r="Q8" s="463" t="s">
        <v>48</v>
      </c>
      <c r="R8" s="466" t="s">
        <v>11</v>
      </c>
      <c r="S8" s="458" t="s">
        <v>152</v>
      </c>
      <c r="T8" s="459" t="s">
        <v>12</v>
      </c>
      <c r="U8" s="458" t="s">
        <v>8</v>
      </c>
      <c r="V8" s="458"/>
      <c r="W8" s="458"/>
      <c r="X8" s="458"/>
      <c r="Y8" s="458"/>
      <c r="Z8" s="458"/>
      <c r="AA8" s="468" t="s">
        <v>133</v>
      </c>
      <c r="AB8" s="468" t="s">
        <v>46</v>
      </c>
      <c r="AC8" s="468" t="s">
        <v>5</v>
      </c>
      <c r="AD8" s="468" t="s">
        <v>47</v>
      </c>
      <c r="AE8" s="468" t="s">
        <v>5</v>
      </c>
      <c r="AF8" s="468" t="s">
        <v>49</v>
      </c>
      <c r="AG8" s="466" t="s">
        <v>29</v>
      </c>
      <c r="AH8" s="458" t="s">
        <v>34</v>
      </c>
      <c r="AI8" s="458" t="s">
        <v>35</v>
      </c>
      <c r="AJ8" s="458" t="s">
        <v>36</v>
      </c>
      <c r="AK8" s="458" t="s">
        <v>38</v>
      </c>
      <c r="AL8" s="458" t="s">
        <v>37</v>
      </c>
      <c r="AM8" s="458"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25">
      <c r="A9" s="462"/>
      <c r="B9" s="471"/>
      <c r="C9" s="458"/>
      <c r="D9" s="458"/>
      <c r="E9" s="460"/>
      <c r="F9" s="465"/>
      <c r="G9" s="135" t="s">
        <v>260</v>
      </c>
      <c r="H9" s="135" t="s">
        <v>204</v>
      </c>
      <c r="I9" s="463"/>
      <c r="J9" s="458"/>
      <c r="K9" s="463"/>
      <c r="L9" s="418"/>
      <c r="M9" s="463"/>
      <c r="N9" s="463"/>
      <c r="O9" s="418"/>
      <c r="P9" s="418"/>
      <c r="Q9" s="458"/>
      <c r="R9" s="467"/>
      <c r="S9" s="458"/>
      <c r="T9" s="463"/>
      <c r="U9" s="7" t="s">
        <v>13</v>
      </c>
      <c r="V9" s="7" t="s">
        <v>17</v>
      </c>
      <c r="W9" s="7" t="s">
        <v>28</v>
      </c>
      <c r="X9" s="7" t="s">
        <v>18</v>
      </c>
      <c r="Y9" s="7" t="s">
        <v>21</v>
      </c>
      <c r="Z9" s="7" t="s">
        <v>24</v>
      </c>
      <c r="AA9" s="468"/>
      <c r="AB9" s="468"/>
      <c r="AC9" s="468"/>
      <c r="AD9" s="468"/>
      <c r="AE9" s="468"/>
      <c r="AF9" s="468"/>
      <c r="AG9" s="467"/>
      <c r="AH9" s="458"/>
      <c r="AI9" s="458"/>
      <c r="AJ9" s="458"/>
      <c r="AK9" s="458"/>
      <c r="AL9" s="458"/>
      <c r="AM9" s="458"/>
      <c r="AN9" s="25"/>
      <c r="AO9" s="25"/>
      <c r="AP9" s="25" t="s">
        <v>430</v>
      </c>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62.6" customHeight="1" x14ac:dyDescent="0.25">
      <c r="A10" s="430">
        <v>1</v>
      </c>
      <c r="B10" s="472" t="s">
        <v>129</v>
      </c>
      <c r="C10" s="472" t="s">
        <v>429</v>
      </c>
      <c r="D10" s="475" t="s">
        <v>448</v>
      </c>
      <c r="E10" s="221" t="s">
        <v>417</v>
      </c>
      <c r="F10" s="478" t="s">
        <v>449</v>
      </c>
      <c r="G10" s="448" t="s">
        <v>419</v>
      </c>
      <c r="H10" s="491" t="s">
        <v>450</v>
      </c>
      <c r="I10" s="492" t="s">
        <v>118</v>
      </c>
      <c r="J10" s="495">
        <v>36</v>
      </c>
      <c r="K10" s="488" t="str">
        <f>IF(J10&lt;=0,"",IF(J10&lt;=2,"Muy Baja",IF(J10&lt;=24,"Baja",IF(J10&lt;=500,"Media",IF(J10&lt;=5000,"Alta","Muy Alta")))))</f>
        <v>Media</v>
      </c>
      <c r="L10" s="482">
        <f>IF(K10="","",IF(K10="Muy Baja",0.2,IF(K10="Baja",0.4,IF(K10="Media",0.6,IF(K10="Alta",0.8,IF(K10="Muy Alta",1,))))))</f>
        <v>0.6</v>
      </c>
      <c r="M10" s="485" t="s">
        <v>146</v>
      </c>
      <c r="N10" s="482"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88" t="str">
        <f>IF(OR(N10='Tabla Impacto'!$C$11,N10='Tabla Impacto'!$D$11),"Leve",IF(OR(N10='Tabla Impacto'!$C$12,N10='Tabla Impacto'!$D$12),"Menor",IF(OR(N10='Tabla Impacto'!$C$13,N10='Tabla Impacto'!$D$13),"Moderado",IF(OR(N10='Tabla Impacto'!$C$14,N10='Tabla Impacto'!$D$14),"Mayor",IF(OR(N10='Tabla Impacto'!$C$15,N10='Tabla Impacto'!$D$15),"Catastrófico","")))))</f>
        <v>Mayor</v>
      </c>
      <c r="P10" s="482">
        <f>IF(O10="","",IF(O10="Leve",0.2,IF(O10="Menor",0.4,IF(O10="Moderado",0.6,IF(O10="Mayor",0.8,IF(O10="Catastrófico",1,))))))</f>
        <v>0.8</v>
      </c>
      <c r="Q10" s="47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222" t="s">
        <v>457</v>
      </c>
      <c r="T10" s="107" t="str">
        <f>IF(OR(U10="Preventivo",U10="Detectivo"),"Probabilidad",IF(U10="Correctivo","Impacto",""))</f>
        <v>Impacto</v>
      </c>
      <c r="U10" s="113" t="s">
        <v>16</v>
      </c>
      <c r="V10" s="113" t="s">
        <v>9</v>
      </c>
      <c r="W10" s="114" t="str">
        <f>IF(AND(U10="Preventivo",V10="Automático"),"50%",IF(AND(U10="Preventivo",V10="Manual"),"40%",IF(AND(U10="Detectivo",V10="Automático"),"40%",IF(AND(U10="Detectivo",V10="Manual"),"30%",IF(AND(U10="Correctivo",V10="Automático"),"35%",IF(AND(U10="Correctivo",V10="Manual"),"25%",""))))))</f>
        <v>25%</v>
      </c>
      <c r="X10" s="113" t="s">
        <v>19</v>
      </c>
      <c r="Y10" s="113" t="s">
        <v>22</v>
      </c>
      <c r="Z10" s="113" t="s">
        <v>114</v>
      </c>
      <c r="AA10" s="108">
        <f>IFERROR(IF(T10="Probabilidad",(L10-(+L10*W10)),IF(T10="Impacto",L10,"")),"")</f>
        <v>0.6</v>
      </c>
      <c r="AB10" s="115" t="str">
        <f>IFERROR(IF(AA10="","",IF(AA10&lt;=0.2,"Muy Baja",IF(AA10&lt;=0.4,"Baja",IF(AA10&lt;=0.6,"Media",IF(AA10&lt;=0.8,"Alta","Muy Alta"))))),"")</f>
        <v>Media</v>
      </c>
      <c r="AC10" s="116">
        <f>+AA10</f>
        <v>0.6</v>
      </c>
      <c r="AD10" s="115" t="str">
        <f>IFERROR(IF(AE10="","",IF(AE10&lt;=0.2,"Leve",IF(AE10&lt;=0.4,"Menor",IF(AE10&lt;=0.6,"Moderado",IF(AE10&lt;=0.8,"Mayor","Catastrófico"))))),"")</f>
        <v>Moderado</v>
      </c>
      <c r="AE10" s="116">
        <f>IFERROR(IF(T10="Impacto",(P10-(+P10*W10)),IF(T10="Probabilidad",P10,"")),"")</f>
        <v>0.60000000000000009</v>
      </c>
      <c r="AF10" s="117"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18"/>
      <c r="AH10" s="225" t="s">
        <v>451</v>
      </c>
      <c r="AI10" s="225" t="s">
        <v>423</v>
      </c>
      <c r="AJ10" s="225" t="s">
        <v>424</v>
      </c>
      <c r="AK10" s="228">
        <v>45473</v>
      </c>
      <c r="AL10" s="225" t="s">
        <v>458</v>
      </c>
      <c r="AM10" s="229"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66.15" customHeight="1" x14ac:dyDescent="0.3">
      <c r="A11" s="431"/>
      <c r="B11" s="473"/>
      <c r="C11" s="473"/>
      <c r="D11" s="476"/>
      <c r="E11" s="221" t="s">
        <v>418</v>
      </c>
      <c r="F11" s="478"/>
      <c r="G11" s="449"/>
      <c r="H11" s="491"/>
      <c r="I11" s="493"/>
      <c r="J11" s="496"/>
      <c r="K11" s="489"/>
      <c r="L11" s="483"/>
      <c r="M11" s="486"/>
      <c r="N11" s="483">
        <f>IF(NOT(ISERROR(MATCH(M11,_xlfn.ANCHORARRAY(F21),0))),L23&amp;"Por favor no seleccionar los criterios de impacto",M11)</f>
        <v>0</v>
      </c>
      <c r="O11" s="489"/>
      <c r="P11" s="483"/>
      <c r="Q11" s="480"/>
      <c r="R11" s="105">
        <v>2</v>
      </c>
      <c r="S11" s="222" t="s">
        <v>459</v>
      </c>
      <c r="T11" s="107" t="str">
        <f>IF(OR(U11="Preventivo",U11="Detectivo"),"Probabilidad",IF(U11="Correctivo","Impacto",""))</f>
        <v>Impacto</v>
      </c>
      <c r="U11" s="113" t="s">
        <v>16</v>
      </c>
      <c r="V11" s="113" t="s">
        <v>9</v>
      </c>
      <c r="W11" s="114" t="str">
        <f t="shared" ref="W11" si="0">IF(AND(U11="Preventivo",V11="Automático"),"50%",IF(AND(U11="Preventivo",V11="Manual"),"40%",IF(AND(U11="Detectivo",V11="Automático"),"40%",IF(AND(U11="Detectivo",V11="Manual"),"30%",IF(AND(U11="Correctivo",V11="Automático"),"35%",IF(AND(U11="Correctivo",V11="Manual"),"25%",""))))))</f>
        <v>25%</v>
      </c>
      <c r="X11" s="113" t="s">
        <v>19</v>
      </c>
      <c r="Y11" s="113" t="s">
        <v>22</v>
      </c>
      <c r="Z11" s="113" t="s">
        <v>114</v>
      </c>
      <c r="AA11" s="108">
        <f>IFERROR(IF(AND(T10="Probabilidad",T11="Probabilidad"),(AC10-(+AC10*W11)),IF(AND(T10="Impacto",T11="Probabilidad"),(L10-(+L10*W11)),IF(T11="Impacto",AC10,""))),"")</f>
        <v>0.6</v>
      </c>
      <c r="AB11" s="115" t="str">
        <f t="shared" ref="AB11" si="1">IFERROR(IF(AA11="","",IF(AA11&lt;=0.2,"Muy Baja",IF(AA11&lt;=0.4,"Baja",IF(AA11&lt;=0.6,"Media",IF(AA11&lt;=0.8,"Alta","Muy Alta"))))),"")</f>
        <v>Media</v>
      </c>
      <c r="AC11" s="116">
        <f>+AA11</f>
        <v>0.6</v>
      </c>
      <c r="AD11" s="115" t="str">
        <f t="shared" ref="AD11" si="2">IFERROR(IF(AE11="","",IF(AE11&lt;=0.2,"Leve",IF(AE11&lt;=0.4,"Menor",IF(AE11&lt;=0.6,"Moderado",IF(AE11&lt;=0.8,"Mayor","Catastrófico"))))),"")</f>
        <v>Moderado</v>
      </c>
      <c r="AE11" s="116">
        <f>IFERROR(IF(AND(T10="Impacto",T11="Impacto"),(AE10-(+AE10*W11)),IF(AND(T10="Probabilidad",T11="Impacto"),(P10-(+P10*W11)),IF(T11="Probabilidad",AE10,""))),"")</f>
        <v>0.45000000000000007</v>
      </c>
      <c r="AF11" s="117"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18"/>
      <c r="AH11" s="227" t="s">
        <v>453</v>
      </c>
      <c r="AI11" s="225" t="s">
        <v>454</v>
      </c>
      <c r="AJ11" s="225" t="s">
        <v>456</v>
      </c>
      <c r="AK11" s="228">
        <v>45565</v>
      </c>
      <c r="AL11" s="225" t="s">
        <v>460</v>
      </c>
      <c r="AM11" s="229"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207.6" customHeight="1" x14ac:dyDescent="0.3">
      <c r="A12" s="431"/>
      <c r="B12" s="473"/>
      <c r="C12" s="473"/>
      <c r="D12" s="476"/>
      <c r="E12" s="221" t="s">
        <v>461</v>
      </c>
      <c r="F12" s="478"/>
      <c r="G12" s="449"/>
      <c r="H12" s="491"/>
      <c r="I12" s="493"/>
      <c r="J12" s="496"/>
      <c r="K12" s="489"/>
      <c r="L12" s="483"/>
      <c r="M12" s="486"/>
      <c r="N12" s="483">
        <f>IF(NOT(ISERROR(MATCH(M12,_xlfn.ANCHORARRAY(F22),0))),L24&amp;"Por favor no seleccionar los criterios de impacto",M12)</f>
        <v>0</v>
      </c>
      <c r="O12" s="489"/>
      <c r="P12" s="483"/>
      <c r="Q12" s="480"/>
      <c r="R12" s="105">
        <v>3</v>
      </c>
      <c r="S12" s="223" t="s">
        <v>462</v>
      </c>
      <c r="T12" s="107" t="s">
        <v>2</v>
      </c>
      <c r="U12" s="113" t="s">
        <v>16</v>
      </c>
      <c r="V12" s="113" t="s">
        <v>9</v>
      </c>
      <c r="W12" s="114" t="str">
        <f t="shared" ref="W12:W14" si="4">IF(AND(U12="Preventivo",V12="Automático"),"50%",IF(AND(U12="Preventivo",V12="Manual"),"40%",IF(AND(U12="Detectivo",V12="Automático"),"40%",IF(AND(U12="Detectivo",V12="Manual"),"30%",IF(AND(U12="Correctivo",V12="Automático"),"35%",IF(AND(U12="Correctivo",V12="Manual"),"25%",""))))))</f>
        <v>25%</v>
      </c>
      <c r="X12" s="113" t="s">
        <v>20</v>
      </c>
      <c r="Y12" s="113" t="s">
        <v>23</v>
      </c>
      <c r="Z12" s="113" t="s">
        <v>115</v>
      </c>
      <c r="AA12" s="108">
        <f>IFERROR(IF(AND(T11="Probabilidad",T12="Probabilidad"),(AC11-(+AC11*W12)),IF(AND(T11="Impacto",T12="Probabilidad"),(AC10-(+AC10*W12)),IF(T12="Impacto",AC11,""))),"")</f>
        <v>0.6</v>
      </c>
      <c r="AB12" s="115" t="str">
        <f t="shared" ref="AB12:AB14" si="5">IFERROR(IF(AA12="","",IF(AA12&lt;=0.2,"Muy Baja",IF(AA12&lt;=0.4,"Baja",IF(AA12&lt;=0.6,"Media",IF(AA12&lt;=0.8,"Alta","Muy Alta"))))),"")</f>
        <v>Media</v>
      </c>
      <c r="AC12" s="116">
        <f t="shared" ref="AC12:AC14" si="6">+AA12</f>
        <v>0.6</v>
      </c>
      <c r="AD12" s="115" t="str">
        <f t="shared" ref="AD12:AD14" si="7">IFERROR(IF(AE12="","",IF(AE12&lt;=0.2,"Leve",IF(AE12&lt;=0.4,"Menor",IF(AE12&lt;=0.6,"Moderado",IF(AE12&lt;=0.8,"Mayor","Catastrófico"))))),"")</f>
        <v>Menor</v>
      </c>
      <c r="AE12" s="116">
        <f t="shared" ref="AE12:AE13" si="8">IFERROR(IF(AND(T11="Impacto",T12="Impacto"),(AE11-(+AE11*W12)),IF(AND(T11="Probabilidad",T12="Impacto"),(AE10-(+AE10*W12)),IF(T12="Probabilidad",AE11,""))),"")</f>
        <v>0.33750000000000002</v>
      </c>
      <c r="AF12" s="117" t="str">
        <f t="shared" ref="AF12:AF14" si="9">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18"/>
      <c r="AH12" s="226" t="s">
        <v>463</v>
      </c>
      <c r="AI12" s="227" t="s">
        <v>454</v>
      </c>
      <c r="AJ12" s="230" t="s">
        <v>455</v>
      </c>
      <c r="AK12" s="228">
        <v>45565</v>
      </c>
      <c r="AL12" s="227" t="s">
        <v>464</v>
      </c>
      <c r="AM12" s="229" t="s">
        <v>41</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66.15" customHeight="1" x14ac:dyDescent="0.3">
      <c r="A13" s="431"/>
      <c r="B13" s="473"/>
      <c r="C13" s="473"/>
      <c r="D13" s="476"/>
      <c r="E13" s="231"/>
      <c r="F13" s="478"/>
      <c r="G13" s="449"/>
      <c r="H13" s="491"/>
      <c r="I13" s="493"/>
      <c r="J13" s="496"/>
      <c r="K13" s="489"/>
      <c r="L13" s="483"/>
      <c r="M13" s="486"/>
      <c r="N13" s="483">
        <f>IF(NOT(ISERROR(MATCH(M13,_xlfn.ANCHORARRAY(F23),0))),L25&amp;"Por favor no seleccionar los criterios de impacto",M13)</f>
        <v>0</v>
      </c>
      <c r="O13" s="489"/>
      <c r="P13" s="483"/>
      <c r="Q13" s="480"/>
      <c r="R13" s="105">
        <v>4</v>
      </c>
      <c r="S13" s="224"/>
      <c r="T13" s="107" t="str">
        <f t="shared" ref="T13:T14" si="10">IF(OR(U13="Preventivo",U13="Detectivo"),"Probabilidad",IF(U13="Correctivo","Impacto",""))</f>
        <v>Probabilidad</v>
      </c>
      <c r="U13" s="113" t="s">
        <v>15</v>
      </c>
      <c r="V13" s="113" t="s">
        <v>9</v>
      </c>
      <c r="W13" s="114" t="str">
        <f t="shared" si="4"/>
        <v>30%</v>
      </c>
      <c r="X13" s="113" t="s">
        <v>20</v>
      </c>
      <c r="Y13" s="113" t="s">
        <v>23</v>
      </c>
      <c r="Z13" s="113" t="s">
        <v>115</v>
      </c>
      <c r="AA13" s="108">
        <f t="shared" ref="AA13" si="11">IFERROR(IF(AND(T12="Probabilidad",T13="Probabilidad"),(AC12-(+AC12*W13)),IF(AND(T12="Impacto",T13="Probabilidad"),(AC11-(+AC11*W13)),IF(T13="Impacto",AC12,""))),"")</f>
        <v>0.42</v>
      </c>
      <c r="AB13" s="115" t="str">
        <f t="shared" si="5"/>
        <v>Media</v>
      </c>
      <c r="AC13" s="116">
        <f t="shared" si="6"/>
        <v>0.42</v>
      </c>
      <c r="AD13" s="115" t="str">
        <f t="shared" si="7"/>
        <v>Menor</v>
      </c>
      <c r="AE13" s="116">
        <f t="shared" si="8"/>
        <v>0.33750000000000002</v>
      </c>
      <c r="AF13" s="117" t="str">
        <f t="shared" si="9"/>
        <v>Moderado</v>
      </c>
      <c r="AG13" s="118"/>
      <c r="AH13" s="109"/>
      <c r="AI13" s="227"/>
      <c r="AJ13" s="230"/>
      <c r="AK13" s="228"/>
      <c r="AL13" s="109"/>
      <c r="AM13" s="229"/>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57" customHeight="1" x14ac:dyDescent="0.3">
      <c r="A14" s="432"/>
      <c r="B14" s="474"/>
      <c r="C14" s="474"/>
      <c r="D14" s="477"/>
      <c r="E14" s="221"/>
      <c r="F14" s="478"/>
      <c r="G14" s="450"/>
      <c r="H14" s="491"/>
      <c r="I14" s="494"/>
      <c r="J14" s="497"/>
      <c r="K14" s="490"/>
      <c r="L14" s="484"/>
      <c r="M14" s="487"/>
      <c r="N14" s="484">
        <f>IF(NOT(ISERROR(MATCH(M14,_xlfn.ANCHORARRAY(F25),0))),L27&amp;"Por favor no seleccionar los criterios de impacto",M14)</f>
        <v>0</v>
      </c>
      <c r="O14" s="490"/>
      <c r="P14" s="484"/>
      <c r="Q14" s="481"/>
      <c r="R14" s="105">
        <v>6</v>
      </c>
      <c r="S14" s="106"/>
      <c r="T14" s="107" t="str">
        <f t="shared" si="10"/>
        <v/>
      </c>
      <c r="U14" s="113"/>
      <c r="V14" s="113"/>
      <c r="W14" s="114" t="str">
        <f t="shared" si="4"/>
        <v/>
      </c>
      <c r="X14" s="113"/>
      <c r="Y14" s="113"/>
      <c r="Z14" s="113"/>
      <c r="AA14" s="108" t="str">
        <f>IFERROR(IF(AND(#REF!="Probabilidad",T14="Probabilidad"),(#REF!-(+#REF!*W14)),IF(AND(#REF!="Impacto",T14="Probabilidad"),(AC13-(+AC13*W14)),IF(T14="Impacto",#REF!,""))),"")</f>
        <v/>
      </c>
      <c r="AB14" s="115" t="str">
        <f t="shared" si="5"/>
        <v/>
      </c>
      <c r="AC14" s="116" t="str">
        <f t="shared" si="6"/>
        <v/>
      </c>
      <c r="AD14" s="115" t="str">
        <f t="shared" si="7"/>
        <v/>
      </c>
      <c r="AE14" s="116" t="str">
        <f>IFERROR(IF(AND(#REF!="Impacto",T14="Impacto"),(#REF!-(+#REF!*W14)),IF(AND(#REF!="Probabilidad",T14="Impacto"),(AE13-(+AE13*W14)),IF(T14="Probabilidad",#REF!,""))),"")</f>
        <v/>
      </c>
      <c r="AF14" s="117" t="str">
        <f t="shared" si="9"/>
        <v/>
      </c>
      <c r="AG14" s="118"/>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71.25" customHeight="1" x14ac:dyDescent="0.3">
      <c r="A15" s="430">
        <v>2</v>
      </c>
      <c r="B15" s="433"/>
      <c r="C15" s="433"/>
      <c r="D15" s="451"/>
      <c r="E15" s="136"/>
      <c r="F15" s="454"/>
      <c r="G15" s="448"/>
      <c r="H15" s="137"/>
      <c r="I15" s="455"/>
      <c r="J15" s="439"/>
      <c r="K15" s="442" t="str">
        <f>IF(J15&lt;=0,"",IF(J15&lt;=2,"Muy Baja",IF(J15&lt;=24,"Baja",IF(J15&lt;=500,"Media",IF(J15&lt;=5000,"Alta","Muy Alta")))))</f>
        <v/>
      </c>
      <c r="L15" s="424" t="str">
        <f>IF(K15="","",IF(K15="Muy Baja",0.2,IF(K15="Baja",0.4,IF(K15="Media",0.6,IF(K15="Alta",0.8,IF(K15="Muy Alta",1,))))))</f>
        <v/>
      </c>
      <c r="M15" s="445"/>
      <c r="N15" s="424">
        <f>IF(NOT(ISERROR(MATCH(M15,'Tabla Impacto'!$B$221:$B$223,0))),'Tabla Impacto'!$F$223&amp;"Por favor no seleccionar los criterios de impacto(Afectación Económica o presupuestal y Pérdida Reputacional)",M15)</f>
        <v>0</v>
      </c>
      <c r="O15" s="442" t="str">
        <f>IF(OR(N15='Tabla Impacto'!$C$11,N15='Tabla Impacto'!$D$11),"Leve",IF(OR(N15='Tabla Impacto'!$C$12,N15='Tabla Impacto'!$D$12),"Menor",IF(OR(N15='Tabla Impacto'!$C$13,N15='Tabla Impacto'!$D$13),"Moderado",IF(OR(N15='Tabla Impacto'!$C$14,N15='Tabla Impacto'!$D$14),"Mayor",IF(OR(N15='Tabla Impacto'!$C$15,N15='Tabla Impacto'!$D$15),"Catastrófico","")))))</f>
        <v/>
      </c>
      <c r="P15" s="424" t="str">
        <f>IF(O15="","",IF(O15="Leve",0.2,IF(O15="Menor",0.4,IF(O15="Moderado",0.6,IF(O15="Mayor",0.8,IF(O15="Catastrófico",1,))))))</f>
        <v/>
      </c>
      <c r="Q15" s="427"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
      </c>
      <c r="R15" s="105">
        <v>1</v>
      </c>
      <c r="S15" s="106"/>
      <c r="T15" s="107" t="str">
        <f>IF(OR(U15="Preventivo",U15="Detectivo"),"Probabilidad",IF(U15="Correctivo","Impacto",""))</f>
        <v/>
      </c>
      <c r="U15" s="113"/>
      <c r="V15" s="113"/>
      <c r="W15" s="114" t="str">
        <f>IF(AND(U15="Preventivo",V15="Automático"),"50%",IF(AND(U15="Preventivo",V15="Manual"),"40%",IF(AND(U15="Detectivo",V15="Automático"),"40%",IF(AND(U15="Detectivo",V15="Manual"),"30%",IF(AND(U15="Correctivo",V15="Automático"),"35%",IF(AND(U15="Correctivo",V15="Manual"),"25%",""))))))</f>
        <v/>
      </c>
      <c r="X15" s="113"/>
      <c r="Y15" s="113"/>
      <c r="Z15" s="113"/>
      <c r="AA15" s="108" t="str">
        <f>IFERROR(IF(T15="Probabilidad",(L15-(+L15*W15)),IF(T15="Impacto",L15,"")),"")</f>
        <v/>
      </c>
      <c r="AB15" s="115" t="str">
        <f>IFERROR(IF(AA15="","",IF(AA15&lt;=0.2,"Muy Baja",IF(AA15&lt;=0.4,"Baja",IF(AA15&lt;=0.6,"Media",IF(AA15&lt;=0.8,"Alta","Muy Alta"))))),"")</f>
        <v/>
      </c>
      <c r="AC15" s="116" t="str">
        <f>+AA15</f>
        <v/>
      </c>
      <c r="AD15" s="115" t="str">
        <f>IFERROR(IF(AE15="","",IF(AE15&lt;=0.2,"Leve",IF(AE15&lt;=0.4,"Menor",IF(AE15&lt;=0.6,"Moderado",IF(AE15&lt;=0.8,"Mayor","Catastrófico"))))),"")</f>
        <v/>
      </c>
      <c r="AE15" s="116" t="str">
        <f>IFERROR(IF(T15="Impacto",(P15-(+P15*W15)),IF(T15="Probabilidad",P15,"")),"")</f>
        <v/>
      </c>
      <c r="AF15" s="117"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18"/>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30" customHeight="1" x14ac:dyDescent="0.3">
      <c r="A16" s="431"/>
      <c r="B16" s="434"/>
      <c r="C16" s="434"/>
      <c r="D16" s="452"/>
      <c r="E16" s="136"/>
      <c r="F16" s="454"/>
      <c r="G16" s="449"/>
      <c r="H16" s="137"/>
      <c r="I16" s="456"/>
      <c r="J16" s="440"/>
      <c r="K16" s="443"/>
      <c r="L16" s="425"/>
      <c r="M16" s="446"/>
      <c r="N16" s="425">
        <f>IF(NOT(ISERROR(MATCH(M16,_xlfn.ANCHORARRAY(F27),0))),L29&amp;"Por favor no seleccionar los criterios de impacto",M16)</f>
        <v>0</v>
      </c>
      <c r="O16" s="443"/>
      <c r="P16" s="425"/>
      <c r="Q16" s="428"/>
      <c r="R16" s="105">
        <v>2</v>
      </c>
      <c r="S16" s="106"/>
      <c r="T16" s="107" t="str">
        <f>IF(OR(U16="Preventivo",U16="Detectivo"),"Probabilidad",IF(U16="Correctivo","Impacto",""))</f>
        <v/>
      </c>
      <c r="U16" s="113"/>
      <c r="V16" s="113"/>
      <c r="W16" s="114" t="str">
        <f t="shared" ref="W16:W20" si="12">IF(AND(U16="Preventivo",V16="Automático"),"50%",IF(AND(U16="Preventivo",V16="Manual"),"40%",IF(AND(U16="Detectivo",V16="Automático"),"40%",IF(AND(U16="Detectivo",V16="Manual"),"30%",IF(AND(U16="Correctivo",V16="Automático"),"35%",IF(AND(U16="Correctivo",V16="Manual"),"25%",""))))))</f>
        <v/>
      </c>
      <c r="X16" s="113"/>
      <c r="Y16" s="113"/>
      <c r="Z16" s="113"/>
      <c r="AA16" s="108" t="str">
        <f>IFERROR(IF(AND(T15="Probabilidad",T16="Probabilidad"),(AC15-(+AC15*W16)),IF(AND(T15="Impacto",T16="Probabilidad"),(L15-(+L15*W16)),IF(T16="Impacto",AC15,""))),"")</f>
        <v/>
      </c>
      <c r="AB16" s="115" t="str">
        <f t="shared" ref="AB16:AB20" si="13">IFERROR(IF(AA16="","",IF(AA16&lt;=0.2,"Muy Baja",IF(AA16&lt;=0.4,"Baja",IF(AA16&lt;=0.6,"Media",IF(AA16&lt;=0.8,"Alta","Muy Alta"))))),"")</f>
        <v/>
      </c>
      <c r="AC16" s="116" t="str">
        <f>+AA16</f>
        <v/>
      </c>
      <c r="AD16" s="115" t="str">
        <f t="shared" ref="AD16:AD20" si="14">IFERROR(IF(AE16="","",IF(AE16&lt;=0.2,"Leve",IF(AE16&lt;=0.4,"Menor",IF(AE16&lt;=0.6,"Moderado",IF(AE16&lt;=0.8,"Mayor","Catastrófico"))))),"")</f>
        <v/>
      </c>
      <c r="AE16" s="116" t="str">
        <f>IFERROR(IF(AND(T15="Impacto",T16="Impacto"),(AE15-(+AE15*W16)),IF(AND(T15="Probabilidad",T16="Impacto"),(P15-(+P15*W16)),IF(T16="Probabilidad",AE15,""))),"")</f>
        <v/>
      </c>
      <c r="AF16" s="117" t="str">
        <f t="shared" ref="AF16:AF20" si="15">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8"/>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5.5" customHeight="1" x14ac:dyDescent="0.3">
      <c r="A17" s="431"/>
      <c r="B17" s="434"/>
      <c r="C17" s="434"/>
      <c r="D17" s="452"/>
      <c r="E17" s="136"/>
      <c r="F17" s="454"/>
      <c r="G17" s="449"/>
      <c r="H17" s="137"/>
      <c r="I17" s="456"/>
      <c r="J17" s="440"/>
      <c r="K17" s="443"/>
      <c r="L17" s="425"/>
      <c r="M17" s="446"/>
      <c r="N17" s="425">
        <f>IF(NOT(ISERROR(MATCH(M17,_xlfn.ANCHORARRAY(F28),0))),L30&amp;"Por favor no seleccionar los criterios de impacto",M17)</f>
        <v>0</v>
      </c>
      <c r="O17" s="443"/>
      <c r="P17" s="425"/>
      <c r="Q17" s="428"/>
      <c r="R17" s="105">
        <v>3</v>
      </c>
      <c r="S17" s="112"/>
      <c r="T17" s="107" t="str">
        <f t="shared" ref="T17:T20" si="16">IF(OR(U17="Preventivo",U17="Detectivo"),"Probabilidad",IF(U17="Correctivo","Impacto",""))</f>
        <v/>
      </c>
      <c r="U17" s="113"/>
      <c r="V17" s="113"/>
      <c r="W17" s="114" t="str">
        <f t="shared" si="12"/>
        <v/>
      </c>
      <c r="X17" s="113"/>
      <c r="Y17" s="113"/>
      <c r="Z17" s="113"/>
      <c r="AA17" s="108" t="str">
        <f>IFERROR(IF(AND(T16="Probabilidad",T17="Probabilidad"),(AC16-(+AC16*W17)),IF(AND(T16="Impacto",T17="Probabilidad"),(AC15-(+AC15*W17)),IF(T17="Impacto",AC16,""))),"")</f>
        <v/>
      </c>
      <c r="AB17" s="115" t="str">
        <f t="shared" si="13"/>
        <v/>
      </c>
      <c r="AC17" s="116" t="str">
        <f t="shared" ref="AC17:AC20" si="17">+AA17</f>
        <v/>
      </c>
      <c r="AD17" s="115" t="str">
        <f t="shared" si="14"/>
        <v/>
      </c>
      <c r="AE17" s="116" t="str">
        <f t="shared" ref="AE17:AE20" si="18">IFERROR(IF(AND(T16="Impacto",T17="Impacto"),(AE16-(+AE16*W17)),IF(AND(T16="Probabilidad",T17="Impacto"),(AE15-(+AE15*W17)),IF(T17="Probabilidad",AE16,""))),"")</f>
        <v/>
      </c>
      <c r="AF17" s="117" t="str">
        <f t="shared" si="15"/>
        <v/>
      </c>
      <c r="AG17" s="118"/>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x14ac:dyDescent="0.3">
      <c r="A18" s="431"/>
      <c r="B18" s="434"/>
      <c r="C18" s="434"/>
      <c r="D18" s="452"/>
      <c r="E18" s="136"/>
      <c r="F18" s="454"/>
      <c r="G18" s="449"/>
      <c r="H18" s="137"/>
      <c r="I18" s="456"/>
      <c r="J18" s="440"/>
      <c r="K18" s="443"/>
      <c r="L18" s="425"/>
      <c r="M18" s="446"/>
      <c r="N18" s="425">
        <f>IF(NOT(ISERROR(MATCH(M18,_xlfn.ANCHORARRAY(F29),0))),L31&amp;"Por favor no seleccionar los criterios de impacto",M18)</f>
        <v>0</v>
      </c>
      <c r="O18" s="443"/>
      <c r="P18" s="425"/>
      <c r="Q18" s="428"/>
      <c r="R18" s="105">
        <v>4</v>
      </c>
      <c r="S18" s="106"/>
      <c r="T18" s="107" t="str">
        <f t="shared" si="16"/>
        <v/>
      </c>
      <c r="U18" s="113"/>
      <c r="V18" s="113"/>
      <c r="W18" s="114" t="str">
        <f t="shared" si="12"/>
        <v/>
      </c>
      <c r="X18" s="113"/>
      <c r="Y18" s="113"/>
      <c r="Z18" s="113"/>
      <c r="AA18" s="108" t="str">
        <f t="shared" ref="AA18:AA20" si="19">IFERROR(IF(AND(T17="Probabilidad",T18="Probabilidad"),(AC17-(+AC17*W18)),IF(AND(T17="Impacto",T18="Probabilidad"),(AC16-(+AC16*W18)),IF(T18="Impacto",AC17,""))),"")</f>
        <v/>
      </c>
      <c r="AB18" s="115" t="str">
        <f t="shared" si="13"/>
        <v/>
      </c>
      <c r="AC18" s="116" t="str">
        <f t="shared" si="17"/>
        <v/>
      </c>
      <c r="AD18" s="115" t="str">
        <f t="shared" si="14"/>
        <v/>
      </c>
      <c r="AE18" s="116" t="str">
        <f t="shared" si="18"/>
        <v/>
      </c>
      <c r="AF18" s="117" t="str">
        <f t="shared" si="15"/>
        <v/>
      </c>
      <c r="AG18" s="118"/>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4" customHeight="1" x14ac:dyDescent="0.3">
      <c r="A19" s="431"/>
      <c r="B19" s="434"/>
      <c r="C19" s="434"/>
      <c r="D19" s="452"/>
      <c r="E19" s="136"/>
      <c r="F19" s="454"/>
      <c r="G19" s="449"/>
      <c r="H19" s="137"/>
      <c r="I19" s="456"/>
      <c r="J19" s="440"/>
      <c r="K19" s="443"/>
      <c r="L19" s="425"/>
      <c r="M19" s="446"/>
      <c r="N19" s="425">
        <f>IF(NOT(ISERROR(MATCH(M19,_xlfn.ANCHORARRAY(F30),0))),L32&amp;"Por favor no seleccionar los criterios de impacto",M19)</f>
        <v>0</v>
      </c>
      <c r="O19" s="443"/>
      <c r="P19" s="425"/>
      <c r="Q19" s="428"/>
      <c r="R19" s="105">
        <v>5</v>
      </c>
      <c r="S19" s="106"/>
      <c r="T19" s="107" t="str">
        <f t="shared" si="16"/>
        <v/>
      </c>
      <c r="U19" s="113"/>
      <c r="V19" s="113"/>
      <c r="W19" s="114" t="str">
        <f t="shared" si="12"/>
        <v/>
      </c>
      <c r="X19" s="113"/>
      <c r="Y19" s="113"/>
      <c r="Z19" s="113"/>
      <c r="AA19" s="108" t="str">
        <f t="shared" si="19"/>
        <v/>
      </c>
      <c r="AB19" s="115" t="str">
        <f t="shared" si="13"/>
        <v/>
      </c>
      <c r="AC19" s="116" t="str">
        <f t="shared" si="17"/>
        <v/>
      </c>
      <c r="AD19" s="115" t="str">
        <f t="shared" si="14"/>
        <v/>
      </c>
      <c r="AE19" s="116" t="str">
        <f t="shared" si="18"/>
        <v/>
      </c>
      <c r="AF19" s="117" t="str">
        <f t="shared" si="15"/>
        <v/>
      </c>
      <c r="AG19" s="118"/>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5.5" customHeight="1" x14ac:dyDescent="0.3">
      <c r="A20" s="432"/>
      <c r="B20" s="435"/>
      <c r="C20" s="435"/>
      <c r="D20" s="453"/>
      <c r="E20" s="136"/>
      <c r="F20" s="454"/>
      <c r="G20" s="450"/>
      <c r="H20" s="137"/>
      <c r="I20" s="457"/>
      <c r="J20" s="441"/>
      <c r="K20" s="444"/>
      <c r="L20" s="426"/>
      <c r="M20" s="447"/>
      <c r="N20" s="426">
        <f>IF(NOT(ISERROR(MATCH(M20,_xlfn.ANCHORARRAY(F31),0))),L33&amp;"Por favor no seleccionar los criterios de impacto",M20)</f>
        <v>0</v>
      </c>
      <c r="O20" s="444"/>
      <c r="P20" s="426"/>
      <c r="Q20" s="429"/>
      <c r="R20" s="105">
        <v>6</v>
      </c>
      <c r="S20" s="106"/>
      <c r="T20" s="107" t="str">
        <f t="shared" si="16"/>
        <v/>
      </c>
      <c r="U20" s="113"/>
      <c r="V20" s="113"/>
      <c r="W20" s="114" t="str">
        <f t="shared" si="12"/>
        <v/>
      </c>
      <c r="X20" s="113"/>
      <c r="Y20" s="113"/>
      <c r="Z20" s="113"/>
      <c r="AA20" s="108" t="str">
        <f t="shared" si="19"/>
        <v/>
      </c>
      <c r="AB20" s="115" t="str">
        <f t="shared" si="13"/>
        <v/>
      </c>
      <c r="AC20" s="116" t="str">
        <f t="shared" si="17"/>
        <v/>
      </c>
      <c r="AD20" s="115" t="str">
        <f t="shared" si="14"/>
        <v/>
      </c>
      <c r="AE20" s="116" t="str">
        <f t="shared" si="18"/>
        <v/>
      </c>
      <c r="AF20" s="117" t="str">
        <f t="shared" si="15"/>
        <v/>
      </c>
      <c r="AG20" s="118"/>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30.75" customHeight="1" x14ac:dyDescent="0.3">
      <c r="A21" s="430">
        <v>3</v>
      </c>
      <c r="B21" s="433"/>
      <c r="C21" s="433"/>
      <c r="D21" s="451"/>
      <c r="E21" s="136"/>
      <c r="F21" s="454"/>
      <c r="G21" s="448"/>
      <c r="H21" s="137"/>
      <c r="I21" s="455"/>
      <c r="J21" s="439"/>
      <c r="K21" s="442" t="str">
        <f t="shared" ref="K21" si="20">IF(J21&lt;=0,"",IF(J21&lt;=2,"Muy Baja",IF(J21&lt;=24,"Baja",IF(J21&lt;=500,"Media",IF(J21&lt;=5000,"Alta","Muy Alta")))))</f>
        <v/>
      </c>
      <c r="L21" s="424" t="str">
        <f t="shared" ref="L21" si="21">IF(K21="","",IF(K21="Muy Baja",0.2,IF(K21="Baja",0.4,IF(K21="Media",0.6,IF(K21="Alta",0.8,IF(K21="Muy Alta",1,))))))</f>
        <v/>
      </c>
      <c r="M21" s="445"/>
      <c r="N21" s="424">
        <f>IF(NOT(ISERROR(MATCH(M21,'Tabla Impacto'!$B$221:$B$223,0))),'Tabla Impacto'!$F$223&amp;"Por favor no seleccionar los criterios de impacto(Afectación Económica o presupuestal y Pérdida Reputacional)",M21)</f>
        <v>0</v>
      </c>
      <c r="O21" s="442" t="str">
        <f>IF(OR(N21='Tabla Impacto'!$C$11,N21='Tabla Impacto'!$D$11),"Leve",IF(OR(N21='Tabla Impacto'!$C$12,N21='Tabla Impacto'!$D$12),"Menor",IF(OR(N21='Tabla Impacto'!$C$13,N21='Tabla Impacto'!$D$13),"Moderado",IF(OR(N21='Tabla Impacto'!$C$14,N21='Tabla Impacto'!$D$14),"Mayor",IF(OR(N21='Tabla Impacto'!$C$15,N21='Tabla Impacto'!$D$15),"Catastrófico","")))))</f>
        <v/>
      </c>
      <c r="P21" s="424" t="str">
        <f t="shared" ref="P21" si="22">IF(O21="","",IF(O21="Leve",0.2,IF(O21="Menor",0.4,IF(O21="Moderado",0.6,IF(O21="Mayor",0.8,IF(O21="Catastrófico",1,))))))</f>
        <v/>
      </c>
      <c r="Q21" s="427" t="str">
        <f t="shared" ref="Q21" si="23">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
      </c>
      <c r="R21" s="105">
        <v>1</v>
      </c>
      <c r="S21" s="106"/>
      <c r="T21" s="107" t="str">
        <f>IF(OR(U21="Preventivo",U21="Detectivo"),"Probabilidad",IF(U21="Correctivo","Impacto",""))</f>
        <v/>
      </c>
      <c r="U21" s="113"/>
      <c r="V21" s="113"/>
      <c r="W21" s="114" t="str">
        <f>IF(AND(U21="Preventivo",V21="Automático"),"50%",IF(AND(U21="Preventivo",V21="Manual"),"40%",IF(AND(U21="Detectivo",V21="Automático"),"40%",IF(AND(U21="Detectivo",V21="Manual"),"30%",IF(AND(U21="Correctivo",V21="Automático"),"35%",IF(AND(U21="Correctivo",V21="Manual"),"25%",""))))))</f>
        <v/>
      </c>
      <c r="X21" s="113"/>
      <c r="Y21" s="113"/>
      <c r="Z21" s="113"/>
      <c r="AA21" s="108" t="str">
        <f>IFERROR(IF(T21="Probabilidad",(L21-(+L21*W21)),IF(T21="Impacto",L21,"")),"")</f>
        <v/>
      </c>
      <c r="AB21" s="115" t="str">
        <f>IFERROR(IF(AA21="","",IF(AA21&lt;=0.2,"Muy Baja",IF(AA21&lt;=0.4,"Baja",IF(AA21&lt;=0.6,"Media",IF(AA21&lt;=0.8,"Alta","Muy Alta"))))),"")</f>
        <v/>
      </c>
      <c r="AC21" s="116" t="str">
        <f>+AA21</f>
        <v/>
      </c>
      <c r="AD21" s="115" t="str">
        <f>IFERROR(IF(AE21="","",IF(AE21&lt;=0.2,"Leve",IF(AE21&lt;=0.4,"Menor",IF(AE21&lt;=0.6,"Moderado",IF(AE21&lt;=0.8,"Mayor","Catastrófico"))))),"")</f>
        <v/>
      </c>
      <c r="AE21" s="116" t="str">
        <f>IFERROR(IF(T21="Impacto",(P21-(+P21*W21)),IF(T21="Probabilidad",P21,"")),"")</f>
        <v/>
      </c>
      <c r="AF21" s="117"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18"/>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3">
      <c r="A22" s="431"/>
      <c r="B22" s="434"/>
      <c r="C22" s="434"/>
      <c r="D22" s="452"/>
      <c r="E22" s="136"/>
      <c r="F22" s="454"/>
      <c r="G22" s="449"/>
      <c r="H22" s="137"/>
      <c r="I22" s="456"/>
      <c r="J22" s="440"/>
      <c r="K22" s="443"/>
      <c r="L22" s="425"/>
      <c r="M22" s="446"/>
      <c r="N22" s="425">
        <f>IF(NOT(ISERROR(MATCH(M22,_xlfn.ANCHORARRAY(F33),0))),L35&amp;"Por favor no seleccionar los criterios de impacto",M22)</f>
        <v>0</v>
      </c>
      <c r="O22" s="443"/>
      <c r="P22" s="425"/>
      <c r="Q22" s="428"/>
      <c r="R22" s="105">
        <v>2</v>
      </c>
      <c r="S22" s="106"/>
      <c r="T22" s="107" t="str">
        <f>IF(OR(U22="Preventivo",U22="Detectivo"),"Probabilidad",IF(U22="Correctivo","Impacto",""))</f>
        <v/>
      </c>
      <c r="U22" s="113"/>
      <c r="V22" s="113"/>
      <c r="W22" s="114" t="str">
        <f t="shared" ref="W22:W26" si="24">IF(AND(U22="Preventivo",V22="Automático"),"50%",IF(AND(U22="Preventivo",V22="Manual"),"40%",IF(AND(U22="Detectivo",V22="Automático"),"40%",IF(AND(U22="Detectivo",V22="Manual"),"30%",IF(AND(U22="Correctivo",V22="Automático"),"35%",IF(AND(U22="Correctivo",V22="Manual"),"25%",""))))))</f>
        <v/>
      </c>
      <c r="X22" s="113"/>
      <c r="Y22" s="113"/>
      <c r="Z22" s="113"/>
      <c r="AA22" s="108" t="str">
        <f>IFERROR(IF(AND(T21="Probabilidad",T22="Probabilidad"),(AC21-(+AC21*W22)),IF(AND(T21="Impacto",T22="Probabilidad"),(L21-(+L21*W22)),IF(T22="Impacto",AC21,""))),"")</f>
        <v/>
      </c>
      <c r="AB22" s="115" t="str">
        <f t="shared" ref="AB22:AB26" si="25">IFERROR(IF(AA22="","",IF(AA22&lt;=0.2,"Muy Baja",IF(AA22&lt;=0.4,"Baja",IF(AA22&lt;=0.6,"Media",IF(AA22&lt;=0.8,"Alta","Muy Alta"))))),"")</f>
        <v/>
      </c>
      <c r="AC22" s="116" t="str">
        <f>+AA22</f>
        <v/>
      </c>
      <c r="AD22" s="115" t="str">
        <f t="shared" ref="AD22:AD26" si="26">IFERROR(IF(AE22="","",IF(AE22&lt;=0.2,"Leve",IF(AE22&lt;=0.4,"Menor",IF(AE22&lt;=0.6,"Moderado",IF(AE22&lt;=0.8,"Mayor","Catastrófico"))))),"")</f>
        <v/>
      </c>
      <c r="AE22" s="116" t="str">
        <f>IFERROR(IF(AND(T21="Impacto",T22="Impacto"),(AE21-(+AE21*W22)),IF(AND(T21="Probabilidad",T22="Impacto"),(P21-(+P21*W22)),IF(T22="Probabilidad",AE21,""))),"")</f>
        <v/>
      </c>
      <c r="AF22" s="117" t="str">
        <f t="shared" ref="AF22:AF26" si="27">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8"/>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3">
      <c r="A23" s="431"/>
      <c r="B23" s="434"/>
      <c r="C23" s="434"/>
      <c r="D23" s="452"/>
      <c r="E23" s="136"/>
      <c r="F23" s="454"/>
      <c r="G23" s="449"/>
      <c r="H23" s="137"/>
      <c r="I23" s="456"/>
      <c r="J23" s="440"/>
      <c r="K23" s="443"/>
      <c r="L23" s="425"/>
      <c r="M23" s="446"/>
      <c r="N23" s="425">
        <f>IF(NOT(ISERROR(MATCH(M23,_xlfn.ANCHORARRAY(F34),0))),L36&amp;"Por favor no seleccionar los criterios de impacto",M23)</f>
        <v>0</v>
      </c>
      <c r="O23" s="443"/>
      <c r="P23" s="425"/>
      <c r="Q23" s="428"/>
      <c r="R23" s="105">
        <v>3</v>
      </c>
      <c r="S23" s="112"/>
      <c r="T23" s="107" t="str">
        <f t="shared" ref="T23:T26" si="28">IF(OR(U23="Preventivo",U23="Detectivo"),"Probabilidad",IF(U23="Correctivo","Impacto",""))</f>
        <v/>
      </c>
      <c r="U23" s="113"/>
      <c r="V23" s="113"/>
      <c r="W23" s="114" t="str">
        <f t="shared" si="24"/>
        <v/>
      </c>
      <c r="X23" s="113"/>
      <c r="Y23" s="113"/>
      <c r="Z23" s="113"/>
      <c r="AA23" s="108" t="str">
        <f>IFERROR(IF(AND(T22="Probabilidad",T23="Probabilidad"),(AC22-(+AC22*W23)),IF(AND(T22="Impacto",T23="Probabilidad"),(AC21-(+AC21*W23)),IF(T23="Impacto",AC22,""))),"")</f>
        <v/>
      </c>
      <c r="AB23" s="115" t="str">
        <f t="shared" si="25"/>
        <v/>
      </c>
      <c r="AC23" s="116" t="str">
        <f t="shared" ref="AC23:AC26" si="29">+AA23</f>
        <v/>
      </c>
      <c r="AD23" s="115" t="str">
        <f t="shared" si="26"/>
        <v/>
      </c>
      <c r="AE23" s="116" t="str">
        <f t="shared" ref="AE23:AE26" si="30">IFERROR(IF(AND(T22="Impacto",T23="Impacto"),(AE22-(+AE22*W23)),IF(AND(T22="Probabilidad",T23="Impacto"),(AE21-(+AE21*W23)),IF(T23="Probabilidad",AE22,""))),"")</f>
        <v/>
      </c>
      <c r="AF23" s="117" t="str">
        <f t="shared" si="27"/>
        <v/>
      </c>
      <c r="AG23" s="118"/>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3">
      <c r="A24" s="431"/>
      <c r="B24" s="434"/>
      <c r="C24" s="434"/>
      <c r="D24" s="452"/>
      <c r="E24" s="136"/>
      <c r="F24" s="454"/>
      <c r="G24" s="449"/>
      <c r="H24" s="137"/>
      <c r="I24" s="456"/>
      <c r="J24" s="440"/>
      <c r="K24" s="443"/>
      <c r="L24" s="425"/>
      <c r="M24" s="446"/>
      <c r="N24" s="425">
        <f>IF(NOT(ISERROR(MATCH(M24,_xlfn.ANCHORARRAY(F35),0))),L37&amp;"Por favor no seleccionar los criterios de impacto",M24)</f>
        <v>0</v>
      </c>
      <c r="O24" s="443"/>
      <c r="P24" s="425"/>
      <c r="Q24" s="428"/>
      <c r="R24" s="105">
        <v>4</v>
      </c>
      <c r="S24" s="106"/>
      <c r="T24" s="107" t="str">
        <f t="shared" si="28"/>
        <v/>
      </c>
      <c r="U24" s="113"/>
      <c r="V24" s="113"/>
      <c r="W24" s="114" t="str">
        <f t="shared" si="24"/>
        <v/>
      </c>
      <c r="X24" s="113"/>
      <c r="Y24" s="113"/>
      <c r="Z24" s="113"/>
      <c r="AA24" s="108" t="str">
        <f t="shared" ref="AA24:AA26" si="31">IFERROR(IF(AND(T23="Probabilidad",T24="Probabilidad"),(AC23-(+AC23*W24)),IF(AND(T23="Impacto",T24="Probabilidad"),(AC22-(+AC22*W24)),IF(T24="Impacto",AC23,""))),"")</f>
        <v/>
      </c>
      <c r="AB24" s="115" t="str">
        <f t="shared" si="25"/>
        <v/>
      </c>
      <c r="AC24" s="116" t="str">
        <f t="shared" si="29"/>
        <v/>
      </c>
      <c r="AD24" s="115" t="str">
        <f t="shared" si="26"/>
        <v/>
      </c>
      <c r="AE24" s="116" t="str">
        <f t="shared" si="30"/>
        <v/>
      </c>
      <c r="AF24" s="117" t="str">
        <f t="shared" si="27"/>
        <v/>
      </c>
      <c r="AG24" s="118"/>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3">
      <c r="A25" s="431"/>
      <c r="B25" s="434"/>
      <c r="C25" s="434"/>
      <c r="D25" s="452"/>
      <c r="E25" s="136"/>
      <c r="F25" s="454"/>
      <c r="G25" s="449"/>
      <c r="H25" s="137"/>
      <c r="I25" s="456"/>
      <c r="J25" s="440"/>
      <c r="K25" s="443"/>
      <c r="L25" s="425"/>
      <c r="M25" s="446"/>
      <c r="N25" s="425">
        <f>IF(NOT(ISERROR(MATCH(M25,_xlfn.ANCHORARRAY(F36),0))),L38&amp;"Por favor no seleccionar los criterios de impacto",M25)</f>
        <v>0</v>
      </c>
      <c r="O25" s="443"/>
      <c r="P25" s="425"/>
      <c r="Q25" s="428"/>
      <c r="R25" s="105">
        <v>5</v>
      </c>
      <c r="S25" s="106"/>
      <c r="T25" s="107" t="str">
        <f t="shared" si="28"/>
        <v/>
      </c>
      <c r="U25" s="113"/>
      <c r="V25" s="113"/>
      <c r="W25" s="114" t="str">
        <f t="shared" si="24"/>
        <v/>
      </c>
      <c r="X25" s="113"/>
      <c r="Y25" s="113"/>
      <c r="Z25" s="113"/>
      <c r="AA25" s="108" t="str">
        <f t="shared" si="31"/>
        <v/>
      </c>
      <c r="AB25" s="115" t="str">
        <f t="shared" si="25"/>
        <v/>
      </c>
      <c r="AC25" s="116" t="str">
        <f t="shared" si="29"/>
        <v/>
      </c>
      <c r="AD25" s="115" t="str">
        <f t="shared" si="26"/>
        <v/>
      </c>
      <c r="AE25" s="116" t="str">
        <f t="shared" si="30"/>
        <v/>
      </c>
      <c r="AF25" s="117" t="str">
        <f t="shared" si="27"/>
        <v/>
      </c>
      <c r="AG25" s="118"/>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3">
      <c r="A26" s="432"/>
      <c r="B26" s="435"/>
      <c r="C26" s="435"/>
      <c r="D26" s="453"/>
      <c r="E26" s="136"/>
      <c r="F26" s="454"/>
      <c r="G26" s="450"/>
      <c r="H26" s="137"/>
      <c r="I26" s="457"/>
      <c r="J26" s="441"/>
      <c r="K26" s="444"/>
      <c r="L26" s="426"/>
      <c r="M26" s="447"/>
      <c r="N26" s="426">
        <f>IF(NOT(ISERROR(MATCH(M26,_xlfn.ANCHORARRAY(F37),0))),L39&amp;"Por favor no seleccionar los criterios de impacto",M26)</f>
        <v>0</v>
      </c>
      <c r="O26" s="444"/>
      <c r="P26" s="426"/>
      <c r="Q26" s="429"/>
      <c r="R26" s="105">
        <v>6</v>
      </c>
      <c r="S26" s="106"/>
      <c r="T26" s="107" t="str">
        <f t="shared" si="28"/>
        <v/>
      </c>
      <c r="U26" s="113"/>
      <c r="V26" s="113"/>
      <c r="W26" s="114" t="str">
        <f t="shared" si="24"/>
        <v/>
      </c>
      <c r="X26" s="113"/>
      <c r="Y26" s="113"/>
      <c r="Z26" s="113"/>
      <c r="AA26" s="108" t="str">
        <f t="shared" si="31"/>
        <v/>
      </c>
      <c r="AB26" s="115" t="str">
        <f t="shared" si="25"/>
        <v/>
      </c>
      <c r="AC26" s="116" t="str">
        <f t="shared" si="29"/>
        <v/>
      </c>
      <c r="AD26" s="115" t="str">
        <f t="shared" si="26"/>
        <v/>
      </c>
      <c r="AE26" s="116" t="str">
        <f t="shared" si="30"/>
        <v/>
      </c>
      <c r="AF26" s="117" t="str">
        <f t="shared" si="27"/>
        <v/>
      </c>
      <c r="AG26" s="118"/>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3">
      <c r="A27" s="430">
        <v>4</v>
      </c>
      <c r="B27" s="433"/>
      <c r="C27" s="433"/>
      <c r="D27" s="451"/>
      <c r="E27" s="136"/>
      <c r="F27" s="454"/>
      <c r="G27" s="448"/>
      <c r="H27" s="137"/>
      <c r="I27" s="455"/>
      <c r="J27" s="439"/>
      <c r="K27" s="442" t="str">
        <f t="shared" ref="K27" si="32">IF(J27&lt;=0,"",IF(J27&lt;=2,"Muy Baja",IF(J27&lt;=24,"Baja",IF(J27&lt;=500,"Media",IF(J27&lt;=5000,"Alta","Muy Alta")))))</f>
        <v/>
      </c>
      <c r="L27" s="424" t="str">
        <f t="shared" ref="L27" si="33">IF(K27="","",IF(K27="Muy Baja",0.2,IF(K27="Baja",0.4,IF(K27="Media",0.6,IF(K27="Alta",0.8,IF(K27="Muy Alta",1,))))))</f>
        <v/>
      </c>
      <c r="M27" s="445"/>
      <c r="N27" s="424">
        <f>IF(NOT(ISERROR(MATCH(M27,'Tabla Impacto'!$B$221:$B$223,0))),'Tabla Impacto'!$F$223&amp;"Por favor no seleccionar los criterios de impacto(Afectación Económica o presupuestal y Pérdida Reputacional)",M27)</f>
        <v>0</v>
      </c>
      <c r="O27" s="442" t="str">
        <f>IF(OR(N27='Tabla Impacto'!$C$11,N27='Tabla Impacto'!$D$11),"Leve",IF(OR(N27='Tabla Impacto'!$C$12,N27='Tabla Impacto'!$D$12),"Menor",IF(OR(N27='Tabla Impacto'!$C$13,N27='Tabla Impacto'!$D$13),"Moderado",IF(OR(N27='Tabla Impacto'!$C$14,N27='Tabla Impacto'!$D$14),"Mayor",IF(OR(N27='Tabla Impacto'!$C$15,N27='Tabla Impacto'!$D$15),"Catastrófico","")))))</f>
        <v/>
      </c>
      <c r="P27" s="424" t="str">
        <f t="shared" ref="P27" si="34">IF(O27="","",IF(O27="Leve",0.2,IF(O27="Menor",0.4,IF(O27="Moderado",0.6,IF(O27="Mayor",0.8,IF(O27="Catastrófico",1,))))))</f>
        <v/>
      </c>
      <c r="Q27" s="427" t="str">
        <f t="shared" ref="Q27" si="35">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
      </c>
      <c r="R27" s="105">
        <v>1</v>
      </c>
      <c r="S27" s="106"/>
      <c r="T27" s="107" t="str">
        <f>IF(OR(U27="Preventivo",U27="Detectivo"),"Probabilidad",IF(U27="Correctivo","Impacto",""))</f>
        <v/>
      </c>
      <c r="U27" s="113"/>
      <c r="V27" s="113"/>
      <c r="W27" s="114" t="str">
        <f>IF(AND(U27="Preventivo",V27="Automático"),"50%",IF(AND(U27="Preventivo",V27="Manual"),"40%",IF(AND(U27="Detectivo",V27="Automático"),"40%",IF(AND(U27="Detectivo",V27="Manual"),"30%",IF(AND(U27="Correctivo",V27="Automático"),"35%",IF(AND(U27="Correctivo",V27="Manual"),"25%",""))))))</f>
        <v/>
      </c>
      <c r="X27" s="113"/>
      <c r="Y27" s="113"/>
      <c r="Z27" s="113"/>
      <c r="AA27" s="108" t="str">
        <f>IFERROR(IF(T27="Probabilidad",(L27-(+L27*W27)),IF(T27="Impacto",L27,"")),"")</f>
        <v/>
      </c>
      <c r="AB27" s="115" t="str">
        <f>IFERROR(IF(AA27="","",IF(AA27&lt;=0.2,"Muy Baja",IF(AA27&lt;=0.4,"Baja",IF(AA27&lt;=0.6,"Media",IF(AA27&lt;=0.8,"Alta","Muy Alta"))))),"")</f>
        <v/>
      </c>
      <c r="AC27" s="116" t="str">
        <f>+AA27</f>
        <v/>
      </c>
      <c r="AD27" s="115" t="str">
        <f>IFERROR(IF(AE27="","",IF(AE27&lt;=0.2,"Leve",IF(AE27&lt;=0.4,"Menor",IF(AE27&lt;=0.6,"Moderado",IF(AE27&lt;=0.8,"Mayor","Catastrófico"))))),"")</f>
        <v/>
      </c>
      <c r="AE27" s="116" t="str">
        <f>IFERROR(IF(T27="Impacto",(P27-(+P27*W27)),IF(T27="Probabilidad",P27,"")),"")</f>
        <v/>
      </c>
      <c r="AF27" s="117"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8"/>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3">
      <c r="A28" s="431"/>
      <c r="B28" s="434"/>
      <c r="C28" s="434"/>
      <c r="D28" s="452"/>
      <c r="E28" s="136"/>
      <c r="F28" s="454"/>
      <c r="G28" s="449"/>
      <c r="H28" s="137"/>
      <c r="I28" s="456"/>
      <c r="J28" s="440"/>
      <c r="K28" s="443"/>
      <c r="L28" s="425"/>
      <c r="M28" s="446"/>
      <c r="N28" s="425">
        <f>IF(NOT(ISERROR(MATCH(M28,_xlfn.ANCHORARRAY(F39),0))),L41&amp;"Por favor no seleccionar los criterios de impacto",M28)</f>
        <v>0</v>
      </c>
      <c r="O28" s="443"/>
      <c r="P28" s="425"/>
      <c r="Q28" s="428"/>
      <c r="R28" s="105">
        <v>2</v>
      </c>
      <c r="S28" s="106"/>
      <c r="T28" s="107" t="str">
        <f>IF(OR(U28="Preventivo",U28="Detectivo"),"Probabilidad",IF(U28="Correctivo","Impacto",""))</f>
        <v/>
      </c>
      <c r="U28" s="113"/>
      <c r="V28" s="113"/>
      <c r="W28" s="114" t="str">
        <f t="shared" ref="W28:W32" si="36">IF(AND(U28="Preventivo",V28="Automático"),"50%",IF(AND(U28="Preventivo",V28="Manual"),"40%",IF(AND(U28="Detectivo",V28="Automático"),"40%",IF(AND(U28="Detectivo",V28="Manual"),"30%",IF(AND(U28="Correctivo",V28="Automático"),"35%",IF(AND(U28="Correctivo",V28="Manual"),"25%",""))))))</f>
        <v/>
      </c>
      <c r="X28" s="113"/>
      <c r="Y28" s="113"/>
      <c r="Z28" s="113"/>
      <c r="AA28" s="108" t="str">
        <f>IFERROR(IF(AND(T27="Probabilidad",T28="Probabilidad"),(AC27-(+AC27*W28)),IF(AND(T27="Impacto",T28="Probabilidad"),(L27-(+L27*W28)),IF(T28="Impacto",AC27,""))),"")</f>
        <v/>
      </c>
      <c r="AB28" s="115" t="str">
        <f t="shared" ref="AB28:AB32" si="37">IFERROR(IF(AA28="","",IF(AA28&lt;=0.2,"Muy Baja",IF(AA28&lt;=0.4,"Baja",IF(AA28&lt;=0.6,"Media",IF(AA28&lt;=0.8,"Alta","Muy Alta"))))),"")</f>
        <v/>
      </c>
      <c r="AC28" s="116" t="str">
        <f>+AA28</f>
        <v/>
      </c>
      <c r="AD28" s="115" t="str">
        <f t="shared" ref="AD28:AD32" si="38">IFERROR(IF(AE28="","",IF(AE28&lt;=0.2,"Leve",IF(AE28&lt;=0.4,"Menor",IF(AE28&lt;=0.6,"Moderado",IF(AE28&lt;=0.8,"Mayor","Catastrófico"))))),"")</f>
        <v/>
      </c>
      <c r="AE28" s="116" t="str">
        <f>IFERROR(IF(AND(T27="Impacto",T28="Impacto"),(AE27-(+AE27*W28)),IF(AND(T27="Probabilidad",T28="Impacto"),(P27-(+P27*W28)),IF(T28="Probabilidad",AE27,""))),"")</f>
        <v/>
      </c>
      <c r="AF28" s="117" t="str">
        <f t="shared" ref="AF28:AF32" si="39">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8"/>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3">
      <c r="A29" s="431"/>
      <c r="B29" s="434"/>
      <c r="C29" s="434"/>
      <c r="D29" s="452"/>
      <c r="E29" s="136"/>
      <c r="F29" s="454"/>
      <c r="G29" s="449"/>
      <c r="H29" s="137"/>
      <c r="I29" s="456"/>
      <c r="J29" s="440"/>
      <c r="K29" s="443"/>
      <c r="L29" s="425"/>
      <c r="M29" s="446"/>
      <c r="N29" s="425">
        <f>IF(NOT(ISERROR(MATCH(M29,_xlfn.ANCHORARRAY(F40),0))),L42&amp;"Por favor no seleccionar los criterios de impacto",M29)</f>
        <v>0</v>
      </c>
      <c r="O29" s="443"/>
      <c r="P29" s="425"/>
      <c r="Q29" s="428"/>
      <c r="R29" s="105">
        <v>3</v>
      </c>
      <c r="S29" s="112"/>
      <c r="T29" s="107" t="str">
        <f t="shared" ref="T29:T32" si="40">IF(OR(U29="Preventivo",U29="Detectivo"),"Probabilidad",IF(U29="Correctivo","Impacto",""))</f>
        <v/>
      </c>
      <c r="U29" s="113"/>
      <c r="V29" s="113"/>
      <c r="W29" s="114" t="str">
        <f t="shared" si="36"/>
        <v/>
      </c>
      <c r="X29" s="113"/>
      <c r="Y29" s="113"/>
      <c r="Z29" s="113"/>
      <c r="AA29" s="108" t="str">
        <f>IFERROR(IF(AND(T28="Probabilidad",T29="Probabilidad"),(AC28-(+AC28*W29)),IF(AND(T28="Impacto",T29="Probabilidad"),(AC27-(+AC27*W29)),IF(T29="Impacto",AC28,""))),"")</f>
        <v/>
      </c>
      <c r="AB29" s="115" t="str">
        <f t="shared" si="37"/>
        <v/>
      </c>
      <c r="AC29" s="116" t="str">
        <f t="shared" ref="AC29:AC32" si="41">+AA29</f>
        <v/>
      </c>
      <c r="AD29" s="115" t="str">
        <f t="shared" si="38"/>
        <v/>
      </c>
      <c r="AE29" s="116" t="str">
        <f t="shared" ref="AE29:AE32" si="42">IFERROR(IF(AND(T28="Impacto",T29="Impacto"),(AE28-(+AE28*W29)),IF(AND(T28="Probabilidad",T29="Impacto"),(AE27-(+AE27*W29)),IF(T29="Probabilidad",AE28,""))),"")</f>
        <v/>
      </c>
      <c r="AF29" s="117" t="str">
        <f t="shared" si="39"/>
        <v/>
      </c>
      <c r="AG29" s="118"/>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3">
      <c r="A30" s="431"/>
      <c r="B30" s="434"/>
      <c r="C30" s="434"/>
      <c r="D30" s="452"/>
      <c r="E30" s="136"/>
      <c r="F30" s="454"/>
      <c r="G30" s="449"/>
      <c r="H30" s="137"/>
      <c r="I30" s="456"/>
      <c r="J30" s="440"/>
      <c r="K30" s="443"/>
      <c r="L30" s="425"/>
      <c r="M30" s="446"/>
      <c r="N30" s="425">
        <f>IF(NOT(ISERROR(MATCH(M30,_xlfn.ANCHORARRAY(F41),0))),L43&amp;"Por favor no seleccionar los criterios de impacto",M30)</f>
        <v>0</v>
      </c>
      <c r="O30" s="443"/>
      <c r="P30" s="425"/>
      <c r="Q30" s="428"/>
      <c r="R30" s="105">
        <v>4</v>
      </c>
      <c r="S30" s="106"/>
      <c r="T30" s="107" t="str">
        <f t="shared" si="40"/>
        <v/>
      </c>
      <c r="U30" s="113"/>
      <c r="V30" s="113"/>
      <c r="W30" s="114" t="str">
        <f t="shared" si="36"/>
        <v/>
      </c>
      <c r="X30" s="113"/>
      <c r="Y30" s="113"/>
      <c r="Z30" s="113"/>
      <c r="AA30" s="108" t="str">
        <f t="shared" ref="AA30:AA32" si="43">IFERROR(IF(AND(T29="Probabilidad",T30="Probabilidad"),(AC29-(+AC29*W30)),IF(AND(T29="Impacto",T30="Probabilidad"),(AC28-(+AC28*W30)),IF(T30="Impacto",AC29,""))),"")</f>
        <v/>
      </c>
      <c r="AB30" s="115" t="str">
        <f t="shared" si="37"/>
        <v/>
      </c>
      <c r="AC30" s="116" t="str">
        <f t="shared" si="41"/>
        <v/>
      </c>
      <c r="AD30" s="115" t="str">
        <f t="shared" si="38"/>
        <v/>
      </c>
      <c r="AE30" s="116" t="str">
        <f t="shared" si="42"/>
        <v/>
      </c>
      <c r="AF30" s="117" t="str">
        <f t="shared" si="39"/>
        <v/>
      </c>
      <c r="AG30" s="118"/>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3">
      <c r="A31" s="431"/>
      <c r="B31" s="434"/>
      <c r="C31" s="434"/>
      <c r="D31" s="452"/>
      <c r="E31" s="136"/>
      <c r="F31" s="454"/>
      <c r="G31" s="449"/>
      <c r="H31" s="137"/>
      <c r="I31" s="456"/>
      <c r="J31" s="440"/>
      <c r="K31" s="443"/>
      <c r="L31" s="425"/>
      <c r="M31" s="446"/>
      <c r="N31" s="425">
        <f>IF(NOT(ISERROR(MATCH(M31,_xlfn.ANCHORARRAY(F42),0))),L44&amp;"Por favor no seleccionar los criterios de impacto",M31)</f>
        <v>0</v>
      </c>
      <c r="O31" s="443"/>
      <c r="P31" s="425"/>
      <c r="Q31" s="428"/>
      <c r="R31" s="105">
        <v>5</v>
      </c>
      <c r="S31" s="106"/>
      <c r="T31" s="107" t="str">
        <f t="shared" si="40"/>
        <v/>
      </c>
      <c r="U31" s="113"/>
      <c r="V31" s="113"/>
      <c r="W31" s="114" t="str">
        <f t="shared" si="36"/>
        <v/>
      </c>
      <c r="X31" s="113"/>
      <c r="Y31" s="113"/>
      <c r="Z31" s="113"/>
      <c r="AA31" s="108" t="str">
        <f t="shared" si="43"/>
        <v/>
      </c>
      <c r="AB31" s="115" t="str">
        <f t="shared" si="37"/>
        <v/>
      </c>
      <c r="AC31" s="116" t="str">
        <f t="shared" si="41"/>
        <v/>
      </c>
      <c r="AD31" s="115" t="str">
        <f t="shared" si="38"/>
        <v/>
      </c>
      <c r="AE31" s="116" t="str">
        <f t="shared" si="42"/>
        <v/>
      </c>
      <c r="AF31" s="117" t="str">
        <f t="shared" si="39"/>
        <v/>
      </c>
      <c r="AG31" s="118"/>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3">
      <c r="A32" s="432"/>
      <c r="B32" s="435"/>
      <c r="C32" s="435"/>
      <c r="D32" s="453"/>
      <c r="E32" s="136"/>
      <c r="F32" s="454"/>
      <c r="G32" s="450"/>
      <c r="H32" s="137"/>
      <c r="I32" s="457"/>
      <c r="J32" s="441"/>
      <c r="K32" s="444"/>
      <c r="L32" s="426"/>
      <c r="M32" s="447"/>
      <c r="N32" s="426">
        <f>IF(NOT(ISERROR(MATCH(M32,_xlfn.ANCHORARRAY(F43),0))),L45&amp;"Por favor no seleccionar los criterios de impacto",M32)</f>
        <v>0</v>
      </c>
      <c r="O32" s="444"/>
      <c r="P32" s="426"/>
      <c r="Q32" s="429"/>
      <c r="R32" s="105">
        <v>6</v>
      </c>
      <c r="S32" s="106"/>
      <c r="T32" s="107" t="str">
        <f t="shared" si="40"/>
        <v/>
      </c>
      <c r="U32" s="113"/>
      <c r="V32" s="113"/>
      <c r="W32" s="114" t="str">
        <f t="shared" si="36"/>
        <v/>
      </c>
      <c r="X32" s="113"/>
      <c r="Y32" s="113"/>
      <c r="Z32" s="113"/>
      <c r="AA32" s="108" t="str">
        <f t="shared" si="43"/>
        <v/>
      </c>
      <c r="AB32" s="115" t="str">
        <f t="shared" si="37"/>
        <v/>
      </c>
      <c r="AC32" s="116" t="str">
        <f t="shared" si="41"/>
        <v/>
      </c>
      <c r="AD32" s="115" t="str">
        <f t="shared" si="38"/>
        <v/>
      </c>
      <c r="AE32" s="116" t="str">
        <f t="shared" si="42"/>
        <v/>
      </c>
      <c r="AF32" s="117" t="str">
        <f t="shared" si="39"/>
        <v/>
      </c>
      <c r="AG32" s="118"/>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3">
      <c r="A33" s="430">
        <v>5</v>
      </c>
      <c r="B33" s="433"/>
      <c r="C33" s="433"/>
      <c r="D33" s="451"/>
      <c r="E33" s="136"/>
      <c r="F33" s="454"/>
      <c r="G33" s="448"/>
      <c r="H33" s="137"/>
      <c r="I33" s="455"/>
      <c r="J33" s="439"/>
      <c r="K33" s="442" t="str">
        <f t="shared" ref="K33" si="44">IF(J33&lt;=0,"",IF(J33&lt;=2,"Muy Baja",IF(J33&lt;=24,"Baja",IF(J33&lt;=500,"Media",IF(J33&lt;=5000,"Alta","Muy Alta")))))</f>
        <v/>
      </c>
      <c r="L33" s="424" t="str">
        <f t="shared" ref="L33" si="45">IF(K33="","",IF(K33="Muy Baja",0.2,IF(K33="Baja",0.4,IF(K33="Media",0.6,IF(K33="Alta",0.8,IF(K33="Muy Alta",1,))))))</f>
        <v/>
      </c>
      <c r="M33" s="445"/>
      <c r="N33" s="424">
        <f>IF(NOT(ISERROR(MATCH(M33,'Tabla Impacto'!$B$221:$B$223,0))),'Tabla Impacto'!$F$223&amp;"Por favor no seleccionar los criterios de impacto(Afectación Económica o presupuestal y Pérdida Reputacional)",M33)</f>
        <v>0</v>
      </c>
      <c r="O33" s="442" t="str">
        <f>IF(OR(N33='Tabla Impacto'!$C$11,N33='Tabla Impacto'!$D$11),"Leve",IF(OR(N33='Tabla Impacto'!$C$12,N33='Tabla Impacto'!$D$12),"Menor",IF(OR(N33='Tabla Impacto'!$C$13,N33='Tabla Impacto'!$D$13),"Moderado",IF(OR(N33='Tabla Impacto'!$C$14,N33='Tabla Impacto'!$D$14),"Mayor",IF(OR(N33='Tabla Impacto'!$C$15,N33='Tabla Impacto'!$D$15),"Catastrófico","")))))</f>
        <v/>
      </c>
      <c r="P33" s="424" t="str">
        <f t="shared" ref="P33" si="46">IF(O33="","",IF(O33="Leve",0.2,IF(O33="Menor",0.4,IF(O33="Moderado",0.6,IF(O33="Mayor",0.8,IF(O33="Catastrófico",1,))))))</f>
        <v/>
      </c>
      <c r="Q33" s="427" t="str">
        <f t="shared" ref="Q33" si="47">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
      </c>
      <c r="R33" s="105">
        <v>1</v>
      </c>
      <c r="S33" s="106"/>
      <c r="T33" s="107" t="str">
        <f>IF(OR(U33="Preventivo",U33="Detectivo"),"Probabilidad",IF(U33="Correctivo","Impacto",""))</f>
        <v/>
      </c>
      <c r="U33" s="113"/>
      <c r="V33" s="113"/>
      <c r="W33" s="114" t="str">
        <f>IF(AND(U33="Preventivo",V33="Automático"),"50%",IF(AND(U33="Preventivo",V33="Manual"),"40%",IF(AND(U33="Detectivo",V33="Automático"),"40%",IF(AND(U33="Detectivo",V33="Manual"),"30%",IF(AND(U33="Correctivo",V33="Automático"),"35%",IF(AND(U33="Correctivo",V33="Manual"),"25%",""))))))</f>
        <v/>
      </c>
      <c r="X33" s="113"/>
      <c r="Y33" s="113"/>
      <c r="Z33" s="113"/>
      <c r="AA33" s="108" t="str">
        <f>IFERROR(IF(T33="Probabilidad",(L33-(+L33*W33)),IF(T33="Impacto",L33,"")),"")</f>
        <v/>
      </c>
      <c r="AB33" s="115" t="str">
        <f>IFERROR(IF(AA33="","",IF(AA33&lt;=0.2,"Muy Baja",IF(AA33&lt;=0.4,"Baja",IF(AA33&lt;=0.6,"Media",IF(AA33&lt;=0.8,"Alta","Muy Alta"))))),"")</f>
        <v/>
      </c>
      <c r="AC33" s="116" t="str">
        <f>+AA33</f>
        <v/>
      </c>
      <c r="AD33" s="115" t="str">
        <f>IFERROR(IF(AE33="","",IF(AE33&lt;=0.2,"Leve",IF(AE33&lt;=0.4,"Menor",IF(AE33&lt;=0.6,"Moderado",IF(AE33&lt;=0.8,"Mayor","Catastrófico"))))),"")</f>
        <v/>
      </c>
      <c r="AE33" s="116" t="str">
        <f>IFERROR(IF(T33="Impacto",(P33-(+P33*W33)),IF(T33="Probabilidad",P33,"")),"")</f>
        <v/>
      </c>
      <c r="AF33" s="117"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18"/>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3">
      <c r="A34" s="431"/>
      <c r="B34" s="434"/>
      <c r="C34" s="434"/>
      <c r="D34" s="452"/>
      <c r="E34" s="136"/>
      <c r="F34" s="454"/>
      <c r="G34" s="449"/>
      <c r="H34" s="137"/>
      <c r="I34" s="456"/>
      <c r="J34" s="440"/>
      <c r="K34" s="443"/>
      <c r="L34" s="425"/>
      <c r="M34" s="446"/>
      <c r="N34" s="425">
        <f>IF(NOT(ISERROR(MATCH(M34,_xlfn.ANCHORARRAY(F45),0))),L47&amp;"Por favor no seleccionar los criterios de impacto",M34)</f>
        <v>0</v>
      </c>
      <c r="O34" s="443"/>
      <c r="P34" s="425"/>
      <c r="Q34" s="428"/>
      <c r="R34" s="105">
        <v>2</v>
      </c>
      <c r="S34" s="106"/>
      <c r="T34" s="107" t="str">
        <f>IF(OR(U34="Preventivo",U34="Detectivo"),"Probabilidad",IF(U34="Correctivo","Impacto",""))</f>
        <v/>
      </c>
      <c r="U34" s="113"/>
      <c r="V34" s="113"/>
      <c r="W34" s="114" t="str">
        <f t="shared" ref="W34:W38" si="48">IF(AND(U34="Preventivo",V34="Automático"),"50%",IF(AND(U34="Preventivo",V34="Manual"),"40%",IF(AND(U34="Detectivo",V34="Automático"),"40%",IF(AND(U34="Detectivo",V34="Manual"),"30%",IF(AND(U34="Correctivo",V34="Automático"),"35%",IF(AND(U34="Correctivo",V34="Manual"),"25%",""))))))</f>
        <v/>
      </c>
      <c r="X34" s="113"/>
      <c r="Y34" s="113"/>
      <c r="Z34" s="113"/>
      <c r="AA34" s="108" t="str">
        <f>IFERROR(IF(AND(T33="Probabilidad",T34="Probabilidad"),(AC33-(+AC33*W34)),IF(AND(T33="Impacto",T34="Probabilidad"),(L33-(+L33*W34)),IF(T34="Impacto",AC33,""))),"")</f>
        <v/>
      </c>
      <c r="AB34" s="115" t="str">
        <f t="shared" ref="AB34:AB38" si="49">IFERROR(IF(AA34="","",IF(AA34&lt;=0.2,"Muy Baja",IF(AA34&lt;=0.4,"Baja",IF(AA34&lt;=0.6,"Media",IF(AA34&lt;=0.8,"Alta","Muy Alta"))))),"")</f>
        <v/>
      </c>
      <c r="AC34" s="116" t="str">
        <f>+AA34</f>
        <v/>
      </c>
      <c r="AD34" s="115" t="str">
        <f t="shared" ref="AD34:AD38" si="50">IFERROR(IF(AE34="","",IF(AE34&lt;=0.2,"Leve",IF(AE34&lt;=0.4,"Menor",IF(AE34&lt;=0.6,"Moderado",IF(AE34&lt;=0.8,"Mayor","Catastrófico"))))),"")</f>
        <v/>
      </c>
      <c r="AE34" s="116" t="str">
        <f>IFERROR(IF(AND(T33="Impacto",T34="Impacto"),(AE33-(+AE33*W34)),IF(AND(T33="Probabilidad",T34="Impacto"),(P33-(+P33*W34)),IF(T34="Probabilidad",AE33,""))),"")</f>
        <v/>
      </c>
      <c r="AF34" s="117" t="str">
        <f t="shared" ref="AF34:AF38" si="51">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8"/>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3">
      <c r="A35" s="431"/>
      <c r="B35" s="434"/>
      <c r="C35" s="434"/>
      <c r="D35" s="452"/>
      <c r="E35" s="136"/>
      <c r="F35" s="454"/>
      <c r="G35" s="449"/>
      <c r="H35" s="137"/>
      <c r="I35" s="456"/>
      <c r="J35" s="440"/>
      <c r="K35" s="443"/>
      <c r="L35" s="425"/>
      <c r="M35" s="446"/>
      <c r="N35" s="425">
        <f>IF(NOT(ISERROR(MATCH(M35,_xlfn.ANCHORARRAY(F46),0))),L48&amp;"Por favor no seleccionar los criterios de impacto",M35)</f>
        <v>0</v>
      </c>
      <c r="O35" s="443"/>
      <c r="P35" s="425"/>
      <c r="Q35" s="428"/>
      <c r="R35" s="105">
        <v>3</v>
      </c>
      <c r="S35" s="112"/>
      <c r="T35" s="107" t="str">
        <f t="shared" ref="T35:T38" si="52">IF(OR(U35="Preventivo",U35="Detectivo"),"Probabilidad",IF(U35="Correctivo","Impacto",""))</f>
        <v/>
      </c>
      <c r="U35" s="113"/>
      <c r="V35" s="113"/>
      <c r="W35" s="114" t="str">
        <f t="shared" si="48"/>
        <v/>
      </c>
      <c r="X35" s="113"/>
      <c r="Y35" s="113"/>
      <c r="Z35" s="113"/>
      <c r="AA35" s="108" t="str">
        <f>IFERROR(IF(AND(T34="Probabilidad",T35="Probabilidad"),(AC34-(+AC34*W35)),IF(AND(T34="Impacto",T35="Probabilidad"),(AC33-(+AC33*W35)),IF(T35="Impacto",AC34,""))),"")</f>
        <v/>
      </c>
      <c r="AB35" s="115" t="str">
        <f t="shared" si="49"/>
        <v/>
      </c>
      <c r="AC35" s="116" t="str">
        <f t="shared" ref="AC35:AC38" si="53">+AA35</f>
        <v/>
      </c>
      <c r="AD35" s="115" t="str">
        <f t="shared" si="50"/>
        <v/>
      </c>
      <c r="AE35" s="116" t="str">
        <f t="shared" ref="AE35:AE38" si="54">IFERROR(IF(AND(T34="Impacto",T35="Impacto"),(AE34-(+AE34*W35)),IF(AND(T34="Probabilidad",T35="Impacto"),(AE33-(+AE33*W35)),IF(T35="Probabilidad",AE34,""))),"")</f>
        <v/>
      </c>
      <c r="AF35" s="117" t="str">
        <f t="shared" si="51"/>
        <v/>
      </c>
      <c r="AG35" s="118"/>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3">
      <c r="A36" s="431"/>
      <c r="B36" s="434"/>
      <c r="C36" s="434"/>
      <c r="D36" s="452"/>
      <c r="E36" s="136"/>
      <c r="F36" s="454"/>
      <c r="G36" s="449"/>
      <c r="H36" s="137"/>
      <c r="I36" s="456"/>
      <c r="J36" s="440"/>
      <c r="K36" s="443"/>
      <c r="L36" s="425"/>
      <c r="M36" s="446"/>
      <c r="N36" s="425">
        <f>IF(NOT(ISERROR(MATCH(M36,_xlfn.ANCHORARRAY(F47),0))),L49&amp;"Por favor no seleccionar los criterios de impacto",M36)</f>
        <v>0</v>
      </c>
      <c r="O36" s="443"/>
      <c r="P36" s="425"/>
      <c r="Q36" s="428"/>
      <c r="R36" s="105">
        <v>4</v>
      </c>
      <c r="S36" s="106"/>
      <c r="T36" s="107" t="str">
        <f t="shared" si="52"/>
        <v/>
      </c>
      <c r="U36" s="113"/>
      <c r="V36" s="113"/>
      <c r="W36" s="114" t="str">
        <f t="shared" si="48"/>
        <v/>
      </c>
      <c r="X36" s="113"/>
      <c r="Y36" s="113"/>
      <c r="Z36" s="113"/>
      <c r="AA36" s="108" t="str">
        <f t="shared" ref="AA36:AA38" si="55">IFERROR(IF(AND(T35="Probabilidad",T36="Probabilidad"),(AC35-(+AC35*W36)),IF(AND(T35="Impacto",T36="Probabilidad"),(AC34-(+AC34*W36)),IF(T36="Impacto",AC35,""))),"")</f>
        <v/>
      </c>
      <c r="AB36" s="115" t="str">
        <f t="shared" si="49"/>
        <v/>
      </c>
      <c r="AC36" s="116" t="str">
        <f t="shared" si="53"/>
        <v/>
      </c>
      <c r="AD36" s="115" t="str">
        <f t="shared" si="50"/>
        <v/>
      </c>
      <c r="AE36" s="116" t="str">
        <f t="shared" si="54"/>
        <v/>
      </c>
      <c r="AF36" s="117" t="str">
        <f t="shared" si="51"/>
        <v/>
      </c>
      <c r="AG36" s="118"/>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3">
      <c r="A37" s="431"/>
      <c r="B37" s="434"/>
      <c r="C37" s="434"/>
      <c r="D37" s="452"/>
      <c r="E37" s="136"/>
      <c r="F37" s="454"/>
      <c r="G37" s="449"/>
      <c r="H37" s="137"/>
      <c r="I37" s="456"/>
      <c r="J37" s="440"/>
      <c r="K37" s="443"/>
      <c r="L37" s="425"/>
      <c r="M37" s="446"/>
      <c r="N37" s="425">
        <f>IF(NOT(ISERROR(MATCH(M37,_xlfn.ANCHORARRAY(F48),0))),L50&amp;"Por favor no seleccionar los criterios de impacto",M37)</f>
        <v>0</v>
      </c>
      <c r="O37" s="443"/>
      <c r="P37" s="425"/>
      <c r="Q37" s="428"/>
      <c r="R37" s="105">
        <v>5</v>
      </c>
      <c r="S37" s="106"/>
      <c r="T37" s="107" t="str">
        <f t="shared" si="52"/>
        <v/>
      </c>
      <c r="U37" s="113"/>
      <c r="V37" s="113"/>
      <c r="W37" s="114" t="str">
        <f t="shared" si="48"/>
        <v/>
      </c>
      <c r="X37" s="113"/>
      <c r="Y37" s="113"/>
      <c r="Z37" s="113"/>
      <c r="AA37" s="108" t="str">
        <f t="shared" si="55"/>
        <v/>
      </c>
      <c r="AB37" s="115" t="str">
        <f t="shared" si="49"/>
        <v/>
      </c>
      <c r="AC37" s="116" t="str">
        <f t="shared" si="53"/>
        <v/>
      </c>
      <c r="AD37" s="115" t="str">
        <f t="shared" si="50"/>
        <v/>
      </c>
      <c r="AE37" s="116" t="str">
        <f t="shared" si="54"/>
        <v/>
      </c>
      <c r="AF37" s="117" t="str">
        <f t="shared" si="51"/>
        <v/>
      </c>
      <c r="AG37" s="118"/>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3">
      <c r="A38" s="432"/>
      <c r="B38" s="435"/>
      <c r="C38" s="435"/>
      <c r="D38" s="453"/>
      <c r="E38" s="136"/>
      <c r="F38" s="454"/>
      <c r="G38" s="450"/>
      <c r="H38" s="137"/>
      <c r="I38" s="457"/>
      <c r="J38" s="441"/>
      <c r="K38" s="444"/>
      <c r="L38" s="426"/>
      <c r="M38" s="447"/>
      <c r="N38" s="426">
        <f>IF(NOT(ISERROR(MATCH(M38,_xlfn.ANCHORARRAY(F49),0))),L51&amp;"Por favor no seleccionar los criterios de impacto",M38)</f>
        <v>0</v>
      </c>
      <c r="O38" s="444"/>
      <c r="P38" s="426"/>
      <c r="Q38" s="429"/>
      <c r="R38" s="105">
        <v>6</v>
      </c>
      <c r="S38" s="106"/>
      <c r="T38" s="107" t="str">
        <f t="shared" si="52"/>
        <v/>
      </c>
      <c r="U38" s="113"/>
      <c r="V38" s="113"/>
      <c r="W38" s="114" t="str">
        <f t="shared" si="48"/>
        <v/>
      </c>
      <c r="X38" s="113"/>
      <c r="Y38" s="113"/>
      <c r="Z38" s="113"/>
      <c r="AA38" s="108" t="str">
        <f t="shared" si="55"/>
        <v/>
      </c>
      <c r="AB38" s="115" t="str">
        <f t="shared" si="49"/>
        <v/>
      </c>
      <c r="AC38" s="116" t="str">
        <f t="shared" si="53"/>
        <v/>
      </c>
      <c r="AD38" s="115" t="str">
        <f t="shared" si="50"/>
        <v/>
      </c>
      <c r="AE38" s="116" t="str">
        <f t="shared" si="54"/>
        <v/>
      </c>
      <c r="AF38" s="117" t="str">
        <f t="shared" si="51"/>
        <v/>
      </c>
      <c r="AG38" s="118"/>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3">
      <c r="A39" s="430">
        <v>6</v>
      </c>
      <c r="B39" s="433"/>
      <c r="C39" s="433"/>
      <c r="D39" s="451"/>
      <c r="E39" s="136"/>
      <c r="F39" s="454"/>
      <c r="G39" s="448"/>
      <c r="H39" s="137"/>
      <c r="I39" s="455"/>
      <c r="J39" s="439"/>
      <c r="K39" s="442" t="str">
        <f t="shared" ref="K39" si="56">IF(J39&lt;=0,"",IF(J39&lt;=2,"Muy Baja",IF(J39&lt;=24,"Baja",IF(J39&lt;=500,"Media",IF(J39&lt;=5000,"Alta","Muy Alta")))))</f>
        <v/>
      </c>
      <c r="L39" s="424" t="str">
        <f t="shared" ref="L39" si="57">IF(K39="","",IF(K39="Muy Baja",0.2,IF(K39="Baja",0.4,IF(K39="Media",0.6,IF(K39="Alta",0.8,IF(K39="Muy Alta",1,))))))</f>
        <v/>
      </c>
      <c r="M39" s="445"/>
      <c r="N39" s="424">
        <f>IF(NOT(ISERROR(MATCH(M39,'Tabla Impacto'!$B$221:$B$223,0))),'Tabla Impacto'!$F$223&amp;"Por favor no seleccionar los criterios de impacto(Afectación Económica o presupuestal y Pérdida Reputacional)",M39)</f>
        <v>0</v>
      </c>
      <c r="O39" s="442" t="str">
        <f>IF(OR(N39='Tabla Impacto'!$C$11,N39='Tabla Impacto'!$D$11),"Leve",IF(OR(N39='Tabla Impacto'!$C$12,N39='Tabla Impacto'!$D$12),"Menor",IF(OR(N39='Tabla Impacto'!$C$13,N39='Tabla Impacto'!$D$13),"Moderado",IF(OR(N39='Tabla Impacto'!$C$14,N39='Tabla Impacto'!$D$14),"Mayor",IF(OR(N39='Tabla Impacto'!$C$15,N39='Tabla Impacto'!$D$15),"Catastrófico","")))))</f>
        <v/>
      </c>
      <c r="P39" s="424" t="str">
        <f t="shared" ref="P39" si="58">IF(O39="","",IF(O39="Leve",0.2,IF(O39="Menor",0.4,IF(O39="Moderado",0.6,IF(O39="Mayor",0.8,IF(O39="Catastrófico",1,))))))</f>
        <v/>
      </c>
      <c r="Q39" s="427" t="str">
        <f t="shared" ref="Q39" si="59">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
      </c>
      <c r="R39" s="105">
        <v>1</v>
      </c>
      <c r="S39" s="106"/>
      <c r="T39" s="107" t="str">
        <f>IF(OR(U39="Preventivo",U39="Detectivo"),"Probabilidad",IF(U39="Correctivo","Impacto",""))</f>
        <v/>
      </c>
      <c r="U39" s="113"/>
      <c r="V39" s="113"/>
      <c r="W39" s="114" t="str">
        <f>IF(AND(U39="Preventivo",V39="Automático"),"50%",IF(AND(U39="Preventivo",V39="Manual"),"40%",IF(AND(U39="Detectivo",V39="Automático"),"40%",IF(AND(U39="Detectivo",V39="Manual"),"30%",IF(AND(U39="Correctivo",V39="Automático"),"35%",IF(AND(U39="Correctivo",V39="Manual"),"25%",""))))))</f>
        <v/>
      </c>
      <c r="X39" s="113"/>
      <c r="Y39" s="113"/>
      <c r="Z39" s="113"/>
      <c r="AA39" s="108" t="str">
        <f>IFERROR(IF(T39="Probabilidad",(L39-(+L39*W39)),IF(T39="Impacto",L39,"")),"")</f>
        <v/>
      </c>
      <c r="AB39" s="115" t="str">
        <f>IFERROR(IF(AA39="","",IF(AA39&lt;=0.2,"Muy Baja",IF(AA39&lt;=0.4,"Baja",IF(AA39&lt;=0.6,"Media",IF(AA39&lt;=0.8,"Alta","Muy Alta"))))),"")</f>
        <v/>
      </c>
      <c r="AC39" s="116" t="str">
        <f>+AA39</f>
        <v/>
      </c>
      <c r="AD39" s="115" t="str">
        <f>IFERROR(IF(AE39="","",IF(AE39&lt;=0.2,"Leve",IF(AE39&lt;=0.4,"Menor",IF(AE39&lt;=0.6,"Moderado",IF(AE39&lt;=0.8,"Mayor","Catastrófico"))))),"")</f>
        <v/>
      </c>
      <c r="AE39" s="116" t="str">
        <f>IFERROR(IF(T39="Impacto",(P39-(+P39*W39)),IF(T39="Probabilidad",P39,"")),"")</f>
        <v/>
      </c>
      <c r="AF39" s="117"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8"/>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3">
      <c r="A40" s="431"/>
      <c r="B40" s="434"/>
      <c r="C40" s="434"/>
      <c r="D40" s="452"/>
      <c r="E40" s="136"/>
      <c r="F40" s="454"/>
      <c r="G40" s="449"/>
      <c r="H40" s="137"/>
      <c r="I40" s="456"/>
      <c r="J40" s="440"/>
      <c r="K40" s="443"/>
      <c r="L40" s="425"/>
      <c r="M40" s="446"/>
      <c r="N40" s="425">
        <f>IF(NOT(ISERROR(MATCH(M40,_xlfn.ANCHORARRAY(F51),0))),L53&amp;"Por favor no seleccionar los criterios de impacto",M40)</f>
        <v>0</v>
      </c>
      <c r="O40" s="443"/>
      <c r="P40" s="425"/>
      <c r="Q40" s="428"/>
      <c r="R40" s="105">
        <v>2</v>
      </c>
      <c r="S40" s="106"/>
      <c r="T40" s="107" t="str">
        <f>IF(OR(U40="Preventivo",U40="Detectivo"),"Probabilidad",IF(U40="Correctivo","Impacto",""))</f>
        <v/>
      </c>
      <c r="U40" s="113"/>
      <c r="V40" s="113"/>
      <c r="W40" s="114" t="str">
        <f t="shared" ref="W40:W44" si="60">IF(AND(U40="Preventivo",V40="Automático"),"50%",IF(AND(U40="Preventivo",V40="Manual"),"40%",IF(AND(U40="Detectivo",V40="Automático"),"40%",IF(AND(U40="Detectivo",V40="Manual"),"30%",IF(AND(U40="Correctivo",V40="Automático"),"35%",IF(AND(U40="Correctivo",V40="Manual"),"25%",""))))))</f>
        <v/>
      </c>
      <c r="X40" s="113"/>
      <c r="Y40" s="113"/>
      <c r="Z40" s="113"/>
      <c r="AA40" s="108" t="str">
        <f>IFERROR(IF(AND(T39="Probabilidad",T40="Probabilidad"),(AC39-(+AC39*W40)),IF(AND(T39="Impacto",T40="Probabilidad"),(L39-(+L39*W40)),IF(T40="Impacto",AC39,""))),"")</f>
        <v/>
      </c>
      <c r="AB40" s="115" t="str">
        <f t="shared" ref="AB40:AB44" si="61">IFERROR(IF(AA40="","",IF(AA40&lt;=0.2,"Muy Baja",IF(AA40&lt;=0.4,"Baja",IF(AA40&lt;=0.6,"Media",IF(AA40&lt;=0.8,"Alta","Muy Alta"))))),"")</f>
        <v/>
      </c>
      <c r="AC40" s="116" t="str">
        <f>+AA40</f>
        <v/>
      </c>
      <c r="AD40" s="115" t="str">
        <f t="shared" ref="AD40:AD44" si="62">IFERROR(IF(AE40="","",IF(AE40&lt;=0.2,"Leve",IF(AE40&lt;=0.4,"Menor",IF(AE40&lt;=0.6,"Moderado",IF(AE40&lt;=0.8,"Mayor","Catastrófico"))))),"")</f>
        <v/>
      </c>
      <c r="AE40" s="116" t="str">
        <f>IFERROR(IF(AND(T39="Impacto",T40="Impacto"),(AE39-(+AE39*W40)),IF(AND(T39="Probabilidad",T40="Impacto"),(P39-(+P39*W40)),IF(T40="Probabilidad",AE39,""))),"")</f>
        <v/>
      </c>
      <c r="AF40" s="117" t="str">
        <f t="shared" ref="AF40:AF44" si="63">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8"/>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3">
      <c r="A41" s="431"/>
      <c r="B41" s="434"/>
      <c r="C41" s="434"/>
      <c r="D41" s="452"/>
      <c r="E41" s="136"/>
      <c r="F41" s="454"/>
      <c r="G41" s="449"/>
      <c r="H41" s="137"/>
      <c r="I41" s="456"/>
      <c r="J41" s="440"/>
      <c r="K41" s="443"/>
      <c r="L41" s="425"/>
      <c r="M41" s="446"/>
      <c r="N41" s="425">
        <f>IF(NOT(ISERROR(MATCH(M41,_xlfn.ANCHORARRAY(F52),0))),L54&amp;"Por favor no seleccionar los criterios de impacto",M41)</f>
        <v>0</v>
      </c>
      <c r="O41" s="443"/>
      <c r="P41" s="425"/>
      <c r="Q41" s="428"/>
      <c r="R41" s="105">
        <v>3</v>
      </c>
      <c r="S41" s="112"/>
      <c r="T41" s="107" t="str">
        <f t="shared" ref="T41:T44" si="64">IF(OR(U41="Preventivo",U41="Detectivo"),"Probabilidad",IF(U41="Correctivo","Impacto",""))</f>
        <v/>
      </c>
      <c r="U41" s="113"/>
      <c r="V41" s="113"/>
      <c r="W41" s="114" t="str">
        <f t="shared" si="60"/>
        <v/>
      </c>
      <c r="X41" s="113"/>
      <c r="Y41" s="113"/>
      <c r="Z41" s="113"/>
      <c r="AA41" s="108" t="str">
        <f>IFERROR(IF(AND(T40="Probabilidad",T41="Probabilidad"),(AC40-(+AC40*W41)),IF(AND(T40="Impacto",T41="Probabilidad"),(AC39-(+AC39*W41)),IF(T41="Impacto",AC40,""))),"")</f>
        <v/>
      </c>
      <c r="AB41" s="115" t="str">
        <f t="shared" si="61"/>
        <v/>
      </c>
      <c r="AC41" s="116" t="str">
        <f t="shared" ref="AC41:AC44" si="65">+AA41</f>
        <v/>
      </c>
      <c r="AD41" s="115" t="str">
        <f t="shared" si="62"/>
        <v/>
      </c>
      <c r="AE41" s="116" t="str">
        <f t="shared" ref="AE41:AE44" si="66">IFERROR(IF(AND(T40="Impacto",T41="Impacto"),(AE40-(+AE40*W41)),IF(AND(T40="Probabilidad",T41="Impacto"),(AE39-(+AE39*W41)),IF(T41="Probabilidad",AE40,""))),"")</f>
        <v/>
      </c>
      <c r="AF41" s="117" t="str">
        <f t="shared" si="63"/>
        <v/>
      </c>
      <c r="AG41" s="118"/>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3">
      <c r="A42" s="431"/>
      <c r="B42" s="434"/>
      <c r="C42" s="434"/>
      <c r="D42" s="452"/>
      <c r="E42" s="136"/>
      <c r="F42" s="454"/>
      <c r="G42" s="449"/>
      <c r="H42" s="137"/>
      <c r="I42" s="456"/>
      <c r="J42" s="440"/>
      <c r="K42" s="443"/>
      <c r="L42" s="425"/>
      <c r="M42" s="446"/>
      <c r="N42" s="425">
        <f>IF(NOT(ISERROR(MATCH(M42,_xlfn.ANCHORARRAY(F53),0))),L55&amp;"Por favor no seleccionar los criterios de impacto",M42)</f>
        <v>0</v>
      </c>
      <c r="O42" s="443"/>
      <c r="P42" s="425"/>
      <c r="Q42" s="428"/>
      <c r="R42" s="105">
        <v>4</v>
      </c>
      <c r="S42" s="106"/>
      <c r="T42" s="107" t="str">
        <f t="shared" si="64"/>
        <v/>
      </c>
      <c r="U42" s="113"/>
      <c r="V42" s="113"/>
      <c r="W42" s="114" t="str">
        <f t="shared" si="60"/>
        <v/>
      </c>
      <c r="X42" s="113"/>
      <c r="Y42" s="113"/>
      <c r="Z42" s="113"/>
      <c r="AA42" s="108" t="str">
        <f t="shared" ref="AA42:AA44" si="67">IFERROR(IF(AND(T41="Probabilidad",T42="Probabilidad"),(AC41-(+AC41*W42)),IF(AND(T41="Impacto",T42="Probabilidad"),(AC40-(+AC40*W42)),IF(T42="Impacto",AC41,""))),"")</f>
        <v/>
      </c>
      <c r="AB42" s="115" t="str">
        <f t="shared" si="61"/>
        <v/>
      </c>
      <c r="AC42" s="116" t="str">
        <f t="shared" si="65"/>
        <v/>
      </c>
      <c r="AD42" s="115" t="str">
        <f t="shared" si="62"/>
        <v/>
      </c>
      <c r="AE42" s="116" t="str">
        <f t="shared" si="66"/>
        <v/>
      </c>
      <c r="AF42" s="117" t="str">
        <f t="shared" si="63"/>
        <v/>
      </c>
      <c r="AG42" s="118"/>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3">
      <c r="A43" s="431"/>
      <c r="B43" s="434"/>
      <c r="C43" s="434"/>
      <c r="D43" s="452"/>
      <c r="E43" s="136"/>
      <c r="F43" s="454"/>
      <c r="G43" s="449"/>
      <c r="H43" s="137"/>
      <c r="I43" s="456"/>
      <c r="J43" s="440"/>
      <c r="K43" s="443"/>
      <c r="L43" s="425"/>
      <c r="M43" s="446"/>
      <c r="N43" s="425">
        <f>IF(NOT(ISERROR(MATCH(M43,_xlfn.ANCHORARRAY(F54),0))),L56&amp;"Por favor no seleccionar los criterios de impacto",M43)</f>
        <v>0</v>
      </c>
      <c r="O43" s="443"/>
      <c r="P43" s="425"/>
      <c r="Q43" s="428"/>
      <c r="R43" s="105">
        <v>5</v>
      </c>
      <c r="S43" s="106"/>
      <c r="T43" s="107" t="str">
        <f t="shared" si="64"/>
        <v/>
      </c>
      <c r="U43" s="113"/>
      <c r="V43" s="113"/>
      <c r="W43" s="114" t="str">
        <f t="shared" si="60"/>
        <v/>
      </c>
      <c r="X43" s="113"/>
      <c r="Y43" s="113"/>
      <c r="Z43" s="113"/>
      <c r="AA43" s="108" t="str">
        <f t="shared" si="67"/>
        <v/>
      </c>
      <c r="AB43" s="115" t="str">
        <f t="shared" si="61"/>
        <v/>
      </c>
      <c r="AC43" s="116" t="str">
        <f t="shared" si="65"/>
        <v/>
      </c>
      <c r="AD43" s="115" t="str">
        <f t="shared" si="62"/>
        <v/>
      </c>
      <c r="AE43" s="116" t="str">
        <f t="shared" si="66"/>
        <v/>
      </c>
      <c r="AF43" s="117" t="str">
        <f t="shared" si="63"/>
        <v/>
      </c>
      <c r="AG43" s="118"/>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3">
      <c r="A44" s="432"/>
      <c r="B44" s="435"/>
      <c r="C44" s="435"/>
      <c r="D44" s="453"/>
      <c r="E44" s="136"/>
      <c r="F44" s="454"/>
      <c r="G44" s="450"/>
      <c r="H44" s="137"/>
      <c r="I44" s="457"/>
      <c r="J44" s="441"/>
      <c r="K44" s="444"/>
      <c r="L44" s="426"/>
      <c r="M44" s="447"/>
      <c r="N44" s="426">
        <f>IF(NOT(ISERROR(MATCH(M44,_xlfn.ANCHORARRAY(F55),0))),L57&amp;"Por favor no seleccionar los criterios de impacto",M44)</f>
        <v>0</v>
      </c>
      <c r="O44" s="444"/>
      <c r="P44" s="426"/>
      <c r="Q44" s="429"/>
      <c r="R44" s="105">
        <v>6</v>
      </c>
      <c r="S44" s="106"/>
      <c r="T44" s="107" t="str">
        <f t="shared" si="64"/>
        <v/>
      </c>
      <c r="U44" s="113"/>
      <c r="V44" s="113"/>
      <c r="W44" s="114" t="str">
        <f t="shared" si="60"/>
        <v/>
      </c>
      <c r="X44" s="113"/>
      <c r="Y44" s="113"/>
      <c r="Z44" s="113"/>
      <c r="AA44" s="108" t="str">
        <f t="shared" si="67"/>
        <v/>
      </c>
      <c r="AB44" s="115" t="str">
        <f t="shared" si="61"/>
        <v/>
      </c>
      <c r="AC44" s="116" t="str">
        <f t="shared" si="65"/>
        <v/>
      </c>
      <c r="AD44" s="115" t="str">
        <f t="shared" si="62"/>
        <v/>
      </c>
      <c r="AE44" s="116" t="str">
        <f t="shared" si="66"/>
        <v/>
      </c>
      <c r="AF44" s="117" t="str">
        <f t="shared" si="63"/>
        <v/>
      </c>
      <c r="AG44" s="118"/>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3">
      <c r="A45" s="430">
        <v>7</v>
      </c>
      <c r="B45" s="433"/>
      <c r="C45" s="433"/>
      <c r="D45" s="433"/>
      <c r="E45" s="120"/>
      <c r="F45" s="437"/>
      <c r="G45" s="448"/>
      <c r="H45" s="123"/>
      <c r="I45" s="433"/>
      <c r="J45" s="439"/>
      <c r="K45" s="442" t="str">
        <f t="shared" ref="K45" si="68">IF(J45&lt;=0,"",IF(J45&lt;=2,"Muy Baja",IF(J45&lt;=24,"Baja",IF(J45&lt;=500,"Media",IF(J45&lt;=5000,"Alta","Muy Alta")))))</f>
        <v/>
      </c>
      <c r="L45" s="424" t="str">
        <f t="shared" ref="L45" si="69">IF(K45="","",IF(K45="Muy Baja",0.2,IF(K45="Baja",0.4,IF(K45="Media",0.6,IF(K45="Alta",0.8,IF(K45="Muy Alta",1,))))))</f>
        <v/>
      </c>
      <c r="M45" s="445"/>
      <c r="N45" s="424">
        <f>IF(NOT(ISERROR(MATCH(M45,'Tabla Impacto'!$B$221:$B$223,0))),'Tabla Impacto'!$F$223&amp;"Por favor no seleccionar los criterios de impacto(Afectación Económica o presupuestal y Pérdida Reputacional)",M45)</f>
        <v>0</v>
      </c>
      <c r="O45" s="442" t="str">
        <f>IF(OR(N45='Tabla Impacto'!$C$11,N45='Tabla Impacto'!$D$11),"Leve",IF(OR(N45='Tabla Impacto'!$C$12,N45='Tabla Impacto'!$D$12),"Menor",IF(OR(N45='Tabla Impacto'!$C$13,N45='Tabla Impacto'!$D$13),"Moderado",IF(OR(N45='Tabla Impacto'!$C$14,N45='Tabla Impacto'!$D$14),"Mayor",IF(OR(N45='Tabla Impacto'!$C$15,N45='Tabla Impacto'!$D$15),"Catastrófico","")))))</f>
        <v/>
      </c>
      <c r="P45" s="424" t="str">
        <f t="shared" ref="P45" si="70">IF(O45="","",IF(O45="Leve",0.2,IF(O45="Menor",0.4,IF(O45="Moderado",0.6,IF(O45="Mayor",0.8,IF(O45="Catastrófico",1,))))))</f>
        <v/>
      </c>
      <c r="Q45" s="427" t="str">
        <f t="shared" ref="Q45" si="71">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5">
        <v>1</v>
      </c>
      <c r="S45" s="106"/>
      <c r="T45" s="107" t="str">
        <f>IF(OR(U45="Preventivo",U45="Detectivo"),"Probabilidad",IF(U45="Correctivo","Impacto",""))</f>
        <v/>
      </c>
      <c r="U45" s="113"/>
      <c r="V45" s="113"/>
      <c r="W45" s="114" t="str">
        <f>IF(AND(U45="Preventivo",V45="Automático"),"50%",IF(AND(U45="Preventivo",V45="Manual"),"40%",IF(AND(U45="Detectivo",V45="Automático"),"40%",IF(AND(U45="Detectivo",V45="Manual"),"30%",IF(AND(U45="Correctivo",V45="Automático"),"35%",IF(AND(U45="Correctivo",V45="Manual"),"25%",""))))))</f>
        <v/>
      </c>
      <c r="X45" s="113"/>
      <c r="Y45" s="113"/>
      <c r="Z45" s="113"/>
      <c r="AA45" s="108" t="str">
        <f>IFERROR(IF(T45="Probabilidad",(L45-(+L45*W45)),IF(T45="Impacto",L45,"")),"")</f>
        <v/>
      </c>
      <c r="AB45" s="115" t="str">
        <f>IFERROR(IF(AA45="","",IF(AA45&lt;=0.2,"Muy Baja",IF(AA45&lt;=0.4,"Baja",IF(AA45&lt;=0.6,"Media",IF(AA45&lt;=0.8,"Alta","Muy Alta"))))),"")</f>
        <v/>
      </c>
      <c r="AC45" s="116" t="str">
        <f>+AA45</f>
        <v/>
      </c>
      <c r="AD45" s="115" t="str">
        <f>IFERROR(IF(AE45="","",IF(AE45&lt;=0.2,"Leve",IF(AE45&lt;=0.4,"Menor",IF(AE45&lt;=0.6,"Moderado",IF(AE45&lt;=0.8,"Mayor","Catastrófico"))))),"")</f>
        <v/>
      </c>
      <c r="AE45" s="116" t="str">
        <f>IFERROR(IF(T45="Impacto",(P45-(+P45*W45)),IF(T45="Probabilidad",P45,"")),"")</f>
        <v/>
      </c>
      <c r="AF45" s="117" t="str">
        <f>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18"/>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3">
      <c r="A46" s="431"/>
      <c r="B46" s="434"/>
      <c r="C46" s="434"/>
      <c r="D46" s="434"/>
      <c r="E46" s="120"/>
      <c r="F46" s="437"/>
      <c r="G46" s="449"/>
      <c r="H46" s="123"/>
      <c r="I46" s="434"/>
      <c r="J46" s="440"/>
      <c r="K46" s="443"/>
      <c r="L46" s="425"/>
      <c r="M46" s="446"/>
      <c r="N46" s="425">
        <f>IF(NOT(ISERROR(MATCH(M46,_xlfn.ANCHORARRAY(F57),0))),L59&amp;"Por favor no seleccionar los criterios de impacto",M46)</f>
        <v>0</v>
      </c>
      <c r="O46" s="443"/>
      <c r="P46" s="425"/>
      <c r="Q46" s="428"/>
      <c r="R46" s="105">
        <v>2</v>
      </c>
      <c r="S46" s="106"/>
      <c r="T46" s="107" t="str">
        <f>IF(OR(U46="Preventivo",U46="Detectivo"),"Probabilidad",IF(U46="Correctivo","Impacto",""))</f>
        <v/>
      </c>
      <c r="U46" s="113"/>
      <c r="V46" s="113"/>
      <c r="W46" s="114" t="str">
        <f t="shared" ref="W46:W50" si="72">IF(AND(U46="Preventivo",V46="Automático"),"50%",IF(AND(U46="Preventivo",V46="Manual"),"40%",IF(AND(U46="Detectivo",V46="Automático"),"40%",IF(AND(U46="Detectivo",V46="Manual"),"30%",IF(AND(U46="Correctivo",V46="Automático"),"35%",IF(AND(U46="Correctivo",V46="Manual"),"25%",""))))))</f>
        <v/>
      </c>
      <c r="X46" s="113"/>
      <c r="Y46" s="113"/>
      <c r="Z46" s="113"/>
      <c r="AA46" s="108" t="str">
        <f>IFERROR(IF(AND(T45="Probabilidad",T46="Probabilidad"),(AC45-(+AC45*W46)),IF(AND(T45="Impacto",T46="Probabilidad"),(L45-(+L45*W46)),IF(T46="Impacto",AC45,""))),"")</f>
        <v/>
      </c>
      <c r="AB46" s="115" t="str">
        <f t="shared" ref="AB46:AB50" si="73">IFERROR(IF(AA46="","",IF(AA46&lt;=0.2,"Muy Baja",IF(AA46&lt;=0.4,"Baja",IF(AA46&lt;=0.6,"Media",IF(AA46&lt;=0.8,"Alta","Muy Alta"))))),"")</f>
        <v/>
      </c>
      <c r="AC46" s="116" t="str">
        <f>+AA46</f>
        <v/>
      </c>
      <c r="AD46" s="115" t="str">
        <f t="shared" ref="AD46:AD50" si="74">IFERROR(IF(AE46="","",IF(AE46&lt;=0.2,"Leve",IF(AE46&lt;=0.4,"Menor",IF(AE46&lt;=0.6,"Moderado",IF(AE46&lt;=0.8,"Mayor","Catastrófico"))))),"")</f>
        <v/>
      </c>
      <c r="AE46" s="116" t="str">
        <f>IFERROR(IF(AND(T45="Impacto",T46="Impacto"),(AE45-(+AE45*W46)),IF(AND(T45="Probabilidad",T46="Impacto"),(P45-(+P45*W46)),IF(T46="Probabilidad",AE45,""))),"")</f>
        <v/>
      </c>
      <c r="AF46" s="117" t="str">
        <f t="shared" ref="AF46:AF50" si="75">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8"/>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3">
      <c r="A47" s="431"/>
      <c r="B47" s="434"/>
      <c r="C47" s="434"/>
      <c r="D47" s="434"/>
      <c r="E47" s="120"/>
      <c r="F47" s="437"/>
      <c r="G47" s="449"/>
      <c r="H47" s="123"/>
      <c r="I47" s="434"/>
      <c r="J47" s="440"/>
      <c r="K47" s="443"/>
      <c r="L47" s="425"/>
      <c r="M47" s="446"/>
      <c r="N47" s="425">
        <f>IF(NOT(ISERROR(MATCH(M47,_xlfn.ANCHORARRAY(F58),0))),L60&amp;"Por favor no seleccionar los criterios de impacto",M47)</f>
        <v>0</v>
      </c>
      <c r="O47" s="443"/>
      <c r="P47" s="425"/>
      <c r="Q47" s="428"/>
      <c r="R47" s="105">
        <v>3</v>
      </c>
      <c r="S47" s="112"/>
      <c r="T47" s="107" t="str">
        <f t="shared" ref="T47:T50" si="76">IF(OR(U47="Preventivo",U47="Detectivo"),"Probabilidad",IF(U47="Correctivo","Impacto",""))</f>
        <v/>
      </c>
      <c r="U47" s="113"/>
      <c r="V47" s="113"/>
      <c r="W47" s="114" t="str">
        <f t="shared" si="72"/>
        <v/>
      </c>
      <c r="X47" s="113"/>
      <c r="Y47" s="113"/>
      <c r="Z47" s="113"/>
      <c r="AA47" s="108" t="str">
        <f>IFERROR(IF(AND(T46="Probabilidad",T47="Probabilidad"),(AC46-(+AC46*W47)),IF(AND(T46="Impacto",T47="Probabilidad"),(AC45-(+AC45*W47)),IF(T47="Impacto",AC46,""))),"")</f>
        <v/>
      </c>
      <c r="AB47" s="115" t="str">
        <f t="shared" si="73"/>
        <v/>
      </c>
      <c r="AC47" s="116" t="str">
        <f t="shared" ref="AC47:AC50" si="77">+AA47</f>
        <v/>
      </c>
      <c r="AD47" s="115" t="str">
        <f t="shared" si="74"/>
        <v/>
      </c>
      <c r="AE47" s="116" t="str">
        <f t="shared" ref="AE47:AE50" si="78">IFERROR(IF(AND(T46="Impacto",T47="Impacto"),(AE46-(+AE46*W47)),IF(AND(T46="Probabilidad",T47="Impacto"),(AE45-(+AE45*W47)),IF(T47="Probabilidad",AE46,""))),"")</f>
        <v/>
      </c>
      <c r="AF47" s="117" t="str">
        <f t="shared" si="75"/>
        <v/>
      </c>
      <c r="AG47" s="118"/>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3">
      <c r="A48" s="431"/>
      <c r="B48" s="434"/>
      <c r="C48" s="434"/>
      <c r="D48" s="434"/>
      <c r="E48" s="120"/>
      <c r="F48" s="437"/>
      <c r="G48" s="449"/>
      <c r="H48" s="123"/>
      <c r="I48" s="434"/>
      <c r="J48" s="440"/>
      <c r="K48" s="443"/>
      <c r="L48" s="425"/>
      <c r="M48" s="446"/>
      <c r="N48" s="425">
        <f>IF(NOT(ISERROR(MATCH(M48,_xlfn.ANCHORARRAY(F59),0))),L61&amp;"Por favor no seleccionar los criterios de impacto",M48)</f>
        <v>0</v>
      </c>
      <c r="O48" s="443"/>
      <c r="P48" s="425"/>
      <c r="Q48" s="428"/>
      <c r="R48" s="105">
        <v>4</v>
      </c>
      <c r="S48" s="106"/>
      <c r="T48" s="107" t="str">
        <f t="shared" si="76"/>
        <v/>
      </c>
      <c r="U48" s="113"/>
      <c r="V48" s="113"/>
      <c r="W48" s="114" t="str">
        <f t="shared" si="72"/>
        <v/>
      </c>
      <c r="X48" s="113"/>
      <c r="Y48" s="113"/>
      <c r="Z48" s="113"/>
      <c r="AA48" s="108" t="str">
        <f t="shared" ref="AA48:AA50" si="79">IFERROR(IF(AND(T47="Probabilidad",T48="Probabilidad"),(AC47-(+AC47*W48)),IF(AND(T47="Impacto",T48="Probabilidad"),(AC46-(+AC46*W48)),IF(T48="Impacto",AC47,""))),"")</f>
        <v/>
      </c>
      <c r="AB48" s="115" t="str">
        <f t="shared" si="73"/>
        <v/>
      </c>
      <c r="AC48" s="116" t="str">
        <f t="shared" si="77"/>
        <v/>
      </c>
      <c r="AD48" s="115" t="str">
        <f t="shared" si="74"/>
        <v/>
      </c>
      <c r="AE48" s="116" t="str">
        <f t="shared" si="78"/>
        <v/>
      </c>
      <c r="AF48" s="117" t="str">
        <f t="shared" si="75"/>
        <v/>
      </c>
      <c r="AG48" s="118"/>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3">
      <c r="A49" s="431"/>
      <c r="B49" s="434"/>
      <c r="C49" s="434"/>
      <c r="D49" s="434"/>
      <c r="E49" s="120"/>
      <c r="F49" s="437"/>
      <c r="G49" s="449"/>
      <c r="H49" s="123"/>
      <c r="I49" s="434"/>
      <c r="J49" s="440"/>
      <c r="K49" s="443"/>
      <c r="L49" s="425"/>
      <c r="M49" s="446"/>
      <c r="N49" s="425">
        <f>IF(NOT(ISERROR(MATCH(M49,_xlfn.ANCHORARRAY(F60),0))),L62&amp;"Por favor no seleccionar los criterios de impacto",M49)</f>
        <v>0</v>
      </c>
      <c r="O49" s="443"/>
      <c r="P49" s="425"/>
      <c r="Q49" s="428"/>
      <c r="R49" s="105">
        <v>5</v>
      </c>
      <c r="S49" s="106"/>
      <c r="T49" s="107" t="str">
        <f t="shared" si="76"/>
        <v/>
      </c>
      <c r="U49" s="113"/>
      <c r="V49" s="113"/>
      <c r="W49" s="114" t="str">
        <f t="shared" si="72"/>
        <v/>
      </c>
      <c r="X49" s="113"/>
      <c r="Y49" s="113"/>
      <c r="Z49" s="113"/>
      <c r="AA49" s="108" t="str">
        <f t="shared" si="79"/>
        <v/>
      </c>
      <c r="AB49" s="115" t="str">
        <f t="shared" si="73"/>
        <v/>
      </c>
      <c r="AC49" s="116" t="str">
        <f t="shared" si="77"/>
        <v/>
      </c>
      <c r="AD49" s="115" t="str">
        <f t="shared" si="74"/>
        <v/>
      </c>
      <c r="AE49" s="116" t="str">
        <f t="shared" si="78"/>
        <v/>
      </c>
      <c r="AF49" s="117" t="str">
        <f t="shared" si="75"/>
        <v/>
      </c>
      <c r="AG49" s="118"/>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3">
      <c r="A50" s="432"/>
      <c r="B50" s="435"/>
      <c r="C50" s="435"/>
      <c r="D50" s="435"/>
      <c r="E50" s="121"/>
      <c r="F50" s="438"/>
      <c r="G50" s="450"/>
      <c r="H50" s="124"/>
      <c r="I50" s="435"/>
      <c r="J50" s="441"/>
      <c r="K50" s="444"/>
      <c r="L50" s="426"/>
      <c r="M50" s="447"/>
      <c r="N50" s="426">
        <f>IF(NOT(ISERROR(MATCH(M50,_xlfn.ANCHORARRAY(F61),0))),L63&amp;"Por favor no seleccionar los criterios de impacto",M50)</f>
        <v>0</v>
      </c>
      <c r="O50" s="444"/>
      <c r="P50" s="426"/>
      <c r="Q50" s="429"/>
      <c r="R50" s="105">
        <v>6</v>
      </c>
      <c r="S50" s="106"/>
      <c r="T50" s="107" t="str">
        <f t="shared" si="76"/>
        <v/>
      </c>
      <c r="U50" s="113"/>
      <c r="V50" s="113"/>
      <c r="W50" s="114" t="str">
        <f t="shared" si="72"/>
        <v/>
      </c>
      <c r="X50" s="113"/>
      <c r="Y50" s="113"/>
      <c r="Z50" s="113"/>
      <c r="AA50" s="108" t="str">
        <f t="shared" si="79"/>
        <v/>
      </c>
      <c r="AB50" s="115" t="str">
        <f t="shared" si="73"/>
        <v/>
      </c>
      <c r="AC50" s="116" t="str">
        <f t="shared" si="77"/>
        <v/>
      </c>
      <c r="AD50" s="115" t="str">
        <f t="shared" si="74"/>
        <v/>
      </c>
      <c r="AE50" s="116" t="str">
        <f t="shared" si="78"/>
        <v/>
      </c>
      <c r="AF50" s="117" t="str">
        <f t="shared" si="75"/>
        <v/>
      </c>
      <c r="AG50" s="118"/>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3">
      <c r="A51" s="430">
        <v>8</v>
      </c>
      <c r="B51" s="433"/>
      <c r="C51" s="433"/>
      <c r="D51" s="433"/>
      <c r="E51" s="119"/>
      <c r="F51" s="436"/>
      <c r="G51" s="448"/>
      <c r="H51" s="122"/>
      <c r="I51" s="433"/>
      <c r="J51" s="439"/>
      <c r="K51" s="442" t="str">
        <f t="shared" ref="K51" si="80">IF(J51&lt;=0,"",IF(J51&lt;=2,"Muy Baja",IF(J51&lt;=24,"Baja",IF(J51&lt;=500,"Media",IF(J51&lt;=5000,"Alta","Muy Alta")))))</f>
        <v/>
      </c>
      <c r="L51" s="424" t="str">
        <f t="shared" ref="L51" si="81">IF(K51="","",IF(K51="Muy Baja",0.2,IF(K51="Baja",0.4,IF(K51="Media",0.6,IF(K51="Alta",0.8,IF(K51="Muy Alta",1,))))))</f>
        <v/>
      </c>
      <c r="M51" s="445"/>
      <c r="N51" s="424">
        <f>IF(NOT(ISERROR(MATCH(M51,'Tabla Impacto'!$B$221:$B$223,0))),'Tabla Impacto'!$F$223&amp;"Por favor no seleccionar los criterios de impacto(Afectación Económica o presupuestal y Pérdida Reputacional)",M51)</f>
        <v>0</v>
      </c>
      <c r="O51" s="442" t="str">
        <f>IF(OR(N51='Tabla Impacto'!$C$11,N51='Tabla Impacto'!$D$11),"Leve",IF(OR(N51='Tabla Impacto'!$C$12,N51='Tabla Impacto'!$D$12),"Menor",IF(OR(N51='Tabla Impacto'!$C$13,N51='Tabla Impacto'!$D$13),"Moderado",IF(OR(N51='Tabla Impacto'!$C$14,N51='Tabla Impacto'!$D$14),"Mayor",IF(OR(N51='Tabla Impacto'!$C$15,N51='Tabla Impacto'!$D$15),"Catastrófico","")))))</f>
        <v/>
      </c>
      <c r="P51" s="424" t="str">
        <f t="shared" ref="P51" si="82">IF(O51="","",IF(O51="Leve",0.2,IF(O51="Menor",0.4,IF(O51="Moderado",0.6,IF(O51="Mayor",0.8,IF(O51="Catastrófico",1,))))))</f>
        <v/>
      </c>
      <c r="Q51" s="427" t="str">
        <f t="shared" ref="Q51" si="83">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5">
        <v>1</v>
      </c>
      <c r="S51" s="106"/>
      <c r="T51" s="107" t="str">
        <f>IF(OR(U51="Preventivo",U51="Detectivo"),"Probabilidad",IF(U51="Correctivo","Impacto",""))</f>
        <v/>
      </c>
      <c r="U51" s="113"/>
      <c r="V51" s="113"/>
      <c r="W51" s="114" t="str">
        <f>IF(AND(U51="Preventivo",V51="Automático"),"50%",IF(AND(U51="Preventivo",V51="Manual"),"40%",IF(AND(U51="Detectivo",V51="Automático"),"40%",IF(AND(U51="Detectivo",V51="Manual"),"30%",IF(AND(U51="Correctivo",V51="Automático"),"35%",IF(AND(U51="Correctivo",V51="Manual"),"25%",""))))))</f>
        <v/>
      </c>
      <c r="X51" s="113"/>
      <c r="Y51" s="113"/>
      <c r="Z51" s="113"/>
      <c r="AA51" s="108" t="str">
        <f>IFERROR(IF(T51="Probabilidad",(L51-(+L51*W51)),IF(T51="Impacto",L51,"")),"")</f>
        <v/>
      </c>
      <c r="AB51" s="115" t="str">
        <f>IFERROR(IF(AA51="","",IF(AA51&lt;=0.2,"Muy Baja",IF(AA51&lt;=0.4,"Baja",IF(AA51&lt;=0.6,"Media",IF(AA51&lt;=0.8,"Alta","Muy Alta"))))),"")</f>
        <v/>
      </c>
      <c r="AC51" s="116" t="str">
        <f>+AA51</f>
        <v/>
      </c>
      <c r="AD51" s="115" t="str">
        <f>IFERROR(IF(AE51="","",IF(AE51&lt;=0.2,"Leve",IF(AE51&lt;=0.4,"Menor",IF(AE51&lt;=0.6,"Moderado",IF(AE51&lt;=0.8,"Mayor","Catastrófico"))))),"")</f>
        <v/>
      </c>
      <c r="AE51" s="116" t="str">
        <f>IFERROR(IF(T51="Impacto",(P51-(+P51*W51)),IF(T51="Probabilidad",P51,"")),"")</f>
        <v/>
      </c>
      <c r="AF51" s="117" t="str">
        <f>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8"/>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3">
      <c r="A52" s="431"/>
      <c r="B52" s="434"/>
      <c r="C52" s="434"/>
      <c r="D52" s="434"/>
      <c r="E52" s="120"/>
      <c r="F52" s="437"/>
      <c r="G52" s="449"/>
      <c r="H52" s="123"/>
      <c r="I52" s="434"/>
      <c r="J52" s="440"/>
      <c r="K52" s="443"/>
      <c r="L52" s="425"/>
      <c r="M52" s="446"/>
      <c r="N52" s="425">
        <f>IF(NOT(ISERROR(MATCH(M52,_xlfn.ANCHORARRAY(F63),0))),L65&amp;"Por favor no seleccionar los criterios de impacto",M52)</f>
        <v>0</v>
      </c>
      <c r="O52" s="443"/>
      <c r="P52" s="425"/>
      <c r="Q52" s="428"/>
      <c r="R52" s="105">
        <v>2</v>
      </c>
      <c r="S52" s="106"/>
      <c r="T52" s="107" t="str">
        <f>IF(OR(U52="Preventivo",U52="Detectivo"),"Probabilidad",IF(U52="Correctivo","Impacto",""))</f>
        <v/>
      </c>
      <c r="U52" s="113"/>
      <c r="V52" s="113"/>
      <c r="W52" s="114" t="str">
        <f t="shared" ref="W52:W56" si="84">IF(AND(U52="Preventivo",V52="Automático"),"50%",IF(AND(U52="Preventivo",V52="Manual"),"40%",IF(AND(U52="Detectivo",V52="Automático"),"40%",IF(AND(U52="Detectivo",V52="Manual"),"30%",IF(AND(U52="Correctivo",V52="Automático"),"35%",IF(AND(U52="Correctivo",V52="Manual"),"25%",""))))))</f>
        <v/>
      </c>
      <c r="X52" s="113"/>
      <c r="Y52" s="113"/>
      <c r="Z52" s="113"/>
      <c r="AA52" s="108" t="str">
        <f>IFERROR(IF(AND(T51="Probabilidad",T52="Probabilidad"),(AC51-(+AC51*W52)),IF(AND(T51="Impacto",T52="Probabilidad"),(L51-(+L51*W52)),IF(T52="Impacto",AC51,""))),"")</f>
        <v/>
      </c>
      <c r="AB52" s="115" t="str">
        <f t="shared" ref="AB52:AB56" si="85">IFERROR(IF(AA52="","",IF(AA52&lt;=0.2,"Muy Baja",IF(AA52&lt;=0.4,"Baja",IF(AA52&lt;=0.6,"Media",IF(AA52&lt;=0.8,"Alta","Muy Alta"))))),"")</f>
        <v/>
      </c>
      <c r="AC52" s="116" t="str">
        <f>+AA52</f>
        <v/>
      </c>
      <c r="AD52" s="115" t="str">
        <f t="shared" ref="AD52:AD56" si="86">IFERROR(IF(AE52="","",IF(AE52&lt;=0.2,"Leve",IF(AE52&lt;=0.4,"Menor",IF(AE52&lt;=0.6,"Moderado",IF(AE52&lt;=0.8,"Mayor","Catastrófico"))))),"")</f>
        <v/>
      </c>
      <c r="AE52" s="116" t="str">
        <f>IFERROR(IF(AND(T51="Impacto",T52="Impacto"),(AE51-(+AE51*W52)),IF(AND(T51="Probabilidad",T52="Impacto"),(P51-(+P51*W52)),IF(T52="Probabilidad",AE51,""))),"")</f>
        <v/>
      </c>
      <c r="AF52" s="117" t="str">
        <f t="shared" ref="AF52:AF56" si="87">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8"/>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3">
      <c r="A53" s="431"/>
      <c r="B53" s="434"/>
      <c r="C53" s="434"/>
      <c r="D53" s="434"/>
      <c r="E53" s="120"/>
      <c r="F53" s="437"/>
      <c r="G53" s="449"/>
      <c r="H53" s="123"/>
      <c r="I53" s="434"/>
      <c r="J53" s="440"/>
      <c r="K53" s="443"/>
      <c r="L53" s="425"/>
      <c r="M53" s="446"/>
      <c r="N53" s="425">
        <f>IF(NOT(ISERROR(MATCH(M53,_xlfn.ANCHORARRAY(F64),0))),L66&amp;"Por favor no seleccionar los criterios de impacto",M53)</f>
        <v>0</v>
      </c>
      <c r="O53" s="443"/>
      <c r="P53" s="425"/>
      <c r="Q53" s="428"/>
      <c r="R53" s="105">
        <v>3</v>
      </c>
      <c r="S53" s="112"/>
      <c r="T53" s="107" t="str">
        <f t="shared" ref="T53:T56" si="88">IF(OR(U53="Preventivo",U53="Detectivo"),"Probabilidad",IF(U53="Correctivo","Impacto",""))</f>
        <v/>
      </c>
      <c r="U53" s="113"/>
      <c r="V53" s="113"/>
      <c r="W53" s="114" t="str">
        <f t="shared" si="84"/>
        <v/>
      </c>
      <c r="X53" s="113"/>
      <c r="Y53" s="113"/>
      <c r="Z53" s="113"/>
      <c r="AA53" s="108" t="str">
        <f>IFERROR(IF(AND(T52="Probabilidad",T53="Probabilidad"),(AC52-(+AC52*W53)),IF(AND(T52="Impacto",T53="Probabilidad"),(AC51-(+AC51*W53)),IF(T53="Impacto",AC52,""))),"")</f>
        <v/>
      </c>
      <c r="AB53" s="115" t="str">
        <f t="shared" si="85"/>
        <v/>
      </c>
      <c r="AC53" s="116" t="str">
        <f t="shared" ref="AC53:AC56" si="89">+AA53</f>
        <v/>
      </c>
      <c r="AD53" s="115" t="str">
        <f t="shared" si="86"/>
        <v/>
      </c>
      <c r="AE53" s="116" t="str">
        <f t="shared" ref="AE53:AE56" si="90">IFERROR(IF(AND(T52="Impacto",T53="Impacto"),(AE52-(+AE52*W53)),IF(AND(T52="Probabilidad",T53="Impacto"),(AE51-(+AE51*W53)),IF(T53="Probabilidad",AE52,""))),"")</f>
        <v/>
      </c>
      <c r="AF53" s="117" t="str">
        <f t="shared" si="87"/>
        <v/>
      </c>
      <c r="AG53" s="118"/>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3">
      <c r="A54" s="431"/>
      <c r="B54" s="434"/>
      <c r="C54" s="434"/>
      <c r="D54" s="434"/>
      <c r="E54" s="120"/>
      <c r="F54" s="437"/>
      <c r="G54" s="449"/>
      <c r="H54" s="123"/>
      <c r="I54" s="434"/>
      <c r="J54" s="440"/>
      <c r="K54" s="443"/>
      <c r="L54" s="425"/>
      <c r="M54" s="446"/>
      <c r="N54" s="425">
        <f>IF(NOT(ISERROR(MATCH(M54,_xlfn.ANCHORARRAY(F65),0))),L67&amp;"Por favor no seleccionar los criterios de impacto",M54)</f>
        <v>0</v>
      </c>
      <c r="O54" s="443"/>
      <c r="P54" s="425"/>
      <c r="Q54" s="428"/>
      <c r="R54" s="105">
        <v>4</v>
      </c>
      <c r="S54" s="106"/>
      <c r="T54" s="107" t="str">
        <f t="shared" si="88"/>
        <v/>
      </c>
      <c r="U54" s="113"/>
      <c r="V54" s="113"/>
      <c r="W54" s="114" t="str">
        <f t="shared" si="84"/>
        <v/>
      </c>
      <c r="X54" s="113"/>
      <c r="Y54" s="113"/>
      <c r="Z54" s="113"/>
      <c r="AA54" s="108" t="str">
        <f t="shared" ref="AA54:AA56" si="91">IFERROR(IF(AND(T53="Probabilidad",T54="Probabilidad"),(AC53-(+AC53*W54)),IF(AND(T53="Impacto",T54="Probabilidad"),(AC52-(+AC52*W54)),IF(T54="Impacto",AC53,""))),"")</f>
        <v/>
      </c>
      <c r="AB54" s="115" t="str">
        <f t="shared" si="85"/>
        <v/>
      </c>
      <c r="AC54" s="116" t="str">
        <f t="shared" si="89"/>
        <v/>
      </c>
      <c r="AD54" s="115" t="str">
        <f t="shared" si="86"/>
        <v/>
      </c>
      <c r="AE54" s="116" t="str">
        <f t="shared" si="90"/>
        <v/>
      </c>
      <c r="AF54" s="117" t="str">
        <f t="shared" si="87"/>
        <v/>
      </c>
      <c r="AG54" s="118"/>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3">
      <c r="A55" s="431"/>
      <c r="B55" s="434"/>
      <c r="C55" s="434"/>
      <c r="D55" s="434"/>
      <c r="E55" s="120"/>
      <c r="F55" s="437"/>
      <c r="G55" s="449"/>
      <c r="H55" s="123"/>
      <c r="I55" s="434"/>
      <c r="J55" s="440"/>
      <c r="K55" s="443"/>
      <c r="L55" s="425"/>
      <c r="M55" s="446"/>
      <c r="N55" s="425">
        <f>IF(NOT(ISERROR(MATCH(M55,_xlfn.ANCHORARRAY(F66),0))),L68&amp;"Por favor no seleccionar los criterios de impacto",M55)</f>
        <v>0</v>
      </c>
      <c r="O55" s="443"/>
      <c r="P55" s="425"/>
      <c r="Q55" s="428"/>
      <c r="R55" s="105">
        <v>5</v>
      </c>
      <c r="S55" s="106"/>
      <c r="T55" s="107" t="str">
        <f t="shared" si="88"/>
        <v/>
      </c>
      <c r="U55" s="113"/>
      <c r="V55" s="113"/>
      <c r="W55" s="114" t="str">
        <f t="shared" si="84"/>
        <v/>
      </c>
      <c r="X55" s="113"/>
      <c r="Y55" s="113"/>
      <c r="Z55" s="113"/>
      <c r="AA55" s="108" t="str">
        <f t="shared" si="91"/>
        <v/>
      </c>
      <c r="AB55" s="115" t="str">
        <f t="shared" si="85"/>
        <v/>
      </c>
      <c r="AC55" s="116" t="str">
        <f t="shared" si="89"/>
        <v/>
      </c>
      <c r="AD55" s="115" t="str">
        <f t="shared" si="86"/>
        <v/>
      </c>
      <c r="AE55" s="116" t="str">
        <f t="shared" si="90"/>
        <v/>
      </c>
      <c r="AF55" s="117" t="str">
        <f t="shared" si="87"/>
        <v/>
      </c>
      <c r="AG55" s="118"/>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3">
      <c r="A56" s="432"/>
      <c r="B56" s="435"/>
      <c r="C56" s="435"/>
      <c r="D56" s="435"/>
      <c r="E56" s="121"/>
      <c r="F56" s="438"/>
      <c r="G56" s="450"/>
      <c r="H56" s="124"/>
      <c r="I56" s="435"/>
      <c r="J56" s="441"/>
      <c r="K56" s="444"/>
      <c r="L56" s="426"/>
      <c r="M56" s="447"/>
      <c r="N56" s="426">
        <f>IF(NOT(ISERROR(MATCH(M56,_xlfn.ANCHORARRAY(F67),0))),L69&amp;"Por favor no seleccionar los criterios de impacto",M56)</f>
        <v>0</v>
      </c>
      <c r="O56" s="444"/>
      <c r="P56" s="426"/>
      <c r="Q56" s="429"/>
      <c r="R56" s="105">
        <v>6</v>
      </c>
      <c r="S56" s="106"/>
      <c r="T56" s="107" t="str">
        <f t="shared" si="88"/>
        <v/>
      </c>
      <c r="U56" s="113"/>
      <c r="V56" s="113"/>
      <c r="W56" s="114" t="str">
        <f t="shared" si="84"/>
        <v/>
      </c>
      <c r="X56" s="113"/>
      <c r="Y56" s="113"/>
      <c r="Z56" s="113"/>
      <c r="AA56" s="108" t="str">
        <f t="shared" si="91"/>
        <v/>
      </c>
      <c r="AB56" s="115" t="str">
        <f t="shared" si="85"/>
        <v/>
      </c>
      <c r="AC56" s="116" t="str">
        <f t="shared" si="89"/>
        <v/>
      </c>
      <c r="AD56" s="115" t="str">
        <f t="shared" si="86"/>
        <v/>
      </c>
      <c r="AE56" s="116" t="str">
        <f t="shared" si="90"/>
        <v/>
      </c>
      <c r="AF56" s="117" t="str">
        <f t="shared" si="87"/>
        <v/>
      </c>
      <c r="AG56" s="118"/>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3">
      <c r="A57" s="430">
        <v>9</v>
      </c>
      <c r="B57" s="433"/>
      <c r="C57" s="433"/>
      <c r="D57" s="433"/>
      <c r="E57" s="119"/>
      <c r="F57" s="436"/>
      <c r="G57" s="448"/>
      <c r="H57" s="122"/>
      <c r="I57" s="433"/>
      <c r="J57" s="439"/>
      <c r="K57" s="442" t="str">
        <f t="shared" ref="K57" si="92">IF(J57&lt;=0,"",IF(J57&lt;=2,"Muy Baja",IF(J57&lt;=24,"Baja",IF(J57&lt;=500,"Media",IF(J57&lt;=5000,"Alta","Muy Alta")))))</f>
        <v/>
      </c>
      <c r="L57" s="424" t="str">
        <f t="shared" ref="L57" si="93">IF(K57="","",IF(K57="Muy Baja",0.2,IF(K57="Baja",0.4,IF(K57="Media",0.6,IF(K57="Alta",0.8,IF(K57="Muy Alta",1,))))))</f>
        <v/>
      </c>
      <c r="M57" s="445"/>
      <c r="N57" s="424">
        <f>IF(NOT(ISERROR(MATCH(M57,'Tabla Impacto'!$B$221:$B$223,0))),'Tabla Impacto'!$F$223&amp;"Por favor no seleccionar los criterios de impacto(Afectación Económica o presupuestal y Pérdida Reputacional)",M57)</f>
        <v>0</v>
      </c>
      <c r="O57" s="442" t="str">
        <f>IF(OR(N57='Tabla Impacto'!$C$11,N57='Tabla Impacto'!$D$11),"Leve",IF(OR(N57='Tabla Impacto'!$C$12,N57='Tabla Impacto'!$D$12),"Menor",IF(OR(N57='Tabla Impacto'!$C$13,N57='Tabla Impacto'!$D$13),"Moderado",IF(OR(N57='Tabla Impacto'!$C$14,N57='Tabla Impacto'!$D$14),"Mayor",IF(OR(N57='Tabla Impacto'!$C$15,N57='Tabla Impacto'!$D$15),"Catastrófico","")))))</f>
        <v/>
      </c>
      <c r="P57" s="424" t="str">
        <f t="shared" ref="P57" si="94">IF(O57="","",IF(O57="Leve",0.2,IF(O57="Menor",0.4,IF(O57="Moderado",0.6,IF(O57="Mayor",0.8,IF(O57="Catastrófico",1,))))))</f>
        <v/>
      </c>
      <c r="Q57" s="427" t="str">
        <f t="shared" ref="Q57" si="95">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5">
        <v>1</v>
      </c>
      <c r="S57" s="106"/>
      <c r="T57" s="107" t="str">
        <f>IF(OR(U57="Preventivo",U57="Detectivo"),"Probabilidad",IF(U57="Correctivo","Impacto",""))</f>
        <v/>
      </c>
      <c r="U57" s="113"/>
      <c r="V57" s="113"/>
      <c r="W57" s="114" t="str">
        <f>IF(AND(U57="Preventivo",V57="Automático"),"50%",IF(AND(U57="Preventivo",V57="Manual"),"40%",IF(AND(U57="Detectivo",V57="Automático"),"40%",IF(AND(U57="Detectivo",V57="Manual"),"30%",IF(AND(U57="Correctivo",V57="Automático"),"35%",IF(AND(U57="Correctivo",V57="Manual"),"25%",""))))))</f>
        <v/>
      </c>
      <c r="X57" s="113"/>
      <c r="Y57" s="113"/>
      <c r="Z57" s="113"/>
      <c r="AA57" s="108" t="str">
        <f>IFERROR(IF(T57="Probabilidad",(L57-(+L57*W57)),IF(T57="Impacto",L57,"")),"")</f>
        <v/>
      </c>
      <c r="AB57" s="115" t="str">
        <f>IFERROR(IF(AA57="","",IF(AA57&lt;=0.2,"Muy Baja",IF(AA57&lt;=0.4,"Baja",IF(AA57&lt;=0.6,"Media",IF(AA57&lt;=0.8,"Alta","Muy Alta"))))),"")</f>
        <v/>
      </c>
      <c r="AC57" s="116" t="str">
        <f>+AA57</f>
        <v/>
      </c>
      <c r="AD57" s="115" t="str">
        <f>IFERROR(IF(AE57="","",IF(AE57&lt;=0.2,"Leve",IF(AE57&lt;=0.4,"Menor",IF(AE57&lt;=0.6,"Moderado",IF(AE57&lt;=0.8,"Mayor","Catastrófico"))))),"")</f>
        <v/>
      </c>
      <c r="AE57" s="116" t="str">
        <f>IFERROR(IF(T57="Impacto",(P57-(+P57*W57)),IF(T57="Probabilidad",P57,"")),"")</f>
        <v/>
      </c>
      <c r="AF57" s="117" t="str">
        <f>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18"/>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3">
      <c r="A58" s="431"/>
      <c r="B58" s="434"/>
      <c r="C58" s="434"/>
      <c r="D58" s="434"/>
      <c r="E58" s="120"/>
      <c r="F58" s="437"/>
      <c r="G58" s="449"/>
      <c r="H58" s="123"/>
      <c r="I58" s="434"/>
      <c r="J58" s="440"/>
      <c r="K58" s="443"/>
      <c r="L58" s="425"/>
      <c r="M58" s="446"/>
      <c r="N58" s="425">
        <f>IF(NOT(ISERROR(MATCH(M58,_xlfn.ANCHORARRAY(F69),0))),L71&amp;"Por favor no seleccionar los criterios de impacto",M58)</f>
        <v>0</v>
      </c>
      <c r="O58" s="443"/>
      <c r="P58" s="425"/>
      <c r="Q58" s="428"/>
      <c r="R58" s="105">
        <v>2</v>
      </c>
      <c r="S58" s="106"/>
      <c r="T58" s="107" t="str">
        <f>IF(OR(U58="Preventivo",U58="Detectivo"),"Probabilidad",IF(U58="Correctivo","Impacto",""))</f>
        <v/>
      </c>
      <c r="U58" s="113"/>
      <c r="V58" s="113"/>
      <c r="W58" s="114" t="str">
        <f t="shared" ref="W58:W62" si="96">IF(AND(U58="Preventivo",V58="Automático"),"50%",IF(AND(U58="Preventivo",V58="Manual"),"40%",IF(AND(U58="Detectivo",V58="Automático"),"40%",IF(AND(U58="Detectivo",V58="Manual"),"30%",IF(AND(U58="Correctivo",V58="Automático"),"35%",IF(AND(U58="Correctivo",V58="Manual"),"25%",""))))))</f>
        <v/>
      </c>
      <c r="X58" s="113"/>
      <c r="Y58" s="113"/>
      <c r="Z58" s="113"/>
      <c r="AA58" s="108" t="str">
        <f>IFERROR(IF(AND(T57="Probabilidad",T58="Probabilidad"),(AC57-(+AC57*W58)),IF(AND(T57="Impacto",T58="Probabilidad"),(L57-(+L57*W58)),IF(T58="Impacto",AC57,""))),"")</f>
        <v/>
      </c>
      <c r="AB58" s="115" t="str">
        <f t="shared" ref="AB58:AB62" si="97">IFERROR(IF(AA58="","",IF(AA58&lt;=0.2,"Muy Baja",IF(AA58&lt;=0.4,"Baja",IF(AA58&lt;=0.6,"Media",IF(AA58&lt;=0.8,"Alta","Muy Alta"))))),"")</f>
        <v/>
      </c>
      <c r="AC58" s="116" t="str">
        <f>+AA58</f>
        <v/>
      </c>
      <c r="AD58" s="115" t="str">
        <f t="shared" ref="AD58:AD62" si="98">IFERROR(IF(AE58="","",IF(AE58&lt;=0.2,"Leve",IF(AE58&lt;=0.4,"Menor",IF(AE58&lt;=0.6,"Moderado",IF(AE58&lt;=0.8,"Mayor","Catastrófico"))))),"")</f>
        <v/>
      </c>
      <c r="AE58" s="116" t="str">
        <f>IFERROR(IF(AND(T57="Impacto",T58="Impacto"),(AE57-(+AE57*W58)),IF(AND(T57="Probabilidad",T58="Impacto"),(P57-(+P57*W58)),IF(T58="Probabilidad",AE57,""))),"")</f>
        <v/>
      </c>
      <c r="AF58" s="117" t="str">
        <f t="shared" ref="AF58:AF62" si="99">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8"/>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3">
      <c r="A59" s="431"/>
      <c r="B59" s="434"/>
      <c r="C59" s="434"/>
      <c r="D59" s="434"/>
      <c r="E59" s="120"/>
      <c r="F59" s="437"/>
      <c r="G59" s="449"/>
      <c r="H59" s="123"/>
      <c r="I59" s="434"/>
      <c r="J59" s="440"/>
      <c r="K59" s="443"/>
      <c r="L59" s="425"/>
      <c r="M59" s="446"/>
      <c r="N59" s="425">
        <f>IF(NOT(ISERROR(MATCH(M59,_xlfn.ANCHORARRAY(F70),0))),L72&amp;"Por favor no seleccionar los criterios de impacto",M59)</f>
        <v>0</v>
      </c>
      <c r="O59" s="443"/>
      <c r="P59" s="425"/>
      <c r="Q59" s="428"/>
      <c r="R59" s="105">
        <v>3</v>
      </c>
      <c r="S59" s="112"/>
      <c r="T59" s="107" t="str">
        <f t="shared" ref="T59:T62" si="100">IF(OR(U59="Preventivo",U59="Detectivo"),"Probabilidad",IF(U59="Correctivo","Impacto",""))</f>
        <v/>
      </c>
      <c r="U59" s="113"/>
      <c r="V59" s="113"/>
      <c r="W59" s="114" t="str">
        <f t="shared" si="96"/>
        <v/>
      </c>
      <c r="X59" s="113"/>
      <c r="Y59" s="113"/>
      <c r="Z59" s="113"/>
      <c r="AA59" s="108" t="str">
        <f>IFERROR(IF(AND(T58="Probabilidad",T59="Probabilidad"),(AC58-(+AC58*W59)),IF(AND(T58="Impacto",T59="Probabilidad"),(AC57-(+AC57*W59)),IF(T59="Impacto",AC58,""))),"")</f>
        <v/>
      </c>
      <c r="AB59" s="115" t="str">
        <f t="shared" si="97"/>
        <v/>
      </c>
      <c r="AC59" s="116" t="str">
        <f t="shared" ref="AC59:AC62" si="101">+AA59</f>
        <v/>
      </c>
      <c r="AD59" s="115" t="str">
        <f t="shared" si="98"/>
        <v/>
      </c>
      <c r="AE59" s="116" t="str">
        <f t="shared" ref="AE59:AE62" si="102">IFERROR(IF(AND(T58="Impacto",T59="Impacto"),(AE58-(+AE58*W59)),IF(AND(T58="Probabilidad",T59="Impacto"),(AE57-(+AE57*W59)),IF(T59="Probabilidad",AE58,""))),"")</f>
        <v/>
      </c>
      <c r="AF59" s="117" t="str">
        <f t="shared" si="99"/>
        <v/>
      </c>
      <c r="AG59" s="118"/>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3">
      <c r="A60" s="431"/>
      <c r="B60" s="434"/>
      <c r="C60" s="434"/>
      <c r="D60" s="434"/>
      <c r="E60" s="120"/>
      <c r="F60" s="437"/>
      <c r="G60" s="449"/>
      <c r="H60" s="123"/>
      <c r="I60" s="434"/>
      <c r="J60" s="440"/>
      <c r="K60" s="443"/>
      <c r="L60" s="425"/>
      <c r="M60" s="446"/>
      <c r="N60" s="425">
        <f>IF(NOT(ISERROR(MATCH(M60,_xlfn.ANCHORARRAY(F71),0))),L73&amp;"Por favor no seleccionar los criterios de impacto",M60)</f>
        <v>0</v>
      </c>
      <c r="O60" s="443"/>
      <c r="P60" s="425"/>
      <c r="Q60" s="428"/>
      <c r="R60" s="105">
        <v>4</v>
      </c>
      <c r="S60" s="106"/>
      <c r="T60" s="107" t="str">
        <f t="shared" si="100"/>
        <v/>
      </c>
      <c r="U60" s="113"/>
      <c r="V60" s="113"/>
      <c r="W60" s="114" t="str">
        <f t="shared" si="96"/>
        <v/>
      </c>
      <c r="X60" s="113"/>
      <c r="Y60" s="113"/>
      <c r="Z60" s="113"/>
      <c r="AA60" s="108" t="str">
        <f t="shared" ref="AA60:AA62" si="103">IFERROR(IF(AND(T59="Probabilidad",T60="Probabilidad"),(AC59-(+AC59*W60)),IF(AND(T59="Impacto",T60="Probabilidad"),(AC58-(+AC58*W60)),IF(T60="Impacto",AC59,""))),"")</f>
        <v/>
      </c>
      <c r="AB60" s="115" t="str">
        <f t="shared" si="97"/>
        <v/>
      </c>
      <c r="AC60" s="116" t="str">
        <f t="shared" si="101"/>
        <v/>
      </c>
      <c r="AD60" s="115" t="str">
        <f t="shared" si="98"/>
        <v/>
      </c>
      <c r="AE60" s="116" t="str">
        <f t="shared" si="102"/>
        <v/>
      </c>
      <c r="AF60" s="117" t="str">
        <f t="shared" si="99"/>
        <v/>
      </c>
      <c r="AG60" s="118"/>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x14ac:dyDescent="0.3">
      <c r="A61" s="431"/>
      <c r="B61" s="434"/>
      <c r="C61" s="434"/>
      <c r="D61" s="434"/>
      <c r="E61" s="120"/>
      <c r="F61" s="437"/>
      <c r="G61" s="449"/>
      <c r="H61" s="123"/>
      <c r="I61" s="434"/>
      <c r="J61" s="440"/>
      <c r="K61" s="443"/>
      <c r="L61" s="425"/>
      <c r="M61" s="446"/>
      <c r="N61" s="425">
        <f>IF(NOT(ISERROR(MATCH(M61,_xlfn.ANCHORARRAY(F72),0))),L74&amp;"Por favor no seleccionar los criterios de impacto",M61)</f>
        <v>0</v>
      </c>
      <c r="O61" s="443"/>
      <c r="P61" s="425"/>
      <c r="Q61" s="428"/>
      <c r="R61" s="105">
        <v>5</v>
      </c>
      <c r="S61" s="106"/>
      <c r="T61" s="107" t="str">
        <f t="shared" si="100"/>
        <v/>
      </c>
      <c r="U61" s="113"/>
      <c r="V61" s="113"/>
      <c r="W61" s="114" t="str">
        <f t="shared" si="96"/>
        <v/>
      </c>
      <c r="X61" s="113"/>
      <c r="Y61" s="113"/>
      <c r="Z61" s="113"/>
      <c r="AA61" s="108" t="str">
        <f t="shared" si="103"/>
        <v/>
      </c>
      <c r="AB61" s="115" t="str">
        <f t="shared" si="97"/>
        <v/>
      </c>
      <c r="AC61" s="116" t="str">
        <f t="shared" si="101"/>
        <v/>
      </c>
      <c r="AD61" s="115" t="str">
        <f t="shared" si="98"/>
        <v/>
      </c>
      <c r="AE61" s="116" t="str">
        <f t="shared" si="102"/>
        <v/>
      </c>
      <c r="AF61" s="117" t="str">
        <f t="shared" si="99"/>
        <v/>
      </c>
      <c r="AG61" s="118"/>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customHeight="1" x14ac:dyDescent="0.3">
      <c r="A62" s="432"/>
      <c r="B62" s="435"/>
      <c r="C62" s="435"/>
      <c r="D62" s="435"/>
      <c r="E62" s="121"/>
      <c r="F62" s="438"/>
      <c r="G62" s="450"/>
      <c r="H62" s="124"/>
      <c r="I62" s="435"/>
      <c r="J62" s="441"/>
      <c r="K62" s="444"/>
      <c r="L62" s="426"/>
      <c r="M62" s="447"/>
      <c r="N62" s="426">
        <f>IF(NOT(ISERROR(MATCH(M62,_xlfn.ANCHORARRAY(F73),0))),L75&amp;"Por favor no seleccionar los criterios de impacto",M62)</f>
        <v>0</v>
      </c>
      <c r="O62" s="444"/>
      <c r="P62" s="426"/>
      <c r="Q62" s="429"/>
      <c r="R62" s="105">
        <v>6</v>
      </c>
      <c r="S62" s="106"/>
      <c r="T62" s="107" t="str">
        <f t="shared" si="100"/>
        <v/>
      </c>
      <c r="U62" s="113"/>
      <c r="V62" s="113"/>
      <c r="W62" s="114" t="str">
        <f t="shared" si="96"/>
        <v/>
      </c>
      <c r="X62" s="113"/>
      <c r="Y62" s="113"/>
      <c r="Z62" s="113"/>
      <c r="AA62" s="108" t="str">
        <f t="shared" si="103"/>
        <v/>
      </c>
      <c r="AB62" s="115" t="str">
        <f t="shared" si="97"/>
        <v/>
      </c>
      <c r="AC62" s="116" t="str">
        <f t="shared" si="101"/>
        <v/>
      </c>
      <c r="AD62" s="115" t="str">
        <f t="shared" si="98"/>
        <v/>
      </c>
      <c r="AE62" s="116" t="str">
        <f t="shared" si="102"/>
        <v/>
      </c>
      <c r="AF62" s="117" t="str">
        <f t="shared" si="99"/>
        <v/>
      </c>
      <c r="AG62" s="118"/>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19.5" customHeight="1" x14ac:dyDescent="0.3">
      <c r="A63" s="430">
        <v>10</v>
      </c>
      <c r="B63" s="433"/>
      <c r="C63" s="433"/>
      <c r="D63" s="433"/>
      <c r="E63" s="119"/>
      <c r="F63" s="436"/>
      <c r="G63" s="448"/>
      <c r="H63" s="122"/>
      <c r="I63" s="433"/>
      <c r="J63" s="439"/>
      <c r="K63" s="442" t="str">
        <f t="shared" ref="K63" si="104">IF(J63&lt;=0,"",IF(J63&lt;=2,"Muy Baja",IF(J63&lt;=24,"Baja",IF(J63&lt;=500,"Media",IF(J63&lt;=5000,"Alta","Muy Alta")))))</f>
        <v/>
      </c>
      <c r="L63" s="424" t="str">
        <f t="shared" ref="L63" si="105">IF(K63="","",IF(K63="Muy Baja",0.2,IF(K63="Baja",0.4,IF(K63="Media",0.6,IF(K63="Alta",0.8,IF(K63="Muy Alta",1,))))))</f>
        <v/>
      </c>
      <c r="M63" s="445"/>
      <c r="N63" s="424">
        <f>IF(NOT(ISERROR(MATCH(M63,'Tabla Impacto'!$B$221:$B$223,0))),'Tabla Impacto'!$F$223&amp;"Por favor no seleccionar los criterios de impacto(Afectación Económica o presupuestal y Pérdida Reputacional)",M63)</f>
        <v>0</v>
      </c>
      <c r="O63" s="442" t="str">
        <f>IF(OR(N63='Tabla Impacto'!$C$11,N63='Tabla Impacto'!$D$11),"Leve",IF(OR(N63='Tabla Impacto'!$C$12,N63='Tabla Impacto'!$D$12),"Menor",IF(OR(N63='Tabla Impacto'!$C$13,N63='Tabla Impacto'!$D$13),"Moderado",IF(OR(N63='Tabla Impacto'!$C$14,N63='Tabla Impacto'!$D$14),"Mayor",IF(OR(N63='Tabla Impacto'!$C$15,N63='Tabla Impacto'!$D$15),"Catastrófico","")))))</f>
        <v/>
      </c>
      <c r="P63" s="424" t="str">
        <f t="shared" ref="P63" si="106">IF(O63="","",IF(O63="Leve",0.2,IF(O63="Menor",0.4,IF(O63="Moderado",0.6,IF(O63="Mayor",0.8,IF(O63="Catastrófico",1,))))))</f>
        <v/>
      </c>
      <c r="Q63" s="427" t="str">
        <f t="shared" ref="Q63" si="107">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5">
        <v>1</v>
      </c>
      <c r="S63" s="106"/>
      <c r="T63" s="107" t="str">
        <f>IF(OR(U63="Preventivo",U63="Detectivo"),"Probabilidad",IF(U63="Correctivo","Impacto",""))</f>
        <v/>
      </c>
      <c r="U63" s="113"/>
      <c r="V63" s="113"/>
      <c r="W63" s="114" t="str">
        <f>IF(AND(U63="Preventivo",V63="Automático"),"50%",IF(AND(U63="Preventivo",V63="Manual"),"40%",IF(AND(U63="Detectivo",V63="Automático"),"40%",IF(AND(U63="Detectivo",V63="Manual"),"30%",IF(AND(U63="Correctivo",V63="Automático"),"35%",IF(AND(U63="Correctivo",V63="Manual"),"25%",""))))))</f>
        <v/>
      </c>
      <c r="X63" s="113"/>
      <c r="Y63" s="113"/>
      <c r="Z63" s="113"/>
      <c r="AA63" s="108" t="str">
        <f>IFERROR(IF(T63="Probabilidad",(L63-(+L63*W63)),IF(T63="Impacto",L63,"")),"")</f>
        <v/>
      </c>
      <c r="AB63" s="115" t="str">
        <f>IFERROR(IF(AA63="","",IF(AA63&lt;=0.2,"Muy Baja",IF(AA63&lt;=0.4,"Baja",IF(AA63&lt;=0.6,"Media",IF(AA63&lt;=0.8,"Alta","Muy Alta"))))),"")</f>
        <v/>
      </c>
      <c r="AC63" s="116" t="str">
        <f>+AA63</f>
        <v/>
      </c>
      <c r="AD63" s="115" t="str">
        <f>IFERROR(IF(AE63="","",IF(AE63&lt;=0.2,"Leve",IF(AE63&lt;=0.4,"Menor",IF(AE63&lt;=0.6,"Moderado",IF(AE63&lt;=0.8,"Mayor","Catastrófico"))))),"")</f>
        <v/>
      </c>
      <c r="AE63" s="116" t="str">
        <f>IFERROR(IF(T63="Impacto",(P63-(+P63*W63)),IF(T63="Probabilidad",P63,"")),"")</f>
        <v/>
      </c>
      <c r="AF63" s="117" t="str">
        <f>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18"/>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customHeight="1" x14ac:dyDescent="0.3">
      <c r="A64" s="431"/>
      <c r="B64" s="434"/>
      <c r="C64" s="434"/>
      <c r="D64" s="434"/>
      <c r="E64" s="120"/>
      <c r="F64" s="437"/>
      <c r="G64" s="449"/>
      <c r="H64" s="123"/>
      <c r="I64" s="434"/>
      <c r="J64" s="440"/>
      <c r="K64" s="443"/>
      <c r="L64" s="425"/>
      <c r="M64" s="446"/>
      <c r="N64" s="425">
        <f>IF(NOT(ISERROR(MATCH(M64,_xlfn.ANCHORARRAY(F75),0))),L77&amp;"Por favor no seleccionar los criterios de impacto",M64)</f>
        <v>0</v>
      </c>
      <c r="O64" s="443"/>
      <c r="P64" s="425"/>
      <c r="Q64" s="428"/>
      <c r="R64" s="105">
        <v>2</v>
      </c>
      <c r="S64" s="106"/>
      <c r="T64" s="107" t="str">
        <f>IF(OR(U64="Preventivo",U64="Detectivo"),"Probabilidad",IF(U64="Correctivo","Impacto",""))</f>
        <v/>
      </c>
      <c r="U64" s="113"/>
      <c r="V64" s="113"/>
      <c r="W64" s="114" t="str">
        <f t="shared" ref="W64:W68" si="108">IF(AND(U64="Preventivo",V64="Automático"),"50%",IF(AND(U64="Preventivo",V64="Manual"),"40%",IF(AND(U64="Detectivo",V64="Automático"),"40%",IF(AND(U64="Detectivo",V64="Manual"),"30%",IF(AND(U64="Correctivo",V64="Automático"),"35%",IF(AND(U64="Correctivo",V64="Manual"),"25%",""))))))</f>
        <v/>
      </c>
      <c r="X64" s="113"/>
      <c r="Y64" s="113"/>
      <c r="Z64" s="113"/>
      <c r="AA64" s="108" t="str">
        <f>IFERROR(IF(AND(T63="Probabilidad",T64="Probabilidad"),(AC63-(+AC63*W64)),IF(AND(T63="Impacto",T64="Probabilidad"),(L63-(+L63*W64)),IF(T64="Impacto",AC63,""))),"")</f>
        <v/>
      </c>
      <c r="AB64" s="115" t="str">
        <f t="shared" ref="AB64:AB68" si="109">IFERROR(IF(AA64="","",IF(AA64&lt;=0.2,"Muy Baja",IF(AA64&lt;=0.4,"Baja",IF(AA64&lt;=0.6,"Media",IF(AA64&lt;=0.8,"Alta","Muy Alta"))))),"")</f>
        <v/>
      </c>
      <c r="AC64" s="116" t="str">
        <f>+AA64</f>
        <v/>
      </c>
      <c r="AD64" s="115" t="str">
        <f t="shared" ref="AD64:AD68" si="110">IFERROR(IF(AE64="","",IF(AE64&lt;=0.2,"Leve",IF(AE64&lt;=0.4,"Menor",IF(AE64&lt;=0.6,"Moderado",IF(AE64&lt;=0.8,"Mayor","Catastrófico"))))),"")</f>
        <v/>
      </c>
      <c r="AE64" s="116" t="str">
        <f>IFERROR(IF(AND(T63="Impacto",T64="Impacto"),(AE63-(+AE63*W64)),IF(AND(T63="Probabilidad",T64="Impacto"),(P63-(+P63*W64)),IF(T64="Probabilidad",AE63,""))),"")</f>
        <v/>
      </c>
      <c r="AF64" s="117" t="str">
        <f t="shared" ref="AF64:AF68" si="111">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8"/>
      <c r="AH64" s="109"/>
      <c r="AI64" s="110"/>
      <c r="AJ64" s="111"/>
      <c r="AK64" s="111"/>
      <c r="AL64" s="109"/>
      <c r="AM64" s="110"/>
    </row>
    <row r="65" spans="1:39" ht="19.5" customHeight="1" x14ac:dyDescent="0.3">
      <c r="A65" s="431"/>
      <c r="B65" s="434"/>
      <c r="C65" s="434"/>
      <c r="D65" s="434"/>
      <c r="E65" s="120"/>
      <c r="F65" s="437"/>
      <c r="G65" s="449"/>
      <c r="H65" s="123"/>
      <c r="I65" s="434"/>
      <c r="J65" s="440"/>
      <c r="K65" s="443"/>
      <c r="L65" s="425"/>
      <c r="M65" s="446"/>
      <c r="N65" s="425">
        <f>IF(NOT(ISERROR(MATCH(M65,_xlfn.ANCHORARRAY(F76),0))),L78&amp;"Por favor no seleccionar los criterios de impacto",M65)</f>
        <v>0</v>
      </c>
      <c r="O65" s="443"/>
      <c r="P65" s="425"/>
      <c r="Q65" s="428"/>
      <c r="R65" s="105">
        <v>3</v>
      </c>
      <c r="S65" s="112"/>
      <c r="T65" s="107" t="str">
        <f t="shared" ref="T65:T68" si="112">IF(OR(U65="Preventivo",U65="Detectivo"),"Probabilidad",IF(U65="Correctivo","Impacto",""))</f>
        <v/>
      </c>
      <c r="U65" s="113"/>
      <c r="V65" s="113"/>
      <c r="W65" s="114" t="str">
        <f t="shared" si="108"/>
        <v/>
      </c>
      <c r="X65" s="113"/>
      <c r="Y65" s="113"/>
      <c r="Z65" s="113"/>
      <c r="AA65" s="108" t="str">
        <f>IFERROR(IF(AND(T64="Probabilidad",T65="Probabilidad"),(AC64-(+AC64*W65)),IF(AND(T64="Impacto",T65="Probabilidad"),(AC63-(+AC63*W65)),IF(T65="Impacto",AC64,""))),"")</f>
        <v/>
      </c>
      <c r="AB65" s="115" t="str">
        <f t="shared" si="109"/>
        <v/>
      </c>
      <c r="AC65" s="116" t="str">
        <f t="shared" ref="AC65:AC68" si="113">+AA65</f>
        <v/>
      </c>
      <c r="AD65" s="115" t="str">
        <f t="shared" si="110"/>
        <v/>
      </c>
      <c r="AE65" s="116" t="str">
        <f t="shared" ref="AE65:AE68" si="114">IFERROR(IF(AND(T64="Impacto",T65="Impacto"),(AE64-(+AE64*W65)),IF(AND(T64="Probabilidad",T65="Impacto"),(AE63-(+AE63*W65)),IF(T65="Probabilidad",AE64,""))),"")</f>
        <v/>
      </c>
      <c r="AF65" s="117" t="str">
        <f t="shared" si="111"/>
        <v/>
      </c>
      <c r="AG65" s="118"/>
      <c r="AH65" s="109"/>
      <c r="AI65" s="110"/>
      <c r="AJ65" s="111"/>
      <c r="AK65" s="111"/>
      <c r="AL65" s="109"/>
      <c r="AM65" s="110"/>
    </row>
    <row r="66" spans="1:39" ht="19.5" customHeight="1" x14ac:dyDescent="0.3">
      <c r="A66" s="431"/>
      <c r="B66" s="434"/>
      <c r="C66" s="434"/>
      <c r="D66" s="434"/>
      <c r="E66" s="120"/>
      <c r="F66" s="437"/>
      <c r="G66" s="449"/>
      <c r="H66" s="123"/>
      <c r="I66" s="434"/>
      <c r="J66" s="440"/>
      <c r="K66" s="443"/>
      <c r="L66" s="425"/>
      <c r="M66" s="446"/>
      <c r="N66" s="425">
        <f>IF(NOT(ISERROR(MATCH(M66,_xlfn.ANCHORARRAY(F77),0))),L79&amp;"Por favor no seleccionar los criterios de impacto",M66)</f>
        <v>0</v>
      </c>
      <c r="O66" s="443"/>
      <c r="P66" s="425"/>
      <c r="Q66" s="428"/>
      <c r="R66" s="105">
        <v>4</v>
      </c>
      <c r="S66" s="106"/>
      <c r="T66" s="107" t="str">
        <f t="shared" si="112"/>
        <v/>
      </c>
      <c r="U66" s="113"/>
      <c r="V66" s="113"/>
      <c r="W66" s="114" t="str">
        <f t="shared" si="108"/>
        <v/>
      </c>
      <c r="X66" s="113"/>
      <c r="Y66" s="113"/>
      <c r="Z66" s="113"/>
      <c r="AA66" s="108" t="str">
        <f t="shared" ref="AA66:AA68" si="115">IFERROR(IF(AND(T65="Probabilidad",T66="Probabilidad"),(AC65-(+AC65*W66)),IF(AND(T65="Impacto",T66="Probabilidad"),(AC64-(+AC64*W66)),IF(T66="Impacto",AC65,""))),"")</f>
        <v/>
      </c>
      <c r="AB66" s="115" t="str">
        <f t="shared" si="109"/>
        <v/>
      </c>
      <c r="AC66" s="116" t="str">
        <f t="shared" si="113"/>
        <v/>
      </c>
      <c r="AD66" s="115" t="str">
        <f t="shared" si="110"/>
        <v/>
      </c>
      <c r="AE66" s="116" t="str">
        <f t="shared" si="114"/>
        <v/>
      </c>
      <c r="AF66" s="117" t="str">
        <f t="shared" si="111"/>
        <v/>
      </c>
      <c r="AG66" s="118"/>
      <c r="AH66" s="109"/>
      <c r="AI66" s="110"/>
      <c r="AJ66" s="111"/>
      <c r="AK66" s="111"/>
      <c r="AL66" s="109"/>
      <c r="AM66" s="110"/>
    </row>
    <row r="67" spans="1:39" ht="19.5" customHeight="1" x14ac:dyDescent="0.3">
      <c r="A67" s="431"/>
      <c r="B67" s="434"/>
      <c r="C67" s="434"/>
      <c r="D67" s="434"/>
      <c r="E67" s="120"/>
      <c r="F67" s="437"/>
      <c r="G67" s="449"/>
      <c r="H67" s="123"/>
      <c r="I67" s="434"/>
      <c r="J67" s="440"/>
      <c r="K67" s="443"/>
      <c r="L67" s="425"/>
      <c r="M67" s="446"/>
      <c r="N67" s="425">
        <f>IF(NOT(ISERROR(MATCH(M67,_xlfn.ANCHORARRAY(F78),0))),L80&amp;"Por favor no seleccionar los criterios de impacto",M67)</f>
        <v>0</v>
      </c>
      <c r="O67" s="443"/>
      <c r="P67" s="425"/>
      <c r="Q67" s="428"/>
      <c r="R67" s="105">
        <v>5</v>
      </c>
      <c r="S67" s="106"/>
      <c r="T67" s="107" t="str">
        <f t="shared" si="112"/>
        <v/>
      </c>
      <c r="U67" s="113"/>
      <c r="V67" s="113"/>
      <c r="W67" s="114" t="str">
        <f t="shared" si="108"/>
        <v/>
      </c>
      <c r="X67" s="113"/>
      <c r="Y67" s="113"/>
      <c r="Z67" s="113"/>
      <c r="AA67" s="108" t="str">
        <f t="shared" si="115"/>
        <v/>
      </c>
      <c r="AB67" s="115" t="str">
        <f t="shared" si="109"/>
        <v/>
      </c>
      <c r="AC67" s="116" t="str">
        <f t="shared" si="113"/>
        <v/>
      </c>
      <c r="AD67" s="115" t="str">
        <f t="shared" si="110"/>
        <v/>
      </c>
      <c r="AE67" s="116" t="str">
        <f t="shared" si="114"/>
        <v/>
      </c>
      <c r="AF67" s="117" t="str">
        <f t="shared" si="111"/>
        <v/>
      </c>
      <c r="AG67" s="118"/>
      <c r="AH67" s="109"/>
      <c r="AI67" s="110"/>
      <c r="AJ67" s="111"/>
      <c r="AK67" s="111"/>
      <c r="AL67" s="109"/>
      <c r="AM67" s="110"/>
    </row>
    <row r="68" spans="1:39" ht="19.5" customHeight="1" x14ac:dyDescent="0.3">
      <c r="A68" s="432"/>
      <c r="B68" s="435"/>
      <c r="C68" s="435"/>
      <c r="D68" s="435"/>
      <c r="E68" s="121"/>
      <c r="F68" s="438"/>
      <c r="G68" s="450"/>
      <c r="H68" s="124"/>
      <c r="I68" s="435"/>
      <c r="J68" s="441"/>
      <c r="K68" s="444"/>
      <c r="L68" s="426"/>
      <c r="M68" s="447"/>
      <c r="N68" s="426">
        <f>IF(NOT(ISERROR(MATCH(M68,_xlfn.ANCHORARRAY(F79),0))),L81&amp;"Por favor no seleccionar los criterios de impacto",M68)</f>
        <v>0</v>
      </c>
      <c r="O68" s="444"/>
      <c r="P68" s="426"/>
      <c r="Q68" s="429"/>
      <c r="R68" s="105">
        <v>6</v>
      </c>
      <c r="S68" s="106"/>
      <c r="T68" s="107" t="str">
        <f t="shared" si="112"/>
        <v/>
      </c>
      <c r="U68" s="113"/>
      <c r="V68" s="113"/>
      <c r="W68" s="114" t="str">
        <f t="shared" si="108"/>
        <v/>
      </c>
      <c r="X68" s="113"/>
      <c r="Y68" s="113"/>
      <c r="Z68" s="113"/>
      <c r="AA68" s="108" t="str">
        <f t="shared" si="115"/>
        <v/>
      </c>
      <c r="AB68" s="115" t="str">
        <f t="shared" si="109"/>
        <v/>
      </c>
      <c r="AC68" s="116" t="str">
        <f t="shared" si="113"/>
        <v/>
      </c>
      <c r="AD68" s="115" t="str">
        <f t="shared" si="110"/>
        <v/>
      </c>
      <c r="AE68" s="116" t="str">
        <f t="shared" si="114"/>
        <v/>
      </c>
      <c r="AF68" s="117" t="str">
        <f t="shared" si="111"/>
        <v/>
      </c>
      <c r="AG68" s="118"/>
      <c r="AH68" s="109"/>
      <c r="AI68" s="110"/>
      <c r="AJ68" s="111"/>
      <c r="AK68" s="111"/>
      <c r="AL68" s="109"/>
      <c r="AM68" s="110"/>
    </row>
    <row r="69" spans="1:39" ht="49.5" customHeight="1" x14ac:dyDescent="0.3">
      <c r="A69" s="6"/>
      <c r="B69" s="421" t="s">
        <v>126</v>
      </c>
      <c r="C69" s="422"/>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c r="AI69" s="422"/>
      <c r="AJ69" s="422"/>
      <c r="AK69" s="422"/>
      <c r="AL69" s="422"/>
      <c r="AM69" s="423"/>
    </row>
    <row r="71" spans="1:39" x14ac:dyDescent="0.3">
      <c r="A71" s="1"/>
      <c r="B71" s="24" t="s">
        <v>138</v>
      </c>
      <c r="C71" s="1"/>
      <c r="D71" s="1"/>
      <c r="E71" s="1"/>
      <c r="I71" s="1"/>
    </row>
  </sheetData>
  <dataConsolidate/>
  <mergeCells count="196">
    <mergeCell ref="M21:M26"/>
    <mergeCell ref="N21:N26"/>
    <mergeCell ref="O21:O26"/>
    <mergeCell ref="L15:L20"/>
    <mergeCell ref="M15:M20"/>
    <mergeCell ref="L21:L26"/>
    <mergeCell ref="G63:G68"/>
    <mergeCell ref="I10:I14"/>
    <mergeCell ref="J10:J14"/>
    <mergeCell ref="K10:K14"/>
    <mergeCell ref="I15:I20"/>
    <mergeCell ref="J15:J20"/>
    <mergeCell ref="K15:K20"/>
    <mergeCell ref="G15:G20"/>
    <mergeCell ref="G21:G26"/>
    <mergeCell ref="G27:G32"/>
    <mergeCell ref="I21:I26"/>
    <mergeCell ref="J21:J26"/>
    <mergeCell ref="K21:K26"/>
    <mergeCell ref="L33:L38"/>
    <mergeCell ref="M33:M38"/>
    <mergeCell ref="J39:J44"/>
    <mergeCell ref="K39:K44"/>
    <mergeCell ref="L39:L44"/>
    <mergeCell ref="A10:A14"/>
    <mergeCell ref="B10:B14"/>
    <mergeCell ref="C10:C14"/>
    <mergeCell ref="D10:D14"/>
    <mergeCell ref="F10:F14"/>
    <mergeCell ref="Q10:Q14"/>
    <mergeCell ref="L10:L14"/>
    <mergeCell ref="M10:M14"/>
    <mergeCell ref="N10:N14"/>
    <mergeCell ref="O10:O14"/>
    <mergeCell ref="P10:P14"/>
    <mergeCell ref="H10:H14"/>
    <mergeCell ref="G10:G14"/>
    <mergeCell ref="A8:A9"/>
    <mergeCell ref="I8:I9"/>
    <mergeCell ref="F8:F9"/>
    <mergeCell ref="D8:D9"/>
    <mergeCell ref="C8:C9"/>
    <mergeCell ref="AG8:AG9"/>
    <mergeCell ref="R8:R9"/>
    <mergeCell ref="AF8:AF9"/>
    <mergeCell ref="AE8:AE9"/>
    <mergeCell ref="AA8:AA9"/>
    <mergeCell ref="S8:S9"/>
    <mergeCell ref="AD8:AD9"/>
    <mergeCell ref="AB8:AB9"/>
    <mergeCell ref="AC8:AC9"/>
    <mergeCell ref="J8:J9"/>
    <mergeCell ref="K8:K9"/>
    <mergeCell ref="L8:L9"/>
    <mergeCell ref="O8:O9"/>
    <mergeCell ref="P8:P9"/>
    <mergeCell ref="B8:B9"/>
    <mergeCell ref="Q8:Q9"/>
    <mergeCell ref="M8:M9"/>
    <mergeCell ref="N8:N9"/>
    <mergeCell ref="T8:T9"/>
    <mergeCell ref="D15:D20"/>
    <mergeCell ref="F15:F20"/>
    <mergeCell ref="AH8:AH9"/>
    <mergeCell ref="AM8:AM9"/>
    <mergeCell ref="AL8:AL9"/>
    <mergeCell ref="AK8:AK9"/>
    <mergeCell ref="AJ8:AJ9"/>
    <mergeCell ref="AI8:AI9"/>
    <mergeCell ref="U8:Z8"/>
    <mergeCell ref="E8:E9"/>
    <mergeCell ref="N15:N20"/>
    <mergeCell ref="O15:O20"/>
    <mergeCell ref="P15:P20"/>
    <mergeCell ref="Q15:Q20"/>
    <mergeCell ref="A15:A20"/>
    <mergeCell ref="B15:B20"/>
    <mergeCell ref="C15:C20"/>
    <mergeCell ref="P21:P26"/>
    <mergeCell ref="Q21:Q26"/>
    <mergeCell ref="A27:A32"/>
    <mergeCell ref="B27:B32"/>
    <mergeCell ref="C27:C32"/>
    <mergeCell ref="D27:D32"/>
    <mergeCell ref="F27:F32"/>
    <mergeCell ref="I27:I32"/>
    <mergeCell ref="J27:J32"/>
    <mergeCell ref="K27:K32"/>
    <mergeCell ref="L27:L32"/>
    <mergeCell ref="M27:M32"/>
    <mergeCell ref="N27:N32"/>
    <mergeCell ref="O27:O32"/>
    <mergeCell ref="P27:P32"/>
    <mergeCell ref="Q27:Q32"/>
    <mergeCell ref="A21:A26"/>
    <mergeCell ref="B21:B26"/>
    <mergeCell ref="C21:C26"/>
    <mergeCell ref="D21:D26"/>
    <mergeCell ref="F21:F26"/>
    <mergeCell ref="P33:P38"/>
    <mergeCell ref="Q33:Q38"/>
    <mergeCell ref="P39:P44"/>
    <mergeCell ref="Q39:Q44"/>
    <mergeCell ref="M45:M50"/>
    <mergeCell ref="N45:N50"/>
    <mergeCell ref="O45:O50"/>
    <mergeCell ref="A33:A38"/>
    <mergeCell ref="B33:B38"/>
    <mergeCell ref="C33:C38"/>
    <mergeCell ref="A39:A44"/>
    <mergeCell ref="B39:B44"/>
    <mergeCell ref="C39:C44"/>
    <mergeCell ref="D39:D44"/>
    <mergeCell ref="F39:F44"/>
    <mergeCell ref="I39:I44"/>
    <mergeCell ref="D33:D38"/>
    <mergeCell ref="F33:F38"/>
    <mergeCell ref="M39:M44"/>
    <mergeCell ref="N39:N44"/>
    <mergeCell ref="O39:O44"/>
    <mergeCell ref="I33:I38"/>
    <mergeCell ref="J33:J38"/>
    <mergeCell ref="K33:K38"/>
    <mergeCell ref="N33:N38"/>
    <mergeCell ref="O33:O38"/>
    <mergeCell ref="A51:A56"/>
    <mergeCell ref="B51:B56"/>
    <mergeCell ref="C51:C56"/>
    <mergeCell ref="D51:D56"/>
    <mergeCell ref="F51:F56"/>
    <mergeCell ref="A45:A50"/>
    <mergeCell ref="B45:B50"/>
    <mergeCell ref="C45:C50"/>
    <mergeCell ref="D45:D50"/>
    <mergeCell ref="F45:F50"/>
    <mergeCell ref="G33:G38"/>
    <mergeCell ref="G39:G44"/>
    <mergeCell ref="G45:G50"/>
    <mergeCell ref="G51:G56"/>
    <mergeCell ref="F57:F62"/>
    <mergeCell ref="I57:I62"/>
    <mergeCell ref="J57:J62"/>
    <mergeCell ref="K57:K62"/>
    <mergeCell ref="L57:L62"/>
    <mergeCell ref="P45:P50"/>
    <mergeCell ref="Q45:Q50"/>
    <mergeCell ref="I51:I56"/>
    <mergeCell ref="J51:J56"/>
    <mergeCell ref="K51:K56"/>
    <mergeCell ref="L51:L56"/>
    <mergeCell ref="M51:M56"/>
    <mergeCell ref="I45:I50"/>
    <mergeCell ref="J45:J50"/>
    <mergeCell ref="K45:K50"/>
    <mergeCell ref="L45:L50"/>
    <mergeCell ref="N51:N56"/>
    <mergeCell ref="O51:O56"/>
    <mergeCell ref="P51:P56"/>
    <mergeCell ref="Q51:Q56"/>
    <mergeCell ref="G57:G62"/>
    <mergeCell ref="B69:AM69"/>
    <mergeCell ref="P57:P62"/>
    <mergeCell ref="Q57:Q62"/>
    <mergeCell ref="A63:A68"/>
    <mergeCell ref="B63:B68"/>
    <mergeCell ref="C63:C68"/>
    <mergeCell ref="D63:D68"/>
    <mergeCell ref="F63:F68"/>
    <mergeCell ref="I63:I68"/>
    <mergeCell ref="J63:J68"/>
    <mergeCell ref="K63:K68"/>
    <mergeCell ref="L63:L68"/>
    <mergeCell ref="M63:M68"/>
    <mergeCell ref="N63:N68"/>
    <mergeCell ref="O63:O68"/>
    <mergeCell ref="P63:P68"/>
    <mergeCell ref="Q63:Q68"/>
    <mergeCell ref="M57:M62"/>
    <mergeCell ref="N57:N62"/>
    <mergeCell ref="O57:O62"/>
    <mergeCell ref="A57:A62"/>
    <mergeCell ref="B57:B62"/>
    <mergeCell ref="C57:C62"/>
    <mergeCell ref="D57:D62"/>
    <mergeCell ref="C4:AM4"/>
    <mergeCell ref="C5:AM5"/>
    <mergeCell ref="C6:AM6"/>
    <mergeCell ref="A1:AM2"/>
    <mergeCell ref="A7:J7"/>
    <mergeCell ref="K7:Q7"/>
    <mergeCell ref="R7:Z7"/>
    <mergeCell ref="AA7:AG7"/>
    <mergeCell ref="AH7:AM7"/>
    <mergeCell ref="A4:B4"/>
    <mergeCell ref="A5:B5"/>
    <mergeCell ref="A6:B6"/>
  </mergeCells>
  <phoneticPr fontId="78" type="noConversion"/>
  <conditionalFormatting sqref="K10 AB10:AB68 K15 K21 K27 K33 K39 K45 K51 K57 K63">
    <cfRule type="cellIs" dxfId="34" priority="641" operator="equal">
      <formula>"Muy Alta"</formula>
    </cfRule>
    <cfRule type="cellIs" dxfId="33" priority="642" operator="equal">
      <formula>"Alta"</formula>
    </cfRule>
    <cfRule type="cellIs" dxfId="32" priority="643" operator="equal">
      <formula>"Media"</formula>
    </cfRule>
    <cfRule type="cellIs" dxfId="31" priority="644" operator="equal">
      <formula>"Baja"</formula>
    </cfRule>
    <cfRule type="cellIs" dxfId="30" priority="645" operator="equal">
      <formula>"Muy Baja"</formula>
    </cfRule>
  </conditionalFormatting>
  <conditionalFormatting sqref="N10:N68">
    <cfRule type="containsText" dxfId="29" priority="323" operator="containsText" text="❌">
      <formula>NOT(ISERROR(SEARCH("❌",N10)))</formula>
    </cfRule>
  </conditionalFormatting>
  <conditionalFormatting sqref="O10 AD10:AD68 O15 O21 O27 O33 O39 O45 O51 O57 O63">
    <cfRule type="cellIs" dxfId="28" priority="636" operator="equal">
      <formula>"Catastrófico"</formula>
    </cfRule>
    <cfRule type="cellIs" dxfId="27" priority="637" operator="equal">
      <formula>"Mayor"</formula>
    </cfRule>
    <cfRule type="cellIs" dxfId="26" priority="638" operator="equal">
      <formula>"Moderado"</formula>
    </cfRule>
    <cfRule type="cellIs" dxfId="25" priority="639" operator="equal">
      <formula>"Menor"</formula>
    </cfRule>
    <cfRule type="cellIs" dxfId="24" priority="640" operator="equal">
      <formula>"Leve"</formula>
    </cfRule>
  </conditionalFormatting>
  <conditionalFormatting sqref="Q10 AF10:AF68">
    <cfRule type="cellIs" dxfId="23" priority="632" operator="equal">
      <formula>"Extremo"</formula>
    </cfRule>
    <cfRule type="cellIs" dxfId="22" priority="633" operator="equal">
      <formula>"Alto"</formula>
    </cfRule>
    <cfRule type="cellIs" dxfId="21" priority="634" operator="equal">
      <formula>"Moderado"</formula>
    </cfRule>
    <cfRule type="cellIs" dxfId="20" priority="635" operator="equal">
      <formula>"Bajo"</formula>
    </cfRule>
  </conditionalFormatting>
  <conditionalFormatting sqref="Q15 Q21 Q27 Q33 Q39 Q45 Q51 Q57 Q63">
    <cfRule type="cellIs" dxfId="19" priority="562" operator="equal">
      <formula>"Extremo"</formula>
    </cfRule>
    <cfRule type="cellIs" dxfId="18" priority="563" operator="equal">
      <formula>"Alto"</formula>
    </cfRule>
    <cfRule type="cellIs" dxfId="17" priority="564" operator="equal">
      <formula>"Moderado"</formula>
    </cfRule>
    <cfRule type="cellIs" dxfId="16" priority="565" operator="equal">
      <formula>"Bajo"</formula>
    </cfRule>
  </conditionalFormatting>
  <dataValidations count="1">
    <dataValidation type="list" allowBlank="1" showInputMessage="1" showErrorMessage="1" sqref="G10:G68">
      <formula1>"Gestión, FISCAL,"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'Opciones Tratamiento'!$B$9:$B$10</xm:f>
          </x14:formula1>
          <xm:sqref>AM66:AM67 AM15:AM16 AM18:AM19 AM21:AM22 AM24:AM25 AM27:AM28 AM30:AM31 AM33:AM34 AM36:AM37 AM39:AM40 AM42:AM43 AM45:AM46 AM48:AM49 AM51:AM52 AM54:AM55 AM57:AM58 AM60:AM61 AM63:AM64 AM10:AM13</xm:sqref>
        </x14:dataValidation>
        <x14:dataValidation type="list" allowBlank="1" showInputMessage="1" showErrorMessage="1">
          <x14:formula1>
            <xm:f>'Opciones Tratamiento'!$E$2:$E$4</xm:f>
          </x14:formula1>
          <xm:sqref>B15:B68</xm:sqref>
        </x14:dataValidation>
        <x14:dataValidation type="list" allowBlank="1" showInputMessage="1" showErrorMessage="1">
          <x14:formula1>
            <xm:f>'Opciones Tratamiento'!$B$2:$B$5</xm:f>
          </x14:formula1>
          <xm:sqref>AG10 AG17:AG21 AG23:AG27 AG29:AG33 AG35:AG39 AG41:AG45 AG47:AG51 AG53:AG57 AG59:AG63 AG65:AG68 AG12:AG15</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AH10 AH13:AH68</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AL10 AL12:AL68</xm:sqref>
        </x14:dataValidation>
        <x14:dataValidation type="list" allowBlank="1" showInputMessage="1" showErrorMessage="1">
          <x14:formula1>
            <xm:f>'C:\Users\HOME\Downloads\[Formato Matriz de Riesgos 2021 (1).xlsx]Opciones Tratamiento'!#REF!</xm:f>
          </x14:formula1>
          <xm:sqref>AG11 AG16 AG22 AG28 AG34 AG40 AG46 AG52 AG58 AG64</xm:sqref>
        </x14:dataValidation>
        <x14:dataValidation type="list" allowBlank="1" showInputMessage="1" showErrorMessage="1">
          <x14:formula1>
            <xm:f>'Tabla Valoración controles'!$D$4:$D$6</xm:f>
          </x14:formula1>
          <xm:sqref>U10:U68</xm:sqref>
        </x14:dataValidation>
        <x14:dataValidation type="list" allowBlank="1" showInputMessage="1" showErrorMessage="1">
          <x14:formula1>
            <xm:f>'Tabla Valoración controles'!$D$7:$D$8</xm:f>
          </x14:formula1>
          <xm:sqref>V10:V68</xm:sqref>
        </x14:dataValidation>
        <x14:dataValidation type="list" allowBlank="1" showInputMessage="1" showErrorMessage="1">
          <x14:formula1>
            <xm:f>'Tabla Valoración controles'!$D$9:$D$10</xm:f>
          </x14:formula1>
          <xm:sqref>X10:X68</xm:sqref>
        </x14:dataValidation>
        <x14:dataValidation type="list" allowBlank="1" showInputMessage="1" showErrorMessage="1">
          <x14:formula1>
            <xm:f>'Tabla Valoración controles'!$D$11:$D$12</xm:f>
          </x14:formula1>
          <xm:sqref>Y10:Y68</xm:sqref>
        </x14:dataValidation>
        <x14:dataValidation type="list" allowBlank="1" showInputMessage="1" showErrorMessage="1">
          <x14:formula1>
            <xm:f>'Tabla Valoración controles'!$D$13:$D$14</xm:f>
          </x14:formula1>
          <xm:sqref>Z10:Z68</xm:sqref>
        </x14:dataValidation>
        <x14:dataValidation type="list" allowBlank="1" showInputMessage="1" showErrorMessage="1">
          <x14:formula1>
            <xm:f>'Opciones Tratamiento'!$B$13:$B$19</xm:f>
          </x14:formula1>
          <xm:sqref>I10:I68</xm:sqref>
        </x14:dataValidation>
        <x14:dataValidation type="list" allowBlank="1" showInputMessage="1" showErrorMessage="1">
          <x14:formula1>
            <xm:f>'Tabla Impacto'!$F$210:$F$221</xm:f>
          </x14:formula1>
          <xm:sqref>M10:M68</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AI10:AI68</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AJ10:AJ68</xm:sqref>
        </x14:dataValidation>
        <x14:dataValidation type="custom" allowBlank="1" showInputMessage="1" showErrorMessage="1" error="Recuerde que las acciones se generan bajo la medida de mitigar el riesgo">
          <x14:formula1>
            <xm:f>IF(OR(AG10='Opciones Tratamiento'!$B$2,AG10='Opciones Tratamiento'!$B$3,AG10='Opciones Tratamiento'!$B$4),ISBLANK(AG10),ISTEXT(AG10))</xm:f>
          </x14:formula1>
          <xm:sqref>AK10:AK68</xm:sqref>
        </x14:dataValidation>
        <x14:dataValidation type="custom" allowBlank="1" showInputMessage="1" showErrorMessage="1" error="Recuerde que las acciones se generan bajo la medida de mitigar el riesgo">
          <x14:formula1>
            <xm:f>IF(OR(AG12='Opciones Tratamiento'!$B$2,AG12='Opciones Tratamiento'!$B$3,AG12='Opciones Tratamiento'!$B$4),ISBLANK(AG12),ISTEXT(AG12))</xm:f>
          </x14:formula1>
          <xm:sqref>AH11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5" zoomScaleNormal="55" workbookViewId="0"/>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583" t="s">
        <v>150</v>
      </c>
      <c r="C2" s="583"/>
      <c r="D2" s="583"/>
      <c r="E2" s="583"/>
      <c r="F2" s="583"/>
      <c r="G2" s="583"/>
      <c r="H2" s="583"/>
      <c r="I2" s="583"/>
      <c r="J2" s="551" t="s">
        <v>2</v>
      </c>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583"/>
      <c r="C3" s="583"/>
      <c r="D3" s="583"/>
      <c r="E3" s="583"/>
      <c r="F3" s="583"/>
      <c r="G3" s="583"/>
      <c r="H3" s="583"/>
      <c r="I3" s="583"/>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551"/>
      <c r="AM3" s="55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583"/>
      <c r="C4" s="583"/>
      <c r="D4" s="583"/>
      <c r="E4" s="583"/>
      <c r="F4" s="583"/>
      <c r="G4" s="583"/>
      <c r="H4" s="583"/>
      <c r="I4" s="583"/>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551"/>
      <c r="AM4" s="55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498" t="s">
        <v>4</v>
      </c>
      <c r="C6" s="498"/>
      <c r="D6" s="499"/>
      <c r="E6" s="536" t="s">
        <v>111</v>
      </c>
      <c r="F6" s="537"/>
      <c r="G6" s="537"/>
      <c r="H6" s="537"/>
      <c r="I6" s="538"/>
      <c r="J6" s="547" t="str">
        <f>IF(AND('Mapa final'!$K$10="Muy Alta",'Mapa final'!$O$10="Leve"),CONCATENATE("R",'Mapa final'!$A$10),"")</f>
        <v/>
      </c>
      <c r="K6" s="548"/>
      <c r="L6" s="548" t="str">
        <f>IF(AND('Mapa final'!$K$15="Muy Alta",'Mapa final'!$O$15="Leve"),CONCATENATE("R",'Mapa final'!$A$15),"")</f>
        <v/>
      </c>
      <c r="M6" s="548"/>
      <c r="N6" s="548" t="str">
        <f>IF(AND('Mapa final'!$K$21="Muy Alta",'Mapa final'!$O$21="Leve"),CONCATENATE("R",'Mapa final'!$A$21),"")</f>
        <v/>
      </c>
      <c r="O6" s="550"/>
      <c r="P6" s="547" t="str">
        <f>IF(AND('Mapa final'!$K$10="Muy Alta",'Mapa final'!$O$10="Menor"),CONCATENATE("R",'Mapa final'!$A$10),"")</f>
        <v/>
      </c>
      <c r="Q6" s="548"/>
      <c r="R6" s="548" t="str">
        <f>IF(AND('Mapa final'!$K$15="Muy Alta",'Mapa final'!$O$15="Menor"),CONCATENATE("R",'Mapa final'!$A$15),"")</f>
        <v/>
      </c>
      <c r="S6" s="548"/>
      <c r="T6" s="548" t="str">
        <f>IF(AND('Mapa final'!$K$21="Muy Alta",'Mapa final'!$O$21="Menor"),CONCATENATE("R",'Mapa final'!$A$21),"")</f>
        <v/>
      </c>
      <c r="U6" s="550"/>
      <c r="V6" s="547" t="str">
        <f>IF(AND('Mapa final'!$K$10="Muy Alta",'Mapa final'!$O$10="Moderado"),CONCATENATE("R",'Mapa final'!$A$10),"")</f>
        <v/>
      </c>
      <c r="W6" s="548"/>
      <c r="X6" s="548" t="str">
        <f>IF(AND('Mapa final'!$K$15="Muy Alta",'Mapa final'!$O$15="Moderado"),CONCATENATE("R",'Mapa final'!$A$15),"")</f>
        <v/>
      </c>
      <c r="Y6" s="548"/>
      <c r="Z6" s="548" t="str">
        <f>IF(AND('Mapa final'!$K$21="Muy Alta",'Mapa final'!$O$21="Moderado"),CONCATENATE("R",'Mapa final'!$A$21),"")</f>
        <v/>
      </c>
      <c r="AA6" s="550"/>
      <c r="AB6" s="547" t="str">
        <f>IF(AND('Mapa final'!$K$10="Muy Alta",'Mapa final'!$O$10="Mayor"),CONCATENATE("R",'Mapa final'!$A$10),"")</f>
        <v/>
      </c>
      <c r="AC6" s="548"/>
      <c r="AD6" s="548" t="str">
        <f>IF(AND('Mapa final'!$K$15="Muy Alta",'Mapa final'!$O$15="Mayor"),CONCATENATE("R",'Mapa final'!$A$15),"")</f>
        <v/>
      </c>
      <c r="AE6" s="548"/>
      <c r="AF6" s="548" t="str">
        <f>IF(AND('Mapa final'!$K$21="Muy Alta",'Mapa final'!$O$21="Mayor"),CONCATENATE("R",'Mapa final'!$A$21),"")</f>
        <v/>
      </c>
      <c r="AG6" s="550"/>
      <c r="AH6" s="562" t="str">
        <f>IF(AND('Mapa final'!$K$10="Muy Alta",'Mapa final'!$O$10="Catastrófico"),CONCATENATE("R",'Mapa final'!$A$10),"")</f>
        <v/>
      </c>
      <c r="AI6" s="563"/>
      <c r="AJ6" s="563" t="str">
        <f>IF(AND('Mapa final'!$K$15="Muy Alta",'Mapa final'!$O$15="Catastrófico"),CONCATENATE("R",'Mapa final'!$A$15),"")</f>
        <v/>
      </c>
      <c r="AK6" s="563"/>
      <c r="AL6" s="563" t="str">
        <f>IF(AND('Mapa final'!$K$21="Muy Alta",'Mapa final'!$O$21="Catastrófico"),CONCATENATE("R",'Mapa final'!$A$21),"")</f>
        <v/>
      </c>
      <c r="AM6" s="564"/>
      <c r="AO6" s="500" t="s">
        <v>78</v>
      </c>
      <c r="AP6" s="501"/>
      <c r="AQ6" s="501"/>
      <c r="AR6" s="501"/>
      <c r="AS6" s="501"/>
      <c r="AT6" s="50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498"/>
      <c r="C7" s="498"/>
      <c r="D7" s="499"/>
      <c r="E7" s="539"/>
      <c r="F7" s="540"/>
      <c r="G7" s="540"/>
      <c r="H7" s="540"/>
      <c r="I7" s="541"/>
      <c r="J7" s="549"/>
      <c r="K7" s="545"/>
      <c r="L7" s="545"/>
      <c r="M7" s="545"/>
      <c r="N7" s="545"/>
      <c r="O7" s="546"/>
      <c r="P7" s="549"/>
      <c r="Q7" s="545"/>
      <c r="R7" s="545"/>
      <c r="S7" s="545"/>
      <c r="T7" s="545"/>
      <c r="U7" s="546"/>
      <c r="V7" s="549"/>
      <c r="W7" s="545"/>
      <c r="X7" s="545"/>
      <c r="Y7" s="545"/>
      <c r="Z7" s="545"/>
      <c r="AA7" s="546"/>
      <c r="AB7" s="549"/>
      <c r="AC7" s="545"/>
      <c r="AD7" s="545"/>
      <c r="AE7" s="545"/>
      <c r="AF7" s="545"/>
      <c r="AG7" s="546"/>
      <c r="AH7" s="556"/>
      <c r="AI7" s="557"/>
      <c r="AJ7" s="557"/>
      <c r="AK7" s="557"/>
      <c r="AL7" s="557"/>
      <c r="AM7" s="558"/>
      <c r="AN7" s="67"/>
      <c r="AO7" s="503"/>
      <c r="AP7" s="504"/>
      <c r="AQ7" s="504"/>
      <c r="AR7" s="504"/>
      <c r="AS7" s="504"/>
      <c r="AT7" s="50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498"/>
      <c r="C8" s="498"/>
      <c r="D8" s="499"/>
      <c r="E8" s="539"/>
      <c r="F8" s="540"/>
      <c r="G8" s="540"/>
      <c r="H8" s="540"/>
      <c r="I8" s="541"/>
      <c r="J8" s="549" t="str">
        <f>IF(AND('Mapa final'!$K$27="Muy Alta",'Mapa final'!$O$27="Leve"),CONCATENATE("R",'Mapa final'!$A$27),"")</f>
        <v/>
      </c>
      <c r="K8" s="545"/>
      <c r="L8" s="545" t="str">
        <f>IF(AND('Mapa final'!$K$33="Muy Alta",'Mapa final'!$O$33="Leve"),CONCATENATE("R",'Mapa final'!$A$33),"")</f>
        <v/>
      </c>
      <c r="M8" s="545"/>
      <c r="N8" s="545" t="str">
        <f>IF(AND('Mapa final'!$K$39="Muy Alta",'Mapa final'!$O$39="Leve"),CONCATENATE("R",'Mapa final'!$A$39),"")</f>
        <v/>
      </c>
      <c r="O8" s="546"/>
      <c r="P8" s="549" t="str">
        <f>IF(AND('Mapa final'!$K$27="Muy Alta",'Mapa final'!$O$27="Menor"),CONCATENATE("R",'Mapa final'!$A$27),"")</f>
        <v/>
      </c>
      <c r="Q8" s="545"/>
      <c r="R8" s="545" t="str">
        <f>IF(AND('Mapa final'!$K$33="Muy Alta",'Mapa final'!$O$33="Menor"),CONCATENATE("R",'Mapa final'!$A$33),"")</f>
        <v/>
      </c>
      <c r="S8" s="545"/>
      <c r="T8" s="545" t="str">
        <f>IF(AND('Mapa final'!$K$39="Muy Alta",'Mapa final'!$O$39="Menor"),CONCATENATE("R",'Mapa final'!$A$39),"")</f>
        <v/>
      </c>
      <c r="U8" s="546"/>
      <c r="V8" s="549" t="str">
        <f>IF(AND('Mapa final'!$K$27="Muy Alta",'Mapa final'!$O$27="Moderado"),CONCATENATE("R",'Mapa final'!$A$27),"")</f>
        <v/>
      </c>
      <c r="W8" s="545"/>
      <c r="X8" s="545" t="str">
        <f>IF(AND('Mapa final'!$K$33="Muy Alta",'Mapa final'!$O$33="Moderado"),CONCATENATE("R",'Mapa final'!$A$33),"")</f>
        <v/>
      </c>
      <c r="Y8" s="545"/>
      <c r="Z8" s="545" t="str">
        <f>IF(AND('Mapa final'!$K$39="Muy Alta",'Mapa final'!$O$39="Moderado"),CONCATENATE("R",'Mapa final'!$A$39),"")</f>
        <v/>
      </c>
      <c r="AA8" s="546"/>
      <c r="AB8" s="549" t="str">
        <f>IF(AND('Mapa final'!$K$27="Muy Alta",'Mapa final'!$O$27="Mayor"),CONCATENATE("R",'Mapa final'!$A$27),"")</f>
        <v/>
      </c>
      <c r="AC8" s="545"/>
      <c r="AD8" s="545" t="str">
        <f>IF(AND('Mapa final'!$K$33="Muy Alta",'Mapa final'!$O$33="Mayor"),CONCATENATE("R",'Mapa final'!$A$33),"")</f>
        <v/>
      </c>
      <c r="AE8" s="545"/>
      <c r="AF8" s="545" t="str">
        <f>IF(AND('Mapa final'!$K$39="Muy Alta",'Mapa final'!$O$39="Mayor"),CONCATENATE("R",'Mapa final'!$A$39),"")</f>
        <v/>
      </c>
      <c r="AG8" s="546"/>
      <c r="AH8" s="556" t="str">
        <f>IF(AND('Mapa final'!$K$27="Muy Alta",'Mapa final'!$O$27="Catastrófico"),CONCATENATE("R",'Mapa final'!$A$27),"")</f>
        <v/>
      </c>
      <c r="AI8" s="557"/>
      <c r="AJ8" s="557" t="str">
        <f>IF(AND('Mapa final'!$K$33="Muy Alta",'Mapa final'!$O$33="Catastrófico"),CONCATENATE("R",'Mapa final'!$A$33),"")</f>
        <v/>
      </c>
      <c r="AK8" s="557"/>
      <c r="AL8" s="557" t="str">
        <f>IF(AND('Mapa final'!$K$39="Muy Alta",'Mapa final'!$O$39="Catastrófico"),CONCATENATE("R",'Mapa final'!$A$39),"")</f>
        <v/>
      </c>
      <c r="AM8" s="558"/>
      <c r="AN8" s="67"/>
      <c r="AO8" s="503"/>
      <c r="AP8" s="504"/>
      <c r="AQ8" s="504"/>
      <c r="AR8" s="504"/>
      <c r="AS8" s="504"/>
      <c r="AT8" s="50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498"/>
      <c r="C9" s="498"/>
      <c r="D9" s="499"/>
      <c r="E9" s="539"/>
      <c r="F9" s="540"/>
      <c r="G9" s="540"/>
      <c r="H9" s="540"/>
      <c r="I9" s="541"/>
      <c r="J9" s="549"/>
      <c r="K9" s="545"/>
      <c r="L9" s="545"/>
      <c r="M9" s="545"/>
      <c r="N9" s="545"/>
      <c r="O9" s="546"/>
      <c r="P9" s="549"/>
      <c r="Q9" s="545"/>
      <c r="R9" s="545"/>
      <c r="S9" s="545"/>
      <c r="T9" s="545"/>
      <c r="U9" s="546"/>
      <c r="V9" s="549"/>
      <c r="W9" s="545"/>
      <c r="X9" s="545"/>
      <c r="Y9" s="545"/>
      <c r="Z9" s="545"/>
      <c r="AA9" s="546"/>
      <c r="AB9" s="549"/>
      <c r="AC9" s="545"/>
      <c r="AD9" s="545"/>
      <c r="AE9" s="545"/>
      <c r="AF9" s="545"/>
      <c r="AG9" s="546"/>
      <c r="AH9" s="556"/>
      <c r="AI9" s="557"/>
      <c r="AJ9" s="557"/>
      <c r="AK9" s="557"/>
      <c r="AL9" s="557"/>
      <c r="AM9" s="558"/>
      <c r="AN9" s="67"/>
      <c r="AO9" s="503"/>
      <c r="AP9" s="504"/>
      <c r="AQ9" s="504"/>
      <c r="AR9" s="504"/>
      <c r="AS9" s="504"/>
      <c r="AT9" s="50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498"/>
      <c r="C10" s="498"/>
      <c r="D10" s="499"/>
      <c r="E10" s="539"/>
      <c r="F10" s="540"/>
      <c r="G10" s="540"/>
      <c r="H10" s="540"/>
      <c r="I10" s="541"/>
      <c r="J10" s="549" t="str">
        <f>IF(AND('Mapa final'!$K$45="Muy Alta",'Mapa final'!$O$45="Leve"),CONCATENATE("R",'Mapa final'!$A$45),"")</f>
        <v/>
      </c>
      <c r="K10" s="545"/>
      <c r="L10" s="545" t="str">
        <f>IF(AND('Mapa final'!$K$51="Muy Alta",'Mapa final'!$O$51="Leve"),CONCATENATE("R",'Mapa final'!$A$51),"")</f>
        <v/>
      </c>
      <c r="M10" s="545"/>
      <c r="N10" s="545" t="str">
        <f>IF(AND('Mapa final'!$K$57="Muy Alta",'Mapa final'!$O$57="Leve"),CONCATENATE("R",'Mapa final'!$A$57),"")</f>
        <v/>
      </c>
      <c r="O10" s="546"/>
      <c r="P10" s="549" t="str">
        <f>IF(AND('Mapa final'!$K$45="Muy Alta",'Mapa final'!$O$45="Menor"),CONCATENATE("R",'Mapa final'!$A$45),"")</f>
        <v/>
      </c>
      <c r="Q10" s="545"/>
      <c r="R10" s="545" t="str">
        <f>IF(AND('Mapa final'!$K$51="Muy Alta",'Mapa final'!$O$51="Menor"),CONCATENATE("R",'Mapa final'!$A$51),"")</f>
        <v/>
      </c>
      <c r="S10" s="545"/>
      <c r="T10" s="545" t="str">
        <f>IF(AND('Mapa final'!$K$57="Muy Alta",'Mapa final'!$O$57="Menor"),CONCATENATE("R",'Mapa final'!$A$57),"")</f>
        <v/>
      </c>
      <c r="U10" s="546"/>
      <c r="V10" s="549" t="str">
        <f>IF(AND('Mapa final'!$K$45="Muy Alta",'Mapa final'!$O$45="Moderado"),CONCATENATE("R",'Mapa final'!$A$45),"")</f>
        <v/>
      </c>
      <c r="W10" s="545"/>
      <c r="X10" s="545" t="str">
        <f>IF(AND('Mapa final'!$K$51="Muy Alta",'Mapa final'!$O$51="Moderado"),CONCATENATE("R",'Mapa final'!$A$51),"")</f>
        <v/>
      </c>
      <c r="Y10" s="545"/>
      <c r="Z10" s="545" t="str">
        <f>IF(AND('Mapa final'!$K$57="Muy Alta",'Mapa final'!$O$57="Moderado"),CONCATENATE("R",'Mapa final'!$A$57),"")</f>
        <v/>
      </c>
      <c r="AA10" s="546"/>
      <c r="AB10" s="549" t="str">
        <f>IF(AND('Mapa final'!$K$45="Muy Alta",'Mapa final'!$O$45="Mayor"),CONCATENATE("R",'Mapa final'!$A$45),"")</f>
        <v/>
      </c>
      <c r="AC10" s="545"/>
      <c r="AD10" s="545" t="str">
        <f>IF(AND('Mapa final'!$K$51="Muy Alta",'Mapa final'!$O$51="Mayor"),CONCATENATE("R",'Mapa final'!$A$51),"")</f>
        <v/>
      </c>
      <c r="AE10" s="545"/>
      <c r="AF10" s="545" t="str">
        <f>IF(AND('Mapa final'!$K$57="Muy Alta",'Mapa final'!$O$57="Mayor"),CONCATENATE("R",'Mapa final'!$A$57),"")</f>
        <v/>
      </c>
      <c r="AG10" s="546"/>
      <c r="AH10" s="556" t="str">
        <f>IF(AND('Mapa final'!$K$45="Muy Alta",'Mapa final'!$O$45="Catastrófico"),CONCATENATE("R",'Mapa final'!$A$45),"")</f>
        <v/>
      </c>
      <c r="AI10" s="557"/>
      <c r="AJ10" s="557" t="str">
        <f>IF(AND('Mapa final'!$K$51="Muy Alta",'Mapa final'!$O$51="Catastrófico"),CONCATENATE("R",'Mapa final'!$A$51),"")</f>
        <v/>
      </c>
      <c r="AK10" s="557"/>
      <c r="AL10" s="557" t="str">
        <f>IF(AND('Mapa final'!$K$57="Muy Alta",'Mapa final'!$O$57="Catastrófico"),CONCATENATE("R",'Mapa final'!$A$57),"")</f>
        <v/>
      </c>
      <c r="AM10" s="558"/>
      <c r="AN10" s="67"/>
      <c r="AO10" s="503"/>
      <c r="AP10" s="504"/>
      <c r="AQ10" s="504"/>
      <c r="AR10" s="504"/>
      <c r="AS10" s="504"/>
      <c r="AT10" s="50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498"/>
      <c r="C11" s="498"/>
      <c r="D11" s="499"/>
      <c r="E11" s="539"/>
      <c r="F11" s="540"/>
      <c r="G11" s="540"/>
      <c r="H11" s="540"/>
      <c r="I11" s="541"/>
      <c r="J11" s="549"/>
      <c r="K11" s="545"/>
      <c r="L11" s="545"/>
      <c r="M11" s="545"/>
      <c r="N11" s="545"/>
      <c r="O11" s="546"/>
      <c r="P11" s="549"/>
      <c r="Q11" s="545"/>
      <c r="R11" s="545"/>
      <c r="S11" s="545"/>
      <c r="T11" s="545"/>
      <c r="U11" s="546"/>
      <c r="V11" s="549"/>
      <c r="W11" s="545"/>
      <c r="X11" s="545"/>
      <c r="Y11" s="545"/>
      <c r="Z11" s="545"/>
      <c r="AA11" s="546"/>
      <c r="AB11" s="549"/>
      <c r="AC11" s="545"/>
      <c r="AD11" s="545"/>
      <c r="AE11" s="545"/>
      <c r="AF11" s="545"/>
      <c r="AG11" s="546"/>
      <c r="AH11" s="556"/>
      <c r="AI11" s="557"/>
      <c r="AJ11" s="557"/>
      <c r="AK11" s="557"/>
      <c r="AL11" s="557"/>
      <c r="AM11" s="558"/>
      <c r="AN11" s="67"/>
      <c r="AO11" s="503"/>
      <c r="AP11" s="504"/>
      <c r="AQ11" s="504"/>
      <c r="AR11" s="504"/>
      <c r="AS11" s="504"/>
      <c r="AT11" s="50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498"/>
      <c r="C12" s="498"/>
      <c r="D12" s="499"/>
      <c r="E12" s="539"/>
      <c r="F12" s="540"/>
      <c r="G12" s="540"/>
      <c r="H12" s="540"/>
      <c r="I12" s="541"/>
      <c r="J12" s="549" t="str">
        <f>IF(AND('Mapa final'!$K$63="Muy Alta",'Mapa final'!$O$63="Leve"),CONCATENATE("R",'Mapa final'!$A$63),"")</f>
        <v/>
      </c>
      <c r="K12" s="545"/>
      <c r="L12" s="545" t="str">
        <f>IF(AND('Mapa final'!$K$69="Muy Alta",'Mapa final'!$O$69="Leve"),CONCATENATE("R",'Mapa final'!$A$69),"")</f>
        <v/>
      </c>
      <c r="M12" s="545"/>
      <c r="N12" s="545" t="str">
        <f>IF(AND('Mapa final'!$K$75="Muy Alta",'Mapa final'!$O$75="Leve"),CONCATENATE("R",'Mapa final'!$A$75),"")</f>
        <v/>
      </c>
      <c r="O12" s="546"/>
      <c r="P12" s="549" t="str">
        <f>IF(AND('Mapa final'!$K$63="Muy Alta",'Mapa final'!$O$63="Menor"),CONCATENATE("R",'Mapa final'!$A$63),"")</f>
        <v/>
      </c>
      <c r="Q12" s="545"/>
      <c r="R12" s="545" t="str">
        <f>IF(AND('Mapa final'!$K$69="Muy Alta",'Mapa final'!$O$69="Menor"),CONCATENATE("R",'Mapa final'!$A$69),"")</f>
        <v/>
      </c>
      <c r="S12" s="545"/>
      <c r="T12" s="545" t="str">
        <f>IF(AND('Mapa final'!$K$75="Muy Alta",'Mapa final'!$O$75="Menor"),CONCATENATE("R",'Mapa final'!$A$75),"")</f>
        <v/>
      </c>
      <c r="U12" s="546"/>
      <c r="V12" s="549" t="str">
        <f>IF(AND('Mapa final'!$K$63="Muy Alta",'Mapa final'!$O$63="Moderado"),CONCATENATE("R",'Mapa final'!$A$63),"")</f>
        <v/>
      </c>
      <c r="W12" s="545"/>
      <c r="X12" s="545" t="str">
        <f>IF(AND('Mapa final'!$K$69="Muy Alta",'Mapa final'!$O$69="Moderado"),CONCATENATE("R",'Mapa final'!$A$69),"")</f>
        <v/>
      </c>
      <c r="Y12" s="545"/>
      <c r="Z12" s="545" t="str">
        <f>IF(AND('Mapa final'!$K$75="Muy Alta",'Mapa final'!$O$75="Moderado"),CONCATENATE("R",'Mapa final'!$A$75),"")</f>
        <v/>
      </c>
      <c r="AA12" s="546"/>
      <c r="AB12" s="549" t="str">
        <f>IF(AND('Mapa final'!$K$63="Muy Alta",'Mapa final'!$O$63="Mayor"),CONCATENATE("R",'Mapa final'!$A$63),"")</f>
        <v/>
      </c>
      <c r="AC12" s="545"/>
      <c r="AD12" s="545" t="str">
        <f>IF(AND('Mapa final'!$K$69="Muy Alta",'Mapa final'!$O$69="Mayor"),CONCATENATE("R",'Mapa final'!$A$69),"")</f>
        <v/>
      </c>
      <c r="AE12" s="545"/>
      <c r="AF12" s="545" t="str">
        <f>IF(AND('Mapa final'!$K$75="Muy Alta",'Mapa final'!$O$75="Mayor"),CONCATENATE("R",'Mapa final'!$A$75),"")</f>
        <v/>
      </c>
      <c r="AG12" s="546"/>
      <c r="AH12" s="556" t="str">
        <f>IF(AND('Mapa final'!$K$63="Muy Alta",'Mapa final'!$O$63="Catastrófico"),CONCATENATE("R",'Mapa final'!$A$63),"")</f>
        <v/>
      </c>
      <c r="AI12" s="557"/>
      <c r="AJ12" s="557" t="str">
        <f>IF(AND('Mapa final'!$K$69="Muy Alta",'Mapa final'!$O$69="Catastrófico"),CONCATENATE("R",'Mapa final'!$A$69),"")</f>
        <v/>
      </c>
      <c r="AK12" s="557"/>
      <c r="AL12" s="557" t="str">
        <f>IF(AND('Mapa final'!$K$75="Muy Alta",'Mapa final'!$O$75="Catastrófico"),CONCATENATE("R",'Mapa final'!$A$75),"")</f>
        <v/>
      </c>
      <c r="AM12" s="558"/>
      <c r="AN12" s="67"/>
      <c r="AO12" s="503"/>
      <c r="AP12" s="504"/>
      <c r="AQ12" s="504"/>
      <c r="AR12" s="504"/>
      <c r="AS12" s="504"/>
      <c r="AT12" s="50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498"/>
      <c r="C13" s="498"/>
      <c r="D13" s="499"/>
      <c r="E13" s="542"/>
      <c r="F13" s="543"/>
      <c r="G13" s="543"/>
      <c r="H13" s="543"/>
      <c r="I13" s="544"/>
      <c r="J13" s="549"/>
      <c r="K13" s="545"/>
      <c r="L13" s="545"/>
      <c r="M13" s="545"/>
      <c r="N13" s="545"/>
      <c r="O13" s="546"/>
      <c r="P13" s="549"/>
      <c r="Q13" s="545"/>
      <c r="R13" s="545"/>
      <c r="S13" s="545"/>
      <c r="T13" s="545"/>
      <c r="U13" s="546"/>
      <c r="V13" s="549"/>
      <c r="W13" s="545"/>
      <c r="X13" s="545"/>
      <c r="Y13" s="545"/>
      <c r="Z13" s="545"/>
      <c r="AA13" s="546"/>
      <c r="AB13" s="549"/>
      <c r="AC13" s="545"/>
      <c r="AD13" s="545"/>
      <c r="AE13" s="545"/>
      <c r="AF13" s="545"/>
      <c r="AG13" s="546"/>
      <c r="AH13" s="559"/>
      <c r="AI13" s="560"/>
      <c r="AJ13" s="560"/>
      <c r="AK13" s="560"/>
      <c r="AL13" s="560"/>
      <c r="AM13" s="561"/>
      <c r="AN13" s="67"/>
      <c r="AO13" s="506"/>
      <c r="AP13" s="507"/>
      <c r="AQ13" s="507"/>
      <c r="AR13" s="507"/>
      <c r="AS13" s="507"/>
      <c r="AT13" s="50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498"/>
      <c r="C14" s="498"/>
      <c r="D14" s="499"/>
      <c r="E14" s="536" t="s">
        <v>110</v>
      </c>
      <c r="F14" s="537"/>
      <c r="G14" s="537"/>
      <c r="H14" s="537"/>
      <c r="I14" s="537"/>
      <c r="J14" s="571" t="str">
        <f>IF(AND('Mapa final'!$K$10="Alta",'Mapa final'!$O$10="Leve"),CONCATENATE("R",'Mapa final'!$A$10),"")</f>
        <v/>
      </c>
      <c r="K14" s="572"/>
      <c r="L14" s="572" t="str">
        <f>IF(AND('Mapa final'!$K$15="Alta",'Mapa final'!$O$15="Leve"),CONCATENATE("R",'Mapa final'!$A$15),"")</f>
        <v/>
      </c>
      <c r="M14" s="572"/>
      <c r="N14" s="572" t="str">
        <f>IF(AND('Mapa final'!$K$21="Alta",'Mapa final'!$O$21="Leve"),CONCATENATE("R",'Mapa final'!$A$21),"")</f>
        <v/>
      </c>
      <c r="O14" s="573"/>
      <c r="P14" s="571" t="str">
        <f>IF(AND('Mapa final'!$K$10="Alta",'Mapa final'!$O$10="Menor"),CONCATENATE("R",'Mapa final'!$A$10),"")</f>
        <v/>
      </c>
      <c r="Q14" s="572"/>
      <c r="R14" s="572" t="str">
        <f>IF(AND('Mapa final'!$K$15="Alta",'Mapa final'!$O$15="Menor"),CONCATENATE("R",'Mapa final'!$A$15),"")</f>
        <v/>
      </c>
      <c r="S14" s="572"/>
      <c r="T14" s="572" t="str">
        <f>IF(AND('Mapa final'!$K$21="Alta",'Mapa final'!$O$21="Menor"),CONCATENATE("R",'Mapa final'!$A$21),"")</f>
        <v/>
      </c>
      <c r="U14" s="573"/>
      <c r="V14" s="547" t="str">
        <f>IF(AND('Mapa final'!$K$10="Alta",'Mapa final'!$O$10="Moderado"),CONCATENATE("R",'Mapa final'!$A$10),"")</f>
        <v/>
      </c>
      <c r="W14" s="548"/>
      <c r="X14" s="548" t="str">
        <f>IF(AND('Mapa final'!$K$15="Alta",'Mapa final'!$O$15="Moderado"),CONCATENATE("R",'Mapa final'!$A$15),"")</f>
        <v/>
      </c>
      <c r="Y14" s="548"/>
      <c r="Z14" s="548" t="str">
        <f>IF(AND('Mapa final'!$K$21="Alta",'Mapa final'!$O$21="Moderado"),CONCATENATE("R",'Mapa final'!$A$21),"")</f>
        <v/>
      </c>
      <c r="AA14" s="550"/>
      <c r="AB14" s="547" t="str">
        <f>IF(AND('Mapa final'!$K$10="Alta",'Mapa final'!$O$10="Mayor"),CONCATENATE("R",'Mapa final'!$A$10),"")</f>
        <v/>
      </c>
      <c r="AC14" s="548"/>
      <c r="AD14" s="548" t="str">
        <f>IF(AND('Mapa final'!$K$15="Alta",'Mapa final'!$O$15="Mayor"),CONCATENATE("R",'Mapa final'!$A$15),"")</f>
        <v/>
      </c>
      <c r="AE14" s="548"/>
      <c r="AF14" s="548" t="str">
        <f>IF(AND('Mapa final'!$K$21="Alta",'Mapa final'!$O$21="Mayor"),CONCATENATE("R",'Mapa final'!$A$21),"")</f>
        <v/>
      </c>
      <c r="AG14" s="550"/>
      <c r="AH14" s="562" t="str">
        <f>IF(AND('Mapa final'!$K$10="Alta",'Mapa final'!$O$10="Catastrófico"),CONCATENATE("R",'Mapa final'!$A$10),"")</f>
        <v/>
      </c>
      <c r="AI14" s="563"/>
      <c r="AJ14" s="563" t="str">
        <f>IF(AND('Mapa final'!$K$15="Alta",'Mapa final'!$O$15="Catastrófico"),CONCATENATE("R",'Mapa final'!$A$15),"")</f>
        <v/>
      </c>
      <c r="AK14" s="563"/>
      <c r="AL14" s="563" t="str">
        <f>IF(AND('Mapa final'!$K$21="Alta",'Mapa final'!$O$21="Catastrófico"),CONCATENATE("R",'Mapa final'!$A$21),"")</f>
        <v/>
      </c>
      <c r="AM14" s="564"/>
      <c r="AN14" s="67"/>
      <c r="AO14" s="509" t="s">
        <v>79</v>
      </c>
      <c r="AP14" s="510"/>
      <c r="AQ14" s="510"/>
      <c r="AR14" s="510"/>
      <c r="AS14" s="510"/>
      <c r="AT14" s="511"/>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498"/>
      <c r="C15" s="498"/>
      <c r="D15" s="499"/>
      <c r="E15" s="539"/>
      <c r="F15" s="540"/>
      <c r="G15" s="540"/>
      <c r="H15" s="540"/>
      <c r="I15" s="540"/>
      <c r="J15" s="565"/>
      <c r="K15" s="566"/>
      <c r="L15" s="566"/>
      <c r="M15" s="566"/>
      <c r="N15" s="566"/>
      <c r="O15" s="567"/>
      <c r="P15" s="565"/>
      <c r="Q15" s="566"/>
      <c r="R15" s="566"/>
      <c r="S15" s="566"/>
      <c r="T15" s="566"/>
      <c r="U15" s="567"/>
      <c r="V15" s="549"/>
      <c r="W15" s="545"/>
      <c r="X15" s="545"/>
      <c r="Y15" s="545"/>
      <c r="Z15" s="545"/>
      <c r="AA15" s="546"/>
      <c r="AB15" s="549"/>
      <c r="AC15" s="545"/>
      <c r="AD15" s="545"/>
      <c r="AE15" s="545"/>
      <c r="AF15" s="545"/>
      <c r="AG15" s="546"/>
      <c r="AH15" s="556"/>
      <c r="AI15" s="557"/>
      <c r="AJ15" s="557"/>
      <c r="AK15" s="557"/>
      <c r="AL15" s="557"/>
      <c r="AM15" s="558"/>
      <c r="AN15" s="67"/>
      <c r="AO15" s="512"/>
      <c r="AP15" s="513"/>
      <c r="AQ15" s="513"/>
      <c r="AR15" s="513"/>
      <c r="AS15" s="513"/>
      <c r="AT15" s="514"/>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498"/>
      <c r="C16" s="498"/>
      <c r="D16" s="499"/>
      <c r="E16" s="539"/>
      <c r="F16" s="540"/>
      <c r="G16" s="540"/>
      <c r="H16" s="540"/>
      <c r="I16" s="540"/>
      <c r="J16" s="565" t="str">
        <f>IF(AND('Mapa final'!$K$27="Alta",'Mapa final'!$O$27="Leve"),CONCATENATE("R",'Mapa final'!$A$27),"")</f>
        <v/>
      </c>
      <c r="K16" s="566"/>
      <c r="L16" s="566" t="str">
        <f>IF(AND('Mapa final'!$K$33="Alta",'Mapa final'!$O$33="Leve"),CONCATENATE("R",'Mapa final'!$A$33),"")</f>
        <v/>
      </c>
      <c r="M16" s="566"/>
      <c r="N16" s="566" t="str">
        <f>IF(AND('Mapa final'!$K$39="Alta",'Mapa final'!$O$39="Leve"),CONCATENATE("R",'Mapa final'!$A$39),"")</f>
        <v/>
      </c>
      <c r="O16" s="567"/>
      <c r="P16" s="565" t="str">
        <f>IF(AND('Mapa final'!$K$27="Alta",'Mapa final'!$O$27="Menor"),CONCATENATE("R",'Mapa final'!$A$27),"")</f>
        <v/>
      </c>
      <c r="Q16" s="566"/>
      <c r="R16" s="566" t="str">
        <f>IF(AND('Mapa final'!$K$33="Alta",'Mapa final'!$O$33="Menor"),CONCATENATE("R",'Mapa final'!$A$33),"")</f>
        <v/>
      </c>
      <c r="S16" s="566"/>
      <c r="T16" s="566" t="str">
        <f>IF(AND('Mapa final'!$K$39="Alta",'Mapa final'!$O$39="Menor"),CONCATENATE("R",'Mapa final'!$A$39),"")</f>
        <v/>
      </c>
      <c r="U16" s="567"/>
      <c r="V16" s="549" t="str">
        <f>IF(AND('Mapa final'!$K$27="Alta",'Mapa final'!$O$27="Moderado"),CONCATENATE("R",'Mapa final'!$A$27),"")</f>
        <v/>
      </c>
      <c r="W16" s="545"/>
      <c r="X16" s="545" t="str">
        <f>IF(AND('Mapa final'!$K$33="Alta",'Mapa final'!$O$33="Moderado"),CONCATENATE("R",'Mapa final'!$A$33),"")</f>
        <v/>
      </c>
      <c r="Y16" s="545"/>
      <c r="Z16" s="545" t="str">
        <f>IF(AND('Mapa final'!$K$39="Alta",'Mapa final'!$O$39="Moderado"),CONCATENATE("R",'Mapa final'!$A$39),"")</f>
        <v/>
      </c>
      <c r="AA16" s="546"/>
      <c r="AB16" s="549" t="str">
        <f>IF(AND('Mapa final'!$K$27="Alta",'Mapa final'!$O$27="Mayor"),CONCATENATE("R",'Mapa final'!$A$27),"")</f>
        <v/>
      </c>
      <c r="AC16" s="545"/>
      <c r="AD16" s="545" t="str">
        <f>IF(AND('Mapa final'!$K$33="Alta",'Mapa final'!$O$33="Mayor"),CONCATENATE("R",'Mapa final'!$A$33),"")</f>
        <v/>
      </c>
      <c r="AE16" s="545"/>
      <c r="AF16" s="545" t="str">
        <f>IF(AND('Mapa final'!$K$39="Alta",'Mapa final'!$O$39="Mayor"),CONCATENATE("R",'Mapa final'!$A$39),"")</f>
        <v/>
      </c>
      <c r="AG16" s="546"/>
      <c r="AH16" s="556" t="str">
        <f>IF(AND('Mapa final'!$K$27="Alta",'Mapa final'!$O$27="Catastrófico"),CONCATENATE("R",'Mapa final'!$A$27),"")</f>
        <v/>
      </c>
      <c r="AI16" s="557"/>
      <c r="AJ16" s="557" t="str">
        <f>IF(AND('Mapa final'!$K$33="Alta",'Mapa final'!$O$33="Catastrófico"),CONCATENATE("R",'Mapa final'!$A$33),"")</f>
        <v/>
      </c>
      <c r="AK16" s="557"/>
      <c r="AL16" s="557" t="str">
        <f>IF(AND('Mapa final'!$K$39="Alta",'Mapa final'!$O$39="Catastrófico"),CONCATENATE("R",'Mapa final'!$A$39),"")</f>
        <v/>
      </c>
      <c r="AM16" s="558"/>
      <c r="AN16" s="67"/>
      <c r="AO16" s="512"/>
      <c r="AP16" s="513"/>
      <c r="AQ16" s="513"/>
      <c r="AR16" s="513"/>
      <c r="AS16" s="513"/>
      <c r="AT16" s="514"/>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498"/>
      <c r="C17" s="498"/>
      <c r="D17" s="499"/>
      <c r="E17" s="539"/>
      <c r="F17" s="540"/>
      <c r="G17" s="540"/>
      <c r="H17" s="540"/>
      <c r="I17" s="540"/>
      <c r="J17" s="565"/>
      <c r="K17" s="566"/>
      <c r="L17" s="566"/>
      <c r="M17" s="566"/>
      <c r="N17" s="566"/>
      <c r="O17" s="567"/>
      <c r="P17" s="565"/>
      <c r="Q17" s="566"/>
      <c r="R17" s="566"/>
      <c r="S17" s="566"/>
      <c r="T17" s="566"/>
      <c r="U17" s="567"/>
      <c r="V17" s="549"/>
      <c r="W17" s="545"/>
      <c r="X17" s="545"/>
      <c r="Y17" s="545"/>
      <c r="Z17" s="545"/>
      <c r="AA17" s="546"/>
      <c r="AB17" s="549"/>
      <c r="AC17" s="545"/>
      <c r="AD17" s="545"/>
      <c r="AE17" s="545"/>
      <c r="AF17" s="545"/>
      <c r="AG17" s="546"/>
      <c r="AH17" s="556"/>
      <c r="AI17" s="557"/>
      <c r="AJ17" s="557"/>
      <c r="AK17" s="557"/>
      <c r="AL17" s="557"/>
      <c r="AM17" s="558"/>
      <c r="AN17" s="67"/>
      <c r="AO17" s="512"/>
      <c r="AP17" s="513"/>
      <c r="AQ17" s="513"/>
      <c r="AR17" s="513"/>
      <c r="AS17" s="513"/>
      <c r="AT17" s="514"/>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498"/>
      <c r="C18" s="498"/>
      <c r="D18" s="499"/>
      <c r="E18" s="539"/>
      <c r="F18" s="540"/>
      <c r="G18" s="540"/>
      <c r="H18" s="540"/>
      <c r="I18" s="540"/>
      <c r="J18" s="565" t="str">
        <f>IF(AND('Mapa final'!$K$45="Alta",'Mapa final'!$O$45="Leve"),CONCATENATE("R",'Mapa final'!$A$45),"")</f>
        <v/>
      </c>
      <c r="K18" s="566"/>
      <c r="L18" s="566" t="str">
        <f>IF(AND('Mapa final'!$K$51="Alta",'Mapa final'!$O$51="Leve"),CONCATENATE("R",'Mapa final'!$A$51),"")</f>
        <v/>
      </c>
      <c r="M18" s="566"/>
      <c r="N18" s="566" t="str">
        <f>IF(AND('Mapa final'!$K$57="Alta",'Mapa final'!$O$57="Leve"),CONCATENATE("R",'Mapa final'!$A$57),"")</f>
        <v/>
      </c>
      <c r="O18" s="567"/>
      <c r="P18" s="565" t="str">
        <f>IF(AND('Mapa final'!$K$45="Alta",'Mapa final'!$O$45="Menor"),CONCATENATE("R",'Mapa final'!$A$45),"")</f>
        <v/>
      </c>
      <c r="Q18" s="566"/>
      <c r="R18" s="566" t="str">
        <f>IF(AND('Mapa final'!$K$51="Alta",'Mapa final'!$O$51="Menor"),CONCATENATE("R",'Mapa final'!$A$51),"")</f>
        <v/>
      </c>
      <c r="S18" s="566"/>
      <c r="T18" s="566" t="str">
        <f>IF(AND('Mapa final'!$K$57="Alta",'Mapa final'!$O$57="Menor"),CONCATENATE("R",'Mapa final'!$A$57),"")</f>
        <v/>
      </c>
      <c r="U18" s="567"/>
      <c r="V18" s="549" t="str">
        <f>IF(AND('Mapa final'!$K$45="Alta",'Mapa final'!$O$45="Moderado"),CONCATENATE("R",'Mapa final'!$A$45),"")</f>
        <v/>
      </c>
      <c r="W18" s="545"/>
      <c r="X18" s="545" t="str">
        <f>IF(AND('Mapa final'!$K$51="Alta",'Mapa final'!$O$51="Moderado"),CONCATENATE("R",'Mapa final'!$A$51),"")</f>
        <v/>
      </c>
      <c r="Y18" s="545"/>
      <c r="Z18" s="545" t="str">
        <f>IF(AND('Mapa final'!$K$57="Alta",'Mapa final'!$O$57="Moderado"),CONCATENATE("R",'Mapa final'!$A$57),"")</f>
        <v/>
      </c>
      <c r="AA18" s="546"/>
      <c r="AB18" s="549" t="str">
        <f>IF(AND('Mapa final'!$K$45="Alta",'Mapa final'!$O$45="Mayor"),CONCATENATE("R",'Mapa final'!$A$45),"")</f>
        <v/>
      </c>
      <c r="AC18" s="545"/>
      <c r="AD18" s="545" t="str">
        <f>IF(AND('Mapa final'!$K$51="Alta",'Mapa final'!$O$51="Mayor"),CONCATENATE("R",'Mapa final'!$A$51),"")</f>
        <v/>
      </c>
      <c r="AE18" s="545"/>
      <c r="AF18" s="545" t="str">
        <f>IF(AND('Mapa final'!$K$57="Alta",'Mapa final'!$O$57="Mayor"),CONCATENATE("R",'Mapa final'!$A$57),"")</f>
        <v/>
      </c>
      <c r="AG18" s="546"/>
      <c r="AH18" s="556" t="str">
        <f>IF(AND('Mapa final'!$K$45="Alta",'Mapa final'!$O$45="Catastrófico"),CONCATENATE("R",'Mapa final'!$A$45),"")</f>
        <v/>
      </c>
      <c r="AI18" s="557"/>
      <c r="AJ18" s="557" t="str">
        <f>IF(AND('Mapa final'!$K$51="Alta",'Mapa final'!$O$51="Catastrófico"),CONCATENATE("R",'Mapa final'!$A$51),"")</f>
        <v/>
      </c>
      <c r="AK18" s="557"/>
      <c r="AL18" s="557" t="str">
        <f>IF(AND('Mapa final'!$K$57="Alta",'Mapa final'!$O$57="Catastrófico"),CONCATENATE("R",'Mapa final'!$A$57),"")</f>
        <v/>
      </c>
      <c r="AM18" s="558"/>
      <c r="AN18" s="67"/>
      <c r="AO18" s="512"/>
      <c r="AP18" s="513"/>
      <c r="AQ18" s="513"/>
      <c r="AR18" s="513"/>
      <c r="AS18" s="513"/>
      <c r="AT18" s="514"/>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498"/>
      <c r="C19" s="498"/>
      <c r="D19" s="499"/>
      <c r="E19" s="539"/>
      <c r="F19" s="540"/>
      <c r="G19" s="540"/>
      <c r="H19" s="540"/>
      <c r="I19" s="540"/>
      <c r="J19" s="565"/>
      <c r="K19" s="566"/>
      <c r="L19" s="566"/>
      <c r="M19" s="566"/>
      <c r="N19" s="566"/>
      <c r="O19" s="567"/>
      <c r="P19" s="565"/>
      <c r="Q19" s="566"/>
      <c r="R19" s="566"/>
      <c r="S19" s="566"/>
      <c r="T19" s="566"/>
      <c r="U19" s="567"/>
      <c r="V19" s="549"/>
      <c r="W19" s="545"/>
      <c r="X19" s="545"/>
      <c r="Y19" s="545"/>
      <c r="Z19" s="545"/>
      <c r="AA19" s="546"/>
      <c r="AB19" s="549"/>
      <c r="AC19" s="545"/>
      <c r="AD19" s="545"/>
      <c r="AE19" s="545"/>
      <c r="AF19" s="545"/>
      <c r="AG19" s="546"/>
      <c r="AH19" s="556"/>
      <c r="AI19" s="557"/>
      <c r="AJ19" s="557"/>
      <c r="AK19" s="557"/>
      <c r="AL19" s="557"/>
      <c r="AM19" s="558"/>
      <c r="AN19" s="67"/>
      <c r="AO19" s="512"/>
      <c r="AP19" s="513"/>
      <c r="AQ19" s="513"/>
      <c r="AR19" s="513"/>
      <c r="AS19" s="513"/>
      <c r="AT19" s="514"/>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498"/>
      <c r="C20" s="498"/>
      <c r="D20" s="499"/>
      <c r="E20" s="539"/>
      <c r="F20" s="540"/>
      <c r="G20" s="540"/>
      <c r="H20" s="540"/>
      <c r="I20" s="540"/>
      <c r="J20" s="565" t="str">
        <f>IF(AND('Mapa final'!$K$63="Alta",'Mapa final'!$O$63="Leve"),CONCATENATE("R",'Mapa final'!$A$63),"")</f>
        <v/>
      </c>
      <c r="K20" s="566"/>
      <c r="L20" s="566" t="str">
        <f>IF(AND('Mapa final'!$K$69="Alta",'Mapa final'!$O$69="Leve"),CONCATENATE("R",'Mapa final'!$A$69),"")</f>
        <v/>
      </c>
      <c r="M20" s="566"/>
      <c r="N20" s="566" t="str">
        <f>IF(AND('Mapa final'!$K$75="Alta",'Mapa final'!$O$75="Leve"),CONCATENATE("R",'Mapa final'!$A$75),"")</f>
        <v/>
      </c>
      <c r="O20" s="567"/>
      <c r="P20" s="565" t="str">
        <f>IF(AND('Mapa final'!$K$63="Alta",'Mapa final'!$O$63="Menor"),CONCATENATE("R",'Mapa final'!$A$63),"")</f>
        <v/>
      </c>
      <c r="Q20" s="566"/>
      <c r="R20" s="566" t="str">
        <f>IF(AND('Mapa final'!$K$69="Alta",'Mapa final'!$O$69="Menor"),CONCATENATE("R",'Mapa final'!$A$69),"")</f>
        <v/>
      </c>
      <c r="S20" s="566"/>
      <c r="T20" s="566" t="str">
        <f>IF(AND('Mapa final'!$K$75="Alta",'Mapa final'!$O$75="Menor"),CONCATENATE("R",'Mapa final'!$A$75),"")</f>
        <v/>
      </c>
      <c r="U20" s="567"/>
      <c r="V20" s="549" t="str">
        <f>IF(AND('Mapa final'!$K$63="Alta",'Mapa final'!$O$63="Moderado"),CONCATENATE("R",'Mapa final'!$A$63),"")</f>
        <v/>
      </c>
      <c r="W20" s="545"/>
      <c r="X20" s="545" t="str">
        <f>IF(AND('Mapa final'!$K$69="Alta",'Mapa final'!$O$69="Moderado"),CONCATENATE("R",'Mapa final'!$A$69),"")</f>
        <v/>
      </c>
      <c r="Y20" s="545"/>
      <c r="Z20" s="545" t="str">
        <f>IF(AND('Mapa final'!$K$75="Alta",'Mapa final'!$O$75="Moderado"),CONCATENATE("R",'Mapa final'!$A$75),"")</f>
        <v/>
      </c>
      <c r="AA20" s="546"/>
      <c r="AB20" s="549" t="str">
        <f>IF(AND('Mapa final'!$K$63="Alta",'Mapa final'!$O$63="Mayor"),CONCATENATE("R",'Mapa final'!$A$63),"")</f>
        <v/>
      </c>
      <c r="AC20" s="545"/>
      <c r="AD20" s="545" t="str">
        <f>IF(AND('Mapa final'!$K$69="Alta",'Mapa final'!$O$69="Mayor"),CONCATENATE("R",'Mapa final'!$A$69),"")</f>
        <v/>
      </c>
      <c r="AE20" s="545"/>
      <c r="AF20" s="545" t="str">
        <f>IF(AND('Mapa final'!$K$75="Alta",'Mapa final'!$O$75="Mayor"),CONCATENATE("R",'Mapa final'!$A$75),"")</f>
        <v/>
      </c>
      <c r="AG20" s="546"/>
      <c r="AH20" s="556" t="str">
        <f>IF(AND('Mapa final'!$K$63="Alta",'Mapa final'!$O$63="Catastrófico"),CONCATENATE("R",'Mapa final'!$A$63),"")</f>
        <v/>
      </c>
      <c r="AI20" s="557"/>
      <c r="AJ20" s="557" t="str">
        <f>IF(AND('Mapa final'!$K$69="Alta",'Mapa final'!$O$69="Catastrófico"),CONCATENATE("R",'Mapa final'!$A$69),"")</f>
        <v/>
      </c>
      <c r="AK20" s="557"/>
      <c r="AL20" s="557" t="str">
        <f>IF(AND('Mapa final'!$K$75="Alta",'Mapa final'!$O$75="Catastrófico"),CONCATENATE("R",'Mapa final'!$A$75),"")</f>
        <v/>
      </c>
      <c r="AM20" s="558"/>
      <c r="AN20" s="67"/>
      <c r="AO20" s="512"/>
      <c r="AP20" s="513"/>
      <c r="AQ20" s="513"/>
      <c r="AR20" s="513"/>
      <c r="AS20" s="513"/>
      <c r="AT20" s="514"/>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498"/>
      <c r="C21" s="498"/>
      <c r="D21" s="499"/>
      <c r="E21" s="542"/>
      <c r="F21" s="543"/>
      <c r="G21" s="543"/>
      <c r="H21" s="543"/>
      <c r="I21" s="543"/>
      <c r="J21" s="568"/>
      <c r="K21" s="569"/>
      <c r="L21" s="569"/>
      <c r="M21" s="569"/>
      <c r="N21" s="569"/>
      <c r="O21" s="570"/>
      <c r="P21" s="568"/>
      <c r="Q21" s="569"/>
      <c r="R21" s="569"/>
      <c r="S21" s="569"/>
      <c r="T21" s="569"/>
      <c r="U21" s="570"/>
      <c r="V21" s="553"/>
      <c r="W21" s="554"/>
      <c r="X21" s="554"/>
      <c r="Y21" s="554"/>
      <c r="Z21" s="554"/>
      <c r="AA21" s="555"/>
      <c r="AB21" s="553"/>
      <c r="AC21" s="554"/>
      <c r="AD21" s="554"/>
      <c r="AE21" s="554"/>
      <c r="AF21" s="554"/>
      <c r="AG21" s="555"/>
      <c r="AH21" s="559"/>
      <c r="AI21" s="560"/>
      <c r="AJ21" s="560"/>
      <c r="AK21" s="560"/>
      <c r="AL21" s="560"/>
      <c r="AM21" s="561"/>
      <c r="AN21" s="67"/>
      <c r="AO21" s="515"/>
      <c r="AP21" s="516"/>
      <c r="AQ21" s="516"/>
      <c r="AR21" s="516"/>
      <c r="AS21" s="516"/>
      <c r="AT21" s="5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498"/>
      <c r="C22" s="498"/>
      <c r="D22" s="499"/>
      <c r="E22" s="536" t="s">
        <v>112</v>
      </c>
      <c r="F22" s="537"/>
      <c r="G22" s="537"/>
      <c r="H22" s="537"/>
      <c r="I22" s="538"/>
      <c r="J22" s="571" t="str">
        <f>IF(AND('Mapa final'!$K$10="Media",'Mapa final'!$O$10="Leve"),CONCATENATE("R",'Mapa final'!$A$10),"")</f>
        <v/>
      </c>
      <c r="K22" s="572"/>
      <c r="L22" s="572" t="str">
        <f>IF(AND('Mapa final'!$K$15="Media",'Mapa final'!$O$15="Leve"),CONCATENATE("R",'Mapa final'!$A$15),"")</f>
        <v/>
      </c>
      <c r="M22" s="572"/>
      <c r="N22" s="572" t="str">
        <f>IF(AND('Mapa final'!$K$21="Media",'Mapa final'!$O$21="Leve"),CONCATENATE("R",'Mapa final'!$A$21),"")</f>
        <v/>
      </c>
      <c r="O22" s="573"/>
      <c r="P22" s="571" t="str">
        <f>IF(AND('Mapa final'!$K$10="Media",'Mapa final'!$O$10="Menor"),CONCATENATE("R",'Mapa final'!$A$10),"")</f>
        <v/>
      </c>
      <c r="Q22" s="572"/>
      <c r="R22" s="572" t="str">
        <f>IF(AND('Mapa final'!$K$15="Media",'Mapa final'!$O$15="Menor"),CONCATENATE("R",'Mapa final'!$A$15),"")</f>
        <v/>
      </c>
      <c r="S22" s="572"/>
      <c r="T22" s="572" t="str">
        <f>IF(AND('Mapa final'!$K$21="Media",'Mapa final'!$O$21="Menor"),CONCATENATE("R",'Mapa final'!$A$21),"")</f>
        <v/>
      </c>
      <c r="U22" s="573"/>
      <c r="V22" s="571" t="str">
        <f>IF(AND('Mapa final'!$K$10="Media",'Mapa final'!$O$10="Moderado"),CONCATENATE("R",'Mapa final'!$A$10),"")</f>
        <v/>
      </c>
      <c r="W22" s="572"/>
      <c r="X22" s="572" t="str">
        <f>IF(AND('Mapa final'!$K$15="Media",'Mapa final'!$O$15="Moderado"),CONCATENATE("R",'Mapa final'!$A$15),"")</f>
        <v/>
      </c>
      <c r="Y22" s="572"/>
      <c r="Z22" s="572" t="str">
        <f>IF(AND('Mapa final'!$K$21="Media",'Mapa final'!$O$21="Moderado"),CONCATENATE("R",'Mapa final'!$A$21),"")</f>
        <v/>
      </c>
      <c r="AA22" s="573"/>
      <c r="AB22" s="547" t="str">
        <f>IF(AND('Mapa final'!$K$10="Media",'Mapa final'!$O$10="Mayor"),CONCATENATE("R",'Mapa final'!$A$10),"")</f>
        <v>R1</v>
      </c>
      <c r="AC22" s="548"/>
      <c r="AD22" s="548" t="str">
        <f>IF(AND('Mapa final'!$K$15="Media",'Mapa final'!$O$15="Mayor"),CONCATENATE("R",'Mapa final'!$A$15),"")</f>
        <v/>
      </c>
      <c r="AE22" s="548"/>
      <c r="AF22" s="548" t="str">
        <f>IF(AND('Mapa final'!$K$21="Media",'Mapa final'!$O$21="Mayor"),CONCATENATE("R",'Mapa final'!$A$21),"")</f>
        <v/>
      </c>
      <c r="AG22" s="550"/>
      <c r="AH22" s="562" t="str">
        <f>IF(AND('Mapa final'!$K$10="Media",'Mapa final'!$O$10="Catastrófico"),CONCATENATE("R",'Mapa final'!$A$10),"")</f>
        <v/>
      </c>
      <c r="AI22" s="563"/>
      <c r="AJ22" s="563" t="str">
        <f>IF(AND('Mapa final'!$K$15="Media",'Mapa final'!$O$15="Catastrófico"),CONCATENATE("R",'Mapa final'!$A$15),"")</f>
        <v/>
      </c>
      <c r="AK22" s="563"/>
      <c r="AL22" s="563" t="str">
        <f>IF(AND('Mapa final'!$K$21="Media",'Mapa final'!$O$21="Catastrófico"),CONCATENATE("R",'Mapa final'!$A$21),"")</f>
        <v/>
      </c>
      <c r="AM22" s="564"/>
      <c r="AN22" s="67"/>
      <c r="AO22" s="518" t="s">
        <v>80</v>
      </c>
      <c r="AP22" s="519"/>
      <c r="AQ22" s="519"/>
      <c r="AR22" s="519"/>
      <c r="AS22" s="519"/>
      <c r="AT22" s="52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498"/>
      <c r="C23" s="498"/>
      <c r="D23" s="499"/>
      <c r="E23" s="539"/>
      <c r="F23" s="540"/>
      <c r="G23" s="540"/>
      <c r="H23" s="540"/>
      <c r="I23" s="541"/>
      <c r="J23" s="565"/>
      <c r="K23" s="566"/>
      <c r="L23" s="566"/>
      <c r="M23" s="566"/>
      <c r="N23" s="566"/>
      <c r="O23" s="567"/>
      <c r="P23" s="565"/>
      <c r="Q23" s="566"/>
      <c r="R23" s="566"/>
      <c r="S23" s="566"/>
      <c r="T23" s="566"/>
      <c r="U23" s="567"/>
      <c r="V23" s="565"/>
      <c r="W23" s="566"/>
      <c r="X23" s="566"/>
      <c r="Y23" s="566"/>
      <c r="Z23" s="566"/>
      <c r="AA23" s="567"/>
      <c r="AB23" s="549"/>
      <c r="AC23" s="545"/>
      <c r="AD23" s="545"/>
      <c r="AE23" s="545"/>
      <c r="AF23" s="545"/>
      <c r="AG23" s="546"/>
      <c r="AH23" s="556"/>
      <c r="AI23" s="557"/>
      <c r="AJ23" s="557"/>
      <c r="AK23" s="557"/>
      <c r="AL23" s="557"/>
      <c r="AM23" s="558"/>
      <c r="AN23" s="67"/>
      <c r="AO23" s="521"/>
      <c r="AP23" s="522"/>
      <c r="AQ23" s="522"/>
      <c r="AR23" s="522"/>
      <c r="AS23" s="522"/>
      <c r="AT23" s="523"/>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498"/>
      <c r="C24" s="498"/>
      <c r="D24" s="499"/>
      <c r="E24" s="539"/>
      <c r="F24" s="540"/>
      <c r="G24" s="540"/>
      <c r="H24" s="540"/>
      <c r="I24" s="541"/>
      <c r="J24" s="565" t="str">
        <f>IF(AND('Mapa final'!$K$27="Media",'Mapa final'!$O$27="Leve"),CONCATENATE("R",'Mapa final'!$A$27),"")</f>
        <v/>
      </c>
      <c r="K24" s="566"/>
      <c r="L24" s="566" t="str">
        <f>IF(AND('Mapa final'!$K$33="Media",'Mapa final'!$O$33="Leve"),CONCATENATE("R",'Mapa final'!$A$33),"")</f>
        <v/>
      </c>
      <c r="M24" s="566"/>
      <c r="N24" s="566" t="str">
        <f>IF(AND('Mapa final'!$K$39="Media",'Mapa final'!$O$39="Leve"),CONCATENATE("R",'Mapa final'!$A$39),"")</f>
        <v/>
      </c>
      <c r="O24" s="567"/>
      <c r="P24" s="565" t="str">
        <f>IF(AND('Mapa final'!$K$27="Media",'Mapa final'!$O$27="Menor"),CONCATENATE("R",'Mapa final'!$A$27),"")</f>
        <v/>
      </c>
      <c r="Q24" s="566"/>
      <c r="R24" s="566" t="str">
        <f>IF(AND('Mapa final'!$K$33="Media",'Mapa final'!$O$33="Menor"),CONCATENATE("R",'Mapa final'!$A$33),"")</f>
        <v/>
      </c>
      <c r="S24" s="566"/>
      <c r="T24" s="566" t="str">
        <f>IF(AND('Mapa final'!$K$39="Media",'Mapa final'!$O$39="Menor"),CONCATENATE("R",'Mapa final'!$A$39),"")</f>
        <v/>
      </c>
      <c r="U24" s="567"/>
      <c r="V24" s="565" t="str">
        <f>IF(AND('Mapa final'!$K$27="Media",'Mapa final'!$O$27="Moderado"),CONCATENATE("R",'Mapa final'!$A$27),"")</f>
        <v/>
      </c>
      <c r="W24" s="566"/>
      <c r="X24" s="566" t="str">
        <f>IF(AND('Mapa final'!$K$33="Media",'Mapa final'!$O$33="Moderado"),CONCATENATE("R",'Mapa final'!$A$33),"")</f>
        <v/>
      </c>
      <c r="Y24" s="566"/>
      <c r="Z24" s="566" t="str">
        <f>IF(AND('Mapa final'!$K$39="Media",'Mapa final'!$O$39="Moderado"),CONCATENATE("R",'Mapa final'!$A$39),"")</f>
        <v/>
      </c>
      <c r="AA24" s="567"/>
      <c r="AB24" s="549" t="str">
        <f>IF(AND('Mapa final'!$K$27="Media",'Mapa final'!$O$27="Mayor"),CONCATENATE("R",'Mapa final'!$A$27),"")</f>
        <v/>
      </c>
      <c r="AC24" s="545"/>
      <c r="AD24" s="545" t="str">
        <f>IF(AND('Mapa final'!$K$33="Media",'Mapa final'!$O$33="Mayor"),CONCATENATE("R",'Mapa final'!$A$33),"")</f>
        <v/>
      </c>
      <c r="AE24" s="545"/>
      <c r="AF24" s="545" t="str">
        <f>IF(AND('Mapa final'!$K$39="Media",'Mapa final'!$O$39="Mayor"),CONCATENATE("R",'Mapa final'!$A$39),"")</f>
        <v/>
      </c>
      <c r="AG24" s="546"/>
      <c r="AH24" s="556" t="str">
        <f>IF(AND('Mapa final'!$K$27="Media",'Mapa final'!$O$27="Catastrófico"),CONCATENATE("R",'Mapa final'!$A$27),"")</f>
        <v/>
      </c>
      <c r="AI24" s="557"/>
      <c r="AJ24" s="557" t="str">
        <f>IF(AND('Mapa final'!$K$33="Media",'Mapa final'!$O$33="Catastrófico"),CONCATENATE("R",'Mapa final'!$A$33),"")</f>
        <v/>
      </c>
      <c r="AK24" s="557"/>
      <c r="AL24" s="557" t="str">
        <f>IF(AND('Mapa final'!$K$39="Media",'Mapa final'!$O$39="Catastrófico"),CONCATENATE("R",'Mapa final'!$A$39),"")</f>
        <v/>
      </c>
      <c r="AM24" s="558"/>
      <c r="AN24" s="67"/>
      <c r="AO24" s="521"/>
      <c r="AP24" s="522"/>
      <c r="AQ24" s="522"/>
      <c r="AR24" s="522"/>
      <c r="AS24" s="522"/>
      <c r="AT24" s="523"/>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498"/>
      <c r="C25" s="498"/>
      <c r="D25" s="499"/>
      <c r="E25" s="539"/>
      <c r="F25" s="540"/>
      <c r="G25" s="540"/>
      <c r="H25" s="540"/>
      <c r="I25" s="541"/>
      <c r="J25" s="565"/>
      <c r="K25" s="566"/>
      <c r="L25" s="566"/>
      <c r="M25" s="566"/>
      <c r="N25" s="566"/>
      <c r="O25" s="567"/>
      <c r="P25" s="565"/>
      <c r="Q25" s="566"/>
      <c r="R25" s="566"/>
      <c r="S25" s="566"/>
      <c r="T25" s="566"/>
      <c r="U25" s="567"/>
      <c r="V25" s="565"/>
      <c r="W25" s="566"/>
      <c r="X25" s="566"/>
      <c r="Y25" s="566"/>
      <c r="Z25" s="566"/>
      <c r="AA25" s="567"/>
      <c r="AB25" s="549"/>
      <c r="AC25" s="545"/>
      <c r="AD25" s="545"/>
      <c r="AE25" s="545"/>
      <c r="AF25" s="545"/>
      <c r="AG25" s="546"/>
      <c r="AH25" s="556"/>
      <c r="AI25" s="557"/>
      <c r="AJ25" s="557"/>
      <c r="AK25" s="557"/>
      <c r="AL25" s="557"/>
      <c r="AM25" s="558"/>
      <c r="AN25" s="67"/>
      <c r="AO25" s="521"/>
      <c r="AP25" s="522"/>
      <c r="AQ25" s="522"/>
      <c r="AR25" s="522"/>
      <c r="AS25" s="522"/>
      <c r="AT25" s="52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498"/>
      <c r="C26" s="498"/>
      <c r="D26" s="499"/>
      <c r="E26" s="539"/>
      <c r="F26" s="540"/>
      <c r="G26" s="540"/>
      <c r="H26" s="540"/>
      <c r="I26" s="541"/>
      <c r="J26" s="565" t="str">
        <f>IF(AND('Mapa final'!$K$45="Media",'Mapa final'!$O$45="Leve"),CONCATENATE("R",'Mapa final'!$A$45),"")</f>
        <v/>
      </c>
      <c r="K26" s="566"/>
      <c r="L26" s="566" t="str">
        <f>IF(AND('Mapa final'!$K$51="Media",'Mapa final'!$O$51="Leve"),CONCATENATE("R",'Mapa final'!$A$51),"")</f>
        <v/>
      </c>
      <c r="M26" s="566"/>
      <c r="N26" s="566" t="str">
        <f>IF(AND('Mapa final'!$K$57="Media",'Mapa final'!$O$57="Leve"),CONCATENATE("R",'Mapa final'!$A$57),"")</f>
        <v/>
      </c>
      <c r="O26" s="567"/>
      <c r="P26" s="565" t="str">
        <f>IF(AND('Mapa final'!$K$45="Media",'Mapa final'!$O$45="Menor"),CONCATENATE("R",'Mapa final'!$A$45),"")</f>
        <v/>
      </c>
      <c r="Q26" s="566"/>
      <c r="R26" s="566" t="str">
        <f>IF(AND('Mapa final'!$K$51="Media",'Mapa final'!$O$51="Menor"),CONCATENATE("R",'Mapa final'!$A$51),"")</f>
        <v/>
      </c>
      <c r="S26" s="566"/>
      <c r="T26" s="566" t="str">
        <f>IF(AND('Mapa final'!$K$57="Media",'Mapa final'!$O$57="Menor"),CONCATENATE("R",'Mapa final'!$A$57),"")</f>
        <v/>
      </c>
      <c r="U26" s="567"/>
      <c r="V26" s="565" t="str">
        <f>IF(AND('Mapa final'!$K$45="Media",'Mapa final'!$O$45="Moderado"),CONCATENATE("R",'Mapa final'!$A$45),"")</f>
        <v/>
      </c>
      <c r="W26" s="566"/>
      <c r="X26" s="566" t="str">
        <f>IF(AND('Mapa final'!$K$51="Media",'Mapa final'!$O$51="Moderado"),CONCATENATE("R",'Mapa final'!$A$51),"")</f>
        <v/>
      </c>
      <c r="Y26" s="566"/>
      <c r="Z26" s="566" t="str">
        <f>IF(AND('Mapa final'!$K$57="Media",'Mapa final'!$O$57="Moderado"),CONCATENATE("R",'Mapa final'!$A$57),"")</f>
        <v/>
      </c>
      <c r="AA26" s="567"/>
      <c r="AB26" s="549" t="str">
        <f>IF(AND('Mapa final'!$K$45="Media",'Mapa final'!$O$45="Mayor"),CONCATENATE("R",'Mapa final'!$A$45),"")</f>
        <v/>
      </c>
      <c r="AC26" s="545"/>
      <c r="AD26" s="545" t="str">
        <f>IF(AND('Mapa final'!$K$51="Media",'Mapa final'!$O$51="Mayor"),CONCATENATE("R",'Mapa final'!$A$51),"")</f>
        <v/>
      </c>
      <c r="AE26" s="545"/>
      <c r="AF26" s="545" t="str">
        <f>IF(AND('Mapa final'!$K$57="Media",'Mapa final'!$O$57="Mayor"),CONCATENATE("R",'Mapa final'!$A$57),"")</f>
        <v/>
      </c>
      <c r="AG26" s="546"/>
      <c r="AH26" s="556" t="str">
        <f>IF(AND('Mapa final'!$K$45="Media",'Mapa final'!$O$45="Catastrófico"),CONCATENATE("R",'Mapa final'!$A$45),"")</f>
        <v/>
      </c>
      <c r="AI26" s="557"/>
      <c r="AJ26" s="557" t="str">
        <f>IF(AND('Mapa final'!$K$51="Media",'Mapa final'!$O$51="Catastrófico"),CONCATENATE("R",'Mapa final'!$A$51),"")</f>
        <v/>
      </c>
      <c r="AK26" s="557"/>
      <c r="AL26" s="557" t="str">
        <f>IF(AND('Mapa final'!$K$57="Media",'Mapa final'!$O$57="Catastrófico"),CONCATENATE("R",'Mapa final'!$A$57),"")</f>
        <v/>
      </c>
      <c r="AM26" s="558"/>
      <c r="AN26" s="67"/>
      <c r="AO26" s="521"/>
      <c r="AP26" s="522"/>
      <c r="AQ26" s="522"/>
      <c r="AR26" s="522"/>
      <c r="AS26" s="522"/>
      <c r="AT26" s="52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498"/>
      <c r="C27" s="498"/>
      <c r="D27" s="499"/>
      <c r="E27" s="539"/>
      <c r="F27" s="540"/>
      <c r="G27" s="540"/>
      <c r="H27" s="540"/>
      <c r="I27" s="541"/>
      <c r="J27" s="565"/>
      <c r="K27" s="566"/>
      <c r="L27" s="566"/>
      <c r="M27" s="566"/>
      <c r="N27" s="566"/>
      <c r="O27" s="567"/>
      <c r="P27" s="565"/>
      <c r="Q27" s="566"/>
      <c r="R27" s="566"/>
      <c r="S27" s="566"/>
      <c r="T27" s="566"/>
      <c r="U27" s="567"/>
      <c r="V27" s="565"/>
      <c r="W27" s="566"/>
      <c r="X27" s="566"/>
      <c r="Y27" s="566"/>
      <c r="Z27" s="566"/>
      <c r="AA27" s="567"/>
      <c r="AB27" s="549"/>
      <c r="AC27" s="545"/>
      <c r="AD27" s="545"/>
      <c r="AE27" s="545"/>
      <c r="AF27" s="545"/>
      <c r="AG27" s="546"/>
      <c r="AH27" s="556"/>
      <c r="AI27" s="557"/>
      <c r="AJ27" s="557"/>
      <c r="AK27" s="557"/>
      <c r="AL27" s="557"/>
      <c r="AM27" s="558"/>
      <c r="AN27" s="67"/>
      <c r="AO27" s="521"/>
      <c r="AP27" s="522"/>
      <c r="AQ27" s="522"/>
      <c r="AR27" s="522"/>
      <c r="AS27" s="522"/>
      <c r="AT27" s="52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498"/>
      <c r="C28" s="498"/>
      <c r="D28" s="499"/>
      <c r="E28" s="539"/>
      <c r="F28" s="540"/>
      <c r="G28" s="540"/>
      <c r="H28" s="540"/>
      <c r="I28" s="541"/>
      <c r="J28" s="565" t="str">
        <f>IF(AND('Mapa final'!$K$63="Media",'Mapa final'!$O$63="Leve"),CONCATENATE("R",'Mapa final'!$A$63),"")</f>
        <v/>
      </c>
      <c r="K28" s="566"/>
      <c r="L28" s="566" t="str">
        <f>IF(AND('Mapa final'!$K$69="Media",'Mapa final'!$O$69="Leve"),CONCATENATE("R",'Mapa final'!$A$69),"")</f>
        <v/>
      </c>
      <c r="M28" s="566"/>
      <c r="N28" s="566" t="str">
        <f>IF(AND('Mapa final'!$K$75="Media",'Mapa final'!$O$75="Leve"),CONCATENATE("R",'Mapa final'!$A$75),"")</f>
        <v/>
      </c>
      <c r="O28" s="567"/>
      <c r="P28" s="565" t="str">
        <f>IF(AND('Mapa final'!$K$63="Media",'Mapa final'!$O$63="Menor"),CONCATENATE("R",'Mapa final'!$A$63),"")</f>
        <v/>
      </c>
      <c r="Q28" s="566"/>
      <c r="R28" s="566" t="str">
        <f>IF(AND('Mapa final'!$K$69="Media",'Mapa final'!$O$69="Menor"),CONCATENATE("R",'Mapa final'!$A$69),"")</f>
        <v/>
      </c>
      <c r="S28" s="566"/>
      <c r="T28" s="566" t="str">
        <f>IF(AND('Mapa final'!$K$75="Media",'Mapa final'!$O$75="Menor"),CONCATENATE("R",'Mapa final'!$A$75),"")</f>
        <v/>
      </c>
      <c r="U28" s="567"/>
      <c r="V28" s="565" t="str">
        <f>IF(AND('Mapa final'!$K$63="Media",'Mapa final'!$O$63="Moderado"),CONCATENATE("R",'Mapa final'!$A$63),"")</f>
        <v/>
      </c>
      <c r="W28" s="566"/>
      <c r="X28" s="566" t="str">
        <f>IF(AND('Mapa final'!$K$69="Media",'Mapa final'!$O$69="Moderado"),CONCATENATE("R",'Mapa final'!$A$69),"")</f>
        <v/>
      </c>
      <c r="Y28" s="566"/>
      <c r="Z28" s="566" t="str">
        <f>IF(AND('Mapa final'!$K$75="Media",'Mapa final'!$O$75="Moderado"),CONCATENATE("R",'Mapa final'!$A$75),"")</f>
        <v/>
      </c>
      <c r="AA28" s="567"/>
      <c r="AB28" s="549" t="str">
        <f>IF(AND('Mapa final'!$K$63="Media",'Mapa final'!$O$63="Mayor"),CONCATENATE("R",'Mapa final'!$A$63),"")</f>
        <v/>
      </c>
      <c r="AC28" s="545"/>
      <c r="AD28" s="545" t="str">
        <f>IF(AND('Mapa final'!$K$69="Media",'Mapa final'!$O$69="Mayor"),CONCATENATE("R",'Mapa final'!$A$69),"")</f>
        <v/>
      </c>
      <c r="AE28" s="545"/>
      <c r="AF28" s="545" t="str">
        <f>IF(AND('Mapa final'!$K$75="Media",'Mapa final'!$O$75="Mayor"),CONCATENATE("R",'Mapa final'!$A$75),"")</f>
        <v/>
      </c>
      <c r="AG28" s="546"/>
      <c r="AH28" s="556" t="str">
        <f>IF(AND('Mapa final'!$K$63="Media",'Mapa final'!$O$63="Catastrófico"),CONCATENATE("R",'Mapa final'!$A$63),"")</f>
        <v/>
      </c>
      <c r="AI28" s="557"/>
      <c r="AJ28" s="557" t="str">
        <f>IF(AND('Mapa final'!$K$69="Media",'Mapa final'!$O$69="Catastrófico"),CONCATENATE("R",'Mapa final'!$A$69),"")</f>
        <v/>
      </c>
      <c r="AK28" s="557"/>
      <c r="AL28" s="557" t="str">
        <f>IF(AND('Mapa final'!$K$75="Media",'Mapa final'!$O$75="Catastrófico"),CONCATENATE("R",'Mapa final'!$A$75),"")</f>
        <v/>
      </c>
      <c r="AM28" s="558"/>
      <c r="AN28" s="67"/>
      <c r="AO28" s="521"/>
      <c r="AP28" s="522"/>
      <c r="AQ28" s="522"/>
      <c r="AR28" s="522"/>
      <c r="AS28" s="522"/>
      <c r="AT28" s="52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498"/>
      <c r="C29" s="498"/>
      <c r="D29" s="499"/>
      <c r="E29" s="542"/>
      <c r="F29" s="543"/>
      <c r="G29" s="543"/>
      <c r="H29" s="543"/>
      <c r="I29" s="544"/>
      <c r="J29" s="565"/>
      <c r="K29" s="566"/>
      <c r="L29" s="566"/>
      <c r="M29" s="566"/>
      <c r="N29" s="566"/>
      <c r="O29" s="567"/>
      <c r="P29" s="568"/>
      <c r="Q29" s="569"/>
      <c r="R29" s="569"/>
      <c r="S29" s="569"/>
      <c r="T29" s="569"/>
      <c r="U29" s="570"/>
      <c r="V29" s="568"/>
      <c r="W29" s="569"/>
      <c r="X29" s="569"/>
      <c r="Y29" s="569"/>
      <c r="Z29" s="569"/>
      <c r="AA29" s="570"/>
      <c r="AB29" s="553"/>
      <c r="AC29" s="554"/>
      <c r="AD29" s="554"/>
      <c r="AE29" s="554"/>
      <c r="AF29" s="554"/>
      <c r="AG29" s="555"/>
      <c r="AH29" s="559"/>
      <c r="AI29" s="560"/>
      <c r="AJ29" s="560"/>
      <c r="AK29" s="560"/>
      <c r="AL29" s="560"/>
      <c r="AM29" s="561"/>
      <c r="AN29" s="67"/>
      <c r="AO29" s="524"/>
      <c r="AP29" s="525"/>
      <c r="AQ29" s="525"/>
      <c r="AR29" s="525"/>
      <c r="AS29" s="525"/>
      <c r="AT29" s="52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498"/>
      <c r="C30" s="498"/>
      <c r="D30" s="499"/>
      <c r="E30" s="536" t="s">
        <v>109</v>
      </c>
      <c r="F30" s="537"/>
      <c r="G30" s="537"/>
      <c r="H30" s="537"/>
      <c r="I30" s="537"/>
      <c r="J30" s="580" t="str">
        <f>IF(AND('Mapa final'!$K$10="Baja",'Mapa final'!$O$10="Leve"),CONCATENATE("R",'Mapa final'!$A$10),"")</f>
        <v/>
      </c>
      <c r="K30" s="581"/>
      <c r="L30" s="581" t="str">
        <f>IF(AND('Mapa final'!$K$15="Baja",'Mapa final'!$O$15="Leve"),CONCATENATE("R",'Mapa final'!$A$15),"")</f>
        <v/>
      </c>
      <c r="M30" s="581"/>
      <c r="N30" s="581" t="str">
        <f>IF(AND('Mapa final'!$K$21="Baja",'Mapa final'!$O$21="Leve"),CONCATENATE("R",'Mapa final'!$A$21),"")</f>
        <v/>
      </c>
      <c r="O30" s="582"/>
      <c r="P30" s="572" t="str">
        <f>IF(AND('Mapa final'!$K$10="Baja",'Mapa final'!$O$10="Menor"),CONCATENATE("R",'Mapa final'!$A$10),"")</f>
        <v/>
      </c>
      <c r="Q30" s="572"/>
      <c r="R30" s="572" t="str">
        <f>IF(AND('Mapa final'!$K$15="Baja",'Mapa final'!$O$15="Menor"),CONCATENATE("R",'Mapa final'!$A$15),"")</f>
        <v/>
      </c>
      <c r="S30" s="572"/>
      <c r="T30" s="572" t="str">
        <f>IF(AND('Mapa final'!$K$21="Baja",'Mapa final'!$O$21="Menor"),CONCATENATE("R",'Mapa final'!$A$21),"")</f>
        <v/>
      </c>
      <c r="U30" s="573"/>
      <c r="V30" s="571" t="str">
        <f>IF(AND('Mapa final'!$K$10="Baja",'Mapa final'!$O$10="Moderado"),CONCATENATE("R",'Mapa final'!$A$10),"")</f>
        <v/>
      </c>
      <c r="W30" s="572"/>
      <c r="X30" s="572" t="str">
        <f>IF(AND('Mapa final'!$K$15="Baja",'Mapa final'!$O$15="Moderado"),CONCATENATE("R",'Mapa final'!$A$15),"")</f>
        <v/>
      </c>
      <c r="Y30" s="572"/>
      <c r="Z30" s="572" t="str">
        <f>IF(AND('Mapa final'!$K$21="Baja",'Mapa final'!$O$21="Moderado"),CONCATENATE("R",'Mapa final'!$A$21),"")</f>
        <v/>
      </c>
      <c r="AA30" s="573"/>
      <c r="AB30" s="547" t="str">
        <f>IF(AND('Mapa final'!$K$10="Baja",'Mapa final'!$O$10="Mayor"),CONCATENATE("R",'Mapa final'!$A$10),"")</f>
        <v/>
      </c>
      <c r="AC30" s="548"/>
      <c r="AD30" s="548" t="str">
        <f>IF(AND('Mapa final'!$K$15="Baja",'Mapa final'!$O$15="Mayor"),CONCATENATE("R",'Mapa final'!$A$15),"")</f>
        <v/>
      </c>
      <c r="AE30" s="548"/>
      <c r="AF30" s="548" t="str">
        <f>IF(AND('Mapa final'!$K$21="Baja",'Mapa final'!$O$21="Mayor"),CONCATENATE("R",'Mapa final'!$A$21),"")</f>
        <v/>
      </c>
      <c r="AG30" s="550"/>
      <c r="AH30" s="562" t="str">
        <f>IF(AND('Mapa final'!$K$10="Baja",'Mapa final'!$O$10="Catastrófico"),CONCATENATE("R",'Mapa final'!$A$10),"")</f>
        <v/>
      </c>
      <c r="AI30" s="563"/>
      <c r="AJ30" s="563" t="str">
        <f>IF(AND('Mapa final'!$K$15="Baja",'Mapa final'!$O$15="Catastrófico"),CONCATENATE("R",'Mapa final'!$A$15),"")</f>
        <v/>
      </c>
      <c r="AK30" s="563"/>
      <c r="AL30" s="563" t="str">
        <f>IF(AND('Mapa final'!$K$21="Baja",'Mapa final'!$O$21="Catastrófico"),CONCATENATE("R",'Mapa final'!$A$21),"")</f>
        <v/>
      </c>
      <c r="AM30" s="564"/>
      <c r="AN30" s="67"/>
      <c r="AO30" s="527" t="s">
        <v>81</v>
      </c>
      <c r="AP30" s="528"/>
      <c r="AQ30" s="528"/>
      <c r="AR30" s="528"/>
      <c r="AS30" s="528"/>
      <c r="AT30" s="52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498"/>
      <c r="C31" s="498"/>
      <c r="D31" s="499"/>
      <c r="E31" s="539"/>
      <c r="F31" s="540"/>
      <c r="G31" s="540"/>
      <c r="H31" s="540"/>
      <c r="I31" s="540"/>
      <c r="J31" s="576"/>
      <c r="K31" s="574"/>
      <c r="L31" s="574"/>
      <c r="M31" s="574"/>
      <c r="N31" s="574"/>
      <c r="O31" s="575"/>
      <c r="P31" s="566"/>
      <c r="Q31" s="566"/>
      <c r="R31" s="566"/>
      <c r="S31" s="566"/>
      <c r="T31" s="566"/>
      <c r="U31" s="567"/>
      <c r="V31" s="565"/>
      <c r="W31" s="566"/>
      <c r="X31" s="566"/>
      <c r="Y31" s="566"/>
      <c r="Z31" s="566"/>
      <c r="AA31" s="567"/>
      <c r="AB31" s="549"/>
      <c r="AC31" s="545"/>
      <c r="AD31" s="545"/>
      <c r="AE31" s="545"/>
      <c r="AF31" s="545"/>
      <c r="AG31" s="546"/>
      <c r="AH31" s="556"/>
      <c r="AI31" s="557"/>
      <c r="AJ31" s="557"/>
      <c r="AK31" s="557"/>
      <c r="AL31" s="557"/>
      <c r="AM31" s="558"/>
      <c r="AN31" s="67"/>
      <c r="AO31" s="530"/>
      <c r="AP31" s="531"/>
      <c r="AQ31" s="531"/>
      <c r="AR31" s="531"/>
      <c r="AS31" s="531"/>
      <c r="AT31" s="53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498"/>
      <c r="C32" s="498"/>
      <c r="D32" s="499"/>
      <c r="E32" s="539"/>
      <c r="F32" s="540"/>
      <c r="G32" s="540"/>
      <c r="H32" s="540"/>
      <c r="I32" s="540"/>
      <c r="J32" s="576" t="str">
        <f>IF(AND('Mapa final'!$K$27="Baja",'Mapa final'!$O$27="Leve"),CONCATENATE("R",'Mapa final'!$A$27),"")</f>
        <v/>
      </c>
      <c r="K32" s="574"/>
      <c r="L32" s="574" t="str">
        <f>IF(AND('Mapa final'!$K$33="Baja",'Mapa final'!$O$33="Leve"),CONCATENATE("R",'Mapa final'!$A$33),"")</f>
        <v/>
      </c>
      <c r="M32" s="574"/>
      <c r="N32" s="574" t="str">
        <f>IF(AND('Mapa final'!$K$39="Baja",'Mapa final'!$O$39="Leve"),CONCATENATE("R",'Mapa final'!$A$39),"")</f>
        <v/>
      </c>
      <c r="O32" s="575"/>
      <c r="P32" s="566" t="str">
        <f>IF(AND('Mapa final'!$K$27="Baja",'Mapa final'!$O$27="Menor"),CONCATENATE("R",'Mapa final'!$A$27),"")</f>
        <v/>
      </c>
      <c r="Q32" s="566"/>
      <c r="R32" s="566" t="str">
        <f>IF(AND('Mapa final'!$K$33="Baja",'Mapa final'!$O$33="Menor"),CONCATENATE("R",'Mapa final'!$A$33),"")</f>
        <v/>
      </c>
      <c r="S32" s="566"/>
      <c r="T32" s="566" t="str">
        <f>IF(AND('Mapa final'!$K$39="Baja",'Mapa final'!$O$39="Menor"),CONCATENATE("R",'Mapa final'!$A$39),"")</f>
        <v/>
      </c>
      <c r="U32" s="567"/>
      <c r="V32" s="565" t="str">
        <f>IF(AND('Mapa final'!$K$27="Baja",'Mapa final'!$O$27="Moderado"),CONCATENATE("R",'Mapa final'!$A$27),"")</f>
        <v/>
      </c>
      <c r="W32" s="566"/>
      <c r="X32" s="566" t="str">
        <f>IF(AND('Mapa final'!$K$33="Baja",'Mapa final'!$O$33="Moderado"),CONCATENATE("R",'Mapa final'!$A$33),"")</f>
        <v/>
      </c>
      <c r="Y32" s="566"/>
      <c r="Z32" s="566" t="str">
        <f>IF(AND('Mapa final'!$K$39="Baja",'Mapa final'!$O$39="Moderado"),CONCATENATE("R",'Mapa final'!$A$39),"")</f>
        <v/>
      </c>
      <c r="AA32" s="567"/>
      <c r="AB32" s="549" t="str">
        <f>IF(AND('Mapa final'!$K$27="Baja",'Mapa final'!$O$27="Mayor"),CONCATENATE("R",'Mapa final'!$A$27),"")</f>
        <v/>
      </c>
      <c r="AC32" s="545"/>
      <c r="AD32" s="545" t="str">
        <f>IF(AND('Mapa final'!$K$33="Baja",'Mapa final'!$O$33="Mayor"),CONCATENATE("R",'Mapa final'!$A$33),"")</f>
        <v/>
      </c>
      <c r="AE32" s="545"/>
      <c r="AF32" s="545" t="str">
        <f>IF(AND('Mapa final'!$K$39="Baja",'Mapa final'!$O$39="Mayor"),CONCATENATE("R",'Mapa final'!$A$39),"")</f>
        <v/>
      </c>
      <c r="AG32" s="546"/>
      <c r="AH32" s="556" t="str">
        <f>IF(AND('Mapa final'!$K$27="Baja",'Mapa final'!$O$27="Catastrófico"),CONCATENATE("R",'Mapa final'!$A$27),"")</f>
        <v/>
      </c>
      <c r="AI32" s="557"/>
      <c r="AJ32" s="557" t="str">
        <f>IF(AND('Mapa final'!$K$33="Baja",'Mapa final'!$O$33="Catastrófico"),CONCATENATE("R",'Mapa final'!$A$33),"")</f>
        <v/>
      </c>
      <c r="AK32" s="557"/>
      <c r="AL32" s="557" t="str">
        <f>IF(AND('Mapa final'!$K$39="Baja",'Mapa final'!$O$39="Catastrófico"),CONCATENATE("R",'Mapa final'!$A$39),"")</f>
        <v/>
      </c>
      <c r="AM32" s="558"/>
      <c r="AN32" s="67"/>
      <c r="AO32" s="530"/>
      <c r="AP32" s="531"/>
      <c r="AQ32" s="531"/>
      <c r="AR32" s="531"/>
      <c r="AS32" s="531"/>
      <c r="AT32" s="53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498"/>
      <c r="C33" s="498"/>
      <c r="D33" s="499"/>
      <c r="E33" s="539"/>
      <c r="F33" s="540"/>
      <c r="G33" s="540"/>
      <c r="H33" s="540"/>
      <c r="I33" s="540"/>
      <c r="J33" s="576"/>
      <c r="K33" s="574"/>
      <c r="L33" s="574"/>
      <c r="M33" s="574"/>
      <c r="N33" s="574"/>
      <c r="O33" s="575"/>
      <c r="P33" s="566"/>
      <c r="Q33" s="566"/>
      <c r="R33" s="566"/>
      <c r="S33" s="566"/>
      <c r="T33" s="566"/>
      <c r="U33" s="567"/>
      <c r="V33" s="565"/>
      <c r="W33" s="566"/>
      <c r="X33" s="566"/>
      <c r="Y33" s="566"/>
      <c r="Z33" s="566"/>
      <c r="AA33" s="567"/>
      <c r="AB33" s="549"/>
      <c r="AC33" s="545"/>
      <c r="AD33" s="545"/>
      <c r="AE33" s="545"/>
      <c r="AF33" s="545"/>
      <c r="AG33" s="546"/>
      <c r="AH33" s="556"/>
      <c r="AI33" s="557"/>
      <c r="AJ33" s="557"/>
      <c r="AK33" s="557"/>
      <c r="AL33" s="557"/>
      <c r="AM33" s="558"/>
      <c r="AN33" s="67"/>
      <c r="AO33" s="530"/>
      <c r="AP33" s="531"/>
      <c r="AQ33" s="531"/>
      <c r="AR33" s="531"/>
      <c r="AS33" s="531"/>
      <c r="AT33" s="53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498"/>
      <c r="C34" s="498"/>
      <c r="D34" s="499"/>
      <c r="E34" s="539"/>
      <c r="F34" s="540"/>
      <c r="G34" s="540"/>
      <c r="H34" s="540"/>
      <c r="I34" s="540"/>
      <c r="J34" s="576" t="str">
        <f>IF(AND('Mapa final'!$K$45="Baja",'Mapa final'!$O$45="Leve"),CONCATENATE("R",'Mapa final'!$A$45),"")</f>
        <v/>
      </c>
      <c r="K34" s="574"/>
      <c r="L34" s="574" t="str">
        <f>IF(AND('Mapa final'!$K$51="Baja",'Mapa final'!$O$51="Leve"),CONCATENATE("R",'Mapa final'!$A$51),"")</f>
        <v/>
      </c>
      <c r="M34" s="574"/>
      <c r="N34" s="574" t="str">
        <f>IF(AND('Mapa final'!$K$57="Baja",'Mapa final'!$O$57="Leve"),CONCATENATE("R",'Mapa final'!$A$57),"")</f>
        <v/>
      </c>
      <c r="O34" s="575"/>
      <c r="P34" s="566" t="str">
        <f>IF(AND('Mapa final'!$K$45="Baja",'Mapa final'!$O$45="Menor"),CONCATENATE("R",'Mapa final'!$A$45),"")</f>
        <v/>
      </c>
      <c r="Q34" s="566"/>
      <c r="R34" s="566" t="str">
        <f>IF(AND('Mapa final'!$K$51="Baja",'Mapa final'!$O$51="Menor"),CONCATENATE("R",'Mapa final'!$A$51),"")</f>
        <v/>
      </c>
      <c r="S34" s="566"/>
      <c r="T34" s="566" t="str">
        <f>IF(AND('Mapa final'!$K$57="Baja",'Mapa final'!$O$57="Menor"),CONCATENATE("R",'Mapa final'!$A$57),"")</f>
        <v/>
      </c>
      <c r="U34" s="567"/>
      <c r="V34" s="565" t="str">
        <f>IF(AND('Mapa final'!$K$45="Baja",'Mapa final'!$O$45="Moderado"),CONCATENATE("R",'Mapa final'!$A$45),"")</f>
        <v/>
      </c>
      <c r="W34" s="566"/>
      <c r="X34" s="566" t="str">
        <f>IF(AND('Mapa final'!$K$51="Baja",'Mapa final'!$O$51="Moderado"),CONCATENATE("R",'Mapa final'!$A$51),"")</f>
        <v/>
      </c>
      <c r="Y34" s="566"/>
      <c r="Z34" s="566" t="str">
        <f>IF(AND('Mapa final'!$K$57="Baja",'Mapa final'!$O$57="Moderado"),CONCATENATE("R",'Mapa final'!$A$57),"")</f>
        <v/>
      </c>
      <c r="AA34" s="567"/>
      <c r="AB34" s="549" t="str">
        <f>IF(AND('Mapa final'!$K$45="Baja",'Mapa final'!$O$45="Mayor"),CONCATENATE("R",'Mapa final'!$A$45),"")</f>
        <v/>
      </c>
      <c r="AC34" s="545"/>
      <c r="AD34" s="545" t="str">
        <f>IF(AND('Mapa final'!$K$51="Baja",'Mapa final'!$O$51="Mayor"),CONCATENATE("R",'Mapa final'!$A$51),"")</f>
        <v/>
      </c>
      <c r="AE34" s="545"/>
      <c r="AF34" s="545" t="str">
        <f>IF(AND('Mapa final'!$K$57="Baja",'Mapa final'!$O$57="Mayor"),CONCATENATE("R",'Mapa final'!$A$57),"")</f>
        <v/>
      </c>
      <c r="AG34" s="546"/>
      <c r="AH34" s="556" t="str">
        <f>IF(AND('Mapa final'!$K$45="Baja",'Mapa final'!$O$45="Catastrófico"),CONCATENATE("R",'Mapa final'!$A$45),"")</f>
        <v/>
      </c>
      <c r="AI34" s="557"/>
      <c r="AJ34" s="557" t="str">
        <f>IF(AND('Mapa final'!$K$51="Baja",'Mapa final'!$O$51="Catastrófico"),CONCATENATE("R",'Mapa final'!$A$51),"")</f>
        <v/>
      </c>
      <c r="AK34" s="557"/>
      <c r="AL34" s="557" t="str">
        <f>IF(AND('Mapa final'!$K$57="Baja",'Mapa final'!$O$57="Catastrófico"),CONCATENATE("R",'Mapa final'!$A$57),"")</f>
        <v/>
      </c>
      <c r="AM34" s="558"/>
      <c r="AN34" s="67"/>
      <c r="AO34" s="530"/>
      <c r="AP34" s="531"/>
      <c r="AQ34" s="531"/>
      <c r="AR34" s="531"/>
      <c r="AS34" s="531"/>
      <c r="AT34" s="53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498"/>
      <c r="C35" s="498"/>
      <c r="D35" s="499"/>
      <c r="E35" s="539"/>
      <c r="F35" s="540"/>
      <c r="G35" s="540"/>
      <c r="H35" s="540"/>
      <c r="I35" s="540"/>
      <c r="J35" s="576"/>
      <c r="K35" s="574"/>
      <c r="L35" s="574"/>
      <c r="M35" s="574"/>
      <c r="N35" s="574"/>
      <c r="O35" s="575"/>
      <c r="P35" s="566"/>
      <c r="Q35" s="566"/>
      <c r="R35" s="566"/>
      <c r="S35" s="566"/>
      <c r="T35" s="566"/>
      <c r="U35" s="567"/>
      <c r="V35" s="565"/>
      <c r="W35" s="566"/>
      <c r="X35" s="566"/>
      <c r="Y35" s="566"/>
      <c r="Z35" s="566"/>
      <c r="AA35" s="567"/>
      <c r="AB35" s="549"/>
      <c r="AC35" s="545"/>
      <c r="AD35" s="545"/>
      <c r="AE35" s="545"/>
      <c r="AF35" s="545"/>
      <c r="AG35" s="546"/>
      <c r="AH35" s="556"/>
      <c r="AI35" s="557"/>
      <c r="AJ35" s="557"/>
      <c r="AK35" s="557"/>
      <c r="AL35" s="557"/>
      <c r="AM35" s="558"/>
      <c r="AN35" s="67"/>
      <c r="AO35" s="530"/>
      <c r="AP35" s="531"/>
      <c r="AQ35" s="531"/>
      <c r="AR35" s="531"/>
      <c r="AS35" s="531"/>
      <c r="AT35" s="53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498"/>
      <c r="C36" s="498"/>
      <c r="D36" s="499"/>
      <c r="E36" s="539"/>
      <c r="F36" s="540"/>
      <c r="G36" s="540"/>
      <c r="H36" s="540"/>
      <c r="I36" s="540"/>
      <c r="J36" s="576" t="str">
        <f>IF(AND('Mapa final'!$K$63="Baja",'Mapa final'!$O$63="Leve"),CONCATENATE("R",'Mapa final'!$A$63),"")</f>
        <v/>
      </c>
      <c r="K36" s="574"/>
      <c r="L36" s="574" t="str">
        <f>IF(AND('Mapa final'!$K$69="Baja",'Mapa final'!$O$69="Leve"),CONCATENATE("R",'Mapa final'!$A$69),"")</f>
        <v/>
      </c>
      <c r="M36" s="574"/>
      <c r="N36" s="574" t="str">
        <f>IF(AND('Mapa final'!$K$75="Baja",'Mapa final'!$O$75="Leve"),CONCATENATE("R",'Mapa final'!$A$75),"")</f>
        <v/>
      </c>
      <c r="O36" s="575"/>
      <c r="P36" s="566" t="str">
        <f>IF(AND('Mapa final'!$K$63="Baja",'Mapa final'!$O$63="Menor"),CONCATENATE("R",'Mapa final'!$A$63),"")</f>
        <v/>
      </c>
      <c r="Q36" s="566"/>
      <c r="R36" s="566" t="str">
        <f>IF(AND('Mapa final'!$K$69="Baja",'Mapa final'!$O$69="Menor"),CONCATENATE("R",'Mapa final'!$A$69),"")</f>
        <v/>
      </c>
      <c r="S36" s="566"/>
      <c r="T36" s="566" t="str">
        <f>IF(AND('Mapa final'!$K$75="Baja",'Mapa final'!$O$75="Menor"),CONCATENATE("R",'Mapa final'!$A$75),"")</f>
        <v/>
      </c>
      <c r="U36" s="567"/>
      <c r="V36" s="565" t="str">
        <f>IF(AND('Mapa final'!$K$63="Baja",'Mapa final'!$O$63="Moderado"),CONCATENATE("R",'Mapa final'!$A$63),"")</f>
        <v/>
      </c>
      <c r="W36" s="566"/>
      <c r="X36" s="566" t="str">
        <f>IF(AND('Mapa final'!$K$69="Baja",'Mapa final'!$O$69="Moderado"),CONCATENATE("R",'Mapa final'!$A$69),"")</f>
        <v/>
      </c>
      <c r="Y36" s="566"/>
      <c r="Z36" s="566" t="str">
        <f>IF(AND('Mapa final'!$K$75="Baja",'Mapa final'!$O$75="Moderado"),CONCATENATE("R",'Mapa final'!$A$75),"")</f>
        <v/>
      </c>
      <c r="AA36" s="567"/>
      <c r="AB36" s="549" t="str">
        <f>IF(AND('Mapa final'!$K$63="Baja",'Mapa final'!$O$63="Mayor"),CONCATENATE("R",'Mapa final'!$A$63),"")</f>
        <v/>
      </c>
      <c r="AC36" s="545"/>
      <c r="AD36" s="545" t="str">
        <f>IF(AND('Mapa final'!$K$69="Baja",'Mapa final'!$O$69="Mayor"),CONCATENATE("R",'Mapa final'!$A$69),"")</f>
        <v/>
      </c>
      <c r="AE36" s="545"/>
      <c r="AF36" s="545" t="str">
        <f>IF(AND('Mapa final'!$K$75="Baja",'Mapa final'!$O$75="Mayor"),CONCATENATE("R",'Mapa final'!$A$75),"")</f>
        <v/>
      </c>
      <c r="AG36" s="546"/>
      <c r="AH36" s="556" t="str">
        <f>IF(AND('Mapa final'!$K$63="Baja",'Mapa final'!$O$63="Catastrófico"),CONCATENATE("R",'Mapa final'!$A$63),"")</f>
        <v/>
      </c>
      <c r="AI36" s="557"/>
      <c r="AJ36" s="557" t="str">
        <f>IF(AND('Mapa final'!$K$69="Baja",'Mapa final'!$O$69="Catastrófico"),CONCATENATE("R",'Mapa final'!$A$69),"")</f>
        <v/>
      </c>
      <c r="AK36" s="557"/>
      <c r="AL36" s="557" t="str">
        <f>IF(AND('Mapa final'!$K$75="Baja",'Mapa final'!$O$75="Catastrófico"),CONCATENATE("R",'Mapa final'!$A$75),"")</f>
        <v/>
      </c>
      <c r="AM36" s="558"/>
      <c r="AN36" s="67"/>
      <c r="AO36" s="530"/>
      <c r="AP36" s="531"/>
      <c r="AQ36" s="531"/>
      <c r="AR36" s="531"/>
      <c r="AS36" s="531"/>
      <c r="AT36" s="532"/>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498"/>
      <c r="C37" s="498"/>
      <c r="D37" s="499"/>
      <c r="E37" s="542"/>
      <c r="F37" s="543"/>
      <c r="G37" s="543"/>
      <c r="H37" s="543"/>
      <c r="I37" s="543"/>
      <c r="J37" s="577"/>
      <c r="K37" s="578"/>
      <c r="L37" s="578"/>
      <c r="M37" s="578"/>
      <c r="N37" s="578"/>
      <c r="O37" s="579"/>
      <c r="P37" s="569"/>
      <c r="Q37" s="569"/>
      <c r="R37" s="569"/>
      <c r="S37" s="569"/>
      <c r="T37" s="569"/>
      <c r="U37" s="570"/>
      <c r="V37" s="568"/>
      <c r="W37" s="569"/>
      <c r="X37" s="569"/>
      <c r="Y37" s="569"/>
      <c r="Z37" s="569"/>
      <c r="AA37" s="570"/>
      <c r="AB37" s="553"/>
      <c r="AC37" s="554"/>
      <c r="AD37" s="554"/>
      <c r="AE37" s="554"/>
      <c r="AF37" s="554"/>
      <c r="AG37" s="555"/>
      <c r="AH37" s="559"/>
      <c r="AI37" s="560"/>
      <c r="AJ37" s="560"/>
      <c r="AK37" s="560"/>
      <c r="AL37" s="560"/>
      <c r="AM37" s="561"/>
      <c r="AN37" s="67"/>
      <c r="AO37" s="533"/>
      <c r="AP37" s="534"/>
      <c r="AQ37" s="534"/>
      <c r="AR37" s="534"/>
      <c r="AS37" s="534"/>
      <c r="AT37" s="535"/>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498"/>
      <c r="C38" s="498"/>
      <c r="D38" s="499"/>
      <c r="E38" s="536" t="s">
        <v>108</v>
      </c>
      <c r="F38" s="537"/>
      <c r="G38" s="537"/>
      <c r="H38" s="537"/>
      <c r="I38" s="538"/>
      <c r="J38" s="580" t="str">
        <f>IF(AND('Mapa final'!$K$10="Muy Baja",'Mapa final'!$O$10="Leve"),CONCATENATE("R",'Mapa final'!$A$10),"")</f>
        <v/>
      </c>
      <c r="K38" s="581"/>
      <c r="L38" s="581" t="str">
        <f>IF(AND('Mapa final'!$K$15="Muy Baja",'Mapa final'!$O$15="Leve"),CONCATENATE("R",'Mapa final'!$A$15),"")</f>
        <v/>
      </c>
      <c r="M38" s="581"/>
      <c r="N38" s="581" t="str">
        <f>IF(AND('Mapa final'!$K$21="Muy Baja",'Mapa final'!$O$21="Leve"),CONCATENATE("R",'Mapa final'!$A$21),"")</f>
        <v/>
      </c>
      <c r="O38" s="582"/>
      <c r="P38" s="580" t="str">
        <f>IF(AND('Mapa final'!$K$10="Muy Baja",'Mapa final'!$O$10="Menor"),CONCATENATE("R",'Mapa final'!$A$10),"")</f>
        <v/>
      </c>
      <c r="Q38" s="581"/>
      <c r="R38" s="581" t="str">
        <f>IF(AND('Mapa final'!$K$15="Muy Baja",'Mapa final'!$O$15="Menor"),CONCATENATE("R",'Mapa final'!$A$15),"")</f>
        <v/>
      </c>
      <c r="S38" s="581"/>
      <c r="T38" s="581" t="str">
        <f>IF(AND('Mapa final'!$K$21="Muy Baja",'Mapa final'!$O$21="Menor"),CONCATENATE("R",'Mapa final'!$A$21),"")</f>
        <v/>
      </c>
      <c r="U38" s="582"/>
      <c r="V38" s="571" t="str">
        <f>IF(AND('Mapa final'!$K$10="Muy Baja",'Mapa final'!$O$10="Moderado"),CONCATENATE("R",'Mapa final'!$A$10),"")</f>
        <v/>
      </c>
      <c r="W38" s="572"/>
      <c r="X38" s="572" t="str">
        <f>IF(AND('Mapa final'!$K$15="Muy Baja",'Mapa final'!$O$15="Moderado"),CONCATENATE("R",'Mapa final'!$A$15),"")</f>
        <v/>
      </c>
      <c r="Y38" s="572"/>
      <c r="Z38" s="572" t="str">
        <f>IF(AND('Mapa final'!$K$21="Muy Baja",'Mapa final'!$O$21="Moderado"),CONCATENATE("R",'Mapa final'!$A$21),"")</f>
        <v/>
      </c>
      <c r="AA38" s="573"/>
      <c r="AB38" s="547" t="str">
        <f>IF(AND('Mapa final'!$K$10="Muy Baja",'Mapa final'!$O$10="Mayor"),CONCATENATE("R",'Mapa final'!$A$10),"")</f>
        <v/>
      </c>
      <c r="AC38" s="548"/>
      <c r="AD38" s="548" t="str">
        <f>IF(AND('Mapa final'!$K$15="Muy Baja",'Mapa final'!$O$15="Mayor"),CONCATENATE("R",'Mapa final'!$A$15),"")</f>
        <v/>
      </c>
      <c r="AE38" s="548"/>
      <c r="AF38" s="548" t="str">
        <f>IF(AND('Mapa final'!$K$21="Muy Baja",'Mapa final'!$O$21="Mayor"),CONCATENATE("R",'Mapa final'!$A$21),"")</f>
        <v/>
      </c>
      <c r="AG38" s="550"/>
      <c r="AH38" s="562" t="str">
        <f>IF(AND('Mapa final'!$K$10="Muy Baja",'Mapa final'!$O$10="Catastrófico"),CONCATENATE("R",'Mapa final'!$A$10),"")</f>
        <v/>
      </c>
      <c r="AI38" s="563"/>
      <c r="AJ38" s="563" t="str">
        <f>IF(AND('Mapa final'!$K$15="Muy Baja",'Mapa final'!$O$15="Catastrófico"),CONCATENATE("R",'Mapa final'!$A$15),"")</f>
        <v/>
      </c>
      <c r="AK38" s="563"/>
      <c r="AL38" s="563" t="str">
        <f>IF(AND('Mapa final'!$K$21="Muy Baja",'Mapa final'!$O$21="Catastrófico"),CONCATENATE("R",'Mapa final'!$A$21),"")</f>
        <v/>
      </c>
      <c r="AM38" s="564"/>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498"/>
      <c r="C39" s="498"/>
      <c r="D39" s="499"/>
      <c r="E39" s="539"/>
      <c r="F39" s="540"/>
      <c r="G39" s="540"/>
      <c r="H39" s="540"/>
      <c r="I39" s="541"/>
      <c r="J39" s="576"/>
      <c r="K39" s="574"/>
      <c r="L39" s="574"/>
      <c r="M39" s="574"/>
      <c r="N39" s="574"/>
      <c r="O39" s="575"/>
      <c r="P39" s="576"/>
      <c r="Q39" s="574"/>
      <c r="R39" s="574"/>
      <c r="S39" s="574"/>
      <c r="T39" s="574"/>
      <c r="U39" s="575"/>
      <c r="V39" s="565"/>
      <c r="W39" s="566"/>
      <c r="X39" s="566"/>
      <c r="Y39" s="566"/>
      <c r="Z39" s="566"/>
      <c r="AA39" s="567"/>
      <c r="AB39" s="549"/>
      <c r="AC39" s="545"/>
      <c r="AD39" s="545"/>
      <c r="AE39" s="545"/>
      <c r="AF39" s="545"/>
      <c r="AG39" s="546"/>
      <c r="AH39" s="556"/>
      <c r="AI39" s="557"/>
      <c r="AJ39" s="557"/>
      <c r="AK39" s="557"/>
      <c r="AL39" s="557"/>
      <c r="AM39" s="558"/>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498"/>
      <c r="C40" s="498"/>
      <c r="D40" s="499"/>
      <c r="E40" s="539"/>
      <c r="F40" s="540"/>
      <c r="G40" s="540"/>
      <c r="H40" s="540"/>
      <c r="I40" s="541"/>
      <c r="J40" s="576" t="str">
        <f>IF(AND('Mapa final'!$K$27="Muy Baja",'Mapa final'!$O$27="Leve"),CONCATENATE("R",'Mapa final'!$A$27),"")</f>
        <v/>
      </c>
      <c r="K40" s="574"/>
      <c r="L40" s="574" t="str">
        <f>IF(AND('Mapa final'!$K$33="Muy Baja",'Mapa final'!$O$33="Leve"),CONCATENATE("R",'Mapa final'!$A$33),"")</f>
        <v/>
      </c>
      <c r="M40" s="574"/>
      <c r="N40" s="574" t="str">
        <f>IF(AND('Mapa final'!$K$39="Muy Baja",'Mapa final'!$O$39="Leve"),CONCATENATE("R",'Mapa final'!$A$39),"")</f>
        <v/>
      </c>
      <c r="O40" s="575"/>
      <c r="P40" s="576" t="str">
        <f>IF(AND('Mapa final'!$K$27="Muy Baja",'Mapa final'!$O$27="Menor"),CONCATENATE("R",'Mapa final'!$A$27),"")</f>
        <v/>
      </c>
      <c r="Q40" s="574"/>
      <c r="R40" s="574" t="str">
        <f>IF(AND('Mapa final'!$K$33="Muy Baja",'Mapa final'!$O$33="Menor"),CONCATENATE("R",'Mapa final'!$A$33),"")</f>
        <v/>
      </c>
      <c r="S40" s="574"/>
      <c r="T40" s="574" t="str">
        <f>IF(AND('Mapa final'!$K$39="Muy Baja",'Mapa final'!$O$39="Menor"),CONCATENATE("R",'Mapa final'!$A$39),"")</f>
        <v/>
      </c>
      <c r="U40" s="575"/>
      <c r="V40" s="565" t="str">
        <f>IF(AND('Mapa final'!$K$27="Muy Baja",'Mapa final'!$O$27="Moderado"),CONCATENATE("R",'Mapa final'!$A$27),"")</f>
        <v/>
      </c>
      <c r="W40" s="566"/>
      <c r="X40" s="566" t="str">
        <f>IF(AND('Mapa final'!$K$33="Muy Baja",'Mapa final'!$O$33="Moderado"),CONCATENATE("R",'Mapa final'!$A$33),"")</f>
        <v/>
      </c>
      <c r="Y40" s="566"/>
      <c r="Z40" s="566" t="str">
        <f>IF(AND('Mapa final'!$K$39="Muy Baja",'Mapa final'!$O$39="Moderado"),CONCATENATE("R",'Mapa final'!$A$39),"")</f>
        <v/>
      </c>
      <c r="AA40" s="567"/>
      <c r="AB40" s="549" t="str">
        <f>IF(AND('Mapa final'!$K$27="Muy Baja",'Mapa final'!$O$27="Mayor"),CONCATENATE("R",'Mapa final'!$A$27),"")</f>
        <v/>
      </c>
      <c r="AC40" s="545"/>
      <c r="AD40" s="545" t="str">
        <f>IF(AND('Mapa final'!$K$33="Muy Baja",'Mapa final'!$O$33="Mayor"),CONCATENATE("R",'Mapa final'!$A$33),"")</f>
        <v/>
      </c>
      <c r="AE40" s="545"/>
      <c r="AF40" s="545" t="str">
        <f>IF(AND('Mapa final'!$K$39="Muy Baja",'Mapa final'!$O$39="Mayor"),CONCATENATE("R",'Mapa final'!$A$39),"")</f>
        <v/>
      </c>
      <c r="AG40" s="546"/>
      <c r="AH40" s="556" t="str">
        <f>IF(AND('Mapa final'!$K$27="Muy Baja",'Mapa final'!$O$27="Catastrófico"),CONCATENATE("R",'Mapa final'!$A$27),"")</f>
        <v/>
      </c>
      <c r="AI40" s="557"/>
      <c r="AJ40" s="557" t="str">
        <f>IF(AND('Mapa final'!$K$33="Muy Baja",'Mapa final'!$O$33="Catastrófico"),CONCATENATE("R",'Mapa final'!$A$33),"")</f>
        <v/>
      </c>
      <c r="AK40" s="557"/>
      <c r="AL40" s="557" t="str">
        <f>IF(AND('Mapa final'!$K$39="Muy Baja",'Mapa final'!$O$39="Catastrófico"),CONCATENATE("R",'Mapa final'!$A$39),"")</f>
        <v/>
      </c>
      <c r="AM40" s="558"/>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498"/>
      <c r="C41" s="498"/>
      <c r="D41" s="499"/>
      <c r="E41" s="539"/>
      <c r="F41" s="540"/>
      <c r="G41" s="540"/>
      <c r="H41" s="540"/>
      <c r="I41" s="541"/>
      <c r="J41" s="576"/>
      <c r="K41" s="574"/>
      <c r="L41" s="574"/>
      <c r="M41" s="574"/>
      <c r="N41" s="574"/>
      <c r="O41" s="575"/>
      <c r="P41" s="576"/>
      <c r="Q41" s="574"/>
      <c r="R41" s="574"/>
      <c r="S41" s="574"/>
      <c r="T41" s="574"/>
      <c r="U41" s="575"/>
      <c r="V41" s="565"/>
      <c r="W41" s="566"/>
      <c r="X41" s="566"/>
      <c r="Y41" s="566"/>
      <c r="Z41" s="566"/>
      <c r="AA41" s="567"/>
      <c r="AB41" s="549"/>
      <c r="AC41" s="545"/>
      <c r="AD41" s="545"/>
      <c r="AE41" s="545"/>
      <c r="AF41" s="545"/>
      <c r="AG41" s="546"/>
      <c r="AH41" s="556"/>
      <c r="AI41" s="557"/>
      <c r="AJ41" s="557"/>
      <c r="AK41" s="557"/>
      <c r="AL41" s="557"/>
      <c r="AM41" s="558"/>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498"/>
      <c r="C42" s="498"/>
      <c r="D42" s="499"/>
      <c r="E42" s="539"/>
      <c r="F42" s="540"/>
      <c r="G42" s="540"/>
      <c r="H42" s="540"/>
      <c r="I42" s="541"/>
      <c r="J42" s="576" t="str">
        <f>IF(AND('Mapa final'!$K$45="Muy Baja",'Mapa final'!$O$45="Leve"),CONCATENATE("R",'Mapa final'!$A$45),"")</f>
        <v/>
      </c>
      <c r="K42" s="574"/>
      <c r="L42" s="574" t="str">
        <f>IF(AND('Mapa final'!$K$51="Muy Baja",'Mapa final'!$O$51="Leve"),CONCATENATE("R",'Mapa final'!$A$51),"")</f>
        <v/>
      </c>
      <c r="M42" s="574"/>
      <c r="N42" s="574" t="str">
        <f>IF(AND('Mapa final'!$K$57="Muy Baja",'Mapa final'!$O$57="Leve"),CONCATENATE("R",'Mapa final'!$A$57),"")</f>
        <v/>
      </c>
      <c r="O42" s="575"/>
      <c r="P42" s="576" t="str">
        <f>IF(AND('Mapa final'!$K$45="Muy Baja",'Mapa final'!$O$45="Menor"),CONCATENATE("R",'Mapa final'!$A$45),"")</f>
        <v/>
      </c>
      <c r="Q42" s="574"/>
      <c r="R42" s="574" t="str">
        <f>IF(AND('Mapa final'!$K$51="Muy Baja",'Mapa final'!$O$51="Menor"),CONCATENATE("R",'Mapa final'!$A$51),"")</f>
        <v/>
      </c>
      <c r="S42" s="574"/>
      <c r="T42" s="574" t="str">
        <f>IF(AND('Mapa final'!$K$57="Muy Baja",'Mapa final'!$O$57="Menor"),CONCATENATE("R",'Mapa final'!$A$57),"")</f>
        <v/>
      </c>
      <c r="U42" s="575"/>
      <c r="V42" s="565" t="str">
        <f>IF(AND('Mapa final'!$K$45="Muy Baja",'Mapa final'!$O$45="Moderado"),CONCATENATE("R",'Mapa final'!$A$45),"")</f>
        <v/>
      </c>
      <c r="W42" s="566"/>
      <c r="X42" s="566" t="str">
        <f>IF(AND('Mapa final'!$K$51="Muy Baja",'Mapa final'!$O$51="Moderado"),CONCATENATE("R",'Mapa final'!$A$51),"")</f>
        <v/>
      </c>
      <c r="Y42" s="566"/>
      <c r="Z42" s="566" t="str">
        <f>IF(AND('Mapa final'!$K$57="Muy Baja",'Mapa final'!$O$57="Moderado"),CONCATENATE("R",'Mapa final'!$A$57),"")</f>
        <v/>
      </c>
      <c r="AA42" s="567"/>
      <c r="AB42" s="549" t="str">
        <f>IF(AND('Mapa final'!$K$45="Muy Baja",'Mapa final'!$O$45="Mayor"),CONCATENATE("R",'Mapa final'!$A$45),"")</f>
        <v/>
      </c>
      <c r="AC42" s="545"/>
      <c r="AD42" s="545" t="str">
        <f>IF(AND('Mapa final'!$K$51="Muy Baja",'Mapa final'!$O$51="Mayor"),CONCATENATE("R",'Mapa final'!$A$51),"")</f>
        <v/>
      </c>
      <c r="AE42" s="545"/>
      <c r="AF42" s="545" t="str">
        <f>IF(AND('Mapa final'!$K$57="Muy Baja",'Mapa final'!$O$57="Mayor"),CONCATENATE("R",'Mapa final'!$A$57),"")</f>
        <v/>
      </c>
      <c r="AG42" s="546"/>
      <c r="AH42" s="556" t="str">
        <f>IF(AND('Mapa final'!$K$45="Muy Baja",'Mapa final'!$O$45="Catastrófico"),CONCATENATE("R",'Mapa final'!$A$45),"")</f>
        <v/>
      </c>
      <c r="AI42" s="557"/>
      <c r="AJ42" s="557" t="str">
        <f>IF(AND('Mapa final'!$K$51="Muy Baja",'Mapa final'!$O$51="Catastrófico"),CONCATENATE("R",'Mapa final'!$A$51),"")</f>
        <v/>
      </c>
      <c r="AK42" s="557"/>
      <c r="AL42" s="557" t="str">
        <f>IF(AND('Mapa final'!$K$57="Muy Baja",'Mapa final'!$O$57="Catastrófico"),CONCATENATE("R",'Mapa final'!$A$57),"")</f>
        <v/>
      </c>
      <c r="AM42" s="558"/>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498"/>
      <c r="C43" s="498"/>
      <c r="D43" s="499"/>
      <c r="E43" s="539"/>
      <c r="F43" s="540"/>
      <c r="G43" s="540"/>
      <c r="H43" s="540"/>
      <c r="I43" s="541"/>
      <c r="J43" s="576"/>
      <c r="K43" s="574"/>
      <c r="L43" s="574"/>
      <c r="M43" s="574"/>
      <c r="N43" s="574"/>
      <c r="O43" s="575"/>
      <c r="P43" s="576"/>
      <c r="Q43" s="574"/>
      <c r="R43" s="574"/>
      <c r="S43" s="574"/>
      <c r="T43" s="574"/>
      <c r="U43" s="575"/>
      <c r="V43" s="565"/>
      <c r="W43" s="566"/>
      <c r="X43" s="566"/>
      <c r="Y43" s="566"/>
      <c r="Z43" s="566"/>
      <c r="AA43" s="567"/>
      <c r="AB43" s="549"/>
      <c r="AC43" s="545"/>
      <c r="AD43" s="545"/>
      <c r="AE43" s="545"/>
      <c r="AF43" s="545"/>
      <c r="AG43" s="546"/>
      <c r="AH43" s="556"/>
      <c r="AI43" s="557"/>
      <c r="AJ43" s="557"/>
      <c r="AK43" s="557"/>
      <c r="AL43" s="557"/>
      <c r="AM43" s="558"/>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498"/>
      <c r="C44" s="498"/>
      <c r="D44" s="499"/>
      <c r="E44" s="539"/>
      <c r="F44" s="540"/>
      <c r="G44" s="540"/>
      <c r="H44" s="540"/>
      <c r="I44" s="541"/>
      <c r="J44" s="576" t="str">
        <f>IF(AND('Mapa final'!$K$63="Muy Baja",'Mapa final'!$O$63="Leve"),CONCATENATE("R",'Mapa final'!$A$63),"")</f>
        <v/>
      </c>
      <c r="K44" s="574"/>
      <c r="L44" s="574" t="str">
        <f>IF(AND('Mapa final'!$K$69="Muy Baja",'Mapa final'!$O$69="Leve"),CONCATENATE("R",'Mapa final'!$A$69),"")</f>
        <v/>
      </c>
      <c r="M44" s="574"/>
      <c r="N44" s="574" t="str">
        <f>IF(AND('Mapa final'!$K$75="Muy Baja",'Mapa final'!$O$75="Leve"),CONCATENATE("R",'Mapa final'!$A$75),"")</f>
        <v/>
      </c>
      <c r="O44" s="575"/>
      <c r="P44" s="576" t="str">
        <f>IF(AND('Mapa final'!$K$63="Muy Baja",'Mapa final'!$O$63="Menor"),CONCATENATE("R",'Mapa final'!$A$63),"")</f>
        <v/>
      </c>
      <c r="Q44" s="574"/>
      <c r="R44" s="574" t="str">
        <f>IF(AND('Mapa final'!$K$69="Muy Baja",'Mapa final'!$O$69="Menor"),CONCATENATE("R",'Mapa final'!$A$69),"")</f>
        <v/>
      </c>
      <c r="S44" s="574"/>
      <c r="T44" s="574" t="str">
        <f>IF(AND('Mapa final'!$K$75="Muy Baja",'Mapa final'!$O$75="Menor"),CONCATENATE("R",'Mapa final'!$A$75),"")</f>
        <v/>
      </c>
      <c r="U44" s="575"/>
      <c r="V44" s="565" t="str">
        <f>IF(AND('Mapa final'!$K$63="Muy Baja",'Mapa final'!$O$63="Moderado"),CONCATENATE("R",'Mapa final'!$A$63),"")</f>
        <v/>
      </c>
      <c r="W44" s="566"/>
      <c r="X44" s="566" t="str">
        <f>IF(AND('Mapa final'!$K$69="Muy Baja",'Mapa final'!$O$69="Moderado"),CONCATENATE("R",'Mapa final'!$A$69),"")</f>
        <v/>
      </c>
      <c r="Y44" s="566"/>
      <c r="Z44" s="566" t="str">
        <f>IF(AND('Mapa final'!$K$75="Muy Baja",'Mapa final'!$O$75="Moderado"),CONCATENATE("R",'Mapa final'!$A$75),"")</f>
        <v/>
      </c>
      <c r="AA44" s="567"/>
      <c r="AB44" s="549" t="str">
        <f>IF(AND('Mapa final'!$K$63="Muy Baja",'Mapa final'!$O$63="Mayor"),CONCATENATE("R",'Mapa final'!$A$63),"")</f>
        <v/>
      </c>
      <c r="AC44" s="545"/>
      <c r="AD44" s="545" t="str">
        <f>IF(AND('Mapa final'!$K$69="Muy Baja",'Mapa final'!$O$69="Mayor"),CONCATENATE("R",'Mapa final'!$A$69),"")</f>
        <v/>
      </c>
      <c r="AE44" s="545"/>
      <c r="AF44" s="545" t="str">
        <f>IF(AND('Mapa final'!$K$75="Muy Baja",'Mapa final'!$O$75="Mayor"),CONCATENATE("R",'Mapa final'!$A$75),"")</f>
        <v/>
      </c>
      <c r="AG44" s="546"/>
      <c r="AH44" s="556" t="str">
        <f>IF(AND('Mapa final'!$K$63="Muy Baja",'Mapa final'!$O$63="Catastrófico"),CONCATENATE("R",'Mapa final'!$A$63),"")</f>
        <v/>
      </c>
      <c r="AI44" s="557"/>
      <c r="AJ44" s="557" t="str">
        <f>IF(AND('Mapa final'!$K$69="Muy Baja",'Mapa final'!$O$69="Catastrófico"),CONCATENATE("R",'Mapa final'!$A$69),"")</f>
        <v/>
      </c>
      <c r="AK44" s="557"/>
      <c r="AL44" s="557" t="str">
        <f>IF(AND('Mapa final'!$K$75="Muy Baja",'Mapa final'!$O$75="Catastrófico"),CONCATENATE("R",'Mapa final'!$A$75),"")</f>
        <v/>
      </c>
      <c r="AM44" s="558"/>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498"/>
      <c r="C45" s="498"/>
      <c r="D45" s="499"/>
      <c r="E45" s="542"/>
      <c r="F45" s="543"/>
      <c r="G45" s="543"/>
      <c r="H45" s="543"/>
      <c r="I45" s="544"/>
      <c r="J45" s="577"/>
      <c r="K45" s="578"/>
      <c r="L45" s="578"/>
      <c r="M45" s="578"/>
      <c r="N45" s="578"/>
      <c r="O45" s="579"/>
      <c r="P45" s="577"/>
      <c r="Q45" s="578"/>
      <c r="R45" s="578"/>
      <c r="S45" s="578"/>
      <c r="T45" s="578"/>
      <c r="U45" s="579"/>
      <c r="V45" s="568"/>
      <c r="W45" s="569"/>
      <c r="X45" s="569"/>
      <c r="Y45" s="569"/>
      <c r="Z45" s="569"/>
      <c r="AA45" s="570"/>
      <c r="AB45" s="553"/>
      <c r="AC45" s="554"/>
      <c r="AD45" s="554"/>
      <c r="AE45" s="554"/>
      <c r="AF45" s="554"/>
      <c r="AG45" s="555"/>
      <c r="AH45" s="559"/>
      <c r="AI45" s="560"/>
      <c r="AJ45" s="560"/>
      <c r="AK45" s="560"/>
      <c r="AL45" s="560"/>
      <c r="AM45" s="561"/>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536" t="s">
        <v>107</v>
      </c>
      <c r="K46" s="537"/>
      <c r="L46" s="537"/>
      <c r="M46" s="537"/>
      <c r="N46" s="537"/>
      <c r="O46" s="538"/>
      <c r="P46" s="536" t="s">
        <v>106</v>
      </c>
      <c r="Q46" s="537"/>
      <c r="R46" s="537"/>
      <c r="S46" s="537"/>
      <c r="T46" s="537"/>
      <c r="U46" s="538"/>
      <c r="V46" s="536" t="s">
        <v>105</v>
      </c>
      <c r="W46" s="537"/>
      <c r="X46" s="537"/>
      <c r="Y46" s="537"/>
      <c r="Z46" s="537"/>
      <c r="AA46" s="538"/>
      <c r="AB46" s="536" t="s">
        <v>104</v>
      </c>
      <c r="AC46" s="552"/>
      <c r="AD46" s="537"/>
      <c r="AE46" s="537"/>
      <c r="AF46" s="537"/>
      <c r="AG46" s="538"/>
      <c r="AH46" s="536" t="s">
        <v>103</v>
      </c>
      <c r="AI46" s="537"/>
      <c r="AJ46" s="537"/>
      <c r="AK46" s="537"/>
      <c r="AL46" s="537"/>
      <c r="AM46" s="538"/>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539"/>
      <c r="K47" s="540"/>
      <c r="L47" s="540"/>
      <c r="M47" s="540"/>
      <c r="N47" s="540"/>
      <c r="O47" s="541"/>
      <c r="P47" s="539"/>
      <c r="Q47" s="540"/>
      <c r="R47" s="540"/>
      <c r="S47" s="540"/>
      <c r="T47" s="540"/>
      <c r="U47" s="541"/>
      <c r="V47" s="539"/>
      <c r="W47" s="540"/>
      <c r="X47" s="540"/>
      <c r="Y47" s="540"/>
      <c r="Z47" s="540"/>
      <c r="AA47" s="541"/>
      <c r="AB47" s="539"/>
      <c r="AC47" s="540"/>
      <c r="AD47" s="540"/>
      <c r="AE47" s="540"/>
      <c r="AF47" s="540"/>
      <c r="AG47" s="541"/>
      <c r="AH47" s="539"/>
      <c r="AI47" s="540"/>
      <c r="AJ47" s="540"/>
      <c r="AK47" s="540"/>
      <c r="AL47" s="540"/>
      <c r="AM47" s="541"/>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539"/>
      <c r="K48" s="540"/>
      <c r="L48" s="540"/>
      <c r="M48" s="540"/>
      <c r="N48" s="540"/>
      <c r="O48" s="541"/>
      <c r="P48" s="539"/>
      <c r="Q48" s="540"/>
      <c r="R48" s="540"/>
      <c r="S48" s="540"/>
      <c r="T48" s="540"/>
      <c r="U48" s="541"/>
      <c r="V48" s="539"/>
      <c r="W48" s="540"/>
      <c r="X48" s="540"/>
      <c r="Y48" s="540"/>
      <c r="Z48" s="540"/>
      <c r="AA48" s="541"/>
      <c r="AB48" s="539"/>
      <c r="AC48" s="540"/>
      <c r="AD48" s="540"/>
      <c r="AE48" s="540"/>
      <c r="AF48" s="540"/>
      <c r="AG48" s="541"/>
      <c r="AH48" s="539"/>
      <c r="AI48" s="540"/>
      <c r="AJ48" s="540"/>
      <c r="AK48" s="540"/>
      <c r="AL48" s="540"/>
      <c r="AM48" s="541"/>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539"/>
      <c r="K49" s="540"/>
      <c r="L49" s="540"/>
      <c r="M49" s="540"/>
      <c r="N49" s="540"/>
      <c r="O49" s="541"/>
      <c r="P49" s="539"/>
      <c r="Q49" s="540"/>
      <c r="R49" s="540"/>
      <c r="S49" s="540"/>
      <c r="T49" s="540"/>
      <c r="U49" s="541"/>
      <c r="V49" s="539"/>
      <c r="W49" s="540"/>
      <c r="X49" s="540"/>
      <c r="Y49" s="540"/>
      <c r="Z49" s="540"/>
      <c r="AA49" s="541"/>
      <c r="AB49" s="539"/>
      <c r="AC49" s="540"/>
      <c r="AD49" s="540"/>
      <c r="AE49" s="540"/>
      <c r="AF49" s="540"/>
      <c r="AG49" s="541"/>
      <c r="AH49" s="539"/>
      <c r="AI49" s="540"/>
      <c r="AJ49" s="540"/>
      <c r="AK49" s="540"/>
      <c r="AL49" s="540"/>
      <c r="AM49" s="541"/>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539"/>
      <c r="K50" s="540"/>
      <c r="L50" s="540"/>
      <c r="M50" s="540"/>
      <c r="N50" s="540"/>
      <c r="O50" s="541"/>
      <c r="P50" s="539"/>
      <c r="Q50" s="540"/>
      <c r="R50" s="540"/>
      <c r="S50" s="540"/>
      <c r="T50" s="540"/>
      <c r="U50" s="541"/>
      <c r="V50" s="539"/>
      <c r="W50" s="540"/>
      <c r="X50" s="540"/>
      <c r="Y50" s="540"/>
      <c r="Z50" s="540"/>
      <c r="AA50" s="541"/>
      <c r="AB50" s="539"/>
      <c r="AC50" s="540"/>
      <c r="AD50" s="540"/>
      <c r="AE50" s="540"/>
      <c r="AF50" s="540"/>
      <c r="AG50" s="541"/>
      <c r="AH50" s="539"/>
      <c r="AI50" s="540"/>
      <c r="AJ50" s="540"/>
      <c r="AK50" s="540"/>
      <c r="AL50" s="540"/>
      <c r="AM50" s="541"/>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542"/>
      <c r="K51" s="543"/>
      <c r="L51" s="543"/>
      <c r="M51" s="543"/>
      <c r="N51" s="543"/>
      <c r="O51" s="544"/>
      <c r="P51" s="542"/>
      <c r="Q51" s="543"/>
      <c r="R51" s="543"/>
      <c r="S51" s="543"/>
      <c r="T51" s="543"/>
      <c r="U51" s="544"/>
      <c r="V51" s="542"/>
      <c r="W51" s="543"/>
      <c r="X51" s="543"/>
      <c r="Y51" s="543"/>
      <c r="Z51" s="543"/>
      <c r="AA51" s="544"/>
      <c r="AB51" s="542"/>
      <c r="AC51" s="543"/>
      <c r="AD51" s="543"/>
      <c r="AE51" s="543"/>
      <c r="AF51" s="543"/>
      <c r="AG51" s="544"/>
      <c r="AH51" s="542"/>
      <c r="AI51" s="543"/>
      <c r="AJ51" s="543"/>
      <c r="AK51" s="543"/>
      <c r="AL51" s="543"/>
      <c r="AM51" s="544"/>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609" t="s">
        <v>149</v>
      </c>
      <c r="C2" s="610"/>
      <c r="D2" s="610"/>
      <c r="E2" s="610"/>
      <c r="F2" s="610"/>
      <c r="G2" s="610"/>
      <c r="H2" s="610"/>
      <c r="I2" s="610"/>
      <c r="J2" s="551" t="s">
        <v>2</v>
      </c>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610"/>
      <c r="C3" s="610"/>
      <c r="D3" s="610"/>
      <c r="E3" s="610"/>
      <c r="F3" s="610"/>
      <c r="G3" s="610"/>
      <c r="H3" s="610"/>
      <c r="I3" s="610"/>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551"/>
      <c r="AM3" s="55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610"/>
      <c r="C4" s="610"/>
      <c r="D4" s="610"/>
      <c r="E4" s="610"/>
      <c r="F4" s="610"/>
      <c r="G4" s="610"/>
      <c r="H4" s="610"/>
      <c r="I4" s="610"/>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551"/>
      <c r="AM4" s="55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498" t="s">
        <v>4</v>
      </c>
      <c r="C6" s="498"/>
      <c r="D6" s="499"/>
      <c r="E6" s="593" t="s">
        <v>111</v>
      </c>
      <c r="F6" s="594"/>
      <c r="G6" s="594"/>
      <c r="H6" s="594"/>
      <c r="I6" s="611"/>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e">
        <f>IF(AND('Mapa final'!#REF!="Muy Alta",'Mapa final'!#REF!="Leve"),CONCATENATE("R1C",'Mapa final'!#REF!),"")</f>
        <v>#REF!</v>
      </c>
      <c r="O6" s="32" t="str">
        <f>IF(AND('Mapa final'!$AB$14="Muy Alta",'Mapa final'!$AD$14="Leve"),CONCATENATE("R1C",'Mapa final'!$R$14),"")</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e">
        <f>IF(AND('Mapa final'!#REF!="Muy Alta",'Mapa final'!#REF!="Menor"),CONCATENATE("R1C",'Mapa final'!#REF!),"")</f>
        <v>#REF!</v>
      </c>
      <c r="U6" s="32" t="str">
        <f>IF(AND('Mapa final'!$AB$14="Muy Alta",'Mapa final'!$AD$14="Menor"),CONCATENATE("R1C",'Mapa final'!$R$14),"")</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e">
        <f>IF(AND('Mapa final'!#REF!="Muy Alta",'Mapa final'!#REF!="Moderado"),CONCATENATE("R1C",'Mapa final'!#REF!),"")</f>
        <v>#REF!</v>
      </c>
      <c r="AA6" s="32" t="str">
        <f>IF(AND('Mapa final'!$AB$14="Muy Alta",'Mapa final'!$AD$14="Moderado"),CONCATENATE("R1C",'Mapa final'!$R$14),"")</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e">
        <f>IF(AND('Mapa final'!#REF!="Muy Alta",'Mapa final'!#REF!="Mayor"),CONCATENATE("R1C",'Mapa final'!#REF!),"")</f>
        <v>#REF!</v>
      </c>
      <c r="AG6" s="32" t="str">
        <f>IF(AND('Mapa final'!$AB$14="Muy Alta",'Mapa final'!$AD$14="Mayor"),CONCATENATE("R1C",'Mapa final'!$R$14),"")</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e">
        <f>IF(AND('Mapa final'!#REF!="Muy Alta",'Mapa final'!#REF!="Catastrófico"),CONCATENATE("R1C",'Mapa final'!#REF!),"")</f>
        <v>#REF!</v>
      </c>
      <c r="AM6" s="35" t="str">
        <f>IF(AND('Mapa final'!$AB$14="Muy Alta",'Mapa final'!$AD$14="Catastrófico"),CONCATENATE("R1C",'Mapa final'!$R$14),"")</f>
        <v/>
      </c>
      <c r="AN6" s="67"/>
      <c r="AO6" s="600" t="s">
        <v>78</v>
      </c>
      <c r="AP6" s="601"/>
      <c r="AQ6" s="601"/>
      <c r="AR6" s="601"/>
      <c r="AS6" s="601"/>
      <c r="AT6" s="60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498"/>
      <c r="C7" s="498"/>
      <c r="D7" s="499"/>
      <c r="E7" s="597"/>
      <c r="F7" s="596"/>
      <c r="G7" s="596"/>
      <c r="H7" s="596"/>
      <c r="I7" s="612"/>
      <c r="J7" s="36" t="str">
        <f>IF(AND('Mapa final'!$AB$15="Muy Alta",'Mapa final'!$AD$15="Leve"),CONCATENATE("R2C",'Mapa final'!$R$15),"")</f>
        <v/>
      </c>
      <c r="K7" s="37" t="str">
        <f>IF(AND('Mapa final'!$AB$16="Muy Alta",'Mapa final'!$AD$16="Leve"),CONCATENATE("R2C",'Mapa final'!$R$16),"")</f>
        <v/>
      </c>
      <c r="L7" s="37" t="str">
        <f>IF(AND('Mapa final'!$AB$17="Muy Alta",'Mapa final'!$AD$17="Leve"),CONCATENATE("R2C",'Mapa final'!$R$17),"")</f>
        <v/>
      </c>
      <c r="M7" s="37" t="str">
        <f>IF(AND('Mapa final'!$AB$18="Muy Alta",'Mapa final'!$AD$18="Leve"),CONCATENATE("R2C",'Mapa final'!$R$18),"")</f>
        <v/>
      </c>
      <c r="N7" s="37" t="str">
        <f>IF(AND('Mapa final'!$AB$19="Muy Alta",'Mapa final'!$AD$19="Leve"),CONCATENATE("R2C",'Mapa final'!$R$19),"")</f>
        <v/>
      </c>
      <c r="O7" s="38" t="str">
        <f>IF(AND('Mapa final'!$AB$20="Muy Alta",'Mapa final'!$AD$20="Leve"),CONCATENATE("R2C",'Mapa final'!$R$20),"")</f>
        <v/>
      </c>
      <c r="P7" s="36" t="str">
        <f>IF(AND('Mapa final'!$AB$15="Muy Alta",'Mapa final'!$AD$15="Menor"),CONCATENATE("R2C",'Mapa final'!$R$15),"")</f>
        <v/>
      </c>
      <c r="Q7" s="37" t="str">
        <f>IF(AND('Mapa final'!$AB$16="Muy Alta",'Mapa final'!$AD$16="Menor"),CONCATENATE("R2C",'Mapa final'!$R$16),"")</f>
        <v/>
      </c>
      <c r="R7" s="37" t="str">
        <f>IF(AND('Mapa final'!$AB$17="Muy Alta",'Mapa final'!$AD$17="Menor"),CONCATENATE("R2C",'Mapa final'!$R$17),"")</f>
        <v/>
      </c>
      <c r="S7" s="37" t="str">
        <f>IF(AND('Mapa final'!$AB$18="Muy Alta",'Mapa final'!$AD$18="Menor"),CONCATENATE("R2C",'Mapa final'!$R$18),"")</f>
        <v/>
      </c>
      <c r="T7" s="37" t="str">
        <f>IF(AND('Mapa final'!$AB$19="Muy Alta",'Mapa final'!$AD$19="Menor"),CONCATENATE("R2C",'Mapa final'!$R$19),"")</f>
        <v/>
      </c>
      <c r="U7" s="38" t="str">
        <f>IF(AND('Mapa final'!$AB$20="Muy Alta",'Mapa final'!$AD$20="Menor"),CONCATENATE("R2C",'Mapa final'!$R$20),"")</f>
        <v/>
      </c>
      <c r="V7" s="36" t="str">
        <f>IF(AND('Mapa final'!$AB$15="Muy Alta",'Mapa final'!$AD$15="Moderado"),CONCATENATE("R2C",'Mapa final'!$R$15),"")</f>
        <v/>
      </c>
      <c r="W7" s="37" t="str">
        <f>IF(AND('Mapa final'!$AB$16="Muy Alta",'Mapa final'!$AD$16="Moderado"),CONCATENATE("R2C",'Mapa final'!$R$16),"")</f>
        <v/>
      </c>
      <c r="X7" s="37" t="str">
        <f>IF(AND('Mapa final'!$AB$17="Muy Alta",'Mapa final'!$AD$17="Moderado"),CONCATENATE("R2C",'Mapa final'!$R$17),"")</f>
        <v/>
      </c>
      <c r="Y7" s="37" t="str">
        <f>IF(AND('Mapa final'!$AB$18="Muy Alta",'Mapa final'!$AD$18="Moderado"),CONCATENATE("R2C",'Mapa final'!$R$18),"")</f>
        <v/>
      </c>
      <c r="Z7" s="37" t="str">
        <f>IF(AND('Mapa final'!$AB$19="Muy Alta",'Mapa final'!$AD$19="Moderado"),CONCATENATE("R2C",'Mapa final'!$R$19),"")</f>
        <v/>
      </c>
      <c r="AA7" s="38" t="str">
        <f>IF(AND('Mapa final'!$AB$20="Muy Alta",'Mapa final'!$AD$20="Moderado"),CONCATENATE("R2C",'Mapa final'!$R$20),"")</f>
        <v/>
      </c>
      <c r="AB7" s="36" t="str">
        <f>IF(AND('Mapa final'!$AB$15="Muy Alta",'Mapa final'!$AD$15="Mayor"),CONCATENATE("R2C",'Mapa final'!$R$15),"")</f>
        <v/>
      </c>
      <c r="AC7" s="37" t="str">
        <f>IF(AND('Mapa final'!$AB$16="Muy Alta",'Mapa final'!$AD$16="Mayor"),CONCATENATE("R2C",'Mapa final'!$R$16),"")</f>
        <v/>
      </c>
      <c r="AD7" s="37" t="str">
        <f>IF(AND('Mapa final'!$AB$17="Muy Alta",'Mapa final'!$AD$17="Mayor"),CONCATENATE("R2C",'Mapa final'!$R$17),"")</f>
        <v/>
      </c>
      <c r="AE7" s="37" t="str">
        <f>IF(AND('Mapa final'!$AB$18="Muy Alta",'Mapa final'!$AD$18="Mayor"),CONCATENATE("R2C",'Mapa final'!$R$18),"")</f>
        <v/>
      </c>
      <c r="AF7" s="37" t="str">
        <f>IF(AND('Mapa final'!$AB$19="Muy Alta",'Mapa final'!$AD$19="Mayor"),CONCATENATE("R2C",'Mapa final'!$R$19),"")</f>
        <v/>
      </c>
      <c r="AG7" s="38" t="str">
        <f>IF(AND('Mapa final'!$AB$20="Muy Alta",'Mapa final'!$AD$20="Mayor"),CONCATENATE("R2C",'Mapa final'!$R$20),"")</f>
        <v/>
      </c>
      <c r="AH7" s="39" t="str">
        <f>IF(AND('Mapa final'!$AB$15="Muy Alta",'Mapa final'!$AD$15="Catastrófico"),CONCATENATE("R2C",'Mapa final'!$R$15),"")</f>
        <v/>
      </c>
      <c r="AI7" s="40" t="str">
        <f>IF(AND('Mapa final'!$AB$16="Muy Alta",'Mapa final'!$AD$16="Catastrófico"),CONCATENATE("R2C",'Mapa final'!$R$16),"")</f>
        <v/>
      </c>
      <c r="AJ7" s="40" t="str">
        <f>IF(AND('Mapa final'!$AB$17="Muy Alta",'Mapa final'!$AD$17="Catastrófico"),CONCATENATE("R2C",'Mapa final'!$R$17),"")</f>
        <v/>
      </c>
      <c r="AK7" s="40" t="str">
        <f>IF(AND('Mapa final'!$AB$18="Muy Alta",'Mapa final'!$AD$18="Catastrófico"),CONCATENATE("R2C",'Mapa final'!$R$18),"")</f>
        <v/>
      </c>
      <c r="AL7" s="40" t="str">
        <f>IF(AND('Mapa final'!$AB$19="Muy Alta",'Mapa final'!$AD$19="Catastrófico"),CONCATENATE("R2C",'Mapa final'!$R$19),"")</f>
        <v/>
      </c>
      <c r="AM7" s="41" t="str">
        <f>IF(AND('Mapa final'!$AB$20="Muy Alta",'Mapa final'!$AD$20="Catastrófico"),CONCATENATE("R2C",'Mapa final'!$R$20),"")</f>
        <v/>
      </c>
      <c r="AN7" s="67"/>
      <c r="AO7" s="603"/>
      <c r="AP7" s="604"/>
      <c r="AQ7" s="604"/>
      <c r="AR7" s="604"/>
      <c r="AS7" s="604"/>
      <c r="AT7" s="60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498"/>
      <c r="C8" s="498"/>
      <c r="D8" s="499"/>
      <c r="E8" s="597"/>
      <c r="F8" s="596"/>
      <c r="G8" s="596"/>
      <c r="H8" s="596"/>
      <c r="I8" s="612"/>
      <c r="J8" s="36" t="str">
        <f>IF(AND('Mapa final'!$AB$21="Muy Alta",'Mapa final'!$AD$21="Leve"),CONCATENATE("R3C",'Mapa final'!$R$21),"")</f>
        <v/>
      </c>
      <c r="K8" s="37" t="str">
        <f>IF(AND('Mapa final'!$AB$22="Muy Alta",'Mapa final'!$AD$22="Leve"),CONCATENATE("R3C",'Mapa final'!$R$22),"")</f>
        <v/>
      </c>
      <c r="L8" s="37" t="str">
        <f>IF(AND('Mapa final'!$AB$23="Muy Alta",'Mapa final'!$AD$23="Leve"),CONCATENATE("R3C",'Mapa final'!$R$23),"")</f>
        <v/>
      </c>
      <c r="M8" s="37" t="str">
        <f>IF(AND('Mapa final'!$AB$24="Muy Alta",'Mapa final'!$AD$24="Leve"),CONCATENATE("R3C",'Mapa final'!$R$24),"")</f>
        <v/>
      </c>
      <c r="N8" s="37" t="str">
        <f>IF(AND('Mapa final'!$AB$25="Muy Alta",'Mapa final'!$AD$25="Leve"),CONCATENATE("R3C",'Mapa final'!$R$25),"")</f>
        <v/>
      </c>
      <c r="O8" s="38" t="str">
        <f>IF(AND('Mapa final'!$AB$26="Muy Alta",'Mapa final'!$AD$26="Leve"),CONCATENATE("R3C",'Mapa final'!$R$26),"")</f>
        <v/>
      </c>
      <c r="P8" s="36" t="str">
        <f>IF(AND('Mapa final'!$AB$21="Muy Alta",'Mapa final'!$AD$21="Menor"),CONCATENATE("R3C",'Mapa final'!$R$21),"")</f>
        <v/>
      </c>
      <c r="Q8" s="37" t="str">
        <f>IF(AND('Mapa final'!$AB$22="Muy Alta",'Mapa final'!$AD$22="Menor"),CONCATENATE("R3C",'Mapa final'!$R$22),"")</f>
        <v/>
      </c>
      <c r="R8" s="37" t="str">
        <f>IF(AND('Mapa final'!$AB$23="Muy Alta",'Mapa final'!$AD$23="Menor"),CONCATENATE("R3C",'Mapa final'!$R$23),"")</f>
        <v/>
      </c>
      <c r="S8" s="37" t="str">
        <f>IF(AND('Mapa final'!$AB$24="Muy Alta",'Mapa final'!$AD$24="Menor"),CONCATENATE("R3C",'Mapa final'!$R$24),"")</f>
        <v/>
      </c>
      <c r="T8" s="37" t="str">
        <f>IF(AND('Mapa final'!$AB$25="Muy Alta",'Mapa final'!$AD$25="Menor"),CONCATENATE("R3C",'Mapa final'!$R$25),"")</f>
        <v/>
      </c>
      <c r="U8" s="38" t="str">
        <f>IF(AND('Mapa final'!$AB$26="Muy Alta",'Mapa final'!$AD$26="Menor"),CONCATENATE("R3C",'Mapa final'!$R$26),"")</f>
        <v/>
      </c>
      <c r="V8" s="36" t="str">
        <f>IF(AND('Mapa final'!$AB$21="Muy Alta",'Mapa final'!$AD$21="Moderado"),CONCATENATE("R3C",'Mapa final'!$R$21),"")</f>
        <v/>
      </c>
      <c r="W8" s="37" t="str">
        <f>IF(AND('Mapa final'!$AB$22="Muy Alta",'Mapa final'!$AD$22="Moderado"),CONCATENATE("R3C",'Mapa final'!$R$22),"")</f>
        <v/>
      </c>
      <c r="X8" s="37" t="str">
        <f>IF(AND('Mapa final'!$AB$23="Muy Alta",'Mapa final'!$AD$23="Moderado"),CONCATENATE("R3C",'Mapa final'!$R$23),"")</f>
        <v/>
      </c>
      <c r="Y8" s="37" t="str">
        <f>IF(AND('Mapa final'!$AB$24="Muy Alta",'Mapa final'!$AD$24="Moderado"),CONCATENATE("R3C",'Mapa final'!$R$24),"")</f>
        <v/>
      </c>
      <c r="Z8" s="37" t="str">
        <f>IF(AND('Mapa final'!$AB$25="Muy Alta",'Mapa final'!$AD$25="Moderado"),CONCATENATE("R3C",'Mapa final'!$R$25),"")</f>
        <v/>
      </c>
      <c r="AA8" s="38" t="str">
        <f>IF(AND('Mapa final'!$AB$26="Muy Alta",'Mapa final'!$AD$26="Moderado"),CONCATENATE("R3C",'Mapa final'!$R$26),"")</f>
        <v/>
      </c>
      <c r="AB8" s="36" t="str">
        <f>IF(AND('Mapa final'!$AB$21="Muy Alta",'Mapa final'!$AD$21="Mayor"),CONCATENATE("R3C",'Mapa final'!$R$21),"")</f>
        <v/>
      </c>
      <c r="AC8" s="37" t="str">
        <f>IF(AND('Mapa final'!$AB$22="Muy Alta",'Mapa final'!$AD$22="Mayor"),CONCATENATE("R3C",'Mapa final'!$R$22),"")</f>
        <v/>
      </c>
      <c r="AD8" s="37" t="str">
        <f>IF(AND('Mapa final'!$AB$23="Muy Alta",'Mapa final'!$AD$23="Mayor"),CONCATENATE("R3C",'Mapa final'!$R$23),"")</f>
        <v/>
      </c>
      <c r="AE8" s="37" t="str">
        <f>IF(AND('Mapa final'!$AB$24="Muy Alta",'Mapa final'!$AD$24="Mayor"),CONCATENATE("R3C",'Mapa final'!$R$24),"")</f>
        <v/>
      </c>
      <c r="AF8" s="37" t="str">
        <f>IF(AND('Mapa final'!$AB$25="Muy Alta",'Mapa final'!$AD$25="Mayor"),CONCATENATE("R3C",'Mapa final'!$R$25),"")</f>
        <v/>
      </c>
      <c r="AG8" s="38" t="str">
        <f>IF(AND('Mapa final'!$AB$26="Muy Alta",'Mapa final'!$AD$26="Mayor"),CONCATENATE("R3C",'Mapa final'!$R$26),"")</f>
        <v/>
      </c>
      <c r="AH8" s="39" t="str">
        <f>IF(AND('Mapa final'!$AB$21="Muy Alta",'Mapa final'!$AD$21="Catastrófico"),CONCATENATE("R3C",'Mapa final'!$R$21),"")</f>
        <v/>
      </c>
      <c r="AI8" s="40" t="str">
        <f>IF(AND('Mapa final'!$AB$22="Muy Alta",'Mapa final'!$AD$22="Catastrófico"),CONCATENATE("R3C",'Mapa final'!$R$22),"")</f>
        <v/>
      </c>
      <c r="AJ8" s="40" t="str">
        <f>IF(AND('Mapa final'!$AB$23="Muy Alta",'Mapa final'!$AD$23="Catastrófico"),CONCATENATE("R3C",'Mapa final'!$R$23),"")</f>
        <v/>
      </c>
      <c r="AK8" s="40" t="str">
        <f>IF(AND('Mapa final'!$AB$24="Muy Alta",'Mapa final'!$AD$24="Catastrófico"),CONCATENATE("R3C",'Mapa final'!$R$24),"")</f>
        <v/>
      </c>
      <c r="AL8" s="40" t="str">
        <f>IF(AND('Mapa final'!$AB$25="Muy Alta",'Mapa final'!$AD$25="Catastrófico"),CONCATENATE("R3C",'Mapa final'!$R$25),"")</f>
        <v/>
      </c>
      <c r="AM8" s="41" t="str">
        <f>IF(AND('Mapa final'!$AB$26="Muy Alta",'Mapa final'!$AD$26="Catastrófico"),CONCATENATE("R3C",'Mapa final'!$R$26),"")</f>
        <v/>
      </c>
      <c r="AN8" s="67"/>
      <c r="AO8" s="603"/>
      <c r="AP8" s="604"/>
      <c r="AQ8" s="604"/>
      <c r="AR8" s="604"/>
      <c r="AS8" s="604"/>
      <c r="AT8" s="60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498"/>
      <c r="C9" s="498"/>
      <c r="D9" s="499"/>
      <c r="E9" s="597"/>
      <c r="F9" s="596"/>
      <c r="G9" s="596"/>
      <c r="H9" s="596"/>
      <c r="I9" s="612"/>
      <c r="J9" s="36" t="str">
        <f>IF(AND('Mapa final'!$AB$27="Muy Alta",'Mapa final'!$AD$27="Leve"),CONCATENATE("R4C",'Mapa final'!$R$27),"")</f>
        <v/>
      </c>
      <c r="K9" s="37" t="str">
        <f>IF(AND('Mapa final'!$AB$28="Muy Alta",'Mapa final'!$AD$28="Leve"),CONCATENATE("R4C",'Mapa final'!$R$28),"")</f>
        <v/>
      </c>
      <c r="L9" s="37" t="str">
        <f>IF(AND('Mapa final'!$AB$29="Muy Alta",'Mapa final'!$AD$29="Leve"),CONCATENATE("R4C",'Mapa final'!$R$29),"")</f>
        <v/>
      </c>
      <c r="M9" s="37" t="str">
        <f>IF(AND('Mapa final'!$AB$30="Muy Alta",'Mapa final'!$AD$30="Leve"),CONCATENATE("R4C",'Mapa final'!$R$30),"")</f>
        <v/>
      </c>
      <c r="N9" s="37" t="str">
        <f>IF(AND('Mapa final'!$AB$31="Muy Alta",'Mapa final'!$AD$31="Leve"),CONCATENATE("R4C",'Mapa final'!$R$31),"")</f>
        <v/>
      </c>
      <c r="O9" s="38" t="str">
        <f>IF(AND('Mapa final'!$AB$32="Muy Alta",'Mapa final'!$AD$32="Leve"),CONCATENATE("R4C",'Mapa final'!$R$32),"")</f>
        <v/>
      </c>
      <c r="P9" s="36" t="str">
        <f>IF(AND('Mapa final'!$AB$27="Muy Alta",'Mapa final'!$AD$27="Menor"),CONCATENATE("R4C",'Mapa final'!$R$27),"")</f>
        <v/>
      </c>
      <c r="Q9" s="37" t="str">
        <f>IF(AND('Mapa final'!$AB$28="Muy Alta",'Mapa final'!$AD$28="Menor"),CONCATENATE("R4C",'Mapa final'!$R$28),"")</f>
        <v/>
      </c>
      <c r="R9" s="37" t="str">
        <f>IF(AND('Mapa final'!$AB$29="Muy Alta",'Mapa final'!$AD$29="Menor"),CONCATENATE("R4C",'Mapa final'!$R$29),"")</f>
        <v/>
      </c>
      <c r="S9" s="37" t="str">
        <f>IF(AND('Mapa final'!$AB$30="Muy Alta",'Mapa final'!$AD$30="Menor"),CONCATENATE("R4C",'Mapa final'!$R$30),"")</f>
        <v/>
      </c>
      <c r="T9" s="37" t="str">
        <f>IF(AND('Mapa final'!$AB$31="Muy Alta",'Mapa final'!$AD$31="Menor"),CONCATENATE("R4C",'Mapa final'!$R$31),"")</f>
        <v/>
      </c>
      <c r="U9" s="38" t="str">
        <f>IF(AND('Mapa final'!$AB$32="Muy Alta",'Mapa final'!$AD$32="Menor"),CONCATENATE("R4C",'Mapa final'!$R$32),"")</f>
        <v/>
      </c>
      <c r="V9" s="36" t="str">
        <f>IF(AND('Mapa final'!$AB$27="Muy Alta",'Mapa final'!$AD$27="Moderado"),CONCATENATE("R4C",'Mapa final'!$R$27),"")</f>
        <v/>
      </c>
      <c r="W9" s="37" t="str">
        <f>IF(AND('Mapa final'!$AB$28="Muy Alta",'Mapa final'!$AD$28="Moderado"),CONCATENATE("R4C",'Mapa final'!$R$28),"")</f>
        <v/>
      </c>
      <c r="X9" s="37" t="str">
        <f>IF(AND('Mapa final'!$AB$29="Muy Alta",'Mapa final'!$AD$29="Moderado"),CONCATENATE("R4C",'Mapa final'!$R$29),"")</f>
        <v/>
      </c>
      <c r="Y9" s="37" t="str">
        <f>IF(AND('Mapa final'!$AB$30="Muy Alta",'Mapa final'!$AD$30="Moderado"),CONCATENATE("R4C",'Mapa final'!$R$30),"")</f>
        <v/>
      </c>
      <c r="Z9" s="37" t="str">
        <f>IF(AND('Mapa final'!$AB$31="Muy Alta",'Mapa final'!$AD$31="Moderado"),CONCATENATE("R4C",'Mapa final'!$R$31),"")</f>
        <v/>
      </c>
      <c r="AA9" s="38" t="str">
        <f>IF(AND('Mapa final'!$AB$32="Muy Alta",'Mapa final'!$AD$32="Moderado"),CONCATENATE("R4C",'Mapa final'!$R$32),"")</f>
        <v/>
      </c>
      <c r="AB9" s="36" t="str">
        <f>IF(AND('Mapa final'!$AB$27="Muy Alta",'Mapa final'!$AD$27="Mayor"),CONCATENATE("R4C",'Mapa final'!$R$27),"")</f>
        <v/>
      </c>
      <c r="AC9" s="37" t="str">
        <f>IF(AND('Mapa final'!$AB$28="Muy Alta",'Mapa final'!$AD$28="Mayor"),CONCATENATE("R4C",'Mapa final'!$R$28),"")</f>
        <v/>
      </c>
      <c r="AD9" s="37" t="str">
        <f>IF(AND('Mapa final'!$AB$29="Muy Alta",'Mapa final'!$AD$29="Mayor"),CONCATENATE("R4C",'Mapa final'!$R$29),"")</f>
        <v/>
      </c>
      <c r="AE9" s="37" t="str">
        <f>IF(AND('Mapa final'!$AB$30="Muy Alta",'Mapa final'!$AD$30="Mayor"),CONCATENATE("R4C",'Mapa final'!$R$30),"")</f>
        <v/>
      </c>
      <c r="AF9" s="37" t="str">
        <f>IF(AND('Mapa final'!$AB$31="Muy Alta",'Mapa final'!$AD$31="Mayor"),CONCATENATE("R4C",'Mapa final'!$R$31),"")</f>
        <v/>
      </c>
      <c r="AG9" s="38" t="str">
        <f>IF(AND('Mapa final'!$AB$32="Muy Alta",'Mapa final'!$AD$32="Mayor"),CONCATENATE("R4C",'Mapa final'!$R$32),"")</f>
        <v/>
      </c>
      <c r="AH9" s="39" t="str">
        <f>IF(AND('Mapa final'!$AB$27="Muy Alta",'Mapa final'!$AD$27="Catastrófico"),CONCATENATE("R4C",'Mapa final'!$R$27),"")</f>
        <v/>
      </c>
      <c r="AI9" s="40" t="str">
        <f>IF(AND('Mapa final'!$AB$28="Muy Alta",'Mapa final'!$AD$28="Catastrófico"),CONCATENATE("R4C",'Mapa final'!$R$28),"")</f>
        <v/>
      </c>
      <c r="AJ9" s="40" t="str">
        <f>IF(AND('Mapa final'!$AB$29="Muy Alta",'Mapa final'!$AD$29="Catastrófico"),CONCATENATE("R4C",'Mapa final'!$R$29),"")</f>
        <v/>
      </c>
      <c r="AK9" s="40" t="str">
        <f>IF(AND('Mapa final'!$AB$30="Muy Alta",'Mapa final'!$AD$30="Catastrófico"),CONCATENATE("R4C",'Mapa final'!$R$30),"")</f>
        <v/>
      </c>
      <c r="AL9" s="40" t="str">
        <f>IF(AND('Mapa final'!$AB$31="Muy Alta",'Mapa final'!$AD$31="Catastrófico"),CONCATENATE("R4C",'Mapa final'!$R$31),"")</f>
        <v/>
      </c>
      <c r="AM9" s="41" t="str">
        <f>IF(AND('Mapa final'!$AB$32="Muy Alta",'Mapa final'!$AD$32="Catastrófico"),CONCATENATE("R4C",'Mapa final'!$R$32),"")</f>
        <v/>
      </c>
      <c r="AN9" s="67"/>
      <c r="AO9" s="603"/>
      <c r="AP9" s="604"/>
      <c r="AQ9" s="604"/>
      <c r="AR9" s="604"/>
      <c r="AS9" s="604"/>
      <c r="AT9" s="60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498"/>
      <c r="C10" s="498"/>
      <c r="D10" s="499"/>
      <c r="E10" s="597"/>
      <c r="F10" s="596"/>
      <c r="G10" s="596"/>
      <c r="H10" s="596"/>
      <c r="I10" s="612"/>
      <c r="J10" s="36" t="str">
        <f>IF(AND('Mapa final'!$AB$33="Muy Alta",'Mapa final'!$AD$33="Leve"),CONCATENATE("R5C",'Mapa final'!$R$33),"")</f>
        <v/>
      </c>
      <c r="K10" s="37" t="str">
        <f>IF(AND('Mapa final'!$AB$34="Muy Alta",'Mapa final'!$AD$34="Leve"),CONCATENATE("R5C",'Mapa final'!$R$34),"")</f>
        <v/>
      </c>
      <c r="L10" s="37" t="str">
        <f>IF(AND('Mapa final'!$AB$35="Muy Alta",'Mapa final'!$AD$35="Leve"),CONCATENATE("R5C",'Mapa final'!$R$35),"")</f>
        <v/>
      </c>
      <c r="M10" s="37" t="str">
        <f>IF(AND('Mapa final'!$AB$36="Muy Alta",'Mapa final'!$AD$36="Leve"),CONCATENATE("R5C",'Mapa final'!$R$36),"")</f>
        <v/>
      </c>
      <c r="N10" s="37" t="str">
        <f>IF(AND('Mapa final'!$AB$37="Muy Alta",'Mapa final'!$AD$37="Leve"),CONCATENATE("R5C",'Mapa final'!$R$37),"")</f>
        <v/>
      </c>
      <c r="O10" s="38" t="str">
        <f>IF(AND('Mapa final'!$AB$38="Muy Alta",'Mapa final'!$AD$38="Leve"),CONCATENATE("R5C",'Mapa final'!$R$38),"")</f>
        <v/>
      </c>
      <c r="P10" s="36" t="str">
        <f>IF(AND('Mapa final'!$AB$33="Muy Alta",'Mapa final'!$AD$33="Menor"),CONCATENATE("R5C",'Mapa final'!$R$33),"")</f>
        <v/>
      </c>
      <c r="Q10" s="37" t="str">
        <f>IF(AND('Mapa final'!$AB$34="Muy Alta",'Mapa final'!$AD$34="Menor"),CONCATENATE("R5C",'Mapa final'!$R$34),"")</f>
        <v/>
      </c>
      <c r="R10" s="37" t="str">
        <f>IF(AND('Mapa final'!$AB$35="Muy Alta",'Mapa final'!$AD$35="Menor"),CONCATENATE("R5C",'Mapa final'!$R$35),"")</f>
        <v/>
      </c>
      <c r="S10" s="37" t="str">
        <f>IF(AND('Mapa final'!$AB$36="Muy Alta",'Mapa final'!$AD$36="Menor"),CONCATENATE("R5C",'Mapa final'!$R$36),"")</f>
        <v/>
      </c>
      <c r="T10" s="37" t="str">
        <f>IF(AND('Mapa final'!$AB$37="Muy Alta",'Mapa final'!$AD$37="Menor"),CONCATENATE("R5C",'Mapa final'!$R$37),"")</f>
        <v/>
      </c>
      <c r="U10" s="38" t="str">
        <f>IF(AND('Mapa final'!$AB$38="Muy Alta",'Mapa final'!$AD$38="Menor"),CONCATENATE("R5C",'Mapa final'!$R$38),"")</f>
        <v/>
      </c>
      <c r="V10" s="36" t="str">
        <f>IF(AND('Mapa final'!$AB$33="Muy Alta",'Mapa final'!$AD$33="Moderado"),CONCATENATE("R5C",'Mapa final'!$R$33),"")</f>
        <v/>
      </c>
      <c r="W10" s="37" t="str">
        <f>IF(AND('Mapa final'!$AB$34="Muy Alta",'Mapa final'!$AD$34="Moderado"),CONCATENATE("R5C",'Mapa final'!$R$34),"")</f>
        <v/>
      </c>
      <c r="X10" s="37" t="str">
        <f>IF(AND('Mapa final'!$AB$35="Muy Alta",'Mapa final'!$AD$35="Moderado"),CONCATENATE("R5C",'Mapa final'!$R$35),"")</f>
        <v/>
      </c>
      <c r="Y10" s="37" t="str">
        <f>IF(AND('Mapa final'!$AB$36="Muy Alta",'Mapa final'!$AD$36="Moderado"),CONCATENATE("R5C",'Mapa final'!$R$36),"")</f>
        <v/>
      </c>
      <c r="Z10" s="37" t="str">
        <f>IF(AND('Mapa final'!$AB$37="Muy Alta",'Mapa final'!$AD$37="Moderado"),CONCATENATE("R5C",'Mapa final'!$R$37),"")</f>
        <v/>
      </c>
      <c r="AA10" s="38" t="str">
        <f>IF(AND('Mapa final'!$AB$38="Muy Alta",'Mapa final'!$AD$38="Moderado"),CONCATENATE("R5C",'Mapa final'!$R$38),"")</f>
        <v/>
      </c>
      <c r="AB10" s="36" t="str">
        <f>IF(AND('Mapa final'!$AB$33="Muy Alta",'Mapa final'!$AD$33="Mayor"),CONCATENATE("R5C",'Mapa final'!$R$33),"")</f>
        <v/>
      </c>
      <c r="AC10" s="37" t="str">
        <f>IF(AND('Mapa final'!$AB$34="Muy Alta",'Mapa final'!$AD$34="Mayor"),CONCATENATE("R5C",'Mapa final'!$R$34),"")</f>
        <v/>
      </c>
      <c r="AD10" s="37" t="str">
        <f>IF(AND('Mapa final'!$AB$35="Muy Alta",'Mapa final'!$AD$35="Mayor"),CONCATENATE("R5C",'Mapa final'!$R$35),"")</f>
        <v/>
      </c>
      <c r="AE10" s="37" t="str">
        <f>IF(AND('Mapa final'!$AB$36="Muy Alta",'Mapa final'!$AD$36="Mayor"),CONCATENATE("R5C",'Mapa final'!$R$36),"")</f>
        <v/>
      </c>
      <c r="AF10" s="37" t="str">
        <f>IF(AND('Mapa final'!$AB$37="Muy Alta",'Mapa final'!$AD$37="Mayor"),CONCATENATE("R5C",'Mapa final'!$R$37),"")</f>
        <v/>
      </c>
      <c r="AG10" s="38" t="str">
        <f>IF(AND('Mapa final'!$AB$38="Muy Alta",'Mapa final'!$AD$38="Mayor"),CONCATENATE("R5C",'Mapa final'!$R$38),"")</f>
        <v/>
      </c>
      <c r="AH10" s="39" t="str">
        <f>IF(AND('Mapa final'!$AB$33="Muy Alta",'Mapa final'!$AD$33="Catastrófico"),CONCATENATE("R5C",'Mapa final'!$R$33),"")</f>
        <v/>
      </c>
      <c r="AI10" s="40" t="str">
        <f>IF(AND('Mapa final'!$AB$34="Muy Alta",'Mapa final'!$AD$34="Catastrófico"),CONCATENATE("R5C",'Mapa final'!$R$34),"")</f>
        <v/>
      </c>
      <c r="AJ10" s="40" t="str">
        <f>IF(AND('Mapa final'!$AB$35="Muy Alta",'Mapa final'!$AD$35="Catastrófico"),CONCATENATE("R5C",'Mapa final'!$R$35),"")</f>
        <v/>
      </c>
      <c r="AK10" s="40" t="str">
        <f>IF(AND('Mapa final'!$AB$36="Muy Alta",'Mapa final'!$AD$36="Catastrófico"),CONCATENATE("R5C",'Mapa final'!$R$36),"")</f>
        <v/>
      </c>
      <c r="AL10" s="40" t="str">
        <f>IF(AND('Mapa final'!$AB$37="Muy Alta",'Mapa final'!$AD$37="Catastrófico"),CONCATENATE("R5C",'Mapa final'!$R$37),"")</f>
        <v/>
      </c>
      <c r="AM10" s="41" t="str">
        <f>IF(AND('Mapa final'!$AB$38="Muy Alta",'Mapa final'!$AD$38="Catastrófico"),CONCATENATE("R5C",'Mapa final'!$R$38),"")</f>
        <v/>
      </c>
      <c r="AN10" s="67"/>
      <c r="AO10" s="603"/>
      <c r="AP10" s="604"/>
      <c r="AQ10" s="604"/>
      <c r="AR10" s="604"/>
      <c r="AS10" s="604"/>
      <c r="AT10" s="60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498"/>
      <c r="C11" s="498"/>
      <c r="D11" s="499"/>
      <c r="E11" s="597"/>
      <c r="F11" s="596"/>
      <c r="G11" s="596"/>
      <c r="H11" s="596"/>
      <c r="I11" s="612"/>
      <c r="J11" s="36" t="str">
        <f>IF(AND('Mapa final'!$AB$39="Muy Alta",'Mapa final'!$AD$39="Leve"),CONCATENATE("R6C",'Mapa final'!$R$39),"")</f>
        <v/>
      </c>
      <c r="K11" s="37" t="str">
        <f>IF(AND('Mapa final'!$AB$40="Muy Alta",'Mapa final'!$AD$40="Leve"),CONCATENATE("R6C",'Mapa final'!$R$40),"")</f>
        <v/>
      </c>
      <c r="L11" s="37" t="str">
        <f>IF(AND('Mapa final'!$AB$41="Muy Alta",'Mapa final'!$AD$41="Leve"),CONCATENATE("R6C",'Mapa final'!$R$41),"")</f>
        <v/>
      </c>
      <c r="M11" s="37" t="str">
        <f>IF(AND('Mapa final'!$AB$42="Muy Alta",'Mapa final'!$AD$42="Leve"),CONCATENATE("R6C",'Mapa final'!$R$42),"")</f>
        <v/>
      </c>
      <c r="N11" s="37" t="str">
        <f>IF(AND('Mapa final'!$AB$43="Muy Alta",'Mapa final'!$AD$43="Leve"),CONCATENATE("R6C",'Mapa final'!$R$43),"")</f>
        <v/>
      </c>
      <c r="O11" s="38" t="str">
        <f>IF(AND('Mapa final'!$AB$44="Muy Alta",'Mapa final'!$AD$44="Leve"),CONCATENATE("R6C",'Mapa final'!$R$44),"")</f>
        <v/>
      </c>
      <c r="P11" s="36" t="str">
        <f>IF(AND('Mapa final'!$AB$39="Muy Alta",'Mapa final'!$AD$39="Menor"),CONCATENATE("R6C",'Mapa final'!$R$39),"")</f>
        <v/>
      </c>
      <c r="Q11" s="37" t="str">
        <f>IF(AND('Mapa final'!$AB$40="Muy Alta",'Mapa final'!$AD$40="Menor"),CONCATENATE("R6C",'Mapa final'!$R$40),"")</f>
        <v/>
      </c>
      <c r="R11" s="37" t="str">
        <f>IF(AND('Mapa final'!$AB$41="Muy Alta",'Mapa final'!$AD$41="Menor"),CONCATENATE("R6C",'Mapa final'!$R$41),"")</f>
        <v/>
      </c>
      <c r="S11" s="37" t="str">
        <f>IF(AND('Mapa final'!$AB$42="Muy Alta",'Mapa final'!$AD$42="Menor"),CONCATENATE("R6C",'Mapa final'!$R$42),"")</f>
        <v/>
      </c>
      <c r="T11" s="37" t="str">
        <f>IF(AND('Mapa final'!$AB$43="Muy Alta",'Mapa final'!$AD$43="Menor"),CONCATENATE("R6C",'Mapa final'!$R$43),"")</f>
        <v/>
      </c>
      <c r="U11" s="38" t="str">
        <f>IF(AND('Mapa final'!$AB$44="Muy Alta",'Mapa final'!$AD$44="Menor"),CONCATENATE("R6C",'Mapa final'!$R$44),"")</f>
        <v/>
      </c>
      <c r="V11" s="36" t="str">
        <f>IF(AND('Mapa final'!$AB$39="Muy Alta",'Mapa final'!$AD$39="Moderado"),CONCATENATE("R6C",'Mapa final'!$R$39),"")</f>
        <v/>
      </c>
      <c r="W11" s="37" t="str">
        <f>IF(AND('Mapa final'!$AB$40="Muy Alta",'Mapa final'!$AD$40="Moderado"),CONCATENATE("R6C",'Mapa final'!$R$40),"")</f>
        <v/>
      </c>
      <c r="X11" s="37" t="str">
        <f>IF(AND('Mapa final'!$AB$41="Muy Alta",'Mapa final'!$AD$41="Moderado"),CONCATENATE("R6C",'Mapa final'!$R$41),"")</f>
        <v/>
      </c>
      <c r="Y11" s="37" t="str">
        <f>IF(AND('Mapa final'!$AB$42="Muy Alta",'Mapa final'!$AD$42="Moderado"),CONCATENATE("R6C",'Mapa final'!$R$42),"")</f>
        <v/>
      </c>
      <c r="Z11" s="37" t="str">
        <f>IF(AND('Mapa final'!$AB$43="Muy Alta",'Mapa final'!$AD$43="Moderado"),CONCATENATE("R6C",'Mapa final'!$R$43),"")</f>
        <v/>
      </c>
      <c r="AA11" s="38" t="str">
        <f>IF(AND('Mapa final'!$AB$44="Muy Alta",'Mapa final'!$AD$44="Moderado"),CONCATENATE("R6C",'Mapa final'!$R$44),"")</f>
        <v/>
      </c>
      <c r="AB11" s="36" t="str">
        <f>IF(AND('Mapa final'!$AB$39="Muy Alta",'Mapa final'!$AD$39="Mayor"),CONCATENATE("R6C",'Mapa final'!$R$39),"")</f>
        <v/>
      </c>
      <c r="AC11" s="37" t="str">
        <f>IF(AND('Mapa final'!$AB$40="Muy Alta",'Mapa final'!$AD$40="Mayor"),CONCATENATE("R6C",'Mapa final'!$R$40),"")</f>
        <v/>
      </c>
      <c r="AD11" s="37" t="str">
        <f>IF(AND('Mapa final'!$AB$41="Muy Alta",'Mapa final'!$AD$41="Mayor"),CONCATENATE("R6C",'Mapa final'!$R$41),"")</f>
        <v/>
      </c>
      <c r="AE11" s="37" t="str">
        <f>IF(AND('Mapa final'!$AB$42="Muy Alta",'Mapa final'!$AD$42="Mayor"),CONCATENATE("R6C",'Mapa final'!$R$42),"")</f>
        <v/>
      </c>
      <c r="AF11" s="37" t="str">
        <f>IF(AND('Mapa final'!$AB$43="Muy Alta",'Mapa final'!$AD$43="Mayor"),CONCATENATE("R6C",'Mapa final'!$R$43),"")</f>
        <v/>
      </c>
      <c r="AG11" s="38" t="str">
        <f>IF(AND('Mapa final'!$AB$44="Muy Alta",'Mapa final'!$AD$44="Mayor"),CONCATENATE("R6C",'Mapa final'!$R$44),"")</f>
        <v/>
      </c>
      <c r="AH11" s="39" t="str">
        <f>IF(AND('Mapa final'!$AB$39="Muy Alta",'Mapa final'!$AD$39="Catastrófico"),CONCATENATE("R6C",'Mapa final'!$R$39),"")</f>
        <v/>
      </c>
      <c r="AI11" s="40" t="str">
        <f>IF(AND('Mapa final'!$AB$40="Muy Alta",'Mapa final'!$AD$40="Catastrófico"),CONCATENATE("R6C",'Mapa final'!$R$40),"")</f>
        <v/>
      </c>
      <c r="AJ11" s="40" t="str">
        <f>IF(AND('Mapa final'!$AB$41="Muy Alta",'Mapa final'!$AD$41="Catastrófico"),CONCATENATE("R6C",'Mapa final'!$R$41),"")</f>
        <v/>
      </c>
      <c r="AK11" s="40" t="str">
        <f>IF(AND('Mapa final'!$AB$42="Muy Alta",'Mapa final'!$AD$42="Catastrófico"),CONCATENATE("R6C",'Mapa final'!$R$42),"")</f>
        <v/>
      </c>
      <c r="AL11" s="40" t="str">
        <f>IF(AND('Mapa final'!$AB$43="Muy Alta",'Mapa final'!$AD$43="Catastrófico"),CONCATENATE("R6C",'Mapa final'!$R$43),"")</f>
        <v/>
      </c>
      <c r="AM11" s="41" t="str">
        <f>IF(AND('Mapa final'!$AB$44="Muy Alta",'Mapa final'!$AD$44="Catastrófico"),CONCATENATE("R6C",'Mapa final'!$R$44),"")</f>
        <v/>
      </c>
      <c r="AN11" s="67"/>
      <c r="AO11" s="603"/>
      <c r="AP11" s="604"/>
      <c r="AQ11" s="604"/>
      <c r="AR11" s="604"/>
      <c r="AS11" s="604"/>
      <c r="AT11" s="60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498"/>
      <c r="C12" s="498"/>
      <c r="D12" s="499"/>
      <c r="E12" s="597"/>
      <c r="F12" s="596"/>
      <c r="G12" s="596"/>
      <c r="H12" s="596"/>
      <c r="I12" s="612"/>
      <c r="J12" s="36" t="str">
        <f>IF(AND('Mapa final'!$AB$45="Muy Alta",'Mapa final'!$AD$45="Leve"),CONCATENATE("R7C",'Mapa final'!$R$45),"")</f>
        <v/>
      </c>
      <c r="K12" s="37" t="str">
        <f>IF(AND('Mapa final'!$AB$46="Muy Alta",'Mapa final'!$AD$46="Leve"),CONCATENATE("R7C",'Mapa final'!$R$46),"")</f>
        <v/>
      </c>
      <c r="L12" s="37" t="str">
        <f>IF(AND('Mapa final'!$AB$47="Muy Alta",'Mapa final'!$AD$47="Leve"),CONCATENATE("R7C",'Mapa final'!$R$47),"")</f>
        <v/>
      </c>
      <c r="M12" s="37" t="str">
        <f>IF(AND('Mapa final'!$AB$48="Muy Alta",'Mapa final'!$AD$48="Leve"),CONCATENATE("R7C",'Mapa final'!$R$48),"")</f>
        <v/>
      </c>
      <c r="N12" s="37" t="str">
        <f>IF(AND('Mapa final'!$AB$49="Muy Alta",'Mapa final'!$AD$49="Leve"),CONCATENATE("R7C",'Mapa final'!$R$49),"")</f>
        <v/>
      </c>
      <c r="O12" s="38" t="str">
        <f>IF(AND('Mapa final'!$AB$50="Muy Alta",'Mapa final'!$AD$50="Leve"),CONCATENATE("R7C",'Mapa final'!$R$50),"")</f>
        <v/>
      </c>
      <c r="P12" s="36" t="str">
        <f>IF(AND('Mapa final'!$AB$45="Muy Alta",'Mapa final'!$AD$45="Menor"),CONCATENATE("R7C",'Mapa final'!$R$45),"")</f>
        <v/>
      </c>
      <c r="Q12" s="37" t="str">
        <f>IF(AND('Mapa final'!$AB$46="Muy Alta",'Mapa final'!$AD$46="Menor"),CONCATENATE("R7C",'Mapa final'!$R$46),"")</f>
        <v/>
      </c>
      <c r="R12" s="37" t="str">
        <f>IF(AND('Mapa final'!$AB$47="Muy Alta",'Mapa final'!$AD$47="Menor"),CONCATENATE("R7C",'Mapa final'!$R$47),"")</f>
        <v/>
      </c>
      <c r="S12" s="37" t="str">
        <f>IF(AND('Mapa final'!$AB$48="Muy Alta",'Mapa final'!$AD$48="Menor"),CONCATENATE("R7C",'Mapa final'!$R$48),"")</f>
        <v/>
      </c>
      <c r="T12" s="37" t="str">
        <f>IF(AND('Mapa final'!$AB$49="Muy Alta",'Mapa final'!$AD$49="Menor"),CONCATENATE("R7C",'Mapa final'!$R$49),"")</f>
        <v/>
      </c>
      <c r="U12" s="38" t="str">
        <f>IF(AND('Mapa final'!$AB$50="Muy Alta",'Mapa final'!$AD$50="Menor"),CONCATENATE("R7C",'Mapa final'!$R$50),"")</f>
        <v/>
      </c>
      <c r="V12" s="36" t="str">
        <f>IF(AND('Mapa final'!$AB$45="Muy Alta",'Mapa final'!$AD$45="Moderado"),CONCATENATE("R7C",'Mapa final'!$R$45),"")</f>
        <v/>
      </c>
      <c r="W12" s="37" t="str">
        <f>IF(AND('Mapa final'!$AB$46="Muy Alta",'Mapa final'!$AD$46="Moderado"),CONCATENATE("R7C",'Mapa final'!$R$46),"")</f>
        <v/>
      </c>
      <c r="X12" s="37" t="str">
        <f>IF(AND('Mapa final'!$AB$47="Muy Alta",'Mapa final'!$AD$47="Moderado"),CONCATENATE("R7C",'Mapa final'!$R$47),"")</f>
        <v/>
      </c>
      <c r="Y12" s="37" t="str">
        <f>IF(AND('Mapa final'!$AB$48="Muy Alta",'Mapa final'!$AD$48="Moderado"),CONCATENATE("R7C",'Mapa final'!$R$48),"")</f>
        <v/>
      </c>
      <c r="Z12" s="37" t="str">
        <f>IF(AND('Mapa final'!$AB$49="Muy Alta",'Mapa final'!$AD$49="Moderado"),CONCATENATE("R7C",'Mapa final'!$R$49),"")</f>
        <v/>
      </c>
      <c r="AA12" s="38" t="str">
        <f>IF(AND('Mapa final'!$AB$50="Muy Alta",'Mapa final'!$AD$50="Moderado"),CONCATENATE("R7C",'Mapa final'!$R$50),"")</f>
        <v/>
      </c>
      <c r="AB12" s="36" t="str">
        <f>IF(AND('Mapa final'!$AB$45="Muy Alta",'Mapa final'!$AD$45="Mayor"),CONCATENATE("R7C",'Mapa final'!$R$45),"")</f>
        <v/>
      </c>
      <c r="AC12" s="37" t="str">
        <f>IF(AND('Mapa final'!$AB$46="Muy Alta",'Mapa final'!$AD$46="Mayor"),CONCATENATE("R7C",'Mapa final'!$R$46),"")</f>
        <v/>
      </c>
      <c r="AD12" s="37" t="str">
        <f>IF(AND('Mapa final'!$AB$47="Muy Alta",'Mapa final'!$AD$47="Mayor"),CONCATENATE("R7C",'Mapa final'!$R$47),"")</f>
        <v/>
      </c>
      <c r="AE12" s="37" t="str">
        <f>IF(AND('Mapa final'!$AB$48="Muy Alta",'Mapa final'!$AD$48="Mayor"),CONCATENATE("R7C",'Mapa final'!$R$48),"")</f>
        <v/>
      </c>
      <c r="AF12" s="37" t="str">
        <f>IF(AND('Mapa final'!$AB$49="Muy Alta",'Mapa final'!$AD$49="Mayor"),CONCATENATE("R7C",'Mapa final'!$R$49),"")</f>
        <v/>
      </c>
      <c r="AG12" s="38" t="str">
        <f>IF(AND('Mapa final'!$AB$50="Muy Alta",'Mapa final'!$AD$50="Mayor"),CONCATENATE("R7C",'Mapa final'!$R$50),"")</f>
        <v/>
      </c>
      <c r="AH12" s="39" t="str">
        <f>IF(AND('Mapa final'!$AB$45="Muy Alta",'Mapa final'!$AD$45="Catastrófico"),CONCATENATE("R7C",'Mapa final'!$R$45),"")</f>
        <v/>
      </c>
      <c r="AI12" s="40" t="str">
        <f>IF(AND('Mapa final'!$AB$46="Muy Alta",'Mapa final'!$AD$46="Catastrófico"),CONCATENATE("R7C",'Mapa final'!$R$46),"")</f>
        <v/>
      </c>
      <c r="AJ12" s="40" t="str">
        <f>IF(AND('Mapa final'!$AB$47="Muy Alta",'Mapa final'!$AD$47="Catastrófico"),CONCATENATE("R7C",'Mapa final'!$R$47),"")</f>
        <v/>
      </c>
      <c r="AK12" s="40" t="str">
        <f>IF(AND('Mapa final'!$AB$48="Muy Alta",'Mapa final'!$AD$48="Catastrófico"),CONCATENATE("R7C",'Mapa final'!$R$48),"")</f>
        <v/>
      </c>
      <c r="AL12" s="40" t="str">
        <f>IF(AND('Mapa final'!$AB$49="Muy Alta",'Mapa final'!$AD$49="Catastrófico"),CONCATENATE("R7C",'Mapa final'!$R$49),"")</f>
        <v/>
      </c>
      <c r="AM12" s="41" t="str">
        <f>IF(AND('Mapa final'!$AB$50="Muy Alta",'Mapa final'!$AD$50="Catastrófico"),CONCATENATE("R7C",'Mapa final'!$R$50),"")</f>
        <v/>
      </c>
      <c r="AN12" s="67"/>
      <c r="AO12" s="603"/>
      <c r="AP12" s="604"/>
      <c r="AQ12" s="604"/>
      <c r="AR12" s="604"/>
      <c r="AS12" s="604"/>
      <c r="AT12" s="60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498"/>
      <c r="C13" s="498"/>
      <c r="D13" s="499"/>
      <c r="E13" s="597"/>
      <c r="F13" s="596"/>
      <c r="G13" s="596"/>
      <c r="H13" s="596"/>
      <c r="I13" s="612"/>
      <c r="J13" s="36" t="str">
        <f>IF(AND('Mapa final'!$AB$51="Muy Alta",'Mapa final'!$AD$51="Leve"),CONCATENATE("R8C",'Mapa final'!$R$51),"")</f>
        <v/>
      </c>
      <c r="K13" s="37" t="str">
        <f>IF(AND('Mapa final'!$AB$52="Muy Alta",'Mapa final'!$AD$52="Leve"),CONCATENATE("R8C",'Mapa final'!$R$52),"")</f>
        <v/>
      </c>
      <c r="L13" s="37" t="str">
        <f>IF(AND('Mapa final'!$AB$53="Muy Alta",'Mapa final'!$AD$53="Leve"),CONCATENATE("R8C",'Mapa final'!$R$53),"")</f>
        <v/>
      </c>
      <c r="M13" s="37" t="str">
        <f>IF(AND('Mapa final'!$AB$54="Muy Alta",'Mapa final'!$AD$54="Leve"),CONCATENATE("R8C",'Mapa final'!$R$54),"")</f>
        <v/>
      </c>
      <c r="N13" s="37" t="str">
        <f>IF(AND('Mapa final'!$AB$55="Muy Alta",'Mapa final'!$AD$55="Leve"),CONCATENATE("R8C",'Mapa final'!$R$55),"")</f>
        <v/>
      </c>
      <c r="O13" s="38" t="str">
        <f>IF(AND('Mapa final'!$AB$56="Muy Alta",'Mapa final'!$AD$56="Leve"),CONCATENATE("R8C",'Mapa final'!$R$56),"")</f>
        <v/>
      </c>
      <c r="P13" s="36" t="str">
        <f>IF(AND('Mapa final'!$AB$51="Muy Alta",'Mapa final'!$AD$51="Menor"),CONCATENATE("R8C",'Mapa final'!$R$51),"")</f>
        <v/>
      </c>
      <c r="Q13" s="37" t="str">
        <f>IF(AND('Mapa final'!$AB$52="Muy Alta",'Mapa final'!$AD$52="Menor"),CONCATENATE("R8C",'Mapa final'!$R$52),"")</f>
        <v/>
      </c>
      <c r="R13" s="37" t="str">
        <f>IF(AND('Mapa final'!$AB$53="Muy Alta",'Mapa final'!$AD$53="Menor"),CONCATENATE("R8C",'Mapa final'!$R$53),"")</f>
        <v/>
      </c>
      <c r="S13" s="37" t="str">
        <f>IF(AND('Mapa final'!$AB$54="Muy Alta",'Mapa final'!$AD$54="Menor"),CONCATENATE("R8C",'Mapa final'!$R$54),"")</f>
        <v/>
      </c>
      <c r="T13" s="37" t="str">
        <f>IF(AND('Mapa final'!$AB$55="Muy Alta",'Mapa final'!$AD$55="Menor"),CONCATENATE("R8C",'Mapa final'!$R$55),"")</f>
        <v/>
      </c>
      <c r="U13" s="38" t="str">
        <f>IF(AND('Mapa final'!$AB$56="Muy Alta",'Mapa final'!$AD$56="Menor"),CONCATENATE("R8C",'Mapa final'!$R$56),"")</f>
        <v/>
      </c>
      <c r="V13" s="36" t="str">
        <f>IF(AND('Mapa final'!$AB$51="Muy Alta",'Mapa final'!$AD$51="Moderado"),CONCATENATE("R8C",'Mapa final'!$R$51),"")</f>
        <v/>
      </c>
      <c r="W13" s="37" t="str">
        <f>IF(AND('Mapa final'!$AB$52="Muy Alta",'Mapa final'!$AD$52="Moderado"),CONCATENATE("R8C",'Mapa final'!$R$52),"")</f>
        <v/>
      </c>
      <c r="X13" s="37" t="str">
        <f>IF(AND('Mapa final'!$AB$53="Muy Alta",'Mapa final'!$AD$53="Moderado"),CONCATENATE("R8C",'Mapa final'!$R$53),"")</f>
        <v/>
      </c>
      <c r="Y13" s="37" t="str">
        <f>IF(AND('Mapa final'!$AB$54="Muy Alta",'Mapa final'!$AD$54="Moderado"),CONCATENATE("R8C",'Mapa final'!$R$54),"")</f>
        <v/>
      </c>
      <c r="Z13" s="37" t="str">
        <f>IF(AND('Mapa final'!$AB$55="Muy Alta",'Mapa final'!$AD$55="Moderado"),CONCATENATE("R8C",'Mapa final'!$R$55),"")</f>
        <v/>
      </c>
      <c r="AA13" s="38" t="str">
        <f>IF(AND('Mapa final'!$AB$56="Muy Alta",'Mapa final'!$AD$56="Moderado"),CONCATENATE("R8C",'Mapa final'!$R$56),"")</f>
        <v/>
      </c>
      <c r="AB13" s="36" t="str">
        <f>IF(AND('Mapa final'!$AB$51="Muy Alta",'Mapa final'!$AD$51="Mayor"),CONCATENATE("R8C",'Mapa final'!$R$51),"")</f>
        <v/>
      </c>
      <c r="AC13" s="37" t="str">
        <f>IF(AND('Mapa final'!$AB$52="Muy Alta",'Mapa final'!$AD$52="Mayor"),CONCATENATE("R8C",'Mapa final'!$R$52),"")</f>
        <v/>
      </c>
      <c r="AD13" s="37" t="str">
        <f>IF(AND('Mapa final'!$AB$53="Muy Alta",'Mapa final'!$AD$53="Mayor"),CONCATENATE("R8C",'Mapa final'!$R$53),"")</f>
        <v/>
      </c>
      <c r="AE13" s="37" t="str">
        <f>IF(AND('Mapa final'!$AB$54="Muy Alta",'Mapa final'!$AD$54="Mayor"),CONCATENATE("R8C",'Mapa final'!$R$54),"")</f>
        <v/>
      </c>
      <c r="AF13" s="37" t="str">
        <f>IF(AND('Mapa final'!$AB$55="Muy Alta",'Mapa final'!$AD$55="Mayor"),CONCATENATE("R8C",'Mapa final'!$R$55),"")</f>
        <v/>
      </c>
      <c r="AG13" s="38" t="str">
        <f>IF(AND('Mapa final'!$AB$56="Muy Alta",'Mapa final'!$AD$56="Mayor"),CONCATENATE("R8C",'Mapa final'!$R$56),"")</f>
        <v/>
      </c>
      <c r="AH13" s="39" t="str">
        <f>IF(AND('Mapa final'!$AB$51="Muy Alta",'Mapa final'!$AD$51="Catastrófico"),CONCATENATE("R8C",'Mapa final'!$R$51),"")</f>
        <v/>
      </c>
      <c r="AI13" s="40" t="str">
        <f>IF(AND('Mapa final'!$AB$52="Muy Alta",'Mapa final'!$AD$52="Catastrófico"),CONCATENATE("R8C",'Mapa final'!$R$52),"")</f>
        <v/>
      </c>
      <c r="AJ13" s="40" t="str">
        <f>IF(AND('Mapa final'!$AB$53="Muy Alta",'Mapa final'!$AD$53="Catastrófico"),CONCATENATE("R8C",'Mapa final'!$R$53),"")</f>
        <v/>
      </c>
      <c r="AK13" s="40" t="str">
        <f>IF(AND('Mapa final'!$AB$54="Muy Alta",'Mapa final'!$AD$54="Catastrófico"),CONCATENATE("R8C",'Mapa final'!$R$54),"")</f>
        <v/>
      </c>
      <c r="AL13" s="40" t="str">
        <f>IF(AND('Mapa final'!$AB$55="Muy Alta",'Mapa final'!$AD$55="Catastrófico"),CONCATENATE("R8C",'Mapa final'!$R$55),"")</f>
        <v/>
      </c>
      <c r="AM13" s="41" t="str">
        <f>IF(AND('Mapa final'!$AB$56="Muy Alta",'Mapa final'!$AD$56="Catastrófico"),CONCATENATE("R8C",'Mapa final'!$R$56),"")</f>
        <v/>
      </c>
      <c r="AN13" s="67"/>
      <c r="AO13" s="603"/>
      <c r="AP13" s="604"/>
      <c r="AQ13" s="604"/>
      <c r="AR13" s="604"/>
      <c r="AS13" s="604"/>
      <c r="AT13" s="60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498"/>
      <c r="C14" s="498"/>
      <c r="D14" s="499"/>
      <c r="E14" s="597"/>
      <c r="F14" s="596"/>
      <c r="G14" s="596"/>
      <c r="H14" s="596"/>
      <c r="I14" s="612"/>
      <c r="J14" s="36" t="str">
        <f>IF(AND('Mapa final'!$AB$57="Muy Alta",'Mapa final'!$AD$57="Leve"),CONCATENATE("R9C",'Mapa final'!$R$57),"")</f>
        <v/>
      </c>
      <c r="K14" s="37" t="str">
        <f>IF(AND('Mapa final'!$AB$58="Muy Alta",'Mapa final'!$AD$58="Leve"),CONCATENATE("R9C",'Mapa final'!$R$58),"")</f>
        <v/>
      </c>
      <c r="L14" s="37" t="str">
        <f>IF(AND('Mapa final'!$AB$59="Muy Alta",'Mapa final'!$AD$59="Leve"),CONCATENATE("R9C",'Mapa final'!$R$59),"")</f>
        <v/>
      </c>
      <c r="M14" s="37" t="str">
        <f>IF(AND('Mapa final'!$AB$60="Muy Alta",'Mapa final'!$AD$60="Leve"),CONCATENATE("R9C",'Mapa final'!$R$60),"")</f>
        <v/>
      </c>
      <c r="N14" s="37" t="str">
        <f>IF(AND('Mapa final'!$AB$61="Muy Alta",'Mapa final'!$AD$61="Leve"),CONCATENATE("R9C",'Mapa final'!$R$61),"")</f>
        <v/>
      </c>
      <c r="O14" s="38" t="str">
        <f>IF(AND('Mapa final'!$AB$62="Muy Alta",'Mapa final'!$AD$62="Leve"),CONCATENATE("R9C",'Mapa final'!$R$62),"")</f>
        <v/>
      </c>
      <c r="P14" s="36" t="str">
        <f>IF(AND('Mapa final'!$AB$57="Muy Alta",'Mapa final'!$AD$57="Menor"),CONCATENATE("R9C",'Mapa final'!$R$57),"")</f>
        <v/>
      </c>
      <c r="Q14" s="37" t="str">
        <f>IF(AND('Mapa final'!$AB$58="Muy Alta",'Mapa final'!$AD$58="Menor"),CONCATENATE("R9C",'Mapa final'!$R$58),"")</f>
        <v/>
      </c>
      <c r="R14" s="37" t="str">
        <f>IF(AND('Mapa final'!$AB$59="Muy Alta",'Mapa final'!$AD$59="Menor"),CONCATENATE("R9C",'Mapa final'!$R$59),"")</f>
        <v/>
      </c>
      <c r="S14" s="37" t="str">
        <f>IF(AND('Mapa final'!$AB$60="Muy Alta",'Mapa final'!$AD$60="Menor"),CONCATENATE("R9C",'Mapa final'!$R$60),"")</f>
        <v/>
      </c>
      <c r="T14" s="37" t="str">
        <f>IF(AND('Mapa final'!$AB$61="Muy Alta",'Mapa final'!$AD$61="Menor"),CONCATENATE("R9C",'Mapa final'!$R$61),"")</f>
        <v/>
      </c>
      <c r="U14" s="38" t="str">
        <f>IF(AND('Mapa final'!$AB$62="Muy Alta",'Mapa final'!$AD$62="Menor"),CONCATENATE("R9C",'Mapa final'!$R$62),"")</f>
        <v/>
      </c>
      <c r="V14" s="36" t="str">
        <f>IF(AND('Mapa final'!$AB$57="Muy Alta",'Mapa final'!$AD$57="Moderado"),CONCATENATE("R9C",'Mapa final'!$R$57),"")</f>
        <v/>
      </c>
      <c r="W14" s="37" t="str">
        <f>IF(AND('Mapa final'!$AB$58="Muy Alta",'Mapa final'!$AD$58="Moderado"),CONCATENATE("R9C",'Mapa final'!$R$58),"")</f>
        <v/>
      </c>
      <c r="X14" s="37" t="str">
        <f>IF(AND('Mapa final'!$AB$59="Muy Alta",'Mapa final'!$AD$59="Moderado"),CONCATENATE("R9C",'Mapa final'!$R$59),"")</f>
        <v/>
      </c>
      <c r="Y14" s="37" t="str">
        <f>IF(AND('Mapa final'!$AB$60="Muy Alta",'Mapa final'!$AD$60="Moderado"),CONCATENATE("R9C",'Mapa final'!$R$60),"")</f>
        <v/>
      </c>
      <c r="Z14" s="37" t="str">
        <f>IF(AND('Mapa final'!$AB$61="Muy Alta",'Mapa final'!$AD$61="Moderado"),CONCATENATE("R9C",'Mapa final'!$R$61),"")</f>
        <v/>
      </c>
      <c r="AA14" s="38" t="str">
        <f>IF(AND('Mapa final'!$AB$62="Muy Alta",'Mapa final'!$AD$62="Moderado"),CONCATENATE("R9C",'Mapa final'!$R$62),"")</f>
        <v/>
      </c>
      <c r="AB14" s="36" t="str">
        <f>IF(AND('Mapa final'!$AB$57="Muy Alta",'Mapa final'!$AD$57="Mayor"),CONCATENATE("R9C",'Mapa final'!$R$57),"")</f>
        <v/>
      </c>
      <c r="AC14" s="37" t="str">
        <f>IF(AND('Mapa final'!$AB$58="Muy Alta",'Mapa final'!$AD$58="Mayor"),CONCATENATE("R9C",'Mapa final'!$R$58),"")</f>
        <v/>
      </c>
      <c r="AD14" s="37" t="str">
        <f>IF(AND('Mapa final'!$AB$59="Muy Alta",'Mapa final'!$AD$59="Mayor"),CONCATENATE("R9C",'Mapa final'!$R$59),"")</f>
        <v/>
      </c>
      <c r="AE14" s="37" t="str">
        <f>IF(AND('Mapa final'!$AB$60="Muy Alta",'Mapa final'!$AD$60="Mayor"),CONCATENATE("R9C",'Mapa final'!$R$60),"")</f>
        <v/>
      </c>
      <c r="AF14" s="37" t="str">
        <f>IF(AND('Mapa final'!$AB$61="Muy Alta",'Mapa final'!$AD$61="Mayor"),CONCATENATE("R9C",'Mapa final'!$R$61),"")</f>
        <v/>
      </c>
      <c r="AG14" s="38" t="str">
        <f>IF(AND('Mapa final'!$AB$62="Muy Alta",'Mapa final'!$AD$62="Mayor"),CONCATENATE("R9C",'Mapa final'!$R$62),"")</f>
        <v/>
      </c>
      <c r="AH14" s="39" t="str">
        <f>IF(AND('Mapa final'!$AB$57="Muy Alta",'Mapa final'!$AD$57="Catastrófico"),CONCATENATE("R9C",'Mapa final'!$R$57),"")</f>
        <v/>
      </c>
      <c r="AI14" s="40" t="str">
        <f>IF(AND('Mapa final'!$AB$58="Muy Alta",'Mapa final'!$AD$58="Catastrófico"),CONCATENATE("R9C",'Mapa final'!$R$58),"")</f>
        <v/>
      </c>
      <c r="AJ14" s="40" t="str">
        <f>IF(AND('Mapa final'!$AB$59="Muy Alta",'Mapa final'!$AD$59="Catastrófico"),CONCATENATE("R9C",'Mapa final'!$R$59),"")</f>
        <v/>
      </c>
      <c r="AK14" s="40" t="str">
        <f>IF(AND('Mapa final'!$AB$60="Muy Alta",'Mapa final'!$AD$60="Catastrófico"),CONCATENATE("R9C",'Mapa final'!$R$60),"")</f>
        <v/>
      </c>
      <c r="AL14" s="40" t="str">
        <f>IF(AND('Mapa final'!$AB$61="Muy Alta",'Mapa final'!$AD$61="Catastrófico"),CONCATENATE("R9C",'Mapa final'!$R$61),"")</f>
        <v/>
      </c>
      <c r="AM14" s="41" t="str">
        <f>IF(AND('Mapa final'!$AB$62="Muy Alta",'Mapa final'!$AD$62="Catastrófico"),CONCATENATE("R9C",'Mapa final'!$R$62),"")</f>
        <v/>
      </c>
      <c r="AN14" s="67"/>
      <c r="AO14" s="603"/>
      <c r="AP14" s="604"/>
      <c r="AQ14" s="604"/>
      <c r="AR14" s="604"/>
      <c r="AS14" s="604"/>
      <c r="AT14" s="60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498"/>
      <c r="C15" s="498"/>
      <c r="D15" s="499"/>
      <c r="E15" s="598"/>
      <c r="F15" s="599"/>
      <c r="G15" s="599"/>
      <c r="H15" s="599"/>
      <c r="I15" s="613"/>
      <c r="J15" s="42" t="str">
        <f>IF(AND('Mapa final'!$AB$63="Muy Alta",'Mapa final'!$AD$63="Leve"),CONCATENATE("R10C",'Mapa final'!$R$63),"")</f>
        <v/>
      </c>
      <c r="K15" s="43" t="str">
        <f>IF(AND('Mapa final'!$AB$64="Muy Alta",'Mapa final'!$AD$64="Leve"),CONCATENATE("R10C",'Mapa final'!$R$64),"")</f>
        <v/>
      </c>
      <c r="L15" s="43" t="str">
        <f>IF(AND('Mapa final'!$AB$65="Muy Alta",'Mapa final'!$AD$65="Leve"),CONCATENATE("R10C",'Mapa final'!$R$65),"")</f>
        <v/>
      </c>
      <c r="M15" s="43" t="str">
        <f>IF(AND('Mapa final'!$AB$66="Muy Alta",'Mapa final'!$AD$66="Leve"),CONCATENATE("R10C",'Mapa final'!$R$66),"")</f>
        <v/>
      </c>
      <c r="N15" s="43" t="str">
        <f>IF(AND('Mapa final'!$AB$67="Muy Alta",'Mapa final'!$AD$67="Leve"),CONCATENATE("R10C",'Mapa final'!$R$67),"")</f>
        <v/>
      </c>
      <c r="O15" s="44" t="str">
        <f>IF(AND('Mapa final'!$AB$68="Muy Alta",'Mapa final'!$AD$68="Leve"),CONCATENATE("R10C",'Mapa final'!$R$68),"")</f>
        <v/>
      </c>
      <c r="P15" s="36" t="str">
        <f>IF(AND('Mapa final'!$AB$63="Muy Alta",'Mapa final'!$AD$63="Menor"),CONCATENATE("R10C",'Mapa final'!$R$63),"")</f>
        <v/>
      </c>
      <c r="Q15" s="37" t="str">
        <f>IF(AND('Mapa final'!$AB$64="Muy Alta",'Mapa final'!$AD$64="Menor"),CONCATENATE("R10C",'Mapa final'!$R$64),"")</f>
        <v/>
      </c>
      <c r="R15" s="37" t="str">
        <f>IF(AND('Mapa final'!$AB$65="Muy Alta",'Mapa final'!$AD$65="Menor"),CONCATENATE("R10C",'Mapa final'!$R$65),"")</f>
        <v/>
      </c>
      <c r="S15" s="37" t="str">
        <f>IF(AND('Mapa final'!$AB$66="Muy Alta",'Mapa final'!$AD$66="Menor"),CONCATENATE("R10C",'Mapa final'!$R$66),"")</f>
        <v/>
      </c>
      <c r="T15" s="37" t="str">
        <f>IF(AND('Mapa final'!$AB$67="Muy Alta",'Mapa final'!$AD$67="Menor"),CONCATENATE("R10C",'Mapa final'!$R$67),"")</f>
        <v/>
      </c>
      <c r="U15" s="38" t="str">
        <f>IF(AND('Mapa final'!$AB$68="Muy Alta",'Mapa final'!$AD$68="Menor"),CONCATENATE("R10C",'Mapa final'!$R$68),"")</f>
        <v/>
      </c>
      <c r="V15" s="42" t="str">
        <f>IF(AND('Mapa final'!$AB$63="Muy Alta",'Mapa final'!$AD$63="Moderado"),CONCATENATE("R10C",'Mapa final'!$R$63),"")</f>
        <v/>
      </c>
      <c r="W15" s="43" t="str">
        <f>IF(AND('Mapa final'!$AB$64="Muy Alta",'Mapa final'!$AD$64="Moderado"),CONCATENATE("R10C",'Mapa final'!$R$64),"")</f>
        <v/>
      </c>
      <c r="X15" s="43" t="str">
        <f>IF(AND('Mapa final'!$AB$65="Muy Alta",'Mapa final'!$AD$65="Moderado"),CONCATENATE("R10C",'Mapa final'!$R$65),"")</f>
        <v/>
      </c>
      <c r="Y15" s="43" t="str">
        <f>IF(AND('Mapa final'!$AB$66="Muy Alta",'Mapa final'!$AD$66="Moderado"),CONCATENATE("R10C",'Mapa final'!$R$66),"")</f>
        <v/>
      </c>
      <c r="Z15" s="43" t="str">
        <f>IF(AND('Mapa final'!$AB$67="Muy Alta",'Mapa final'!$AD$67="Moderado"),CONCATENATE("R10C",'Mapa final'!$R$67),"")</f>
        <v/>
      </c>
      <c r="AA15" s="44" t="str">
        <f>IF(AND('Mapa final'!$AB$68="Muy Alta",'Mapa final'!$AD$68="Moderado"),CONCATENATE("R10C",'Mapa final'!$R$68),"")</f>
        <v/>
      </c>
      <c r="AB15" s="36" t="str">
        <f>IF(AND('Mapa final'!$AB$63="Muy Alta",'Mapa final'!$AD$63="Mayor"),CONCATENATE("R10C",'Mapa final'!$R$63),"")</f>
        <v/>
      </c>
      <c r="AC15" s="37" t="str">
        <f>IF(AND('Mapa final'!$AB$64="Muy Alta",'Mapa final'!$AD$64="Mayor"),CONCATENATE("R10C",'Mapa final'!$R$64),"")</f>
        <v/>
      </c>
      <c r="AD15" s="37" t="str">
        <f>IF(AND('Mapa final'!$AB$65="Muy Alta",'Mapa final'!$AD$65="Mayor"),CONCATENATE("R10C",'Mapa final'!$R$65),"")</f>
        <v/>
      </c>
      <c r="AE15" s="37" t="str">
        <f>IF(AND('Mapa final'!$AB$66="Muy Alta",'Mapa final'!$AD$66="Mayor"),CONCATENATE("R10C",'Mapa final'!$R$66),"")</f>
        <v/>
      </c>
      <c r="AF15" s="37" t="str">
        <f>IF(AND('Mapa final'!$AB$67="Muy Alta",'Mapa final'!$AD$67="Mayor"),CONCATENATE("R10C",'Mapa final'!$R$67),"")</f>
        <v/>
      </c>
      <c r="AG15" s="38" t="str">
        <f>IF(AND('Mapa final'!$AB$68="Muy Alta",'Mapa final'!$AD$68="Mayor"),CONCATENATE("R10C",'Mapa final'!$R$68),"")</f>
        <v/>
      </c>
      <c r="AH15" s="45" t="str">
        <f>IF(AND('Mapa final'!$AB$63="Muy Alta",'Mapa final'!$AD$63="Catastrófico"),CONCATENATE("R10C",'Mapa final'!$R$63),"")</f>
        <v/>
      </c>
      <c r="AI15" s="46" t="str">
        <f>IF(AND('Mapa final'!$AB$64="Muy Alta",'Mapa final'!$AD$64="Catastrófico"),CONCATENATE("R10C",'Mapa final'!$R$64),"")</f>
        <v/>
      </c>
      <c r="AJ15" s="46" t="str">
        <f>IF(AND('Mapa final'!$AB$65="Muy Alta",'Mapa final'!$AD$65="Catastrófico"),CONCATENATE("R10C",'Mapa final'!$R$65),"")</f>
        <v/>
      </c>
      <c r="AK15" s="46" t="str">
        <f>IF(AND('Mapa final'!$AB$66="Muy Alta",'Mapa final'!$AD$66="Catastrófico"),CONCATENATE("R10C",'Mapa final'!$R$66),"")</f>
        <v/>
      </c>
      <c r="AL15" s="46" t="str">
        <f>IF(AND('Mapa final'!$AB$67="Muy Alta",'Mapa final'!$AD$67="Catastrófico"),CONCATENATE("R10C",'Mapa final'!$R$67),"")</f>
        <v/>
      </c>
      <c r="AM15" s="47" t="str">
        <f>IF(AND('Mapa final'!$AB$68="Muy Alta",'Mapa final'!$AD$68="Catastrófico"),CONCATENATE("R10C",'Mapa final'!$R$68),"")</f>
        <v/>
      </c>
      <c r="AN15" s="67"/>
      <c r="AO15" s="606"/>
      <c r="AP15" s="607"/>
      <c r="AQ15" s="607"/>
      <c r="AR15" s="607"/>
      <c r="AS15" s="607"/>
      <c r="AT15" s="60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498"/>
      <c r="C16" s="498"/>
      <c r="D16" s="499"/>
      <c r="E16" s="593" t="s">
        <v>110</v>
      </c>
      <c r="F16" s="594"/>
      <c r="G16" s="594"/>
      <c r="H16" s="594"/>
      <c r="I16" s="594"/>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e">
        <f>IF(AND('Mapa final'!#REF!="Alta",'Mapa final'!#REF!="Leve"),CONCATENATE("R1C",'Mapa final'!#REF!),"")</f>
        <v>#REF!</v>
      </c>
      <c r="O16" s="50" t="str">
        <f>IF(AND('Mapa final'!$AB$14="Alta",'Mapa final'!$AD$14="Leve"),CONCATENATE("R1C",'Mapa final'!$R$14),"")</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e">
        <f>IF(AND('Mapa final'!#REF!="Alta",'Mapa final'!#REF!="Menor"),CONCATENATE("R1C",'Mapa final'!#REF!),"")</f>
        <v>#REF!</v>
      </c>
      <c r="U16" s="50" t="str">
        <f>IF(AND('Mapa final'!$AB$14="Alta",'Mapa final'!$AD$14="Menor"),CONCATENATE("R1C",'Mapa final'!$R$14),"")</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e">
        <f>IF(AND('Mapa final'!#REF!="Alta",'Mapa final'!#REF!="Moderado"),CONCATENATE("R1C",'Mapa final'!#REF!),"")</f>
        <v>#REF!</v>
      </c>
      <c r="AA16" s="32" t="str">
        <f>IF(AND('Mapa final'!$AB$14="Alta",'Mapa final'!$AD$14="Moderado"),CONCATENATE("R1C",'Mapa final'!$R$14),"")</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e">
        <f>IF(AND('Mapa final'!#REF!="Alta",'Mapa final'!#REF!="Mayor"),CONCATENATE("R1C",'Mapa final'!#REF!),"")</f>
        <v>#REF!</v>
      </c>
      <c r="AG16" s="32" t="str">
        <f>IF(AND('Mapa final'!$AB$14="Alta",'Mapa final'!$AD$14="Mayor"),CONCATENATE("R1C",'Mapa final'!$R$14),"")</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e">
        <f>IF(AND('Mapa final'!#REF!="Alta",'Mapa final'!#REF!="Catastrófico"),CONCATENATE("R1C",'Mapa final'!#REF!),"")</f>
        <v>#REF!</v>
      </c>
      <c r="AM16" s="35" t="str">
        <f>IF(AND('Mapa final'!$AB$14="Alta",'Mapa final'!$AD$14="Catastrófico"),CONCATENATE("R1C",'Mapa final'!$R$14),"")</f>
        <v/>
      </c>
      <c r="AN16" s="67"/>
      <c r="AO16" s="584" t="s">
        <v>79</v>
      </c>
      <c r="AP16" s="585"/>
      <c r="AQ16" s="585"/>
      <c r="AR16" s="585"/>
      <c r="AS16" s="585"/>
      <c r="AT16" s="58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498"/>
      <c r="C17" s="498"/>
      <c r="D17" s="499"/>
      <c r="E17" s="595"/>
      <c r="F17" s="596"/>
      <c r="G17" s="596"/>
      <c r="H17" s="596"/>
      <c r="I17" s="596"/>
      <c r="J17" s="51" t="str">
        <f>IF(AND('Mapa final'!$AB$15="Alta",'Mapa final'!$AD$15="Leve"),CONCATENATE("R2C",'Mapa final'!$R$15),"")</f>
        <v/>
      </c>
      <c r="K17" s="52" t="str">
        <f>IF(AND('Mapa final'!$AB$16="Alta",'Mapa final'!$AD$16="Leve"),CONCATENATE("R2C",'Mapa final'!$R$16),"")</f>
        <v/>
      </c>
      <c r="L17" s="52" t="str">
        <f>IF(AND('Mapa final'!$AB$17="Alta",'Mapa final'!$AD$17="Leve"),CONCATENATE("R2C",'Mapa final'!$R$17),"")</f>
        <v/>
      </c>
      <c r="M17" s="52" t="str">
        <f>IF(AND('Mapa final'!$AB$18="Alta",'Mapa final'!$AD$18="Leve"),CONCATENATE("R2C",'Mapa final'!$R$18),"")</f>
        <v/>
      </c>
      <c r="N17" s="52" t="str">
        <f>IF(AND('Mapa final'!$AB$19="Alta",'Mapa final'!$AD$19="Leve"),CONCATENATE("R2C",'Mapa final'!$R$19),"")</f>
        <v/>
      </c>
      <c r="O17" s="53" t="str">
        <f>IF(AND('Mapa final'!$AB$20="Alta",'Mapa final'!$AD$20="Leve"),CONCATENATE("R2C",'Mapa final'!$R$20),"")</f>
        <v/>
      </c>
      <c r="P17" s="51" t="str">
        <f>IF(AND('Mapa final'!$AB$15="Alta",'Mapa final'!$AD$15="Menor"),CONCATENATE("R2C",'Mapa final'!$R$15),"")</f>
        <v/>
      </c>
      <c r="Q17" s="52" t="str">
        <f>IF(AND('Mapa final'!$AB$16="Alta",'Mapa final'!$AD$16="Menor"),CONCATENATE("R2C",'Mapa final'!$R$16),"")</f>
        <v/>
      </c>
      <c r="R17" s="52" t="str">
        <f>IF(AND('Mapa final'!$AB$17="Alta",'Mapa final'!$AD$17="Menor"),CONCATENATE("R2C",'Mapa final'!$R$17),"")</f>
        <v/>
      </c>
      <c r="S17" s="52" t="str">
        <f>IF(AND('Mapa final'!$AB$18="Alta",'Mapa final'!$AD$18="Menor"),CONCATENATE("R2C",'Mapa final'!$R$18),"")</f>
        <v/>
      </c>
      <c r="T17" s="52" t="str">
        <f>IF(AND('Mapa final'!$AB$19="Alta",'Mapa final'!$AD$19="Menor"),CONCATENATE("R2C",'Mapa final'!$R$19),"")</f>
        <v/>
      </c>
      <c r="U17" s="53" t="str">
        <f>IF(AND('Mapa final'!$AB$20="Alta",'Mapa final'!$AD$20="Menor"),CONCATENATE("R2C",'Mapa final'!$R$20),"")</f>
        <v/>
      </c>
      <c r="V17" s="36" t="str">
        <f>IF(AND('Mapa final'!$AB$15="Alta",'Mapa final'!$AD$15="Moderado"),CONCATENATE("R2C",'Mapa final'!$R$15),"")</f>
        <v/>
      </c>
      <c r="W17" s="37" t="str">
        <f>IF(AND('Mapa final'!$AB$16="Alta",'Mapa final'!$AD$16="Moderado"),CONCATENATE("R2C",'Mapa final'!$R$16),"")</f>
        <v/>
      </c>
      <c r="X17" s="37" t="str">
        <f>IF(AND('Mapa final'!$AB$17="Alta",'Mapa final'!$AD$17="Moderado"),CONCATENATE("R2C",'Mapa final'!$R$17),"")</f>
        <v/>
      </c>
      <c r="Y17" s="37" t="str">
        <f>IF(AND('Mapa final'!$AB$18="Alta",'Mapa final'!$AD$18="Moderado"),CONCATENATE("R2C",'Mapa final'!$R$18),"")</f>
        <v/>
      </c>
      <c r="Z17" s="37" t="str">
        <f>IF(AND('Mapa final'!$AB$19="Alta",'Mapa final'!$AD$19="Moderado"),CONCATENATE("R2C",'Mapa final'!$R$19),"")</f>
        <v/>
      </c>
      <c r="AA17" s="38" t="str">
        <f>IF(AND('Mapa final'!$AB$20="Alta",'Mapa final'!$AD$20="Moderado"),CONCATENATE("R2C",'Mapa final'!$R$20),"")</f>
        <v/>
      </c>
      <c r="AB17" s="36" t="str">
        <f>IF(AND('Mapa final'!$AB$15="Alta",'Mapa final'!$AD$15="Mayor"),CONCATENATE("R2C",'Mapa final'!$R$15),"")</f>
        <v/>
      </c>
      <c r="AC17" s="37" t="str">
        <f>IF(AND('Mapa final'!$AB$16="Alta",'Mapa final'!$AD$16="Mayor"),CONCATENATE("R2C",'Mapa final'!$R$16),"")</f>
        <v/>
      </c>
      <c r="AD17" s="37" t="str">
        <f>IF(AND('Mapa final'!$AB$17="Alta",'Mapa final'!$AD$17="Mayor"),CONCATENATE("R2C",'Mapa final'!$R$17),"")</f>
        <v/>
      </c>
      <c r="AE17" s="37" t="str">
        <f>IF(AND('Mapa final'!$AB$18="Alta",'Mapa final'!$AD$18="Mayor"),CONCATENATE("R2C",'Mapa final'!$R$18),"")</f>
        <v/>
      </c>
      <c r="AF17" s="37" t="str">
        <f>IF(AND('Mapa final'!$AB$19="Alta",'Mapa final'!$AD$19="Mayor"),CONCATENATE("R2C",'Mapa final'!$R$19),"")</f>
        <v/>
      </c>
      <c r="AG17" s="38" t="str">
        <f>IF(AND('Mapa final'!$AB$20="Alta",'Mapa final'!$AD$20="Mayor"),CONCATENATE("R2C",'Mapa final'!$R$20),"")</f>
        <v/>
      </c>
      <c r="AH17" s="39" t="str">
        <f>IF(AND('Mapa final'!$AB$15="Alta",'Mapa final'!$AD$15="Catastrófico"),CONCATENATE("R2C",'Mapa final'!$R$15),"")</f>
        <v/>
      </c>
      <c r="AI17" s="40" t="str">
        <f>IF(AND('Mapa final'!$AB$16="Alta",'Mapa final'!$AD$16="Catastrófico"),CONCATENATE("R2C",'Mapa final'!$R$16),"")</f>
        <v/>
      </c>
      <c r="AJ17" s="40" t="str">
        <f>IF(AND('Mapa final'!$AB$17="Alta",'Mapa final'!$AD$17="Catastrófico"),CONCATENATE("R2C",'Mapa final'!$R$17),"")</f>
        <v/>
      </c>
      <c r="AK17" s="40" t="str">
        <f>IF(AND('Mapa final'!$AB$18="Alta",'Mapa final'!$AD$18="Catastrófico"),CONCATENATE("R2C",'Mapa final'!$R$18),"")</f>
        <v/>
      </c>
      <c r="AL17" s="40" t="str">
        <f>IF(AND('Mapa final'!$AB$19="Alta",'Mapa final'!$AD$19="Catastrófico"),CONCATENATE("R2C",'Mapa final'!$R$19),"")</f>
        <v/>
      </c>
      <c r="AM17" s="41" t="str">
        <f>IF(AND('Mapa final'!$AB$20="Alta",'Mapa final'!$AD$20="Catastrófico"),CONCATENATE("R2C",'Mapa final'!$R$20),"")</f>
        <v/>
      </c>
      <c r="AN17" s="67"/>
      <c r="AO17" s="587"/>
      <c r="AP17" s="588"/>
      <c r="AQ17" s="588"/>
      <c r="AR17" s="588"/>
      <c r="AS17" s="588"/>
      <c r="AT17" s="58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498"/>
      <c r="C18" s="498"/>
      <c r="D18" s="499"/>
      <c r="E18" s="597"/>
      <c r="F18" s="596"/>
      <c r="G18" s="596"/>
      <c r="H18" s="596"/>
      <c r="I18" s="596"/>
      <c r="J18" s="51" t="str">
        <f>IF(AND('Mapa final'!$AB$21="Alta",'Mapa final'!$AD$21="Leve"),CONCATENATE("R3C",'Mapa final'!$R$21),"")</f>
        <v/>
      </c>
      <c r="K18" s="52" t="str">
        <f>IF(AND('Mapa final'!$AB$22="Alta",'Mapa final'!$AD$22="Leve"),CONCATENATE("R3C",'Mapa final'!$R$22),"")</f>
        <v/>
      </c>
      <c r="L18" s="52" t="str">
        <f>IF(AND('Mapa final'!$AB$23="Alta",'Mapa final'!$AD$23="Leve"),CONCATENATE("R3C",'Mapa final'!$R$23),"")</f>
        <v/>
      </c>
      <c r="M18" s="52" t="str">
        <f>IF(AND('Mapa final'!$AB$24="Alta",'Mapa final'!$AD$24="Leve"),CONCATENATE("R3C",'Mapa final'!$R$24),"")</f>
        <v/>
      </c>
      <c r="N18" s="52" t="str">
        <f>IF(AND('Mapa final'!$AB$25="Alta",'Mapa final'!$AD$25="Leve"),CONCATENATE("R3C",'Mapa final'!$R$25),"")</f>
        <v/>
      </c>
      <c r="O18" s="53" t="str">
        <f>IF(AND('Mapa final'!$AB$26="Alta",'Mapa final'!$AD$26="Leve"),CONCATENATE("R3C",'Mapa final'!$R$26),"")</f>
        <v/>
      </c>
      <c r="P18" s="51" t="str">
        <f>IF(AND('Mapa final'!$AB$21="Alta",'Mapa final'!$AD$21="Menor"),CONCATENATE("R3C",'Mapa final'!$R$21),"")</f>
        <v/>
      </c>
      <c r="Q18" s="52" t="str">
        <f>IF(AND('Mapa final'!$AB$22="Alta",'Mapa final'!$AD$22="Menor"),CONCATENATE("R3C",'Mapa final'!$R$22),"")</f>
        <v/>
      </c>
      <c r="R18" s="52" t="str">
        <f>IF(AND('Mapa final'!$AB$23="Alta",'Mapa final'!$AD$23="Menor"),CONCATENATE("R3C",'Mapa final'!$R$23),"")</f>
        <v/>
      </c>
      <c r="S18" s="52" t="str">
        <f>IF(AND('Mapa final'!$AB$24="Alta",'Mapa final'!$AD$24="Menor"),CONCATENATE("R3C",'Mapa final'!$R$24),"")</f>
        <v/>
      </c>
      <c r="T18" s="52" t="str">
        <f>IF(AND('Mapa final'!$AB$25="Alta",'Mapa final'!$AD$25="Menor"),CONCATENATE("R3C",'Mapa final'!$R$25),"")</f>
        <v/>
      </c>
      <c r="U18" s="53" t="str">
        <f>IF(AND('Mapa final'!$AB$26="Alta",'Mapa final'!$AD$26="Menor"),CONCATENATE("R3C",'Mapa final'!$R$26),"")</f>
        <v/>
      </c>
      <c r="V18" s="36" t="str">
        <f>IF(AND('Mapa final'!$AB$21="Alta",'Mapa final'!$AD$21="Moderado"),CONCATENATE("R3C",'Mapa final'!$R$21),"")</f>
        <v/>
      </c>
      <c r="W18" s="37" t="str">
        <f>IF(AND('Mapa final'!$AB$22="Alta",'Mapa final'!$AD$22="Moderado"),CONCATENATE("R3C",'Mapa final'!$R$22),"")</f>
        <v/>
      </c>
      <c r="X18" s="37" t="str">
        <f>IF(AND('Mapa final'!$AB$23="Alta",'Mapa final'!$AD$23="Moderado"),CONCATENATE("R3C",'Mapa final'!$R$23),"")</f>
        <v/>
      </c>
      <c r="Y18" s="37" t="str">
        <f>IF(AND('Mapa final'!$AB$24="Alta",'Mapa final'!$AD$24="Moderado"),CONCATENATE("R3C",'Mapa final'!$R$24),"")</f>
        <v/>
      </c>
      <c r="Z18" s="37" t="str">
        <f>IF(AND('Mapa final'!$AB$25="Alta",'Mapa final'!$AD$25="Moderado"),CONCATENATE("R3C",'Mapa final'!$R$25),"")</f>
        <v/>
      </c>
      <c r="AA18" s="38" t="str">
        <f>IF(AND('Mapa final'!$AB$26="Alta",'Mapa final'!$AD$26="Moderado"),CONCATENATE("R3C",'Mapa final'!$R$26),"")</f>
        <v/>
      </c>
      <c r="AB18" s="36" t="str">
        <f>IF(AND('Mapa final'!$AB$21="Alta",'Mapa final'!$AD$21="Mayor"),CONCATENATE("R3C",'Mapa final'!$R$21),"")</f>
        <v/>
      </c>
      <c r="AC18" s="37" t="str">
        <f>IF(AND('Mapa final'!$AB$22="Alta",'Mapa final'!$AD$22="Mayor"),CONCATENATE("R3C",'Mapa final'!$R$22),"")</f>
        <v/>
      </c>
      <c r="AD18" s="37" t="str">
        <f>IF(AND('Mapa final'!$AB$23="Alta",'Mapa final'!$AD$23="Mayor"),CONCATENATE("R3C",'Mapa final'!$R$23),"")</f>
        <v/>
      </c>
      <c r="AE18" s="37" t="str">
        <f>IF(AND('Mapa final'!$AB$24="Alta",'Mapa final'!$AD$24="Mayor"),CONCATENATE("R3C",'Mapa final'!$R$24),"")</f>
        <v/>
      </c>
      <c r="AF18" s="37" t="str">
        <f>IF(AND('Mapa final'!$AB$25="Alta",'Mapa final'!$AD$25="Mayor"),CONCATENATE("R3C",'Mapa final'!$R$25),"")</f>
        <v/>
      </c>
      <c r="AG18" s="38" t="str">
        <f>IF(AND('Mapa final'!$AB$26="Alta",'Mapa final'!$AD$26="Mayor"),CONCATENATE("R3C",'Mapa final'!$R$26),"")</f>
        <v/>
      </c>
      <c r="AH18" s="39" t="str">
        <f>IF(AND('Mapa final'!$AB$21="Alta",'Mapa final'!$AD$21="Catastrófico"),CONCATENATE("R3C",'Mapa final'!$R$21),"")</f>
        <v/>
      </c>
      <c r="AI18" s="40" t="str">
        <f>IF(AND('Mapa final'!$AB$22="Alta",'Mapa final'!$AD$22="Catastrófico"),CONCATENATE("R3C",'Mapa final'!$R$22),"")</f>
        <v/>
      </c>
      <c r="AJ18" s="40" t="str">
        <f>IF(AND('Mapa final'!$AB$23="Alta",'Mapa final'!$AD$23="Catastrófico"),CONCATENATE("R3C",'Mapa final'!$R$23),"")</f>
        <v/>
      </c>
      <c r="AK18" s="40" t="str">
        <f>IF(AND('Mapa final'!$AB$24="Alta",'Mapa final'!$AD$24="Catastrófico"),CONCATENATE("R3C",'Mapa final'!$R$24),"")</f>
        <v/>
      </c>
      <c r="AL18" s="40" t="str">
        <f>IF(AND('Mapa final'!$AB$25="Alta",'Mapa final'!$AD$25="Catastrófico"),CONCATENATE("R3C",'Mapa final'!$R$25),"")</f>
        <v/>
      </c>
      <c r="AM18" s="41" t="str">
        <f>IF(AND('Mapa final'!$AB$26="Alta",'Mapa final'!$AD$26="Catastrófico"),CONCATENATE("R3C",'Mapa final'!$R$26),"")</f>
        <v/>
      </c>
      <c r="AN18" s="67"/>
      <c r="AO18" s="587"/>
      <c r="AP18" s="588"/>
      <c r="AQ18" s="588"/>
      <c r="AR18" s="588"/>
      <c r="AS18" s="588"/>
      <c r="AT18" s="58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498"/>
      <c r="C19" s="498"/>
      <c r="D19" s="499"/>
      <c r="E19" s="597"/>
      <c r="F19" s="596"/>
      <c r="G19" s="596"/>
      <c r="H19" s="596"/>
      <c r="I19" s="596"/>
      <c r="J19" s="51" t="str">
        <f>IF(AND('Mapa final'!$AB$27="Alta",'Mapa final'!$AD$27="Leve"),CONCATENATE("R4C",'Mapa final'!$R$27),"")</f>
        <v/>
      </c>
      <c r="K19" s="52" t="str">
        <f>IF(AND('Mapa final'!$AB$28="Alta",'Mapa final'!$AD$28="Leve"),CONCATENATE("R4C",'Mapa final'!$R$28),"")</f>
        <v/>
      </c>
      <c r="L19" s="52" t="str">
        <f>IF(AND('Mapa final'!$AB$29="Alta",'Mapa final'!$AD$29="Leve"),CONCATENATE("R4C",'Mapa final'!$R$29),"")</f>
        <v/>
      </c>
      <c r="M19" s="52" t="str">
        <f>IF(AND('Mapa final'!$AB$30="Alta",'Mapa final'!$AD$30="Leve"),CONCATENATE("R4C",'Mapa final'!$R$30),"")</f>
        <v/>
      </c>
      <c r="N19" s="52" t="str">
        <f>IF(AND('Mapa final'!$AB$31="Alta",'Mapa final'!$AD$31="Leve"),CONCATENATE("R4C",'Mapa final'!$R$31),"")</f>
        <v/>
      </c>
      <c r="O19" s="53" t="str">
        <f>IF(AND('Mapa final'!$AB$32="Alta",'Mapa final'!$AD$32="Leve"),CONCATENATE("R4C",'Mapa final'!$R$32),"")</f>
        <v/>
      </c>
      <c r="P19" s="51" t="str">
        <f>IF(AND('Mapa final'!$AB$27="Alta",'Mapa final'!$AD$27="Menor"),CONCATENATE("R4C",'Mapa final'!$R$27),"")</f>
        <v/>
      </c>
      <c r="Q19" s="52" t="str">
        <f>IF(AND('Mapa final'!$AB$28="Alta",'Mapa final'!$AD$28="Menor"),CONCATENATE("R4C",'Mapa final'!$R$28),"")</f>
        <v/>
      </c>
      <c r="R19" s="52" t="str">
        <f>IF(AND('Mapa final'!$AB$29="Alta",'Mapa final'!$AD$29="Menor"),CONCATENATE("R4C",'Mapa final'!$R$29),"")</f>
        <v/>
      </c>
      <c r="S19" s="52" t="str">
        <f>IF(AND('Mapa final'!$AB$30="Alta",'Mapa final'!$AD$30="Menor"),CONCATENATE("R4C",'Mapa final'!$R$30),"")</f>
        <v/>
      </c>
      <c r="T19" s="52" t="str">
        <f>IF(AND('Mapa final'!$AB$31="Alta",'Mapa final'!$AD$31="Menor"),CONCATENATE("R4C",'Mapa final'!$R$31),"")</f>
        <v/>
      </c>
      <c r="U19" s="53" t="str">
        <f>IF(AND('Mapa final'!$AB$32="Alta",'Mapa final'!$AD$32="Menor"),CONCATENATE("R4C",'Mapa final'!$R$32),"")</f>
        <v/>
      </c>
      <c r="V19" s="36" t="str">
        <f>IF(AND('Mapa final'!$AB$27="Alta",'Mapa final'!$AD$27="Moderado"),CONCATENATE("R4C",'Mapa final'!$R$27),"")</f>
        <v/>
      </c>
      <c r="W19" s="37" t="str">
        <f>IF(AND('Mapa final'!$AB$28="Alta",'Mapa final'!$AD$28="Moderado"),CONCATENATE("R4C",'Mapa final'!$R$28),"")</f>
        <v/>
      </c>
      <c r="X19" s="37" t="str">
        <f>IF(AND('Mapa final'!$AB$29="Alta",'Mapa final'!$AD$29="Moderado"),CONCATENATE("R4C",'Mapa final'!$R$29),"")</f>
        <v/>
      </c>
      <c r="Y19" s="37" t="str">
        <f>IF(AND('Mapa final'!$AB$30="Alta",'Mapa final'!$AD$30="Moderado"),CONCATENATE("R4C",'Mapa final'!$R$30),"")</f>
        <v/>
      </c>
      <c r="Z19" s="37" t="str">
        <f>IF(AND('Mapa final'!$AB$31="Alta",'Mapa final'!$AD$31="Moderado"),CONCATENATE("R4C",'Mapa final'!$R$31),"")</f>
        <v/>
      </c>
      <c r="AA19" s="38" t="str">
        <f>IF(AND('Mapa final'!$AB$32="Alta",'Mapa final'!$AD$32="Moderado"),CONCATENATE("R4C",'Mapa final'!$R$32),"")</f>
        <v/>
      </c>
      <c r="AB19" s="36" t="str">
        <f>IF(AND('Mapa final'!$AB$27="Alta",'Mapa final'!$AD$27="Mayor"),CONCATENATE("R4C",'Mapa final'!$R$27),"")</f>
        <v/>
      </c>
      <c r="AC19" s="37" t="str">
        <f>IF(AND('Mapa final'!$AB$28="Alta",'Mapa final'!$AD$28="Mayor"),CONCATENATE("R4C",'Mapa final'!$R$28),"")</f>
        <v/>
      </c>
      <c r="AD19" s="37" t="str">
        <f>IF(AND('Mapa final'!$AB$29="Alta",'Mapa final'!$AD$29="Mayor"),CONCATENATE("R4C",'Mapa final'!$R$29),"")</f>
        <v/>
      </c>
      <c r="AE19" s="37" t="str">
        <f>IF(AND('Mapa final'!$AB$30="Alta",'Mapa final'!$AD$30="Mayor"),CONCATENATE("R4C",'Mapa final'!$R$30),"")</f>
        <v/>
      </c>
      <c r="AF19" s="37" t="str">
        <f>IF(AND('Mapa final'!$AB$31="Alta",'Mapa final'!$AD$31="Mayor"),CONCATENATE("R4C",'Mapa final'!$R$31),"")</f>
        <v/>
      </c>
      <c r="AG19" s="38" t="str">
        <f>IF(AND('Mapa final'!$AB$32="Alta",'Mapa final'!$AD$32="Mayor"),CONCATENATE("R4C",'Mapa final'!$R$32),"")</f>
        <v/>
      </c>
      <c r="AH19" s="39" t="str">
        <f>IF(AND('Mapa final'!$AB$27="Alta",'Mapa final'!$AD$27="Catastrófico"),CONCATENATE("R4C",'Mapa final'!$R$27),"")</f>
        <v/>
      </c>
      <c r="AI19" s="40" t="str">
        <f>IF(AND('Mapa final'!$AB$28="Alta",'Mapa final'!$AD$28="Catastrófico"),CONCATENATE("R4C",'Mapa final'!$R$28),"")</f>
        <v/>
      </c>
      <c r="AJ19" s="40" t="str">
        <f>IF(AND('Mapa final'!$AB$29="Alta",'Mapa final'!$AD$29="Catastrófico"),CONCATENATE("R4C",'Mapa final'!$R$29),"")</f>
        <v/>
      </c>
      <c r="AK19" s="40" t="str">
        <f>IF(AND('Mapa final'!$AB$30="Alta",'Mapa final'!$AD$30="Catastrófico"),CONCATENATE("R4C",'Mapa final'!$R$30),"")</f>
        <v/>
      </c>
      <c r="AL19" s="40" t="str">
        <f>IF(AND('Mapa final'!$AB$31="Alta",'Mapa final'!$AD$31="Catastrófico"),CONCATENATE("R4C",'Mapa final'!$R$31),"")</f>
        <v/>
      </c>
      <c r="AM19" s="41" t="str">
        <f>IF(AND('Mapa final'!$AB$32="Alta",'Mapa final'!$AD$32="Catastrófico"),CONCATENATE("R4C",'Mapa final'!$R$32),"")</f>
        <v/>
      </c>
      <c r="AN19" s="67"/>
      <c r="AO19" s="587"/>
      <c r="AP19" s="588"/>
      <c r="AQ19" s="588"/>
      <c r="AR19" s="588"/>
      <c r="AS19" s="588"/>
      <c r="AT19" s="58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498"/>
      <c r="C20" s="498"/>
      <c r="D20" s="499"/>
      <c r="E20" s="597"/>
      <c r="F20" s="596"/>
      <c r="G20" s="596"/>
      <c r="H20" s="596"/>
      <c r="I20" s="596"/>
      <c r="J20" s="51" t="str">
        <f>IF(AND('Mapa final'!$AB$33="Alta",'Mapa final'!$AD$33="Leve"),CONCATENATE("R5C",'Mapa final'!$R$33),"")</f>
        <v/>
      </c>
      <c r="K20" s="52" t="str">
        <f>IF(AND('Mapa final'!$AB$34="Alta",'Mapa final'!$AD$34="Leve"),CONCATENATE("R5C",'Mapa final'!$R$34),"")</f>
        <v/>
      </c>
      <c r="L20" s="52" t="str">
        <f>IF(AND('Mapa final'!$AB$35="Alta",'Mapa final'!$AD$35="Leve"),CONCATENATE("R5C",'Mapa final'!$R$35),"")</f>
        <v/>
      </c>
      <c r="M20" s="52" t="str">
        <f>IF(AND('Mapa final'!$AB$36="Alta",'Mapa final'!$AD$36="Leve"),CONCATENATE("R5C",'Mapa final'!$R$36),"")</f>
        <v/>
      </c>
      <c r="N20" s="52" t="str">
        <f>IF(AND('Mapa final'!$AB$37="Alta",'Mapa final'!$AD$37="Leve"),CONCATENATE("R5C",'Mapa final'!$R$37),"")</f>
        <v/>
      </c>
      <c r="O20" s="53" t="str">
        <f>IF(AND('Mapa final'!$AB$38="Alta",'Mapa final'!$AD$38="Leve"),CONCATENATE("R5C",'Mapa final'!$R$38),"")</f>
        <v/>
      </c>
      <c r="P20" s="51" t="str">
        <f>IF(AND('Mapa final'!$AB$33="Alta",'Mapa final'!$AD$33="Menor"),CONCATENATE("R5C",'Mapa final'!$R$33),"")</f>
        <v/>
      </c>
      <c r="Q20" s="52" t="str">
        <f>IF(AND('Mapa final'!$AB$34="Alta",'Mapa final'!$AD$34="Menor"),CONCATENATE("R5C",'Mapa final'!$R$34),"")</f>
        <v/>
      </c>
      <c r="R20" s="52" t="str">
        <f>IF(AND('Mapa final'!$AB$35="Alta",'Mapa final'!$AD$35="Menor"),CONCATENATE("R5C",'Mapa final'!$R$35),"")</f>
        <v/>
      </c>
      <c r="S20" s="52" t="str">
        <f>IF(AND('Mapa final'!$AB$36="Alta",'Mapa final'!$AD$36="Menor"),CONCATENATE("R5C",'Mapa final'!$R$36),"")</f>
        <v/>
      </c>
      <c r="T20" s="52" t="str">
        <f>IF(AND('Mapa final'!$AB$37="Alta",'Mapa final'!$AD$37="Menor"),CONCATENATE("R5C",'Mapa final'!$R$37),"")</f>
        <v/>
      </c>
      <c r="U20" s="53" t="str">
        <f>IF(AND('Mapa final'!$AB$38="Alta",'Mapa final'!$AD$38="Menor"),CONCATENATE("R5C",'Mapa final'!$R$38),"")</f>
        <v/>
      </c>
      <c r="V20" s="36" t="str">
        <f>IF(AND('Mapa final'!$AB$33="Alta",'Mapa final'!$AD$33="Moderado"),CONCATENATE("R5C",'Mapa final'!$R$33),"")</f>
        <v/>
      </c>
      <c r="W20" s="37" t="str">
        <f>IF(AND('Mapa final'!$AB$34="Alta",'Mapa final'!$AD$34="Moderado"),CONCATENATE("R5C",'Mapa final'!$R$34),"")</f>
        <v/>
      </c>
      <c r="X20" s="37" t="str">
        <f>IF(AND('Mapa final'!$AB$35="Alta",'Mapa final'!$AD$35="Moderado"),CONCATENATE("R5C",'Mapa final'!$R$35),"")</f>
        <v/>
      </c>
      <c r="Y20" s="37" t="str">
        <f>IF(AND('Mapa final'!$AB$36="Alta",'Mapa final'!$AD$36="Moderado"),CONCATENATE("R5C",'Mapa final'!$R$36),"")</f>
        <v/>
      </c>
      <c r="Z20" s="37" t="str">
        <f>IF(AND('Mapa final'!$AB$37="Alta",'Mapa final'!$AD$37="Moderado"),CONCATENATE("R5C",'Mapa final'!$R$37),"")</f>
        <v/>
      </c>
      <c r="AA20" s="38" t="str">
        <f>IF(AND('Mapa final'!$AB$38="Alta",'Mapa final'!$AD$38="Moderado"),CONCATENATE("R5C",'Mapa final'!$R$38),"")</f>
        <v/>
      </c>
      <c r="AB20" s="36" t="str">
        <f>IF(AND('Mapa final'!$AB$33="Alta",'Mapa final'!$AD$33="Mayor"),CONCATENATE("R5C",'Mapa final'!$R$33),"")</f>
        <v/>
      </c>
      <c r="AC20" s="37" t="str">
        <f>IF(AND('Mapa final'!$AB$34="Alta",'Mapa final'!$AD$34="Mayor"),CONCATENATE("R5C",'Mapa final'!$R$34),"")</f>
        <v/>
      </c>
      <c r="AD20" s="37" t="str">
        <f>IF(AND('Mapa final'!$AB$35="Alta",'Mapa final'!$AD$35="Mayor"),CONCATENATE("R5C",'Mapa final'!$R$35),"")</f>
        <v/>
      </c>
      <c r="AE20" s="37" t="str">
        <f>IF(AND('Mapa final'!$AB$36="Alta",'Mapa final'!$AD$36="Mayor"),CONCATENATE("R5C",'Mapa final'!$R$36),"")</f>
        <v/>
      </c>
      <c r="AF20" s="37" t="str">
        <f>IF(AND('Mapa final'!$AB$37="Alta",'Mapa final'!$AD$37="Mayor"),CONCATENATE("R5C",'Mapa final'!$R$37),"")</f>
        <v/>
      </c>
      <c r="AG20" s="38" t="str">
        <f>IF(AND('Mapa final'!$AB$38="Alta",'Mapa final'!$AD$38="Mayor"),CONCATENATE("R5C",'Mapa final'!$R$38),"")</f>
        <v/>
      </c>
      <c r="AH20" s="39" t="str">
        <f>IF(AND('Mapa final'!$AB$33="Alta",'Mapa final'!$AD$33="Catastrófico"),CONCATENATE("R5C",'Mapa final'!$R$33),"")</f>
        <v/>
      </c>
      <c r="AI20" s="40" t="str">
        <f>IF(AND('Mapa final'!$AB$34="Alta",'Mapa final'!$AD$34="Catastrófico"),CONCATENATE("R5C",'Mapa final'!$R$34),"")</f>
        <v/>
      </c>
      <c r="AJ20" s="40" t="str">
        <f>IF(AND('Mapa final'!$AB$35="Alta",'Mapa final'!$AD$35="Catastrófico"),CONCATENATE("R5C",'Mapa final'!$R$35),"")</f>
        <v/>
      </c>
      <c r="AK20" s="40" t="str">
        <f>IF(AND('Mapa final'!$AB$36="Alta",'Mapa final'!$AD$36="Catastrófico"),CONCATENATE("R5C",'Mapa final'!$R$36),"")</f>
        <v/>
      </c>
      <c r="AL20" s="40" t="str">
        <f>IF(AND('Mapa final'!$AB$37="Alta",'Mapa final'!$AD$37="Catastrófico"),CONCATENATE("R5C",'Mapa final'!$R$37),"")</f>
        <v/>
      </c>
      <c r="AM20" s="41" t="str">
        <f>IF(AND('Mapa final'!$AB$38="Alta",'Mapa final'!$AD$38="Catastrófico"),CONCATENATE("R5C",'Mapa final'!$R$38),"")</f>
        <v/>
      </c>
      <c r="AN20" s="67"/>
      <c r="AO20" s="587"/>
      <c r="AP20" s="588"/>
      <c r="AQ20" s="588"/>
      <c r="AR20" s="588"/>
      <c r="AS20" s="588"/>
      <c r="AT20" s="58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498"/>
      <c r="C21" s="498"/>
      <c r="D21" s="499"/>
      <c r="E21" s="597"/>
      <c r="F21" s="596"/>
      <c r="G21" s="596"/>
      <c r="H21" s="596"/>
      <c r="I21" s="596"/>
      <c r="J21" s="51" t="str">
        <f>IF(AND('Mapa final'!$AB$39="Alta",'Mapa final'!$AD$39="Leve"),CONCATENATE("R6C",'Mapa final'!$R$39),"")</f>
        <v/>
      </c>
      <c r="K21" s="52" t="str">
        <f>IF(AND('Mapa final'!$AB$40="Alta",'Mapa final'!$AD$40="Leve"),CONCATENATE("R6C",'Mapa final'!$R$40),"")</f>
        <v/>
      </c>
      <c r="L21" s="52" t="str">
        <f>IF(AND('Mapa final'!$AB$41="Alta",'Mapa final'!$AD$41="Leve"),CONCATENATE("R6C",'Mapa final'!$R$41),"")</f>
        <v/>
      </c>
      <c r="M21" s="52" t="str">
        <f>IF(AND('Mapa final'!$AB$42="Alta",'Mapa final'!$AD$42="Leve"),CONCATENATE("R6C",'Mapa final'!$R$42),"")</f>
        <v/>
      </c>
      <c r="N21" s="52" t="str">
        <f>IF(AND('Mapa final'!$AB$43="Alta",'Mapa final'!$AD$43="Leve"),CONCATENATE("R6C",'Mapa final'!$R$43),"")</f>
        <v/>
      </c>
      <c r="O21" s="53" t="str">
        <f>IF(AND('Mapa final'!$AB$44="Alta",'Mapa final'!$AD$44="Leve"),CONCATENATE("R6C",'Mapa final'!$R$44),"")</f>
        <v/>
      </c>
      <c r="P21" s="51" t="str">
        <f>IF(AND('Mapa final'!$AB$39="Alta",'Mapa final'!$AD$39="Menor"),CONCATENATE("R6C",'Mapa final'!$R$39),"")</f>
        <v/>
      </c>
      <c r="Q21" s="52" t="str">
        <f>IF(AND('Mapa final'!$AB$40="Alta",'Mapa final'!$AD$40="Menor"),CONCATENATE("R6C",'Mapa final'!$R$40),"")</f>
        <v/>
      </c>
      <c r="R21" s="52" t="str">
        <f>IF(AND('Mapa final'!$AB$41="Alta",'Mapa final'!$AD$41="Menor"),CONCATENATE("R6C",'Mapa final'!$R$41),"")</f>
        <v/>
      </c>
      <c r="S21" s="52" t="str">
        <f>IF(AND('Mapa final'!$AB$42="Alta",'Mapa final'!$AD$42="Menor"),CONCATENATE("R6C",'Mapa final'!$R$42),"")</f>
        <v/>
      </c>
      <c r="T21" s="52" t="str">
        <f>IF(AND('Mapa final'!$AB$43="Alta",'Mapa final'!$AD$43="Menor"),CONCATENATE("R6C",'Mapa final'!$R$43),"")</f>
        <v/>
      </c>
      <c r="U21" s="53" t="str">
        <f>IF(AND('Mapa final'!$AB$44="Alta",'Mapa final'!$AD$44="Menor"),CONCATENATE("R6C",'Mapa final'!$R$44),"")</f>
        <v/>
      </c>
      <c r="V21" s="36" t="str">
        <f>IF(AND('Mapa final'!$AB$39="Alta",'Mapa final'!$AD$39="Moderado"),CONCATENATE("R6C",'Mapa final'!$R$39),"")</f>
        <v/>
      </c>
      <c r="W21" s="37" t="str">
        <f>IF(AND('Mapa final'!$AB$40="Alta",'Mapa final'!$AD$40="Moderado"),CONCATENATE("R6C",'Mapa final'!$R$40),"")</f>
        <v/>
      </c>
      <c r="X21" s="37" t="str">
        <f>IF(AND('Mapa final'!$AB$41="Alta",'Mapa final'!$AD$41="Moderado"),CONCATENATE("R6C",'Mapa final'!$R$41),"")</f>
        <v/>
      </c>
      <c r="Y21" s="37" t="str">
        <f>IF(AND('Mapa final'!$AB$42="Alta",'Mapa final'!$AD$42="Moderado"),CONCATENATE("R6C",'Mapa final'!$R$42),"")</f>
        <v/>
      </c>
      <c r="Z21" s="37" t="str">
        <f>IF(AND('Mapa final'!$AB$43="Alta",'Mapa final'!$AD$43="Moderado"),CONCATENATE("R6C",'Mapa final'!$R$43),"")</f>
        <v/>
      </c>
      <c r="AA21" s="38" t="str">
        <f>IF(AND('Mapa final'!$AB$44="Alta",'Mapa final'!$AD$44="Moderado"),CONCATENATE("R6C",'Mapa final'!$R$44),"")</f>
        <v/>
      </c>
      <c r="AB21" s="36" t="str">
        <f>IF(AND('Mapa final'!$AB$39="Alta",'Mapa final'!$AD$39="Mayor"),CONCATENATE("R6C",'Mapa final'!$R$39),"")</f>
        <v/>
      </c>
      <c r="AC21" s="37" t="str">
        <f>IF(AND('Mapa final'!$AB$40="Alta",'Mapa final'!$AD$40="Mayor"),CONCATENATE("R6C",'Mapa final'!$R$40),"")</f>
        <v/>
      </c>
      <c r="AD21" s="37" t="str">
        <f>IF(AND('Mapa final'!$AB$41="Alta",'Mapa final'!$AD$41="Mayor"),CONCATENATE("R6C",'Mapa final'!$R$41),"")</f>
        <v/>
      </c>
      <c r="AE21" s="37" t="str">
        <f>IF(AND('Mapa final'!$AB$42="Alta",'Mapa final'!$AD$42="Mayor"),CONCATENATE("R6C",'Mapa final'!$R$42),"")</f>
        <v/>
      </c>
      <c r="AF21" s="37" t="str">
        <f>IF(AND('Mapa final'!$AB$43="Alta",'Mapa final'!$AD$43="Mayor"),CONCATENATE("R6C",'Mapa final'!$R$43),"")</f>
        <v/>
      </c>
      <c r="AG21" s="38" t="str">
        <f>IF(AND('Mapa final'!$AB$44="Alta",'Mapa final'!$AD$44="Mayor"),CONCATENATE("R6C",'Mapa final'!$R$44),"")</f>
        <v/>
      </c>
      <c r="AH21" s="39" t="str">
        <f>IF(AND('Mapa final'!$AB$39="Alta",'Mapa final'!$AD$39="Catastrófico"),CONCATENATE("R6C",'Mapa final'!$R$39),"")</f>
        <v/>
      </c>
      <c r="AI21" s="40" t="str">
        <f>IF(AND('Mapa final'!$AB$40="Alta",'Mapa final'!$AD$40="Catastrófico"),CONCATENATE("R6C",'Mapa final'!$R$40),"")</f>
        <v/>
      </c>
      <c r="AJ21" s="40" t="str">
        <f>IF(AND('Mapa final'!$AB$41="Alta",'Mapa final'!$AD$41="Catastrófico"),CONCATENATE("R6C",'Mapa final'!$R$41),"")</f>
        <v/>
      </c>
      <c r="AK21" s="40" t="str">
        <f>IF(AND('Mapa final'!$AB$42="Alta",'Mapa final'!$AD$42="Catastrófico"),CONCATENATE("R6C",'Mapa final'!$R$42),"")</f>
        <v/>
      </c>
      <c r="AL21" s="40" t="str">
        <f>IF(AND('Mapa final'!$AB$43="Alta",'Mapa final'!$AD$43="Catastrófico"),CONCATENATE("R6C",'Mapa final'!$R$43),"")</f>
        <v/>
      </c>
      <c r="AM21" s="41" t="str">
        <f>IF(AND('Mapa final'!$AB$44="Alta",'Mapa final'!$AD$44="Catastrófico"),CONCATENATE("R6C",'Mapa final'!$R$44),"")</f>
        <v/>
      </c>
      <c r="AN21" s="67"/>
      <c r="AO21" s="587"/>
      <c r="AP21" s="588"/>
      <c r="AQ21" s="588"/>
      <c r="AR21" s="588"/>
      <c r="AS21" s="588"/>
      <c r="AT21" s="58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498"/>
      <c r="C22" s="498"/>
      <c r="D22" s="499"/>
      <c r="E22" s="597"/>
      <c r="F22" s="596"/>
      <c r="G22" s="596"/>
      <c r="H22" s="596"/>
      <c r="I22" s="596"/>
      <c r="J22" s="51" t="str">
        <f>IF(AND('Mapa final'!$AB$45="Alta",'Mapa final'!$AD$45="Leve"),CONCATENATE("R7C",'Mapa final'!$R$45),"")</f>
        <v/>
      </c>
      <c r="K22" s="52" t="str">
        <f>IF(AND('Mapa final'!$AB$46="Alta",'Mapa final'!$AD$46="Leve"),CONCATENATE("R7C",'Mapa final'!$R$46),"")</f>
        <v/>
      </c>
      <c r="L22" s="52" t="str">
        <f>IF(AND('Mapa final'!$AB$47="Alta",'Mapa final'!$AD$47="Leve"),CONCATENATE("R7C",'Mapa final'!$R$47),"")</f>
        <v/>
      </c>
      <c r="M22" s="52" t="str">
        <f>IF(AND('Mapa final'!$AB$48="Alta",'Mapa final'!$AD$48="Leve"),CONCATENATE("R7C",'Mapa final'!$R$48),"")</f>
        <v/>
      </c>
      <c r="N22" s="52" t="str">
        <f>IF(AND('Mapa final'!$AB$49="Alta",'Mapa final'!$AD$49="Leve"),CONCATENATE("R7C",'Mapa final'!$R$49),"")</f>
        <v/>
      </c>
      <c r="O22" s="53" t="str">
        <f>IF(AND('Mapa final'!$AB$50="Alta",'Mapa final'!$AD$50="Leve"),CONCATENATE("R7C",'Mapa final'!$R$50),"")</f>
        <v/>
      </c>
      <c r="P22" s="51" t="str">
        <f>IF(AND('Mapa final'!$AB$45="Alta",'Mapa final'!$AD$45="Menor"),CONCATENATE("R7C",'Mapa final'!$R$45),"")</f>
        <v/>
      </c>
      <c r="Q22" s="52" t="str">
        <f>IF(AND('Mapa final'!$AB$46="Alta",'Mapa final'!$AD$46="Menor"),CONCATENATE("R7C",'Mapa final'!$R$46),"")</f>
        <v/>
      </c>
      <c r="R22" s="52" t="str">
        <f>IF(AND('Mapa final'!$AB$47="Alta",'Mapa final'!$AD$47="Menor"),CONCATENATE("R7C",'Mapa final'!$R$47),"")</f>
        <v/>
      </c>
      <c r="S22" s="52" t="str">
        <f>IF(AND('Mapa final'!$AB$48="Alta",'Mapa final'!$AD$48="Menor"),CONCATENATE("R7C",'Mapa final'!$R$48),"")</f>
        <v/>
      </c>
      <c r="T22" s="52" t="str">
        <f>IF(AND('Mapa final'!$AB$49="Alta",'Mapa final'!$AD$49="Menor"),CONCATENATE("R7C",'Mapa final'!$R$49),"")</f>
        <v/>
      </c>
      <c r="U22" s="53" t="str">
        <f>IF(AND('Mapa final'!$AB$50="Alta",'Mapa final'!$AD$50="Menor"),CONCATENATE("R7C",'Mapa final'!$R$50),"")</f>
        <v/>
      </c>
      <c r="V22" s="36" t="str">
        <f>IF(AND('Mapa final'!$AB$45="Alta",'Mapa final'!$AD$45="Moderado"),CONCATENATE("R7C",'Mapa final'!$R$45),"")</f>
        <v/>
      </c>
      <c r="W22" s="37" t="str">
        <f>IF(AND('Mapa final'!$AB$46="Alta",'Mapa final'!$AD$46="Moderado"),CONCATENATE("R7C",'Mapa final'!$R$46),"")</f>
        <v/>
      </c>
      <c r="X22" s="37" t="str">
        <f>IF(AND('Mapa final'!$AB$47="Alta",'Mapa final'!$AD$47="Moderado"),CONCATENATE("R7C",'Mapa final'!$R$47),"")</f>
        <v/>
      </c>
      <c r="Y22" s="37" t="str">
        <f>IF(AND('Mapa final'!$AB$48="Alta",'Mapa final'!$AD$48="Moderado"),CONCATENATE("R7C",'Mapa final'!$R$48),"")</f>
        <v/>
      </c>
      <c r="Z22" s="37" t="str">
        <f>IF(AND('Mapa final'!$AB$49="Alta",'Mapa final'!$AD$49="Moderado"),CONCATENATE("R7C",'Mapa final'!$R$49),"")</f>
        <v/>
      </c>
      <c r="AA22" s="38" t="str">
        <f>IF(AND('Mapa final'!$AB$50="Alta",'Mapa final'!$AD$50="Moderado"),CONCATENATE("R7C",'Mapa final'!$R$50),"")</f>
        <v/>
      </c>
      <c r="AB22" s="36" t="str">
        <f>IF(AND('Mapa final'!$AB$45="Alta",'Mapa final'!$AD$45="Mayor"),CONCATENATE("R7C",'Mapa final'!$R$45),"")</f>
        <v/>
      </c>
      <c r="AC22" s="37" t="str">
        <f>IF(AND('Mapa final'!$AB$46="Alta",'Mapa final'!$AD$46="Mayor"),CONCATENATE("R7C",'Mapa final'!$R$46),"")</f>
        <v/>
      </c>
      <c r="AD22" s="37" t="str">
        <f>IF(AND('Mapa final'!$AB$47="Alta",'Mapa final'!$AD$47="Mayor"),CONCATENATE("R7C",'Mapa final'!$R$47),"")</f>
        <v/>
      </c>
      <c r="AE22" s="37" t="str">
        <f>IF(AND('Mapa final'!$AB$48="Alta",'Mapa final'!$AD$48="Mayor"),CONCATENATE("R7C",'Mapa final'!$R$48),"")</f>
        <v/>
      </c>
      <c r="AF22" s="37" t="str">
        <f>IF(AND('Mapa final'!$AB$49="Alta",'Mapa final'!$AD$49="Mayor"),CONCATENATE("R7C",'Mapa final'!$R$49),"")</f>
        <v/>
      </c>
      <c r="AG22" s="38" t="str">
        <f>IF(AND('Mapa final'!$AB$50="Alta",'Mapa final'!$AD$50="Mayor"),CONCATENATE("R7C",'Mapa final'!$R$50),"")</f>
        <v/>
      </c>
      <c r="AH22" s="39" t="str">
        <f>IF(AND('Mapa final'!$AB$45="Alta",'Mapa final'!$AD$45="Catastrófico"),CONCATENATE("R7C",'Mapa final'!$R$45),"")</f>
        <v/>
      </c>
      <c r="AI22" s="40" t="str">
        <f>IF(AND('Mapa final'!$AB$46="Alta",'Mapa final'!$AD$46="Catastrófico"),CONCATENATE("R7C",'Mapa final'!$R$46),"")</f>
        <v/>
      </c>
      <c r="AJ22" s="40" t="str">
        <f>IF(AND('Mapa final'!$AB$47="Alta",'Mapa final'!$AD$47="Catastrófico"),CONCATENATE("R7C",'Mapa final'!$R$47),"")</f>
        <v/>
      </c>
      <c r="AK22" s="40" t="str">
        <f>IF(AND('Mapa final'!$AB$48="Alta",'Mapa final'!$AD$48="Catastrófico"),CONCATENATE("R7C",'Mapa final'!$R$48),"")</f>
        <v/>
      </c>
      <c r="AL22" s="40" t="str">
        <f>IF(AND('Mapa final'!$AB$49="Alta",'Mapa final'!$AD$49="Catastrófico"),CONCATENATE("R7C",'Mapa final'!$R$49),"")</f>
        <v/>
      </c>
      <c r="AM22" s="41" t="str">
        <f>IF(AND('Mapa final'!$AB$50="Alta",'Mapa final'!$AD$50="Catastrófico"),CONCATENATE("R7C",'Mapa final'!$R$50),"")</f>
        <v/>
      </c>
      <c r="AN22" s="67"/>
      <c r="AO22" s="587"/>
      <c r="AP22" s="588"/>
      <c r="AQ22" s="588"/>
      <c r="AR22" s="588"/>
      <c r="AS22" s="588"/>
      <c r="AT22" s="58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498"/>
      <c r="C23" s="498"/>
      <c r="D23" s="499"/>
      <c r="E23" s="597"/>
      <c r="F23" s="596"/>
      <c r="G23" s="596"/>
      <c r="H23" s="596"/>
      <c r="I23" s="596"/>
      <c r="J23" s="51" t="str">
        <f>IF(AND('Mapa final'!$AB$51="Alta",'Mapa final'!$AD$51="Leve"),CONCATENATE("R8C",'Mapa final'!$R$51),"")</f>
        <v/>
      </c>
      <c r="K23" s="52" t="str">
        <f>IF(AND('Mapa final'!$AB$52="Alta",'Mapa final'!$AD$52="Leve"),CONCATENATE("R8C",'Mapa final'!$R$52),"")</f>
        <v/>
      </c>
      <c r="L23" s="52" t="str">
        <f>IF(AND('Mapa final'!$AB$53="Alta",'Mapa final'!$AD$53="Leve"),CONCATENATE("R8C",'Mapa final'!$R$53),"")</f>
        <v/>
      </c>
      <c r="M23" s="52" t="str">
        <f>IF(AND('Mapa final'!$AB$54="Alta",'Mapa final'!$AD$54="Leve"),CONCATENATE("R8C",'Mapa final'!$R$54),"")</f>
        <v/>
      </c>
      <c r="N23" s="52" t="str">
        <f>IF(AND('Mapa final'!$AB$55="Alta",'Mapa final'!$AD$55="Leve"),CONCATENATE("R8C",'Mapa final'!$R$55),"")</f>
        <v/>
      </c>
      <c r="O23" s="53" t="str">
        <f>IF(AND('Mapa final'!$AB$56="Alta",'Mapa final'!$AD$56="Leve"),CONCATENATE("R8C",'Mapa final'!$R$56),"")</f>
        <v/>
      </c>
      <c r="P23" s="51" t="str">
        <f>IF(AND('Mapa final'!$AB$51="Alta",'Mapa final'!$AD$51="Menor"),CONCATENATE("R8C",'Mapa final'!$R$51),"")</f>
        <v/>
      </c>
      <c r="Q23" s="52" t="str">
        <f>IF(AND('Mapa final'!$AB$52="Alta",'Mapa final'!$AD$52="Menor"),CONCATENATE("R8C",'Mapa final'!$R$52),"")</f>
        <v/>
      </c>
      <c r="R23" s="52" t="str">
        <f>IF(AND('Mapa final'!$AB$53="Alta",'Mapa final'!$AD$53="Menor"),CONCATENATE("R8C",'Mapa final'!$R$53),"")</f>
        <v/>
      </c>
      <c r="S23" s="52" t="str">
        <f>IF(AND('Mapa final'!$AB$54="Alta",'Mapa final'!$AD$54="Menor"),CONCATENATE("R8C",'Mapa final'!$R$54),"")</f>
        <v/>
      </c>
      <c r="T23" s="52" t="str">
        <f>IF(AND('Mapa final'!$AB$55="Alta",'Mapa final'!$AD$55="Menor"),CONCATENATE("R8C",'Mapa final'!$R$55),"")</f>
        <v/>
      </c>
      <c r="U23" s="53" t="str">
        <f>IF(AND('Mapa final'!$AB$56="Alta",'Mapa final'!$AD$56="Menor"),CONCATENATE("R8C",'Mapa final'!$R$56),"")</f>
        <v/>
      </c>
      <c r="V23" s="36" t="str">
        <f>IF(AND('Mapa final'!$AB$51="Alta",'Mapa final'!$AD$51="Moderado"),CONCATENATE("R8C",'Mapa final'!$R$51),"")</f>
        <v/>
      </c>
      <c r="W23" s="37" t="str">
        <f>IF(AND('Mapa final'!$AB$52="Alta",'Mapa final'!$AD$52="Moderado"),CONCATENATE("R8C",'Mapa final'!$R$52),"")</f>
        <v/>
      </c>
      <c r="X23" s="37" t="str">
        <f>IF(AND('Mapa final'!$AB$53="Alta",'Mapa final'!$AD$53="Moderado"),CONCATENATE("R8C",'Mapa final'!$R$53),"")</f>
        <v/>
      </c>
      <c r="Y23" s="37" t="str">
        <f>IF(AND('Mapa final'!$AB$54="Alta",'Mapa final'!$AD$54="Moderado"),CONCATENATE("R8C",'Mapa final'!$R$54),"")</f>
        <v/>
      </c>
      <c r="Z23" s="37" t="str">
        <f>IF(AND('Mapa final'!$AB$55="Alta",'Mapa final'!$AD$55="Moderado"),CONCATENATE("R8C",'Mapa final'!$R$55),"")</f>
        <v/>
      </c>
      <c r="AA23" s="38" t="str">
        <f>IF(AND('Mapa final'!$AB$56="Alta",'Mapa final'!$AD$56="Moderado"),CONCATENATE("R8C",'Mapa final'!$R$56),"")</f>
        <v/>
      </c>
      <c r="AB23" s="36" t="str">
        <f>IF(AND('Mapa final'!$AB$51="Alta",'Mapa final'!$AD$51="Mayor"),CONCATENATE("R8C",'Mapa final'!$R$51),"")</f>
        <v/>
      </c>
      <c r="AC23" s="37" t="str">
        <f>IF(AND('Mapa final'!$AB$52="Alta",'Mapa final'!$AD$52="Mayor"),CONCATENATE("R8C",'Mapa final'!$R$52),"")</f>
        <v/>
      </c>
      <c r="AD23" s="37" t="str">
        <f>IF(AND('Mapa final'!$AB$53="Alta",'Mapa final'!$AD$53="Mayor"),CONCATENATE("R8C",'Mapa final'!$R$53),"")</f>
        <v/>
      </c>
      <c r="AE23" s="37" t="str">
        <f>IF(AND('Mapa final'!$AB$54="Alta",'Mapa final'!$AD$54="Mayor"),CONCATENATE("R8C",'Mapa final'!$R$54),"")</f>
        <v/>
      </c>
      <c r="AF23" s="37" t="str">
        <f>IF(AND('Mapa final'!$AB$55="Alta",'Mapa final'!$AD$55="Mayor"),CONCATENATE("R8C",'Mapa final'!$R$55),"")</f>
        <v/>
      </c>
      <c r="AG23" s="38" t="str">
        <f>IF(AND('Mapa final'!$AB$56="Alta",'Mapa final'!$AD$56="Mayor"),CONCATENATE("R8C",'Mapa final'!$R$56),"")</f>
        <v/>
      </c>
      <c r="AH23" s="39" t="str">
        <f>IF(AND('Mapa final'!$AB$51="Alta",'Mapa final'!$AD$51="Catastrófico"),CONCATENATE("R8C",'Mapa final'!$R$51),"")</f>
        <v/>
      </c>
      <c r="AI23" s="40" t="str">
        <f>IF(AND('Mapa final'!$AB$52="Alta",'Mapa final'!$AD$52="Catastrófico"),CONCATENATE("R8C",'Mapa final'!$R$52),"")</f>
        <v/>
      </c>
      <c r="AJ23" s="40" t="str">
        <f>IF(AND('Mapa final'!$AB$53="Alta",'Mapa final'!$AD$53="Catastrófico"),CONCATENATE("R8C",'Mapa final'!$R$53),"")</f>
        <v/>
      </c>
      <c r="AK23" s="40" t="str">
        <f>IF(AND('Mapa final'!$AB$54="Alta",'Mapa final'!$AD$54="Catastrófico"),CONCATENATE("R8C",'Mapa final'!$R$54),"")</f>
        <v/>
      </c>
      <c r="AL23" s="40" t="str">
        <f>IF(AND('Mapa final'!$AB$55="Alta",'Mapa final'!$AD$55="Catastrófico"),CONCATENATE("R8C",'Mapa final'!$R$55),"")</f>
        <v/>
      </c>
      <c r="AM23" s="41" t="str">
        <f>IF(AND('Mapa final'!$AB$56="Alta",'Mapa final'!$AD$56="Catastrófico"),CONCATENATE("R8C",'Mapa final'!$R$56),"")</f>
        <v/>
      </c>
      <c r="AN23" s="67"/>
      <c r="AO23" s="587"/>
      <c r="AP23" s="588"/>
      <c r="AQ23" s="588"/>
      <c r="AR23" s="588"/>
      <c r="AS23" s="588"/>
      <c r="AT23" s="58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498"/>
      <c r="C24" s="498"/>
      <c r="D24" s="499"/>
      <c r="E24" s="597"/>
      <c r="F24" s="596"/>
      <c r="G24" s="596"/>
      <c r="H24" s="596"/>
      <c r="I24" s="596"/>
      <c r="J24" s="51" t="str">
        <f>IF(AND('Mapa final'!$AB$57="Alta",'Mapa final'!$AD$57="Leve"),CONCATENATE("R9C",'Mapa final'!$R$57),"")</f>
        <v/>
      </c>
      <c r="K24" s="52" t="str">
        <f>IF(AND('Mapa final'!$AB$58="Alta",'Mapa final'!$AD$58="Leve"),CONCATENATE("R9C",'Mapa final'!$R$58),"")</f>
        <v/>
      </c>
      <c r="L24" s="52" t="str">
        <f>IF(AND('Mapa final'!$AB$59="Alta",'Mapa final'!$AD$59="Leve"),CONCATENATE("R9C",'Mapa final'!$R$59),"")</f>
        <v/>
      </c>
      <c r="M24" s="52" t="str">
        <f>IF(AND('Mapa final'!$AB$60="Alta",'Mapa final'!$AD$60="Leve"),CONCATENATE("R9C",'Mapa final'!$R$60),"")</f>
        <v/>
      </c>
      <c r="N24" s="52" t="str">
        <f>IF(AND('Mapa final'!$AB$61="Alta",'Mapa final'!$AD$61="Leve"),CONCATENATE("R9C",'Mapa final'!$R$61),"")</f>
        <v/>
      </c>
      <c r="O24" s="53" t="str">
        <f>IF(AND('Mapa final'!$AB$62="Alta",'Mapa final'!$AD$62="Leve"),CONCATENATE("R9C",'Mapa final'!$R$62),"")</f>
        <v/>
      </c>
      <c r="P24" s="51" t="str">
        <f>IF(AND('Mapa final'!$AB$57="Alta",'Mapa final'!$AD$57="Menor"),CONCATENATE("R9C",'Mapa final'!$R$57),"")</f>
        <v/>
      </c>
      <c r="Q24" s="52" t="str">
        <f>IF(AND('Mapa final'!$AB$58="Alta",'Mapa final'!$AD$58="Menor"),CONCATENATE("R9C",'Mapa final'!$R$58),"")</f>
        <v/>
      </c>
      <c r="R24" s="52" t="str">
        <f>IF(AND('Mapa final'!$AB$59="Alta",'Mapa final'!$AD$59="Menor"),CONCATENATE("R9C",'Mapa final'!$R$59),"")</f>
        <v/>
      </c>
      <c r="S24" s="52" t="str">
        <f>IF(AND('Mapa final'!$AB$60="Alta",'Mapa final'!$AD$60="Menor"),CONCATENATE("R9C",'Mapa final'!$R$60),"")</f>
        <v/>
      </c>
      <c r="T24" s="52" t="str">
        <f>IF(AND('Mapa final'!$AB$61="Alta",'Mapa final'!$AD$61="Menor"),CONCATENATE("R9C",'Mapa final'!$R$61),"")</f>
        <v/>
      </c>
      <c r="U24" s="53" t="str">
        <f>IF(AND('Mapa final'!$AB$62="Alta",'Mapa final'!$AD$62="Menor"),CONCATENATE("R9C",'Mapa final'!$R$62),"")</f>
        <v/>
      </c>
      <c r="V24" s="36" t="str">
        <f>IF(AND('Mapa final'!$AB$57="Alta",'Mapa final'!$AD$57="Moderado"),CONCATENATE("R9C",'Mapa final'!$R$57),"")</f>
        <v/>
      </c>
      <c r="W24" s="37" t="str">
        <f>IF(AND('Mapa final'!$AB$58="Alta",'Mapa final'!$AD$58="Moderado"),CONCATENATE("R9C",'Mapa final'!$R$58),"")</f>
        <v/>
      </c>
      <c r="X24" s="37" t="str">
        <f>IF(AND('Mapa final'!$AB$59="Alta",'Mapa final'!$AD$59="Moderado"),CONCATENATE("R9C",'Mapa final'!$R$59),"")</f>
        <v/>
      </c>
      <c r="Y24" s="37" t="str">
        <f>IF(AND('Mapa final'!$AB$60="Alta",'Mapa final'!$AD$60="Moderado"),CONCATENATE("R9C",'Mapa final'!$R$60),"")</f>
        <v/>
      </c>
      <c r="Z24" s="37" t="str">
        <f>IF(AND('Mapa final'!$AB$61="Alta",'Mapa final'!$AD$61="Moderado"),CONCATENATE("R9C",'Mapa final'!$R$61),"")</f>
        <v/>
      </c>
      <c r="AA24" s="38" t="str">
        <f>IF(AND('Mapa final'!$AB$62="Alta",'Mapa final'!$AD$62="Moderado"),CONCATENATE("R9C",'Mapa final'!$R$62),"")</f>
        <v/>
      </c>
      <c r="AB24" s="36" t="str">
        <f>IF(AND('Mapa final'!$AB$57="Alta",'Mapa final'!$AD$57="Mayor"),CONCATENATE("R9C",'Mapa final'!$R$57),"")</f>
        <v/>
      </c>
      <c r="AC24" s="37" t="str">
        <f>IF(AND('Mapa final'!$AB$58="Alta",'Mapa final'!$AD$58="Mayor"),CONCATENATE("R9C",'Mapa final'!$R$58),"")</f>
        <v/>
      </c>
      <c r="AD24" s="37" t="str">
        <f>IF(AND('Mapa final'!$AB$59="Alta",'Mapa final'!$AD$59="Mayor"),CONCATENATE("R9C",'Mapa final'!$R$59),"")</f>
        <v/>
      </c>
      <c r="AE24" s="37" t="str">
        <f>IF(AND('Mapa final'!$AB$60="Alta",'Mapa final'!$AD$60="Mayor"),CONCATENATE("R9C",'Mapa final'!$R$60),"")</f>
        <v/>
      </c>
      <c r="AF24" s="37" t="str">
        <f>IF(AND('Mapa final'!$AB$61="Alta",'Mapa final'!$AD$61="Mayor"),CONCATENATE("R9C",'Mapa final'!$R$61),"")</f>
        <v/>
      </c>
      <c r="AG24" s="38" t="str">
        <f>IF(AND('Mapa final'!$AB$62="Alta",'Mapa final'!$AD$62="Mayor"),CONCATENATE("R9C",'Mapa final'!$R$62),"")</f>
        <v/>
      </c>
      <c r="AH24" s="39" t="str">
        <f>IF(AND('Mapa final'!$AB$57="Alta",'Mapa final'!$AD$57="Catastrófico"),CONCATENATE("R9C",'Mapa final'!$R$57),"")</f>
        <v/>
      </c>
      <c r="AI24" s="40" t="str">
        <f>IF(AND('Mapa final'!$AB$58="Alta",'Mapa final'!$AD$58="Catastrófico"),CONCATENATE("R9C",'Mapa final'!$R$58),"")</f>
        <v/>
      </c>
      <c r="AJ24" s="40" t="str">
        <f>IF(AND('Mapa final'!$AB$59="Alta",'Mapa final'!$AD$59="Catastrófico"),CONCATENATE("R9C",'Mapa final'!$R$59),"")</f>
        <v/>
      </c>
      <c r="AK24" s="40" t="str">
        <f>IF(AND('Mapa final'!$AB$60="Alta",'Mapa final'!$AD$60="Catastrófico"),CONCATENATE("R9C",'Mapa final'!$R$60),"")</f>
        <v/>
      </c>
      <c r="AL24" s="40" t="str">
        <f>IF(AND('Mapa final'!$AB$61="Alta",'Mapa final'!$AD$61="Catastrófico"),CONCATENATE("R9C",'Mapa final'!$R$61),"")</f>
        <v/>
      </c>
      <c r="AM24" s="41" t="str">
        <f>IF(AND('Mapa final'!$AB$62="Alta",'Mapa final'!$AD$62="Catastrófico"),CONCATENATE("R9C",'Mapa final'!$R$62),"")</f>
        <v/>
      </c>
      <c r="AN24" s="67"/>
      <c r="AO24" s="587"/>
      <c r="AP24" s="588"/>
      <c r="AQ24" s="588"/>
      <c r="AR24" s="588"/>
      <c r="AS24" s="588"/>
      <c r="AT24" s="58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498"/>
      <c r="C25" s="498"/>
      <c r="D25" s="499"/>
      <c r="E25" s="598"/>
      <c r="F25" s="599"/>
      <c r="G25" s="599"/>
      <c r="H25" s="599"/>
      <c r="I25" s="599"/>
      <c r="J25" s="54" t="str">
        <f>IF(AND('Mapa final'!$AB$63="Alta",'Mapa final'!$AD$63="Leve"),CONCATENATE("R10C",'Mapa final'!$R$63),"")</f>
        <v/>
      </c>
      <c r="K25" s="55" t="str">
        <f>IF(AND('Mapa final'!$AB$64="Alta",'Mapa final'!$AD$64="Leve"),CONCATENATE("R10C",'Mapa final'!$R$64),"")</f>
        <v/>
      </c>
      <c r="L25" s="55" t="str">
        <f>IF(AND('Mapa final'!$AB$65="Alta",'Mapa final'!$AD$65="Leve"),CONCATENATE("R10C",'Mapa final'!$R$65),"")</f>
        <v/>
      </c>
      <c r="M25" s="55" t="str">
        <f>IF(AND('Mapa final'!$AB$66="Alta",'Mapa final'!$AD$66="Leve"),CONCATENATE("R10C",'Mapa final'!$R$66),"")</f>
        <v/>
      </c>
      <c r="N25" s="55" t="str">
        <f>IF(AND('Mapa final'!$AB$67="Alta",'Mapa final'!$AD$67="Leve"),CONCATENATE("R10C",'Mapa final'!$R$67),"")</f>
        <v/>
      </c>
      <c r="O25" s="56" t="str">
        <f>IF(AND('Mapa final'!$AB$68="Alta",'Mapa final'!$AD$68="Leve"),CONCATENATE("R10C",'Mapa final'!$R$68),"")</f>
        <v/>
      </c>
      <c r="P25" s="54" t="str">
        <f>IF(AND('Mapa final'!$AB$63="Alta",'Mapa final'!$AD$63="Menor"),CONCATENATE("R10C",'Mapa final'!$R$63),"")</f>
        <v/>
      </c>
      <c r="Q25" s="55" t="str">
        <f>IF(AND('Mapa final'!$AB$64="Alta",'Mapa final'!$AD$64="Menor"),CONCATENATE("R10C",'Mapa final'!$R$64),"")</f>
        <v/>
      </c>
      <c r="R25" s="55" t="str">
        <f>IF(AND('Mapa final'!$AB$65="Alta",'Mapa final'!$AD$65="Menor"),CONCATENATE("R10C",'Mapa final'!$R$65),"")</f>
        <v/>
      </c>
      <c r="S25" s="55" t="str">
        <f>IF(AND('Mapa final'!$AB$66="Alta",'Mapa final'!$AD$66="Menor"),CONCATENATE("R10C",'Mapa final'!$R$66),"")</f>
        <v/>
      </c>
      <c r="T25" s="55" t="str">
        <f>IF(AND('Mapa final'!$AB$67="Alta",'Mapa final'!$AD$67="Menor"),CONCATENATE("R10C",'Mapa final'!$R$67),"")</f>
        <v/>
      </c>
      <c r="U25" s="56" t="str">
        <f>IF(AND('Mapa final'!$AB$68="Alta",'Mapa final'!$AD$68="Menor"),CONCATENATE("R10C",'Mapa final'!$R$68),"")</f>
        <v/>
      </c>
      <c r="V25" s="42" t="str">
        <f>IF(AND('Mapa final'!$AB$63="Alta",'Mapa final'!$AD$63="Moderado"),CONCATENATE("R10C",'Mapa final'!$R$63),"")</f>
        <v/>
      </c>
      <c r="W25" s="43" t="str">
        <f>IF(AND('Mapa final'!$AB$64="Alta",'Mapa final'!$AD$64="Moderado"),CONCATENATE("R10C",'Mapa final'!$R$64),"")</f>
        <v/>
      </c>
      <c r="X25" s="43" t="str">
        <f>IF(AND('Mapa final'!$AB$65="Alta",'Mapa final'!$AD$65="Moderado"),CONCATENATE("R10C",'Mapa final'!$R$65),"")</f>
        <v/>
      </c>
      <c r="Y25" s="43" t="str">
        <f>IF(AND('Mapa final'!$AB$66="Alta",'Mapa final'!$AD$66="Moderado"),CONCATENATE("R10C",'Mapa final'!$R$66),"")</f>
        <v/>
      </c>
      <c r="Z25" s="43" t="str">
        <f>IF(AND('Mapa final'!$AB$67="Alta",'Mapa final'!$AD$67="Moderado"),CONCATENATE("R10C",'Mapa final'!$R$67),"")</f>
        <v/>
      </c>
      <c r="AA25" s="44" t="str">
        <f>IF(AND('Mapa final'!$AB$68="Alta",'Mapa final'!$AD$68="Moderado"),CONCATENATE("R10C",'Mapa final'!$R$68),"")</f>
        <v/>
      </c>
      <c r="AB25" s="42" t="str">
        <f>IF(AND('Mapa final'!$AB$63="Alta",'Mapa final'!$AD$63="Mayor"),CONCATENATE("R10C",'Mapa final'!$R$63),"")</f>
        <v/>
      </c>
      <c r="AC25" s="43" t="str">
        <f>IF(AND('Mapa final'!$AB$64="Alta",'Mapa final'!$AD$64="Mayor"),CONCATENATE("R10C",'Mapa final'!$R$64),"")</f>
        <v/>
      </c>
      <c r="AD25" s="43" t="str">
        <f>IF(AND('Mapa final'!$AB$65="Alta",'Mapa final'!$AD$65="Mayor"),CONCATENATE("R10C",'Mapa final'!$R$65),"")</f>
        <v/>
      </c>
      <c r="AE25" s="43" t="str">
        <f>IF(AND('Mapa final'!$AB$66="Alta",'Mapa final'!$AD$66="Mayor"),CONCATENATE("R10C",'Mapa final'!$R$66),"")</f>
        <v/>
      </c>
      <c r="AF25" s="43" t="str">
        <f>IF(AND('Mapa final'!$AB$67="Alta",'Mapa final'!$AD$67="Mayor"),CONCATENATE("R10C",'Mapa final'!$R$67),"")</f>
        <v/>
      </c>
      <c r="AG25" s="44" t="str">
        <f>IF(AND('Mapa final'!$AB$68="Alta",'Mapa final'!$AD$68="Mayor"),CONCATENATE("R10C",'Mapa final'!$R$68),"")</f>
        <v/>
      </c>
      <c r="AH25" s="45" t="str">
        <f>IF(AND('Mapa final'!$AB$63="Alta",'Mapa final'!$AD$63="Catastrófico"),CONCATENATE("R10C",'Mapa final'!$R$63),"")</f>
        <v/>
      </c>
      <c r="AI25" s="46" t="str">
        <f>IF(AND('Mapa final'!$AB$64="Alta",'Mapa final'!$AD$64="Catastrófico"),CONCATENATE("R10C",'Mapa final'!$R$64),"")</f>
        <v/>
      </c>
      <c r="AJ25" s="46" t="str">
        <f>IF(AND('Mapa final'!$AB$65="Alta",'Mapa final'!$AD$65="Catastrófico"),CONCATENATE("R10C",'Mapa final'!$R$65),"")</f>
        <v/>
      </c>
      <c r="AK25" s="46" t="str">
        <f>IF(AND('Mapa final'!$AB$66="Alta",'Mapa final'!$AD$66="Catastrófico"),CONCATENATE("R10C",'Mapa final'!$R$66),"")</f>
        <v/>
      </c>
      <c r="AL25" s="46" t="str">
        <f>IF(AND('Mapa final'!$AB$67="Alta",'Mapa final'!$AD$67="Catastrófico"),CONCATENATE("R10C",'Mapa final'!$R$67),"")</f>
        <v/>
      </c>
      <c r="AM25" s="47" t="str">
        <f>IF(AND('Mapa final'!$AB$68="Alta",'Mapa final'!$AD$68="Catastrófico"),CONCATENATE("R10C",'Mapa final'!$R$68),"")</f>
        <v/>
      </c>
      <c r="AN25" s="67"/>
      <c r="AO25" s="590"/>
      <c r="AP25" s="591"/>
      <c r="AQ25" s="591"/>
      <c r="AR25" s="591"/>
      <c r="AS25" s="591"/>
      <c r="AT25" s="59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498"/>
      <c r="C26" s="498"/>
      <c r="D26" s="499"/>
      <c r="E26" s="593" t="s">
        <v>112</v>
      </c>
      <c r="F26" s="594"/>
      <c r="G26" s="594"/>
      <c r="H26" s="594"/>
      <c r="I26" s="611"/>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e">
        <f>IF(AND('Mapa final'!#REF!="Media",'Mapa final'!#REF!="Leve"),CONCATENATE("R1C",'Mapa final'!#REF!),"")</f>
        <v>#REF!</v>
      </c>
      <c r="O26" s="50" t="str">
        <f>IF(AND('Mapa final'!$AB$14="Media",'Mapa final'!$AD$14="Leve"),CONCATENATE("R1C",'Mapa final'!$R$14),"")</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R1C3</v>
      </c>
      <c r="S26" s="49" t="str">
        <f>IF(AND('Mapa final'!$AB$13="Media",'Mapa final'!$AD$13="Menor"),CONCATENATE("R1C",'Mapa final'!$R$13),"")</f>
        <v>R1C4</v>
      </c>
      <c r="T26" s="49" t="e">
        <f>IF(AND('Mapa final'!#REF!="Media",'Mapa final'!#REF!="Menor"),CONCATENATE("R1C",'Mapa final'!#REF!),"")</f>
        <v>#REF!</v>
      </c>
      <c r="U26" s="50" t="str">
        <f>IF(AND('Mapa final'!$AB$14="Media",'Mapa final'!$AD$14="Menor"),CONCATENATE("R1C",'Mapa final'!$R$14),"")</f>
        <v/>
      </c>
      <c r="V26" s="48" t="str">
        <f>IF(AND('Mapa final'!$AB$10="Media",'Mapa final'!$AD$10="Moderado"),CONCATENATE("R1C",'Mapa final'!$R$10),"")</f>
        <v>R1C1</v>
      </c>
      <c r="W26" s="49" t="str">
        <f>IF(AND('Mapa final'!$AB$11="Media",'Mapa final'!$AD$11="Moderado"),CONCATENATE("R1C",'Mapa final'!$R$11),"")</f>
        <v>R1C2</v>
      </c>
      <c r="X26" s="49" t="str">
        <f>IF(AND('Mapa final'!$AB$12="Media",'Mapa final'!$AD$12="Moderado"),CONCATENATE("R1C",'Mapa final'!$R$12),"")</f>
        <v/>
      </c>
      <c r="Y26" s="49" t="str">
        <f>IF(AND('Mapa final'!$AB$13="Media",'Mapa final'!$AD$13="Moderado"),CONCATENATE("R1C",'Mapa final'!$R$13),"")</f>
        <v/>
      </c>
      <c r="Z26" s="49" t="e">
        <f>IF(AND('Mapa final'!#REF!="Media",'Mapa final'!#REF!="Moderado"),CONCATENATE("R1C",'Mapa final'!#REF!),"")</f>
        <v>#REF!</v>
      </c>
      <c r="AA26" s="50" t="str">
        <f>IF(AND('Mapa final'!$AB$14="Media",'Mapa final'!$AD$14="Moderado"),CONCATENATE("R1C",'Mapa final'!$R$14),"")</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e">
        <f>IF(AND('Mapa final'!#REF!="Media",'Mapa final'!#REF!="Mayor"),CONCATENATE("R1C",'Mapa final'!#REF!),"")</f>
        <v>#REF!</v>
      </c>
      <c r="AG26" s="32" t="str">
        <f>IF(AND('Mapa final'!$AB$14="Media",'Mapa final'!$AD$14="Mayor"),CONCATENATE("R1C",'Mapa final'!$R$14),"")</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e">
        <f>IF(AND('Mapa final'!#REF!="Media",'Mapa final'!#REF!="Catastrófico"),CONCATENATE("R1C",'Mapa final'!#REF!),"")</f>
        <v>#REF!</v>
      </c>
      <c r="AM26" s="35" t="str">
        <f>IF(AND('Mapa final'!$AB$14="Media",'Mapa final'!$AD$14="Catastrófico"),CONCATENATE("R1C",'Mapa final'!$R$14),"")</f>
        <v/>
      </c>
      <c r="AN26" s="67"/>
      <c r="AO26" s="623" t="s">
        <v>80</v>
      </c>
      <c r="AP26" s="624"/>
      <c r="AQ26" s="624"/>
      <c r="AR26" s="624"/>
      <c r="AS26" s="624"/>
      <c r="AT26" s="62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498"/>
      <c r="C27" s="498"/>
      <c r="D27" s="499"/>
      <c r="E27" s="595"/>
      <c r="F27" s="596"/>
      <c r="G27" s="596"/>
      <c r="H27" s="596"/>
      <c r="I27" s="612"/>
      <c r="J27" s="51" t="str">
        <f>IF(AND('Mapa final'!$AB$15="Media",'Mapa final'!$AD$15="Leve"),CONCATENATE("R2C",'Mapa final'!$R$15),"")</f>
        <v/>
      </c>
      <c r="K27" s="52" t="str">
        <f>IF(AND('Mapa final'!$AB$16="Media",'Mapa final'!$AD$16="Leve"),CONCATENATE("R2C",'Mapa final'!$R$16),"")</f>
        <v/>
      </c>
      <c r="L27" s="52" t="str">
        <f>IF(AND('Mapa final'!$AB$17="Media",'Mapa final'!$AD$17="Leve"),CONCATENATE("R2C",'Mapa final'!$R$17),"")</f>
        <v/>
      </c>
      <c r="M27" s="52" t="str">
        <f>IF(AND('Mapa final'!$AB$18="Media",'Mapa final'!$AD$18="Leve"),CONCATENATE("R2C",'Mapa final'!$R$18),"")</f>
        <v/>
      </c>
      <c r="N27" s="52" t="str">
        <f>IF(AND('Mapa final'!$AB$19="Media",'Mapa final'!$AD$19="Leve"),CONCATENATE("R2C",'Mapa final'!$R$19),"")</f>
        <v/>
      </c>
      <c r="O27" s="53" t="str">
        <f>IF(AND('Mapa final'!$AB$20="Media",'Mapa final'!$AD$20="Leve"),CONCATENATE("R2C",'Mapa final'!$R$20),"")</f>
        <v/>
      </c>
      <c r="P27" s="51" t="str">
        <f>IF(AND('Mapa final'!$AB$15="Media",'Mapa final'!$AD$15="Menor"),CONCATENATE("R2C",'Mapa final'!$R$15),"")</f>
        <v/>
      </c>
      <c r="Q27" s="52" t="str">
        <f>IF(AND('Mapa final'!$AB$16="Media",'Mapa final'!$AD$16="Menor"),CONCATENATE("R2C",'Mapa final'!$R$16),"")</f>
        <v/>
      </c>
      <c r="R27" s="52" t="str">
        <f>IF(AND('Mapa final'!$AB$17="Media",'Mapa final'!$AD$17="Menor"),CONCATENATE("R2C",'Mapa final'!$R$17),"")</f>
        <v/>
      </c>
      <c r="S27" s="52" t="str">
        <f>IF(AND('Mapa final'!$AB$18="Media",'Mapa final'!$AD$18="Menor"),CONCATENATE("R2C",'Mapa final'!$R$18),"")</f>
        <v/>
      </c>
      <c r="T27" s="52" t="str">
        <f>IF(AND('Mapa final'!$AB$19="Media",'Mapa final'!$AD$19="Menor"),CONCATENATE("R2C",'Mapa final'!$R$19),"")</f>
        <v/>
      </c>
      <c r="U27" s="53" t="str">
        <f>IF(AND('Mapa final'!$AB$20="Media",'Mapa final'!$AD$20="Menor"),CONCATENATE("R2C",'Mapa final'!$R$20),"")</f>
        <v/>
      </c>
      <c r="V27" s="51" t="str">
        <f>IF(AND('Mapa final'!$AB$15="Media",'Mapa final'!$AD$15="Moderado"),CONCATENATE("R2C",'Mapa final'!$R$15),"")</f>
        <v/>
      </c>
      <c r="W27" s="52" t="str">
        <f>IF(AND('Mapa final'!$AB$16="Media",'Mapa final'!$AD$16="Moderado"),CONCATENATE("R2C",'Mapa final'!$R$16),"")</f>
        <v/>
      </c>
      <c r="X27" s="52" t="str">
        <f>IF(AND('Mapa final'!$AB$17="Media",'Mapa final'!$AD$17="Moderado"),CONCATENATE("R2C",'Mapa final'!$R$17),"")</f>
        <v/>
      </c>
      <c r="Y27" s="52" t="str">
        <f>IF(AND('Mapa final'!$AB$18="Media",'Mapa final'!$AD$18="Moderado"),CONCATENATE("R2C",'Mapa final'!$R$18),"")</f>
        <v/>
      </c>
      <c r="Z27" s="52" t="str">
        <f>IF(AND('Mapa final'!$AB$19="Media",'Mapa final'!$AD$19="Moderado"),CONCATENATE("R2C",'Mapa final'!$R$19),"")</f>
        <v/>
      </c>
      <c r="AA27" s="53" t="str">
        <f>IF(AND('Mapa final'!$AB$20="Media",'Mapa final'!$AD$20="Moderado"),CONCATENATE("R2C",'Mapa final'!$R$20),"")</f>
        <v/>
      </c>
      <c r="AB27" s="36" t="str">
        <f>IF(AND('Mapa final'!$AB$15="Media",'Mapa final'!$AD$15="Mayor"),CONCATENATE("R2C",'Mapa final'!$R$15),"")</f>
        <v/>
      </c>
      <c r="AC27" s="37" t="str">
        <f>IF(AND('Mapa final'!$AB$16="Media",'Mapa final'!$AD$16="Mayor"),CONCATENATE("R2C",'Mapa final'!$R$16),"")</f>
        <v/>
      </c>
      <c r="AD27" s="37" t="str">
        <f>IF(AND('Mapa final'!$AB$17="Media",'Mapa final'!$AD$17="Mayor"),CONCATENATE("R2C",'Mapa final'!$R$17),"")</f>
        <v/>
      </c>
      <c r="AE27" s="37" t="str">
        <f>IF(AND('Mapa final'!$AB$18="Media",'Mapa final'!$AD$18="Mayor"),CONCATENATE("R2C",'Mapa final'!$R$18),"")</f>
        <v/>
      </c>
      <c r="AF27" s="37" t="str">
        <f>IF(AND('Mapa final'!$AB$19="Media",'Mapa final'!$AD$19="Mayor"),CONCATENATE("R2C",'Mapa final'!$R$19),"")</f>
        <v/>
      </c>
      <c r="AG27" s="38" t="str">
        <f>IF(AND('Mapa final'!$AB$20="Media",'Mapa final'!$AD$20="Mayor"),CONCATENATE("R2C",'Mapa final'!$R$20),"")</f>
        <v/>
      </c>
      <c r="AH27" s="39" t="str">
        <f>IF(AND('Mapa final'!$AB$15="Media",'Mapa final'!$AD$15="Catastrófico"),CONCATENATE("R2C",'Mapa final'!$R$15),"")</f>
        <v/>
      </c>
      <c r="AI27" s="40" t="str">
        <f>IF(AND('Mapa final'!$AB$16="Media",'Mapa final'!$AD$16="Catastrófico"),CONCATENATE("R2C",'Mapa final'!$R$16),"")</f>
        <v/>
      </c>
      <c r="AJ27" s="40" t="str">
        <f>IF(AND('Mapa final'!$AB$17="Media",'Mapa final'!$AD$17="Catastrófico"),CONCATENATE("R2C",'Mapa final'!$R$17),"")</f>
        <v/>
      </c>
      <c r="AK27" s="40" t="str">
        <f>IF(AND('Mapa final'!$AB$18="Media",'Mapa final'!$AD$18="Catastrófico"),CONCATENATE("R2C",'Mapa final'!$R$18),"")</f>
        <v/>
      </c>
      <c r="AL27" s="40" t="str">
        <f>IF(AND('Mapa final'!$AB$19="Media",'Mapa final'!$AD$19="Catastrófico"),CONCATENATE("R2C",'Mapa final'!$R$19),"")</f>
        <v/>
      </c>
      <c r="AM27" s="41" t="str">
        <f>IF(AND('Mapa final'!$AB$20="Media",'Mapa final'!$AD$20="Catastrófico"),CONCATENATE("R2C",'Mapa final'!$R$20),"")</f>
        <v/>
      </c>
      <c r="AN27" s="67"/>
      <c r="AO27" s="626"/>
      <c r="AP27" s="627"/>
      <c r="AQ27" s="627"/>
      <c r="AR27" s="627"/>
      <c r="AS27" s="627"/>
      <c r="AT27" s="62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498"/>
      <c r="C28" s="498"/>
      <c r="D28" s="499"/>
      <c r="E28" s="597"/>
      <c r="F28" s="596"/>
      <c r="G28" s="596"/>
      <c r="H28" s="596"/>
      <c r="I28" s="612"/>
      <c r="J28" s="51" t="str">
        <f>IF(AND('Mapa final'!$AB$21="Media",'Mapa final'!$AD$21="Leve"),CONCATENATE("R3C",'Mapa final'!$R$21),"")</f>
        <v/>
      </c>
      <c r="K28" s="52" t="str">
        <f>IF(AND('Mapa final'!$AB$22="Media",'Mapa final'!$AD$22="Leve"),CONCATENATE("R3C",'Mapa final'!$R$22),"")</f>
        <v/>
      </c>
      <c r="L28" s="52" t="str">
        <f>IF(AND('Mapa final'!$AB$23="Media",'Mapa final'!$AD$23="Leve"),CONCATENATE("R3C",'Mapa final'!$R$23),"")</f>
        <v/>
      </c>
      <c r="M28" s="52" t="str">
        <f>IF(AND('Mapa final'!$AB$24="Media",'Mapa final'!$AD$24="Leve"),CONCATENATE("R3C",'Mapa final'!$R$24),"")</f>
        <v/>
      </c>
      <c r="N28" s="52" t="str">
        <f>IF(AND('Mapa final'!$AB$25="Media",'Mapa final'!$AD$25="Leve"),CONCATENATE("R3C",'Mapa final'!$R$25),"")</f>
        <v/>
      </c>
      <c r="O28" s="53" t="str">
        <f>IF(AND('Mapa final'!$AB$26="Media",'Mapa final'!$AD$26="Leve"),CONCATENATE("R3C",'Mapa final'!$R$26),"")</f>
        <v/>
      </c>
      <c r="P28" s="51" t="str">
        <f>IF(AND('Mapa final'!$AB$21="Media",'Mapa final'!$AD$21="Menor"),CONCATENATE("R3C",'Mapa final'!$R$21),"")</f>
        <v/>
      </c>
      <c r="Q28" s="52" t="str">
        <f>IF(AND('Mapa final'!$AB$22="Media",'Mapa final'!$AD$22="Menor"),CONCATENATE("R3C",'Mapa final'!$R$22),"")</f>
        <v/>
      </c>
      <c r="R28" s="52" t="str">
        <f>IF(AND('Mapa final'!$AB$23="Media",'Mapa final'!$AD$23="Menor"),CONCATENATE("R3C",'Mapa final'!$R$23),"")</f>
        <v/>
      </c>
      <c r="S28" s="52" t="str">
        <f>IF(AND('Mapa final'!$AB$24="Media",'Mapa final'!$AD$24="Menor"),CONCATENATE("R3C",'Mapa final'!$R$24),"")</f>
        <v/>
      </c>
      <c r="T28" s="52" t="str">
        <f>IF(AND('Mapa final'!$AB$25="Media",'Mapa final'!$AD$25="Menor"),CONCATENATE("R3C",'Mapa final'!$R$25),"")</f>
        <v/>
      </c>
      <c r="U28" s="53" t="str">
        <f>IF(AND('Mapa final'!$AB$26="Media",'Mapa final'!$AD$26="Menor"),CONCATENATE("R3C",'Mapa final'!$R$26),"")</f>
        <v/>
      </c>
      <c r="V28" s="51" t="str">
        <f>IF(AND('Mapa final'!$AB$21="Media",'Mapa final'!$AD$21="Moderado"),CONCATENATE("R3C",'Mapa final'!$R$21),"")</f>
        <v/>
      </c>
      <c r="W28" s="52" t="str">
        <f>IF(AND('Mapa final'!$AB$22="Media",'Mapa final'!$AD$22="Moderado"),CONCATENATE("R3C",'Mapa final'!$R$22),"")</f>
        <v/>
      </c>
      <c r="X28" s="52" t="str">
        <f>IF(AND('Mapa final'!$AB$23="Media",'Mapa final'!$AD$23="Moderado"),CONCATENATE("R3C",'Mapa final'!$R$23),"")</f>
        <v/>
      </c>
      <c r="Y28" s="52" t="str">
        <f>IF(AND('Mapa final'!$AB$24="Media",'Mapa final'!$AD$24="Moderado"),CONCATENATE("R3C",'Mapa final'!$R$24),"")</f>
        <v/>
      </c>
      <c r="Z28" s="52" t="str">
        <f>IF(AND('Mapa final'!$AB$25="Media",'Mapa final'!$AD$25="Moderado"),CONCATENATE("R3C",'Mapa final'!$R$25),"")</f>
        <v/>
      </c>
      <c r="AA28" s="53" t="str">
        <f>IF(AND('Mapa final'!$AB$26="Media",'Mapa final'!$AD$26="Moderado"),CONCATENATE("R3C",'Mapa final'!$R$26),"")</f>
        <v/>
      </c>
      <c r="AB28" s="36" t="str">
        <f>IF(AND('Mapa final'!$AB$21="Media",'Mapa final'!$AD$21="Mayor"),CONCATENATE("R3C",'Mapa final'!$R$21),"")</f>
        <v/>
      </c>
      <c r="AC28" s="37" t="str">
        <f>IF(AND('Mapa final'!$AB$22="Media",'Mapa final'!$AD$22="Mayor"),CONCATENATE("R3C",'Mapa final'!$R$22),"")</f>
        <v/>
      </c>
      <c r="AD28" s="37" t="str">
        <f>IF(AND('Mapa final'!$AB$23="Media",'Mapa final'!$AD$23="Mayor"),CONCATENATE("R3C",'Mapa final'!$R$23),"")</f>
        <v/>
      </c>
      <c r="AE28" s="37" t="str">
        <f>IF(AND('Mapa final'!$AB$24="Media",'Mapa final'!$AD$24="Mayor"),CONCATENATE("R3C",'Mapa final'!$R$24),"")</f>
        <v/>
      </c>
      <c r="AF28" s="37" t="str">
        <f>IF(AND('Mapa final'!$AB$25="Media",'Mapa final'!$AD$25="Mayor"),CONCATENATE("R3C",'Mapa final'!$R$25),"")</f>
        <v/>
      </c>
      <c r="AG28" s="38" t="str">
        <f>IF(AND('Mapa final'!$AB$26="Media",'Mapa final'!$AD$26="Mayor"),CONCATENATE("R3C",'Mapa final'!$R$26),"")</f>
        <v/>
      </c>
      <c r="AH28" s="39" t="str">
        <f>IF(AND('Mapa final'!$AB$21="Media",'Mapa final'!$AD$21="Catastrófico"),CONCATENATE("R3C",'Mapa final'!$R$21),"")</f>
        <v/>
      </c>
      <c r="AI28" s="40" t="str">
        <f>IF(AND('Mapa final'!$AB$22="Media",'Mapa final'!$AD$22="Catastrófico"),CONCATENATE("R3C",'Mapa final'!$R$22),"")</f>
        <v/>
      </c>
      <c r="AJ28" s="40" t="str">
        <f>IF(AND('Mapa final'!$AB$23="Media",'Mapa final'!$AD$23="Catastrófico"),CONCATENATE("R3C",'Mapa final'!$R$23),"")</f>
        <v/>
      </c>
      <c r="AK28" s="40" t="str">
        <f>IF(AND('Mapa final'!$AB$24="Media",'Mapa final'!$AD$24="Catastrófico"),CONCATENATE("R3C",'Mapa final'!$R$24),"")</f>
        <v/>
      </c>
      <c r="AL28" s="40" t="str">
        <f>IF(AND('Mapa final'!$AB$25="Media",'Mapa final'!$AD$25="Catastrófico"),CONCATENATE("R3C",'Mapa final'!$R$25),"")</f>
        <v/>
      </c>
      <c r="AM28" s="41" t="str">
        <f>IF(AND('Mapa final'!$AB$26="Media",'Mapa final'!$AD$26="Catastrófico"),CONCATENATE("R3C",'Mapa final'!$R$26),"")</f>
        <v/>
      </c>
      <c r="AN28" s="67"/>
      <c r="AO28" s="626"/>
      <c r="AP28" s="627"/>
      <c r="AQ28" s="627"/>
      <c r="AR28" s="627"/>
      <c r="AS28" s="627"/>
      <c r="AT28" s="62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498"/>
      <c r="C29" s="498"/>
      <c r="D29" s="499"/>
      <c r="E29" s="597"/>
      <c r="F29" s="596"/>
      <c r="G29" s="596"/>
      <c r="H29" s="596"/>
      <c r="I29" s="612"/>
      <c r="J29" s="51" t="str">
        <f>IF(AND('Mapa final'!$AB$27="Media",'Mapa final'!$AD$27="Leve"),CONCATENATE("R4C",'Mapa final'!$R$27),"")</f>
        <v/>
      </c>
      <c r="K29" s="52" t="str">
        <f>IF(AND('Mapa final'!$AB$28="Media",'Mapa final'!$AD$28="Leve"),CONCATENATE("R4C",'Mapa final'!$R$28),"")</f>
        <v/>
      </c>
      <c r="L29" s="52" t="str">
        <f>IF(AND('Mapa final'!$AB$29="Media",'Mapa final'!$AD$29="Leve"),CONCATENATE("R4C",'Mapa final'!$R$29),"")</f>
        <v/>
      </c>
      <c r="M29" s="52" t="str">
        <f>IF(AND('Mapa final'!$AB$30="Media",'Mapa final'!$AD$30="Leve"),CONCATENATE("R4C",'Mapa final'!$R$30),"")</f>
        <v/>
      </c>
      <c r="N29" s="52" t="str">
        <f>IF(AND('Mapa final'!$AB$31="Media",'Mapa final'!$AD$31="Leve"),CONCATENATE("R4C",'Mapa final'!$R$31),"")</f>
        <v/>
      </c>
      <c r="O29" s="53" t="str">
        <f>IF(AND('Mapa final'!$AB$32="Media",'Mapa final'!$AD$32="Leve"),CONCATENATE("R4C",'Mapa final'!$R$32),"")</f>
        <v/>
      </c>
      <c r="P29" s="51" t="str">
        <f>IF(AND('Mapa final'!$AB$27="Media",'Mapa final'!$AD$27="Menor"),CONCATENATE("R4C",'Mapa final'!$R$27),"")</f>
        <v/>
      </c>
      <c r="Q29" s="52" t="str">
        <f>IF(AND('Mapa final'!$AB$28="Media",'Mapa final'!$AD$28="Menor"),CONCATENATE("R4C",'Mapa final'!$R$28),"")</f>
        <v/>
      </c>
      <c r="R29" s="52" t="str">
        <f>IF(AND('Mapa final'!$AB$29="Media",'Mapa final'!$AD$29="Menor"),CONCATENATE("R4C",'Mapa final'!$R$29),"")</f>
        <v/>
      </c>
      <c r="S29" s="52" t="str">
        <f>IF(AND('Mapa final'!$AB$30="Media",'Mapa final'!$AD$30="Menor"),CONCATENATE("R4C",'Mapa final'!$R$30),"")</f>
        <v/>
      </c>
      <c r="T29" s="52" t="str">
        <f>IF(AND('Mapa final'!$AB$31="Media",'Mapa final'!$AD$31="Menor"),CONCATENATE("R4C",'Mapa final'!$R$31),"")</f>
        <v/>
      </c>
      <c r="U29" s="53" t="str">
        <f>IF(AND('Mapa final'!$AB$32="Media",'Mapa final'!$AD$32="Menor"),CONCATENATE("R4C",'Mapa final'!$R$32),"")</f>
        <v/>
      </c>
      <c r="V29" s="51" t="str">
        <f>IF(AND('Mapa final'!$AB$27="Media",'Mapa final'!$AD$27="Moderado"),CONCATENATE("R4C",'Mapa final'!$R$27),"")</f>
        <v/>
      </c>
      <c r="W29" s="52" t="str">
        <f>IF(AND('Mapa final'!$AB$28="Media",'Mapa final'!$AD$28="Moderado"),CONCATENATE("R4C",'Mapa final'!$R$28),"")</f>
        <v/>
      </c>
      <c r="X29" s="52" t="str">
        <f>IF(AND('Mapa final'!$AB$29="Media",'Mapa final'!$AD$29="Moderado"),CONCATENATE("R4C",'Mapa final'!$R$29),"")</f>
        <v/>
      </c>
      <c r="Y29" s="52" t="str">
        <f>IF(AND('Mapa final'!$AB$30="Media",'Mapa final'!$AD$30="Moderado"),CONCATENATE("R4C",'Mapa final'!$R$30),"")</f>
        <v/>
      </c>
      <c r="Z29" s="52" t="str">
        <f>IF(AND('Mapa final'!$AB$31="Media",'Mapa final'!$AD$31="Moderado"),CONCATENATE("R4C",'Mapa final'!$R$31),"")</f>
        <v/>
      </c>
      <c r="AA29" s="53" t="str">
        <f>IF(AND('Mapa final'!$AB$32="Media",'Mapa final'!$AD$32="Moderado"),CONCATENATE("R4C",'Mapa final'!$R$32),"")</f>
        <v/>
      </c>
      <c r="AB29" s="36" t="str">
        <f>IF(AND('Mapa final'!$AB$27="Media",'Mapa final'!$AD$27="Mayor"),CONCATENATE("R4C",'Mapa final'!$R$27),"")</f>
        <v/>
      </c>
      <c r="AC29" s="37" t="str">
        <f>IF(AND('Mapa final'!$AB$28="Media",'Mapa final'!$AD$28="Mayor"),CONCATENATE("R4C",'Mapa final'!$R$28),"")</f>
        <v/>
      </c>
      <c r="AD29" s="37" t="str">
        <f>IF(AND('Mapa final'!$AB$29="Media",'Mapa final'!$AD$29="Mayor"),CONCATENATE("R4C",'Mapa final'!$R$29),"")</f>
        <v/>
      </c>
      <c r="AE29" s="37" t="str">
        <f>IF(AND('Mapa final'!$AB$30="Media",'Mapa final'!$AD$30="Mayor"),CONCATENATE("R4C",'Mapa final'!$R$30),"")</f>
        <v/>
      </c>
      <c r="AF29" s="37" t="str">
        <f>IF(AND('Mapa final'!$AB$31="Media",'Mapa final'!$AD$31="Mayor"),CONCATENATE("R4C",'Mapa final'!$R$31),"")</f>
        <v/>
      </c>
      <c r="AG29" s="38" t="str">
        <f>IF(AND('Mapa final'!$AB$32="Media",'Mapa final'!$AD$32="Mayor"),CONCATENATE("R4C",'Mapa final'!$R$32),"")</f>
        <v/>
      </c>
      <c r="AH29" s="39" t="str">
        <f>IF(AND('Mapa final'!$AB$27="Media",'Mapa final'!$AD$27="Catastrófico"),CONCATENATE("R4C",'Mapa final'!$R$27),"")</f>
        <v/>
      </c>
      <c r="AI29" s="40" t="str">
        <f>IF(AND('Mapa final'!$AB$28="Media",'Mapa final'!$AD$28="Catastrófico"),CONCATENATE("R4C",'Mapa final'!$R$28),"")</f>
        <v/>
      </c>
      <c r="AJ29" s="40" t="str">
        <f>IF(AND('Mapa final'!$AB$29="Media",'Mapa final'!$AD$29="Catastrófico"),CONCATENATE("R4C",'Mapa final'!$R$29),"")</f>
        <v/>
      </c>
      <c r="AK29" s="40" t="str">
        <f>IF(AND('Mapa final'!$AB$30="Media",'Mapa final'!$AD$30="Catastrófico"),CONCATENATE("R4C",'Mapa final'!$R$30),"")</f>
        <v/>
      </c>
      <c r="AL29" s="40" t="str">
        <f>IF(AND('Mapa final'!$AB$31="Media",'Mapa final'!$AD$31="Catastrófico"),CONCATENATE("R4C",'Mapa final'!$R$31),"")</f>
        <v/>
      </c>
      <c r="AM29" s="41" t="str">
        <f>IF(AND('Mapa final'!$AB$32="Media",'Mapa final'!$AD$32="Catastrófico"),CONCATENATE("R4C",'Mapa final'!$R$32),"")</f>
        <v/>
      </c>
      <c r="AN29" s="67"/>
      <c r="AO29" s="626"/>
      <c r="AP29" s="627"/>
      <c r="AQ29" s="627"/>
      <c r="AR29" s="627"/>
      <c r="AS29" s="627"/>
      <c r="AT29" s="62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498"/>
      <c r="C30" s="498"/>
      <c r="D30" s="499"/>
      <c r="E30" s="597"/>
      <c r="F30" s="596"/>
      <c r="G30" s="596"/>
      <c r="H30" s="596"/>
      <c r="I30" s="612"/>
      <c r="J30" s="51" t="str">
        <f>IF(AND('Mapa final'!$AB$33="Media",'Mapa final'!$AD$33="Leve"),CONCATENATE("R5C",'Mapa final'!$R$33),"")</f>
        <v/>
      </c>
      <c r="K30" s="52" t="str">
        <f>IF(AND('Mapa final'!$AB$34="Media",'Mapa final'!$AD$34="Leve"),CONCATENATE("R5C",'Mapa final'!$R$34),"")</f>
        <v/>
      </c>
      <c r="L30" s="52" t="str">
        <f>IF(AND('Mapa final'!$AB$35="Media",'Mapa final'!$AD$35="Leve"),CONCATENATE("R5C",'Mapa final'!$R$35),"")</f>
        <v/>
      </c>
      <c r="M30" s="52" t="str">
        <f>IF(AND('Mapa final'!$AB$36="Media",'Mapa final'!$AD$36="Leve"),CONCATENATE("R5C",'Mapa final'!$R$36),"")</f>
        <v/>
      </c>
      <c r="N30" s="52" t="str">
        <f>IF(AND('Mapa final'!$AB$37="Media",'Mapa final'!$AD$37="Leve"),CONCATENATE("R5C",'Mapa final'!$R$37),"")</f>
        <v/>
      </c>
      <c r="O30" s="53" t="str">
        <f>IF(AND('Mapa final'!$AB$38="Media",'Mapa final'!$AD$38="Leve"),CONCATENATE("R5C",'Mapa final'!$R$38),"")</f>
        <v/>
      </c>
      <c r="P30" s="51" t="str">
        <f>IF(AND('Mapa final'!$AB$33="Media",'Mapa final'!$AD$33="Menor"),CONCATENATE("R5C",'Mapa final'!$R$33),"")</f>
        <v/>
      </c>
      <c r="Q30" s="52" t="str">
        <f>IF(AND('Mapa final'!$AB$34="Media",'Mapa final'!$AD$34="Menor"),CONCATENATE("R5C",'Mapa final'!$R$34),"")</f>
        <v/>
      </c>
      <c r="R30" s="52" t="str">
        <f>IF(AND('Mapa final'!$AB$35="Media",'Mapa final'!$AD$35="Menor"),CONCATENATE("R5C",'Mapa final'!$R$35),"")</f>
        <v/>
      </c>
      <c r="S30" s="52" t="str">
        <f>IF(AND('Mapa final'!$AB$36="Media",'Mapa final'!$AD$36="Menor"),CONCATENATE("R5C",'Mapa final'!$R$36),"")</f>
        <v/>
      </c>
      <c r="T30" s="52" t="str">
        <f>IF(AND('Mapa final'!$AB$37="Media",'Mapa final'!$AD$37="Menor"),CONCATENATE("R5C",'Mapa final'!$R$37),"")</f>
        <v/>
      </c>
      <c r="U30" s="53" t="str">
        <f>IF(AND('Mapa final'!$AB$38="Media",'Mapa final'!$AD$38="Menor"),CONCATENATE("R5C",'Mapa final'!$R$38),"")</f>
        <v/>
      </c>
      <c r="V30" s="51" t="str">
        <f>IF(AND('Mapa final'!$AB$33="Media",'Mapa final'!$AD$33="Moderado"),CONCATENATE("R5C",'Mapa final'!$R$33),"")</f>
        <v/>
      </c>
      <c r="W30" s="52" t="str">
        <f>IF(AND('Mapa final'!$AB$34="Media",'Mapa final'!$AD$34="Moderado"),CONCATENATE("R5C",'Mapa final'!$R$34),"")</f>
        <v/>
      </c>
      <c r="X30" s="52" t="str">
        <f>IF(AND('Mapa final'!$AB$35="Media",'Mapa final'!$AD$35="Moderado"),CONCATENATE("R5C",'Mapa final'!$R$35),"")</f>
        <v/>
      </c>
      <c r="Y30" s="52" t="str">
        <f>IF(AND('Mapa final'!$AB$36="Media",'Mapa final'!$AD$36="Moderado"),CONCATENATE("R5C",'Mapa final'!$R$36),"")</f>
        <v/>
      </c>
      <c r="Z30" s="52" t="str">
        <f>IF(AND('Mapa final'!$AB$37="Media",'Mapa final'!$AD$37="Moderado"),CONCATENATE("R5C",'Mapa final'!$R$37),"")</f>
        <v/>
      </c>
      <c r="AA30" s="53" t="str">
        <f>IF(AND('Mapa final'!$AB$38="Media",'Mapa final'!$AD$38="Moderado"),CONCATENATE("R5C",'Mapa final'!$R$38),"")</f>
        <v/>
      </c>
      <c r="AB30" s="36" t="str">
        <f>IF(AND('Mapa final'!$AB$33="Media",'Mapa final'!$AD$33="Mayor"),CONCATENATE("R5C",'Mapa final'!$R$33),"")</f>
        <v/>
      </c>
      <c r="AC30" s="37" t="str">
        <f>IF(AND('Mapa final'!$AB$34="Media",'Mapa final'!$AD$34="Mayor"),CONCATENATE("R5C",'Mapa final'!$R$34),"")</f>
        <v/>
      </c>
      <c r="AD30" s="37" t="str">
        <f>IF(AND('Mapa final'!$AB$35="Media",'Mapa final'!$AD$35="Mayor"),CONCATENATE("R5C",'Mapa final'!$R$35),"")</f>
        <v/>
      </c>
      <c r="AE30" s="37" t="str">
        <f>IF(AND('Mapa final'!$AB$36="Media",'Mapa final'!$AD$36="Mayor"),CONCATENATE("R5C",'Mapa final'!$R$36),"")</f>
        <v/>
      </c>
      <c r="AF30" s="37" t="str">
        <f>IF(AND('Mapa final'!$AB$37="Media",'Mapa final'!$AD$37="Mayor"),CONCATENATE("R5C",'Mapa final'!$R$37),"")</f>
        <v/>
      </c>
      <c r="AG30" s="38" t="str">
        <f>IF(AND('Mapa final'!$AB$38="Media",'Mapa final'!$AD$38="Mayor"),CONCATENATE("R5C",'Mapa final'!$R$38),"")</f>
        <v/>
      </c>
      <c r="AH30" s="39" t="str">
        <f>IF(AND('Mapa final'!$AB$33="Media",'Mapa final'!$AD$33="Catastrófico"),CONCATENATE("R5C",'Mapa final'!$R$33),"")</f>
        <v/>
      </c>
      <c r="AI30" s="40" t="str">
        <f>IF(AND('Mapa final'!$AB$34="Media",'Mapa final'!$AD$34="Catastrófico"),CONCATENATE("R5C",'Mapa final'!$R$34),"")</f>
        <v/>
      </c>
      <c r="AJ30" s="40" t="str">
        <f>IF(AND('Mapa final'!$AB$35="Media",'Mapa final'!$AD$35="Catastrófico"),CONCATENATE("R5C",'Mapa final'!$R$35),"")</f>
        <v/>
      </c>
      <c r="AK30" s="40" t="str">
        <f>IF(AND('Mapa final'!$AB$36="Media",'Mapa final'!$AD$36="Catastrófico"),CONCATENATE("R5C",'Mapa final'!$R$36),"")</f>
        <v/>
      </c>
      <c r="AL30" s="40" t="str">
        <f>IF(AND('Mapa final'!$AB$37="Media",'Mapa final'!$AD$37="Catastrófico"),CONCATENATE("R5C",'Mapa final'!$R$37),"")</f>
        <v/>
      </c>
      <c r="AM30" s="41" t="str">
        <f>IF(AND('Mapa final'!$AB$38="Media",'Mapa final'!$AD$38="Catastrófico"),CONCATENATE("R5C",'Mapa final'!$R$38),"")</f>
        <v/>
      </c>
      <c r="AN30" s="67"/>
      <c r="AO30" s="626"/>
      <c r="AP30" s="627"/>
      <c r="AQ30" s="627"/>
      <c r="AR30" s="627"/>
      <c r="AS30" s="627"/>
      <c r="AT30" s="62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498"/>
      <c r="C31" s="498"/>
      <c r="D31" s="499"/>
      <c r="E31" s="597"/>
      <c r="F31" s="596"/>
      <c r="G31" s="596"/>
      <c r="H31" s="596"/>
      <c r="I31" s="612"/>
      <c r="J31" s="51" t="str">
        <f>IF(AND('Mapa final'!$AB$39="Media",'Mapa final'!$AD$39="Leve"),CONCATENATE("R6C",'Mapa final'!$R$39),"")</f>
        <v/>
      </c>
      <c r="K31" s="52" t="str">
        <f>IF(AND('Mapa final'!$AB$40="Media",'Mapa final'!$AD$40="Leve"),CONCATENATE("R6C",'Mapa final'!$R$40),"")</f>
        <v/>
      </c>
      <c r="L31" s="52" t="str">
        <f>IF(AND('Mapa final'!$AB$41="Media",'Mapa final'!$AD$41="Leve"),CONCATENATE("R6C",'Mapa final'!$R$41),"")</f>
        <v/>
      </c>
      <c r="M31" s="52" t="str">
        <f>IF(AND('Mapa final'!$AB$42="Media",'Mapa final'!$AD$42="Leve"),CONCATENATE("R6C",'Mapa final'!$R$42),"")</f>
        <v/>
      </c>
      <c r="N31" s="52" t="str">
        <f>IF(AND('Mapa final'!$AB$43="Media",'Mapa final'!$AD$43="Leve"),CONCATENATE("R6C",'Mapa final'!$R$43),"")</f>
        <v/>
      </c>
      <c r="O31" s="53" t="str">
        <f>IF(AND('Mapa final'!$AB$44="Media",'Mapa final'!$AD$44="Leve"),CONCATENATE("R6C",'Mapa final'!$R$44),"")</f>
        <v/>
      </c>
      <c r="P31" s="51" t="str">
        <f>IF(AND('Mapa final'!$AB$39="Media",'Mapa final'!$AD$39="Menor"),CONCATENATE("R6C",'Mapa final'!$R$39),"")</f>
        <v/>
      </c>
      <c r="Q31" s="52" t="str">
        <f>IF(AND('Mapa final'!$AB$40="Media",'Mapa final'!$AD$40="Menor"),CONCATENATE("R6C",'Mapa final'!$R$40),"")</f>
        <v/>
      </c>
      <c r="R31" s="52" t="str">
        <f>IF(AND('Mapa final'!$AB$41="Media",'Mapa final'!$AD$41="Menor"),CONCATENATE("R6C",'Mapa final'!$R$41),"")</f>
        <v/>
      </c>
      <c r="S31" s="52" t="str">
        <f>IF(AND('Mapa final'!$AB$42="Media",'Mapa final'!$AD$42="Menor"),CONCATENATE("R6C",'Mapa final'!$R$42),"")</f>
        <v/>
      </c>
      <c r="T31" s="52" t="str">
        <f>IF(AND('Mapa final'!$AB$43="Media",'Mapa final'!$AD$43="Menor"),CONCATENATE("R6C",'Mapa final'!$R$43),"")</f>
        <v/>
      </c>
      <c r="U31" s="53" t="str">
        <f>IF(AND('Mapa final'!$AB$44="Media",'Mapa final'!$AD$44="Menor"),CONCATENATE("R6C",'Mapa final'!$R$44),"")</f>
        <v/>
      </c>
      <c r="V31" s="51" t="str">
        <f>IF(AND('Mapa final'!$AB$39="Media",'Mapa final'!$AD$39="Moderado"),CONCATENATE("R6C",'Mapa final'!$R$39),"")</f>
        <v/>
      </c>
      <c r="W31" s="52" t="str">
        <f>IF(AND('Mapa final'!$AB$40="Media",'Mapa final'!$AD$40="Moderado"),CONCATENATE("R6C",'Mapa final'!$R$40),"")</f>
        <v/>
      </c>
      <c r="X31" s="52" t="str">
        <f>IF(AND('Mapa final'!$AB$41="Media",'Mapa final'!$AD$41="Moderado"),CONCATENATE("R6C",'Mapa final'!$R$41),"")</f>
        <v/>
      </c>
      <c r="Y31" s="52" t="str">
        <f>IF(AND('Mapa final'!$AB$42="Media",'Mapa final'!$AD$42="Moderado"),CONCATENATE("R6C",'Mapa final'!$R$42),"")</f>
        <v/>
      </c>
      <c r="Z31" s="52" t="str">
        <f>IF(AND('Mapa final'!$AB$43="Media",'Mapa final'!$AD$43="Moderado"),CONCATENATE("R6C",'Mapa final'!$R$43),"")</f>
        <v/>
      </c>
      <c r="AA31" s="53" t="str">
        <f>IF(AND('Mapa final'!$AB$44="Media",'Mapa final'!$AD$44="Moderado"),CONCATENATE("R6C",'Mapa final'!$R$44),"")</f>
        <v/>
      </c>
      <c r="AB31" s="36" t="str">
        <f>IF(AND('Mapa final'!$AB$39="Media",'Mapa final'!$AD$39="Mayor"),CONCATENATE("R6C",'Mapa final'!$R$39),"")</f>
        <v/>
      </c>
      <c r="AC31" s="37" t="str">
        <f>IF(AND('Mapa final'!$AB$40="Media",'Mapa final'!$AD$40="Mayor"),CONCATENATE("R6C",'Mapa final'!$R$40),"")</f>
        <v/>
      </c>
      <c r="AD31" s="37" t="str">
        <f>IF(AND('Mapa final'!$AB$41="Media",'Mapa final'!$AD$41="Mayor"),CONCATENATE("R6C",'Mapa final'!$R$41),"")</f>
        <v/>
      </c>
      <c r="AE31" s="37" t="str">
        <f>IF(AND('Mapa final'!$AB$42="Media",'Mapa final'!$AD$42="Mayor"),CONCATENATE("R6C",'Mapa final'!$R$42),"")</f>
        <v/>
      </c>
      <c r="AF31" s="37" t="str">
        <f>IF(AND('Mapa final'!$AB$43="Media",'Mapa final'!$AD$43="Mayor"),CONCATENATE("R6C",'Mapa final'!$R$43),"")</f>
        <v/>
      </c>
      <c r="AG31" s="38" t="str">
        <f>IF(AND('Mapa final'!$AB$44="Media",'Mapa final'!$AD$44="Mayor"),CONCATENATE("R6C",'Mapa final'!$R$44),"")</f>
        <v/>
      </c>
      <c r="AH31" s="39" t="str">
        <f>IF(AND('Mapa final'!$AB$39="Media",'Mapa final'!$AD$39="Catastrófico"),CONCATENATE("R6C",'Mapa final'!$R$39),"")</f>
        <v/>
      </c>
      <c r="AI31" s="40" t="str">
        <f>IF(AND('Mapa final'!$AB$40="Media",'Mapa final'!$AD$40="Catastrófico"),CONCATENATE("R6C",'Mapa final'!$R$40),"")</f>
        <v/>
      </c>
      <c r="AJ31" s="40" t="str">
        <f>IF(AND('Mapa final'!$AB$41="Media",'Mapa final'!$AD$41="Catastrófico"),CONCATENATE("R6C",'Mapa final'!$R$41),"")</f>
        <v/>
      </c>
      <c r="AK31" s="40" t="str">
        <f>IF(AND('Mapa final'!$AB$42="Media",'Mapa final'!$AD$42="Catastrófico"),CONCATENATE("R6C",'Mapa final'!$R$42),"")</f>
        <v/>
      </c>
      <c r="AL31" s="40" t="str">
        <f>IF(AND('Mapa final'!$AB$43="Media",'Mapa final'!$AD$43="Catastrófico"),CONCATENATE("R6C",'Mapa final'!$R$43),"")</f>
        <v/>
      </c>
      <c r="AM31" s="41" t="str">
        <f>IF(AND('Mapa final'!$AB$44="Media",'Mapa final'!$AD$44="Catastrófico"),CONCATENATE("R6C",'Mapa final'!$R$44),"")</f>
        <v/>
      </c>
      <c r="AN31" s="67"/>
      <c r="AO31" s="626"/>
      <c r="AP31" s="627"/>
      <c r="AQ31" s="627"/>
      <c r="AR31" s="627"/>
      <c r="AS31" s="627"/>
      <c r="AT31" s="62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498"/>
      <c r="C32" s="498"/>
      <c r="D32" s="499"/>
      <c r="E32" s="597"/>
      <c r="F32" s="596"/>
      <c r="G32" s="596"/>
      <c r="H32" s="596"/>
      <c r="I32" s="612"/>
      <c r="J32" s="51" t="str">
        <f>IF(AND('Mapa final'!$AB$45="Media",'Mapa final'!$AD$45="Leve"),CONCATENATE("R7C",'Mapa final'!$R$45),"")</f>
        <v/>
      </c>
      <c r="K32" s="52" t="str">
        <f>IF(AND('Mapa final'!$AB$46="Media",'Mapa final'!$AD$46="Leve"),CONCATENATE("R7C",'Mapa final'!$R$46),"")</f>
        <v/>
      </c>
      <c r="L32" s="52" t="str">
        <f>IF(AND('Mapa final'!$AB$47="Media",'Mapa final'!$AD$47="Leve"),CONCATENATE("R7C",'Mapa final'!$R$47),"")</f>
        <v/>
      </c>
      <c r="M32" s="52" t="str">
        <f>IF(AND('Mapa final'!$AB$48="Media",'Mapa final'!$AD$48="Leve"),CONCATENATE("R7C",'Mapa final'!$R$48),"")</f>
        <v/>
      </c>
      <c r="N32" s="52" t="str">
        <f>IF(AND('Mapa final'!$AB$49="Media",'Mapa final'!$AD$49="Leve"),CONCATENATE("R7C",'Mapa final'!$R$49),"")</f>
        <v/>
      </c>
      <c r="O32" s="53" t="str">
        <f>IF(AND('Mapa final'!$AB$50="Media",'Mapa final'!$AD$50="Leve"),CONCATENATE("R7C",'Mapa final'!$R$50),"")</f>
        <v/>
      </c>
      <c r="P32" s="51" t="str">
        <f>IF(AND('Mapa final'!$AB$45="Media",'Mapa final'!$AD$45="Menor"),CONCATENATE("R7C",'Mapa final'!$R$45),"")</f>
        <v/>
      </c>
      <c r="Q32" s="52" t="str">
        <f>IF(AND('Mapa final'!$AB$46="Media",'Mapa final'!$AD$46="Menor"),CONCATENATE("R7C",'Mapa final'!$R$46),"")</f>
        <v/>
      </c>
      <c r="R32" s="52" t="str">
        <f>IF(AND('Mapa final'!$AB$47="Media",'Mapa final'!$AD$47="Menor"),CONCATENATE("R7C",'Mapa final'!$R$47),"")</f>
        <v/>
      </c>
      <c r="S32" s="52" t="str">
        <f>IF(AND('Mapa final'!$AB$48="Media",'Mapa final'!$AD$48="Menor"),CONCATENATE("R7C",'Mapa final'!$R$48),"")</f>
        <v/>
      </c>
      <c r="T32" s="52" t="str">
        <f>IF(AND('Mapa final'!$AB$49="Media",'Mapa final'!$AD$49="Menor"),CONCATENATE("R7C",'Mapa final'!$R$49),"")</f>
        <v/>
      </c>
      <c r="U32" s="53" t="str">
        <f>IF(AND('Mapa final'!$AB$50="Media",'Mapa final'!$AD$50="Menor"),CONCATENATE("R7C",'Mapa final'!$R$50),"")</f>
        <v/>
      </c>
      <c r="V32" s="51" t="str">
        <f>IF(AND('Mapa final'!$AB$45="Media",'Mapa final'!$AD$45="Moderado"),CONCATENATE("R7C",'Mapa final'!$R$45),"")</f>
        <v/>
      </c>
      <c r="W32" s="52" t="str">
        <f>IF(AND('Mapa final'!$AB$46="Media",'Mapa final'!$AD$46="Moderado"),CONCATENATE("R7C",'Mapa final'!$R$46),"")</f>
        <v/>
      </c>
      <c r="X32" s="52" t="str">
        <f>IF(AND('Mapa final'!$AB$47="Media",'Mapa final'!$AD$47="Moderado"),CONCATENATE("R7C",'Mapa final'!$R$47),"")</f>
        <v/>
      </c>
      <c r="Y32" s="52" t="str">
        <f>IF(AND('Mapa final'!$AB$48="Media",'Mapa final'!$AD$48="Moderado"),CONCATENATE("R7C",'Mapa final'!$R$48),"")</f>
        <v/>
      </c>
      <c r="Z32" s="52" t="str">
        <f>IF(AND('Mapa final'!$AB$49="Media",'Mapa final'!$AD$49="Moderado"),CONCATENATE("R7C",'Mapa final'!$R$49),"")</f>
        <v/>
      </c>
      <c r="AA32" s="53" t="str">
        <f>IF(AND('Mapa final'!$AB$50="Media",'Mapa final'!$AD$50="Moderado"),CONCATENATE("R7C",'Mapa final'!$R$50),"")</f>
        <v/>
      </c>
      <c r="AB32" s="36" t="str">
        <f>IF(AND('Mapa final'!$AB$45="Media",'Mapa final'!$AD$45="Mayor"),CONCATENATE("R7C",'Mapa final'!$R$45),"")</f>
        <v/>
      </c>
      <c r="AC32" s="37" t="str">
        <f>IF(AND('Mapa final'!$AB$46="Media",'Mapa final'!$AD$46="Mayor"),CONCATENATE("R7C",'Mapa final'!$R$46),"")</f>
        <v/>
      </c>
      <c r="AD32" s="37" t="str">
        <f>IF(AND('Mapa final'!$AB$47="Media",'Mapa final'!$AD$47="Mayor"),CONCATENATE("R7C",'Mapa final'!$R$47),"")</f>
        <v/>
      </c>
      <c r="AE32" s="37" t="str">
        <f>IF(AND('Mapa final'!$AB$48="Media",'Mapa final'!$AD$48="Mayor"),CONCATENATE("R7C",'Mapa final'!$R$48),"")</f>
        <v/>
      </c>
      <c r="AF32" s="37" t="str">
        <f>IF(AND('Mapa final'!$AB$49="Media",'Mapa final'!$AD$49="Mayor"),CONCATENATE("R7C",'Mapa final'!$R$49),"")</f>
        <v/>
      </c>
      <c r="AG32" s="38" t="str">
        <f>IF(AND('Mapa final'!$AB$50="Media",'Mapa final'!$AD$50="Mayor"),CONCATENATE("R7C",'Mapa final'!$R$50),"")</f>
        <v/>
      </c>
      <c r="AH32" s="39" t="str">
        <f>IF(AND('Mapa final'!$AB$45="Media",'Mapa final'!$AD$45="Catastrófico"),CONCATENATE("R7C",'Mapa final'!$R$45),"")</f>
        <v/>
      </c>
      <c r="AI32" s="40" t="str">
        <f>IF(AND('Mapa final'!$AB$46="Media",'Mapa final'!$AD$46="Catastrófico"),CONCATENATE("R7C",'Mapa final'!$R$46),"")</f>
        <v/>
      </c>
      <c r="AJ32" s="40" t="str">
        <f>IF(AND('Mapa final'!$AB$47="Media",'Mapa final'!$AD$47="Catastrófico"),CONCATENATE("R7C",'Mapa final'!$R$47),"")</f>
        <v/>
      </c>
      <c r="AK32" s="40" t="str">
        <f>IF(AND('Mapa final'!$AB$48="Media",'Mapa final'!$AD$48="Catastrófico"),CONCATENATE("R7C",'Mapa final'!$R$48),"")</f>
        <v/>
      </c>
      <c r="AL32" s="40" t="str">
        <f>IF(AND('Mapa final'!$AB$49="Media",'Mapa final'!$AD$49="Catastrófico"),CONCATENATE("R7C",'Mapa final'!$R$49),"")</f>
        <v/>
      </c>
      <c r="AM32" s="41" t="str">
        <f>IF(AND('Mapa final'!$AB$50="Media",'Mapa final'!$AD$50="Catastrófico"),CONCATENATE("R7C",'Mapa final'!$R$50),"")</f>
        <v/>
      </c>
      <c r="AN32" s="67"/>
      <c r="AO32" s="626"/>
      <c r="AP32" s="627"/>
      <c r="AQ32" s="627"/>
      <c r="AR32" s="627"/>
      <c r="AS32" s="627"/>
      <c r="AT32" s="62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498"/>
      <c r="C33" s="498"/>
      <c r="D33" s="499"/>
      <c r="E33" s="597"/>
      <c r="F33" s="596"/>
      <c r="G33" s="596"/>
      <c r="H33" s="596"/>
      <c r="I33" s="612"/>
      <c r="J33" s="51" t="str">
        <f>IF(AND('Mapa final'!$AB$51="Media",'Mapa final'!$AD$51="Leve"),CONCATENATE("R8C",'Mapa final'!$R$51),"")</f>
        <v/>
      </c>
      <c r="K33" s="52" t="str">
        <f>IF(AND('Mapa final'!$AB$52="Media",'Mapa final'!$AD$52="Leve"),CONCATENATE("R8C",'Mapa final'!$R$52),"")</f>
        <v/>
      </c>
      <c r="L33" s="52" t="str">
        <f>IF(AND('Mapa final'!$AB$53="Media",'Mapa final'!$AD$53="Leve"),CONCATENATE("R8C",'Mapa final'!$R$53),"")</f>
        <v/>
      </c>
      <c r="M33" s="52" t="str">
        <f>IF(AND('Mapa final'!$AB$54="Media",'Mapa final'!$AD$54="Leve"),CONCATENATE("R8C",'Mapa final'!$R$54),"")</f>
        <v/>
      </c>
      <c r="N33" s="52" t="str">
        <f>IF(AND('Mapa final'!$AB$55="Media",'Mapa final'!$AD$55="Leve"),CONCATENATE("R8C",'Mapa final'!$R$55),"")</f>
        <v/>
      </c>
      <c r="O33" s="53" t="str">
        <f>IF(AND('Mapa final'!$AB$56="Media",'Mapa final'!$AD$56="Leve"),CONCATENATE("R8C",'Mapa final'!$R$56),"")</f>
        <v/>
      </c>
      <c r="P33" s="51" t="str">
        <f>IF(AND('Mapa final'!$AB$51="Media",'Mapa final'!$AD$51="Menor"),CONCATENATE("R8C",'Mapa final'!$R$51),"")</f>
        <v/>
      </c>
      <c r="Q33" s="52" t="str">
        <f>IF(AND('Mapa final'!$AB$52="Media",'Mapa final'!$AD$52="Menor"),CONCATENATE("R8C",'Mapa final'!$R$52),"")</f>
        <v/>
      </c>
      <c r="R33" s="52" t="str">
        <f>IF(AND('Mapa final'!$AB$53="Media",'Mapa final'!$AD$53="Menor"),CONCATENATE("R8C",'Mapa final'!$R$53),"")</f>
        <v/>
      </c>
      <c r="S33" s="52" t="str">
        <f>IF(AND('Mapa final'!$AB$54="Media",'Mapa final'!$AD$54="Menor"),CONCATENATE("R8C",'Mapa final'!$R$54),"")</f>
        <v/>
      </c>
      <c r="T33" s="52" t="str">
        <f>IF(AND('Mapa final'!$AB$55="Media",'Mapa final'!$AD$55="Menor"),CONCATENATE("R8C",'Mapa final'!$R$55),"")</f>
        <v/>
      </c>
      <c r="U33" s="53" t="str">
        <f>IF(AND('Mapa final'!$AB$56="Media",'Mapa final'!$AD$56="Menor"),CONCATENATE("R8C",'Mapa final'!$R$56),"")</f>
        <v/>
      </c>
      <c r="V33" s="51" t="str">
        <f>IF(AND('Mapa final'!$AB$51="Media",'Mapa final'!$AD$51="Moderado"),CONCATENATE("R8C",'Mapa final'!$R$51),"")</f>
        <v/>
      </c>
      <c r="W33" s="52" t="str">
        <f>IF(AND('Mapa final'!$AB$52="Media",'Mapa final'!$AD$52="Moderado"),CONCATENATE("R8C",'Mapa final'!$R$52),"")</f>
        <v/>
      </c>
      <c r="X33" s="52" t="str">
        <f>IF(AND('Mapa final'!$AB$53="Media",'Mapa final'!$AD$53="Moderado"),CONCATENATE("R8C",'Mapa final'!$R$53),"")</f>
        <v/>
      </c>
      <c r="Y33" s="52" t="str">
        <f>IF(AND('Mapa final'!$AB$54="Media",'Mapa final'!$AD$54="Moderado"),CONCATENATE("R8C",'Mapa final'!$R$54),"")</f>
        <v/>
      </c>
      <c r="Z33" s="52" t="str">
        <f>IF(AND('Mapa final'!$AB$55="Media",'Mapa final'!$AD$55="Moderado"),CONCATENATE("R8C",'Mapa final'!$R$55),"")</f>
        <v/>
      </c>
      <c r="AA33" s="53" t="str">
        <f>IF(AND('Mapa final'!$AB$56="Media",'Mapa final'!$AD$56="Moderado"),CONCATENATE("R8C",'Mapa final'!$R$56),"")</f>
        <v/>
      </c>
      <c r="AB33" s="36" t="str">
        <f>IF(AND('Mapa final'!$AB$51="Media",'Mapa final'!$AD$51="Mayor"),CONCATENATE("R8C",'Mapa final'!$R$51),"")</f>
        <v/>
      </c>
      <c r="AC33" s="37" t="str">
        <f>IF(AND('Mapa final'!$AB$52="Media",'Mapa final'!$AD$52="Mayor"),CONCATENATE("R8C",'Mapa final'!$R$52),"")</f>
        <v/>
      </c>
      <c r="AD33" s="37" t="str">
        <f>IF(AND('Mapa final'!$AB$53="Media",'Mapa final'!$AD$53="Mayor"),CONCATENATE("R8C",'Mapa final'!$R$53),"")</f>
        <v/>
      </c>
      <c r="AE33" s="37" t="str">
        <f>IF(AND('Mapa final'!$AB$54="Media",'Mapa final'!$AD$54="Mayor"),CONCATENATE("R8C",'Mapa final'!$R$54),"")</f>
        <v/>
      </c>
      <c r="AF33" s="37" t="str">
        <f>IF(AND('Mapa final'!$AB$55="Media",'Mapa final'!$AD$55="Mayor"),CONCATENATE("R8C",'Mapa final'!$R$55),"")</f>
        <v/>
      </c>
      <c r="AG33" s="38" t="str">
        <f>IF(AND('Mapa final'!$AB$56="Media",'Mapa final'!$AD$56="Mayor"),CONCATENATE("R8C",'Mapa final'!$R$56),"")</f>
        <v/>
      </c>
      <c r="AH33" s="39" t="str">
        <f>IF(AND('Mapa final'!$AB$51="Media",'Mapa final'!$AD$51="Catastrófico"),CONCATENATE("R8C",'Mapa final'!$R$51),"")</f>
        <v/>
      </c>
      <c r="AI33" s="40" t="str">
        <f>IF(AND('Mapa final'!$AB$52="Media",'Mapa final'!$AD$52="Catastrófico"),CONCATENATE("R8C",'Mapa final'!$R$52),"")</f>
        <v/>
      </c>
      <c r="AJ33" s="40" t="str">
        <f>IF(AND('Mapa final'!$AB$53="Media",'Mapa final'!$AD$53="Catastrófico"),CONCATENATE("R8C",'Mapa final'!$R$53),"")</f>
        <v/>
      </c>
      <c r="AK33" s="40" t="str">
        <f>IF(AND('Mapa final'!$AB$54="Media",'Mapa final'!$AD$54="Catastrófico"),CONCATENATE("R8C",'Mapa final'!$R$54),"")</f>
        <v/>
      </c>
      <c r="AL33" s="40" t="str">
        <f>IF(AND('Mapa final'!$AB$55="Media",'Mapa final'!$AD$55="Catastrófico"),CONCATENATE("R8C",'Mapa final'!$R$55),"")</f>
        <v/>
      </c>
      <c r="AM33" s="41" t="str">
        <f>IF(AND('Mapa final'!$AB$56="Media",'Mapa final'!$AD$56="Catastrófico"),CONCATENATE("R8C",'Mapa final'!$R$56),"")</f>
        <v/>
      </c>
      <c r="AN33" s="67"/>
      <c r="AO33" s="626"/>
      <c r="AP33" s="627"/>
      <c r="AQ33" s="627"/>
      <c r="AR33" s="627"/>
      <c r="AS33" s="627"/>
      <c r="AT33" s="62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498"/>
      <c r="C34" s="498"/>
      <c r="D34" s="499"/>
      <c r="E34" s="597"/>
      <c r="F34" s="596"/>
      <c r="G34" s="596"/>
      <c r="H34" s="596"/>
      <c r="I34" s="612"/>
      <c r="J34" s="51" t="str">
        <f>IF(AND('Mapa final'!$AB$57="Media",'Mapa final'!$AD$57="Leve"),CONCATENATE("R9C",'Mapa final'!$R$57),"")</f>
        <v/>
      </c>
      <c r="K34" s="52" t="str">
        <f>IF(AND('Mapa final'!$AB$58="Media",'Mapa final'!$AD$58="Leve"),CONCATENATE("R9C",'Mapa final'!$R$58),"")</f>
        <v/>
      </c>
      <c r="L34" s="52" t="str">
        <f>IF(AND('Mapa final'!$AB$59="Media",'Mapa final'!$AD$59="Leve"),CONCATENATE("R9C",'Mapa final'!$R$59),"")</f>
        <v/>
      </c>
      <c r="M34" s="52" t="str">
        <f>IF(AND('Mapa final'!$AB$60="Media",'Mapa final'!$AD$60="Leve"),CONCATENATE("R9C",'Mapa final'!$R$60),"")</f>
        <v/>
      </c>
      <c r="N34" s="52" t="str">
        <f>IF(AND('Mapa final'!$AB$61="Media",'Mapa final'!$AD$61="Leve"),CONCATENATE("R9C",'Mapa final'!$R$61),"")</f>
        <v/>
      </c>
      <c r="O34" s="53" t="str">
        <f>IF(AND('Mapa final'!$AB$62="Media",'Mapa final'!$AD$62="Leve"),CONCATENATE("R9C",'Mapa final'!$R$62),"")</f>
        <v/>
      </c>
      <c r="P34" s="51" t="str">
        <f>IF(AND('Mapa final'!$AB$57="Media",'Mapa final'!$AD$57="Menor"),CONCATENATE("R9C",'Mapa final'!$R$57),"")</f>
        <v/>
      </c>
      <c r="Q34" s="52" t="str">
        <f>IF(AND('Mapa final'!$AB$58="Media",'Mapa final'!$AD$58="Menor"),CONCATENATE("R9C",'Mapa final'!$R$58),"")</f>
        <v/>
      </c>
      <c r="R34" s="52" t="str">
        <f>IF(AND('Mapa final'!$AB$59="Media",'Mapa final'!$AD$59="Menor"),CONCATENATE("R9C",'Mapa final'!$R$59),"")</f>
        <v/>
      </c>
      <c r="S34" s="52" t="str">
        <f>IF(AND('Mapa final'!$AB$60="Media",'Mapa final'!$AD$60="Menor"),CONCATENATE("R9C",'Mapa final'!$R$60),"")</f>
        <v/>
      </c>
      <c r="T34" s="52" t="str">
        <f>IF(AND('Mapa final'!$AB$61="Media",'Mapa final'!$AD$61="Menor"),CONCATENATE("R9C",'Mapa final'!$R$61),"")</f>
        <v/>
      </c>
      <c r="U34" s="53" t="str">
        <f>IF(AND('Mapa final'!$AB$62="Media",'Mapa final'!$AD$62="Menor"),CONCATENATE("R9C",'Mapa final'!$R$62),"")</f>
        <v/>
      </c>
      <c r="V34" s="51" t="str">
        <f>IF(AND('Mapa final'!$AB$57="Media",'Mapa final'!$AD$57="Moderado"),CONCATENATE("R9C",'Mapa final'!$R$57),"")</f>
        <v/>
      </c>
      <c r="W34" s="52" t="str">
        <f>IF(AND('Mapa final'!$AB$58="Media",'Mapa final'!$AD$58="Moderado"),CONCATENATE("R9C",'Mapa final'!$R$58),"")</f>
        <v/>
      </c>
      <c r="X34" s="52" t="str">
        <f>IF(AND('Mapa final'!$AB$59="Media",'Mapa final'!$AD$59="Moderado"),CONCATENATE("R9C",'Mapa final'!$R$59),"")</f>
        <v/>
      </c>
      <c r="Y34" s="52" t="str">
        <f>IF(AND('Mapa final'!$AB$60="Media",'Mapa final'!$AD$60="Moderado"),CONCATENATE("R9C",'Mapa final'!$R$60),"")</f>
        <v/>
      </c>
      <c r="Z34" s="52" t="str">
        <f>IF(AND('Mapa final'!$AB$61="Media",'Mapa final'!$AD$61="Moderado"),CONCATENATE("R9C",'Mapa final'!$R$61),"")</f>
        <v/>
      </c>
      <c r="AA34" s="53" t="str">
        <f>IF(AND('Mapa final'!$AB$62="Media",'Mapa final'!$AD$62="Moderado"),CONCATENATE("R9C",'Mapa final'!$R$62),"")</f>
        <v/>
      </c>
      <c r="AB34" s="36" t="str">
        <f>IF(AND('Mapa final'!$AB$57="Media",'Mapa final'!$AD$57="Mayor"),CONCATENATE("R9C",'Mapa final'!$R$57),"")</f>
        <v/>
      </c>
      <c r="AC34" s="37" t="str">
        <f>IF(AND('Mapa final'!$AB$58="Media",'Mapa final'!$AD$58="Mayor"),CONCATENATE("R9C",'Mapa final'!$R$58),"")</f>
        <v/>
      </c>
      <c r="AD34" s="37" t="str">
        <f>IF(AND('Mapa final'!$AB$59="Media",'Mapa final'!$AD$59="Mayor"),CONCATENATE("R9C",'Mapa final'!$R$59),"")</f>
        <v/>
      </c>
      <c r="AE34" s="37" t="str">
        <f>IF(AND('Mapa final'!$AB$60="Media",'Mapa final'!$AD$60="Mayor"),CONCATENATE("R9C",'Mapa final'!$R$60),"")</f>
        <v/>
      </c>
      <c r="AF34" s="37" t="str">
        <f>IF(AND('Mapa final'!$AB$61="Media",'Mapa final'!$AD$61="Mayor"),CONCATENATE("R9C",'Mapa final'!$R$61),"")</f>
        <v/>
      </c>
      <c r="AG34" s="38" t="str">
        <f>IF(AND('Mapa final'!$AB$62="Media",'Mapa final'!$AD$62="Mayor"),CONCATENATE("R9C",'Mapa final'!$R$62),"")</f>
        <v/>
      </c>
      <c r="AH34" s="39" t="str">
        <f>IF(AND('Mapa final'!$AB$57="Media",'Mapa final'!$AD$57="Catastrófico"),CONCATENATE("R9C",'Mapa final'!$R$57),"")</f>
        <v/>
      </c>
      <c r="AI34" s="40" t="str">
        <f>IF(AND('Mapa final'!$AB$58="Media",'Mapa final'!$AD$58="Catastrófico"),CONCATENATE("R9C",'Mapa final'!$R$58),"")</f>
        <v/>
      </c>
      <c r="AJ34" s="40" t="str">
        <f>IF(AND('Mapa final'!$AB$59="Media",'Mapa final'!$AD$59="Catastrófico"),CONCATENATE("R9C",'Mapa final'!$R$59),"")</f>
        <v/>
      </c>
      <c r="AK34" s="40" t="str">
        <f>IF(AND('Mapa final'!$AB$60="Media",'Mapa final'!$AD$60="Catastrófico"),CONCATENATE("R9C",'Mapa final'!$R$60),"")</f>
        <v/>
      </c>
      <c r="AL34" s="40" t="str">
        <f>IF(AND('Mapa final'!$AB$61="Media",'Mapa final'!$AD$61="Catastrófico"),CONCATENATE("R9C",'Mapa final'!$R$61),"")</f>
        <v/>
      </c>
      <c r="AM34" s="41" t="str">
        <f>IF(AND('Mapa final'!$AB$62="Media",'Mapa final'!$AD$62="Catastrófico"),CONCATENATE("R9C",'Mapa final'!$R$62),"")</f>
        <v/>
      </c>
      <c r="AN34" s="67"/>
      <c r="AO34" s="626"/>
      <c r="AP34" s="627"/>
      <c r="AQ34" s="627"/>
      <c r="AR34" s="627"/>
      <c r="AS34" s="627"/>
      <c r="AT34" s="62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498"/>
      <c r="C35" s="498"/>
      <c r="D35" s="499"/>
      <c r="E35" s="598"/>
      <c r="F35" s="599"/>
      <c r="G35" s="599"/>
      <c r="H35" s="599"/>
      <c r="I35" s="613"/>
      <c r="J35" s="51" t="str">
        <f>IF(AND('Mapa final'!$AB$63="Media",'Mapa final'!$AD$63="Leve"),CONCATENATE("R10C",'Mapa final'!$R$63),"")</f>
        <v/>
      </c>
      <c r="K35" s="52" t="str">
        <f>IF(AND('Mapa final'!$AB$64="Media",'Mapa final'!$AD$64="Leve"),CONCATENATE("R10C",'Mapa final'!$R$64),"")</f>
        <v/>
      </c>
      <c r="L35" s="52" t="str">
        <f>IF(AND('Mapa final'!$AB$65="Media",'Mapa final'!$AD$65="Leve"),CONCATENATE("R10C",'Mapa final'!$R$65),"")</f>
        <v/>
      </c>
      <c r="M35" s="52" t="str">
        <f>IF(AND('Mapa final'!$AB$66="Media",'Mapa final'!$AD$66="Leve"),CONCATENATE("R10C",'Mapa final'!$R$66),"")</f>
        <v/>
      </c>
      <c r="N35" s="52" t="str">
        <f>IF(AND('Mapa final'!$AB$67="Media",'Mapa final'!$AD$67="Leve"),CONCATENATE("R10C",'Mapa final'!$R$67),"")</f>
        <v/>
      </c>
      <c r="O35" s="53" t="str">
        <f>IF(AND('Mapa final'!$AB$68="Media",'Mapa final'!$AD$68="Leve"),CONCATENATE("R10C",'Mapa final'!$R$68),"")</f>
        <v/>
      </c>
      <c r="P35" s="51" t="str">
        <f>IF(AND('Mapa final'!$AB$63="Media",'Mapa final'!$AD$63="Menor"),CONCATENATE("R10C",'Mapa final'!$R$63),"")</f>
        <v/>
      </c>
      <c r="Q35" s="52" t="str">
        <f>IF(AND('Mapa final'!$AB$64="Media",'Mapa final'!$AD$64="Menor"),CONCATENATE("R10C",'Mapa final'!$R$64),"")</f>
        <v/>
      </c>
      <c r="R35" s="52" t="str">
        <f>IF(AND('Mapa final'!$AB$65="Media",'Mapa final'!$AD$65="Menor"),CONCATENATE("R10C",'Mapa final'!$R$65),"")</f>
        <v/>
      </c>
      <c r="S35" s="52" t="str">
        <f>IF(AND('Mapa final'!$AB$66="Media",'Mapa final'!$AD$66="Menor"),CONCATENATE("R10C",'Mapa final'!$R$66),"")</f>
        <v/>
      </c>
      <c r="T35" s="52" t="str">
        <f>IF(AND('Mapa final'!$AB$67="Media",'Mapa final'!$AD$67="Menor"),CONCATENATE("R10C",'Mapa final'!$R$67),"")</f>
        <v/>
      </c>
      <c r="U35" s="53" t="str">
        <f>IF(AND('Mapa final'!$AB$68="Media",'Mapa final'!$AD$68="Menor"),CONCATENATE("R10C",'Mapa final'!$R$68),"")</f>
        <v/>
      </c>
      <c r="V35" s="51" t="str">
        <f>IF(AND('Mapa final'!$AB$63="Media",'Mapa final'!$AD$63="Moderado"),CONCATENATE("R10C",'Mapa final'!$R$63),"")</f>
        <v/>
      </c>
      <c r="W35" s="52" t="str">
        <f>IF(AND('Mapa final'!$AB$64="Media",'Mapa final'!$AD$64="Moderado"),CONCATENATE("R10C",'Mapa final'!$R$64),"")</f>
        <v/>
      </c>
      <c r="X35" s="52" t="str">
        <f>IF(AND('Mapa final'!$AB$65="Media",'Mapa final'!$AD$65="Moderado"),CONCATENATE("R10C",'Mapa final'!$R$65),"")</f>
        <v/>
      </c>
      <c r="Y35" s="52" t="str">
        <f>IF(AND('Mapa final'!$AB$66="Media",'Mapa final'!$AD$66="Moderado"),CONCATENATE("R10C",'Mapa final'!$R$66),"")</f>
        <v/>
      </c>
      <c r="Z35" s="52" t="str">
        <f>IF(AND('Mapa final'!$AB$67="Media",'Mapa final'!$AD$67="Moderado"),CONCATENATE("R10C",'Mapa final'!$R$67),"")</f>
        <v/>
      </c>
      <c r="AA35" s="53" t="str">
        <f>IF(AND('Mapa final'!$AB$68="Media",'Mapa final'!$AD$68="Moderado"),CONCATENATE("R10C",'Mapa final'!$R$68),"")</f>
        <v/>
      </c>
      <c r="AB35" s="42" t="str">
        <f>IF(AND('Mapa final'!$AB$63="Media",'Mapa final'!$AD$63="Mayor"),CONCATENATE("R10C",'Mapa final'!$R$63),"")</f>
        <v/>
      </c>
      <c r="AC35" s="43" t="str">
        <f>IF(AND('Mapa final'!$AB$64="Media",'Mapa final'!$AD$64="Mayor"),CONCATENATE("R10C",'Mapa final'!$R$64),"")</f>
        <v/>
      </c>
      <c r="AD35" s="43" t="str">
        <f>IF(AND('Mapa final'!$AB$65="Media",'Mapa final'!$AD$65="Mayor"),CONCATENATE("R10C",'Mapa final'!$R$65),"")</f>
        <v/>
      </c>
      <c r="AE35" s="43" t="str">
        <f>IF(AND('Mapa final'!$AB$66="Media",'Mapa final'!$AD$66="Mayor"),CONCATENATE("R10C",'Mapa final'!$R$66),"")</f>
        <v/>
      </c>
      <c r="AF35" s="43" t="str">
        <f>IF(AND('Mapa final'!$AB$67="Media",'Mapa final'!$AD$67="Mayor"),CONCATENATE("R10C",'Mapa final'!$R$67),"")</f>
        <v/>
      </c>
      <c r="AG35" s="44" t="str">
        <f>IF(AND('Mapa final'!$AB$68="Media",'Mapa final'!$AD$68="Mayor"),CONCATENATE("R10C",'Mapa final'!$R$68),"")</f>
        <v/>
      </c>
      <c r="AH35" s="45" t="str">
        <f>IF(AND('Mapa final'!$AB$63="Media",'Mapa final'!$AD$63="Catastrófico"),CONCATENATE("R10C",'Mapa final'!$R$63),"")</f>
        <v/>
      </c>
      <c r="AI35" s="46" t="str">
        <f>IF(AND('Mapa final'!$AB$64="Media",'Mapa final'!$AD$64="Catastrófico"),CONCATENATE("R10C",'Mapa final'!$R$64),"")</f>
        <v/>
      </c>
      <c r="AJ35" s="46" t="str">
        <f>IF(AND('Mapa final'!$AB$65="Media",'Mapa final'!$AD$65="Catastrófico"),CONCATENATE("R10C",'Mapa final'!$R$65),"")</f>
        <v/>
      </c>
      <c r="AK35" s="46" t="str">
        <f>IF(AND('Mapa final'!$AB$66="Media",'Mapa final'!$AD$66="Catastrófico"),CONCATENATE("R10C",'Mapa final'!$R$66),"")</f>
        <v/>
      </c>
      <c r="AL35" s="46" t="str">
        <f>IF(AND('Mapa final'!$AB$67="Media",'Mapa final'!$AD$67="Catastrófico"),CONCATENATE("R10C",'Mapa final'!$R$67),"")</f>
        <v/>
      </c>
      <c r="AM35" s="47" t="str">
        <f>IF(AND('Mapa final'!$AB$68="Media",'Mapa final'!$AD$68="Catastrófico"),CONCATENATE("R10C",'Mapa final'!$R$68),"")</f>
        <v/>
      </c>
      <c r="AN35" s="67"/>
      <c r="AO35" s="629"/>
      <c r="AP35" s="630"/>
      <c r="AQ35" s="630"/>
      <c r="AR35" s="630"/>
      <c r="AS35" s="630"/>
      <c r="AT35" s="63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498"/>
      <c r="C36" s="498"/>
      <c r="D36" s="499"/>
      <c r="E36" s="593" t="s">
        <v>109</v>
      </c>
      <c r="F36" s="594"/>
      <c r="G36" s="594"/>
      <c r="H36" s="594"/>
      <c r="I36" s="594"/>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e">
        <f>IF(AND('Mapa final'!#REF!="Baja",'Mapa final'!#REF!="Leve"),CONCATENATE("R1C",'Mapa final'!#REF!),"")</f>
        <v>#REF!</v>
      </c>
      <c r="O36" s="59" t="str">
        <f>IF(AND('Mapa final'!$AB$14="Baja",'Mapa final'!$AD$14="Leve"),CONCATENATE("R1C",'Mapa final'!$R$14),"")</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e">
        <f>IF(AND('Mapa final'!#REF!="Baja",'Mapa final'!#REF!="Menor"),CONCATENATE("R1C",'Mapa final'!#REF!),"")</f>
        <v>#REF!</v>
      </c>
      <c r="U36" s="50" t="str">
        <f>IF(AND('Mapa final'!$AB$14="Baja",'Mapa final'!$AD$14="Menor"),CONCATENATE("R1C",'Mapa final'!$R$14),"")</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e">
        <f>IF(AND('Mapa final'!#REF!="Baja",'Mapa final'!#REF!="Moderado"),CONCATENATE("R1C",'Mapa final'!#REF!),"")</f>
        <v>#REF!</v>
      </c>
      <c r="AA36" s="50" t="str">
        <f>IF(AND('Mapa final'!$AB$14="Baja",'Mapa final'!$AD$14="Moderado"),CONCATENATE("R1C",'Mapa final'!$R$14),"")</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e">
        <f>IF(AND('Mapa final'!#REF!="Baja",'Mapa final'!#REF!="Mayor"),CONCATENATE("R1C",'Mapa final'!#REF!),"")</f>
        <v>#REF!</v>
      </c>
      <c r="AG36" s="32" t="str">
        <f>IF(AND('Mapa final'!$AB$14="Baja",'Mapa final'!$AD$14="Mayor"),CONCATENATE("R1C",'Mapa final'!$R$14),"")</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e">
        <f>IF(AND('Mapa final'!#REF!="Baja",'Mapa final'!#REF!="Catastrófico"),CONCATENATE("R1C",'Mapa final'!#REF!),"")</f>
        <v>#REF!</v>
      </c>
      <c r="AM36" s="35" t="str">
        <f>IF(AND('Mapa final'!$AB$14="Baja",'Mapa final'!$AD$14="Catastrófico"),CONCATENATE("R1C",'Mapa final'!$R$14),"")</f>
        <v/>
      </c>
      <c r="AN36" s="67"/>
      <c r="AO36" s="614" t="s">
        <v>81</v>
      </c>
      <c r="AP36" s="615"/>
      <c r="AQ36" s="615"/>
      <c r="AR36" s="615"/>
      <c r="AS36" s="615"/>
      <c r="AT36" s="61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498"/>
      <c r="C37" s="498"/>
      <c r="D37" s="499"/>
      <c r="E37" s="595"/>
      <c r="F37" s="596"/>
      <c r="G37" s="596"/>
      <c r="H37" s="596"/>
      <c r="I37" s="596"/>
      <c r="J37" s="60" t="str">
        <f>IF(AND('Mapa final'!$AB$15="Baja",'Mapa final'!$AD$15="Leve"),CONCATENATE("R2C",'Mapa final'!$R$15),"")</f>
        <v/>
      </c>
      <c r="K37" s="61" t="str">
        <f>IF(AND('Mapa final'!$AB$16="Baja",'Mapa final'!$AD$16="Leve"),CONCATENATE("R2C",'Mapa final'!$R$16),"")</f>
        <v/>
      </c>
      <c r="L37" s="61" t="str">
        <f>IF(AND('Mapa final'!$AB$17="Baja",'Mapa final'!$AD$17="Leve"),CONCATENATE("R2C",'Mapa final'!$R$17),"")</f>
        <v/>
      </c>
      <c r="M37" s="61" t="str">
        <f>IF(AND('Mapa final'!$AB$18="Baja",'Mapa final'!$AD$18="Leve"),CONCATENATE("R2C",'Mapa final'!$R$18),"")</f>
        <v/>
      </c>
      <c r="N37" s="61" t="str">
        <f>IF(AND('Mapa final'!$AB$19="Baja",'Mapa final'!$AD$19="Leve"),CONCATENATE("R2C",'Mapa final'!$R$19),"")</f>
        <v/>
      </c>
      <c r="O37" s="62" t="str">
        <f>IF(AND('Mapa final'!$AB$20="Baja",'Mapa final'!$AD$20="Leve"),CONCATENATE("R2C",'Mapa final'!$R$20),"")</f>
        <v/>
      </c>
      <c r="P37" s="51" t="str">
        <f>IF(AND('Mapa final'!$AB$15="Baja",'Mapa final'!$AD$15="Menor"),CONCATENATE("R2C",'Mapa final'!$R$15),"")</f>
        <v/>
      </c>
      <c r="Q37" s="52" t="str">
        <f>IF(AND('Mapa final'!$AB$16="Baja",'Mapa final'!$AD$16="Menor"),CONCATENATE("R2C",'Mapa final'!$R$16),"")</f>
        <v/>
      </c>
      <c r="R37" s="52" t="str">
        <f>IF(AND('Mapa final'!$AB$17="Baja",'Mapa final'!$AD$17="Menor"),CONCATENATE("R2C",'Mapa final'!$R$17),"")</f>
        <v/>
      </c>
      <c r="S37" s="52" t="str">
        <f>IF(AND('Mapa final'!$AB$18="Baja",'Mapa final'!$AD$18="Menor"),CONCATENATE("R2C",'Mapa final'!$R$18),"")</f>
        <v/>
      </c>
      <c r="T37" s="52" t="str">
        <f>IF(AND('Mapa final'!$AB$19="Baja",'Mapa final'!$AD$19="Menor"),CONCATENATE("R2C",'Mapa final'!$R$19),"")</f>
        <v/>
      </c>
      <c r="U37" s="53" t="str">
        <f>IF(AND('Mapa final'!$AB$20="Baja",'Mapa final'!$AD$20="Menor"),CONCATENATE("R2C",'Mapa final'!$R$20),"")</f>
        <v/>
      </c>
      <c r="V37" s="51" t="str">
        <f>IF(AND('Mapa final'!$AB$15="Baja",'Mapa final'!$AD$15="Moderado"),CONCATENATE("R2C",'Mapa final'!$R$15),"")</f>
        <v/>
      </c>
      <c r="W37" s="52" t="str">
        <f>IF(AND('Mapa final'!$AB$16="Baja",'Mapa final'!$AD$16="Moderado"),CONCATENATE("R2C",'Mapa final'!$R$16),"")</f>
        <v/>
      </c>
      <c r="X37" s="52" t="str">
        <f>IF(AND('Mapa final'!$AB$17="Baja",'Mapa final'!$AD$17="Moderado"),CONCATENATE("R2C",'Mapa final'!$R$17),"")</f>
        <v/>
      </c>
      <c r="Y37" s="52" t="str">
        <f>IF(AND('Mapa final'!$AB$18="Baja",'Mapa final'!$AD$18="Moderado"),CONCATENATE("R2C",'Mapa final'!$R$18),"")</f>
        <v/>
      </c>
      <c r="Z37" s="52" t="str">
        <f>IF(AND('Mapa final'!$AB$19="Baja",'Mapa final'!$AD$19="Moderado"),CONCATENATE("R2C",'Mapa final'!$R$19),"")</f>
        <v/>
      </c>
      <c r="AA37" s="53" t="str">
        <f>IF(AND('Mapa final'!$AB$20="Baja",'Mapa final'!$AD$20="Moderado"),CONCATENATE("R2C",'Mapa final'!$R$20),"")</f>
        <v/>
      </c>
      <c r="AB37" s="36" t="str">
        <f>IF(AND('Mapa final'!$AB$15="Baja",'Mapa final'!$AD$15="Mayor"),CONCATENATE("R2C",'Mapa final'!$R$15),"")</f>
        <v/>
      </c>
      <c r="AC37" s="37" t="str">
        <f>IF(AND('Mapa final'!$AB$16="Baja",'Mapa final'!$AD$16="Mayor"),CONCATENATE("R2C",'Mapa final'!$R$16),"")</f>
        <v/>
      </c>
      <c r="AD37" s="37" t="str">
        <f>IF(AND('Mapa final'!$AB$17="Baja",'Mapa final'!$AD$17="Mayor"),CONCATENATE("R2C",'Mapa final'!$R$17),"")</f>
        <v/>
      </c>
      <c r="AE37" s="37" t="str">
        <f>IF(AND('Mapa final'!$AB$18="Baja",'Mapa final'!$AD$18="Mayor"),CONCATENATE("R2C",'Mapa final'!$R$18),"")</f>
        <v/>
      </c>
      <c r="AF37" s="37" t="str">
        <f>IF(AND('Mapa final'!$AB$19="Baja",'Mapa final'!$AD$19="Mayor"),CONCATENATE("R2C",'Mapa final'!$R$19),"")</f>
        <v/>
      </c>
      <c r="AG37" s="38" t="str">
        <f>IF(AND('Mapa final'!$AB$20="Baja",'Mapa final'!$AD$20="Mayor"),CONCATENATE("R2C",'Mapa final'!$R$20),"")</f>
        <v/>
      </c>
      <c r="AH37" s="39" t="str">
        <f>IF(AND('Mapa final'!$AB$15="Baja",'Mapa final'!$AD$15="Catastrófico"),CONCATENATE("R2C",'Mapa final'!$R$15),"")</f>
        <v/>
      </c>
      <c r="AI37" s="40" t="str">
        <f>IF(AND('Mapa final'!$AB$16="Baja",'Mapa final'!$AD$16="Catastrófico"),CONCATENATE("R2C",'Mapa final'!$R$16),"")</f>
        <v/>
      </c>
      <c r="AJ37" s="40" t="str">
        <f>IF(AND('Mapa final'!$AB$17="Baja",'Mapa final'!$AD$17="Catastrófico"),CONCATENATE("R2C",'Mapa final'!$R$17),"")</f>
        <v/>
      </c>
      <c r="AK37" s="40" t="str">
        <f>IF(AND('Mapa final'!$AB$18="Baja",'Mapa final'!$AD$18="Catastrófico"),CONCATENATE("R2C",'Mapa final'!$R$18),"")</f>
        <v/>
      </c>
      <c r="AL37" s="40" t="str">
        <f>IF(AND('Mapa final'!$AB$19="Baja",'Mapa final'!$AD$19="Catastrófico"),CONCATENATE("R2C",'Mapa final'!$R$19),"")</f>
        <v/>
      </c>
      <c r="AM37" s="41" t="str">
        <f>IF(AND('Mapa final'!$AB$20="Baja",'Mapa final'!$AD$20="Catastrófico"),CONCATENATE("R2C",'Mapa final'!$R$20),"")</f>
        <v/>
      </c>
      <c r="AN37" s="67"/>
      <c r="AO37" s="617"/>
      <c r="AP37" s="618"/>
      <c r="AQ37" s="618"/>
      <c r="AR37" s="618"/>
      <c r="AS37" s="618"/>
      <c r="AT37" s="61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498"/>
      <c r="C38" s="498"/>
      <c r="D38" s="499"/>
      <c r="E38" s="597"/>
      <c r="F38" s="596"/>
      <c r="G38" s="596"/>
      <c r="H38" s="596"/>
      <c r="I38" s="596"/>
      <c r="J38" s="60" t="str">
        <f>IF(AND('Mapa final'!$AB$21="Baja",'Mapa final'!$AD$21="Leve"),CONCATENATE("R3C",'Mapa final'!$R$21),"")</f>
        <v/>
      </c>
      <c r="K38" s="61" t="str">
        <f>IF(AND('Mapa final'!$AB$22="Baja",'Mapa final'!$AD$22="Leve"),CONCATENATE("R3C",'Mapa final'!$R$22),"")</f>
        <v/>
      </c>
      <c r="L38" s="61" t="str">
        <f>IF(AND('Mapa final'!$AB$23="Baja",'Mapa final'!$AD$23="Leve"),CONCATENATE("R3C",'Mapa final'!$R$23),"")</f>
        <v/>
      </c>
      <c r="M38" s="61" t="str">
        <f>IF(AND('Mapa final'!$AB$24="Baja",'Mapa final'!$AD$24="Leve"),CONCATENATE("R3C",'Mapa final'!$R$24),"")</f>
        <v/>
      </c>
      <c r="N38" s="61" t="str">
        <f>IF(AND('Mapa final'!$AB$25="Baja",'Mapa final'!$AD$25="Leve"),CONCATENATE("R3C",'Mapa final'!$R$25),"")</f>
        <v/>
      </c>
      <c r="O38" s="62" t="str">
        <f>IF(AND('Mapa final'!$AB$26="Baja",'Mapa final'!$AD$26="Leve"),CONCATENATE("R3C",'Mapa final'!$R$26),"")</f>
        <v/>
      </c>
      <c r="P38" s="51" t="str">
        <f>IF(AND('Mapa final'!$AB$21="Baja",'Mapa final'!$AD$21="Menor"),CONCATENATE("R3C",'Mapa final'!$R$21),"")</f>
        <v/>
      </c>
      <c r="Q38" s="52" t="str">
        <f>IF(AND('Mapa final'!$AB$22="Baja",'Mapa final'!$AD$22="Menor"),CONCATENATE("R3C",'Mapa final'!$R$22),"")</f>
        <v/>
      </c>
      <c r="R38" s="52" t="str">
        <f>IF(AND('Mapa final'!$AB$23="Baja",'Mapa final'!$AD$23="Menor"),CONCATENATE("R3C",'Mapa final'!$R$23),"")</f>
        <v/>
      </c>
      <c r="S38" s="52" t="str">
        <f>IF(AND('Mapa final'!$AB$24="Baja",'Mapa final'!$AD$24="Menor"),CONCATENATE("R3C",'Mapa final'!$R$24),"")</f>
        <v/>
      </c>
      <c r="T38" s="52" t="str">
        <f>IF(AND('Mapa final'!$AB$25="Baja",'Mapa final'!$AD$25="Menor"),CONCATENATE("R3C",'Mapa final'!$R$25),"")</f>
        <v/>
      </c>
      <c r="U38" s="53" t="str">
        <f>IF(AND('Mapa final'!$AB$26="Baja",'Mapa final'!$AD$26="Menor"),CONCATENATE("R3C",'Mapa final'!$R$26),"")</f>
        <v/>
      </c>
      <c r="V38" s="51" t="str">
        <f>IF(AND('Mapa final'!$AB$21="Baja",'Mapa final'!$AD$21="Moderado"),CONCATENATE("R3C",'Mapa final'!$R$21),"")</f>
        <v/>
      </c>
      <c r="W38" s="52" t="str">
        <f>IF(AND('Mapa final'!$AB$22="Baja",'Mapa final'!$AD$22="Moderado"),CONCATENATE("R3C",'Mapa final'!$R$22),"")</f>
        <v/>
      </c>
      <c r="X38" s="52" t="str">
        <f>IF(AND('Mapa final'!$AB$23="Baja",'Mapa final'!$AD$23="Moderado"),CONCATENATE("R3C",'Mapa final'!$R$23),"")</f>
        <v/>
      </c>
      <c r="Y38" s="52" t="str">
        <f>IF(AND('Mapa final'!$AB$24="Baja",'Mapa final'!$AD$24="Moderado"),CONCATENATE("R3C",'Mapa final'!$R$24),"")</f>
        <v/>
      </c>
      <c r="Z38" s="52" t="str">
        <f>IF(AND('Mapa final'!$AB$25="Baja",'Mapa final'!$AD$25="Moderado"),CONCATENATE("R3C",'Mapa final'!$R$25),"")</f>
        <v/>
      </c>
      <c r="AA38" s="53" t="str">
        <f>IF(AND('Mapa final'!$AB$26="Baja",'Mapa final'!$AD$26="Moderado"),CONCATENATE("R3C",'Mapa final'!$R$26),"")</f>
        <v/>
      </c>
      <c r="AB38" s="36" t="str">
        <f>IF(AND('Mapa final'!$AB$21="Baja",'Mapa final'!$AD$21="Mayor"),CONCATENATE("R3C",'Mapa final'!$R$21),"")</f>
        <v/>
      </c>
      <c r="AC38" s="37" t="str">
        <f>IF(AND('Mapa final'!$AB$22="Baja",'Mapa final'!$AD$22="Mayor"),CONCATENATE("R3C",'Mapa final'!$R$22),"")</f>
        <v/>
      </c>
      <c r="AD38" s="37" t="str">
        <f>IF(AND('Mapa final'!$AB$23="Baja",'Mapa final'!$AD$23="Mayor"),CONCATENATE("R3C",'Mapa final'!$R$23),"")</f>
        <v/>
      </c>
      <c r="AE38" s="37" t="str">
        <f>IF(AND('Mapa final'!$AB$24="Baja",'Mapa final'!$AD$24="Mayor"),CONCATENATE("R3C",'Mapa final'!$R$24),"")</f>
        <v/>
      </c>
      <c r="AF38" s="37" t="str">
        <f>IF(AND('Mapa final'!$AB$25="Baja",'Mapa final'!$AD$25="Mayor"),CONCATENATE("R3C",'Mapa final'!$R$25),"")</f>
        <v/>
      </c>
      <c r="AG38" s="38" t="str">
        <f>IF(AND('Mapa final'!$AB$26="Baja",'Mapa final'!$AD$26="Mayor"),CONCATENATE("R3C",'Mapa final'!$R$26),"")</f>
        <v/>
      </c>
      <c r="AH38" s="39" t="str">
        <f>IF(AND('Mapa final'!$AB$21="Baja",'Mapa final'!$AD$21="Catastrófico"),CONCATENATE("R3C",'Mapa final'!$R$21),"")</f>
        <v/>
      </c>
      <c r="AI38" s="40" t="str">
        <f>IF(AND('Mapa final'!$AB$22="Baja",'Mapa final'!$AD$22="Catastrófico"),CONCATENATE("R3C",'Mapa final'!$R$22),"")</f>
        <v/>
      </c>
      <c r="AJ38" s="40" t="str">
        <f>IF(AND('Mapa final'!$AB$23="Baja",'Mapa final'!$AD$23="Catastrófico"),CONCATENATE("R3C",'Mapa final'!$R$23),"")</f>
        <v/>
      </c>
      <c r="AK38" s="40" t="str">
        <f>IF(AND('Mapa final'!$AB$24="Baja",'Mapa final'!$AD$24="Catastrófico"),CONCATENATE("R3C",'Mapa final'!$R$24),"")</f>
        <v/>
      </c>
      <c r="AL38" s="40" t="str">
        <f>IF(AND('Mapa final'!$AB$25="Baja",'Mapa final'!$AD$25="Catastrófico"),CONCATENATE("R3C",'Mapa final'!$R$25),"")</f>
        <v/>
      </c>
      <c r="AM38" s="41" t="str">
        <f>IF(AND('Mapa final'!$AB$26="Baja",'Mapa final'!$AD$26="Catastrófico"),CONCATENATE("R3C",'Mapa final'!$R$26),"")</f>
        <v/>
      </c>
      <c r="AN38" s="67"/>
      <c r="AO38" s="617"/>
      <c r="AP38" s="618"/>
      <c r="AQ38" s="618"/>
      <c r="AR38" s="618"/>
      <c r="AS38" s="618"/>
      <c r="AT38" s="619"/>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498"/>
      <c r="C39" s="498"/>
      <c r="D39" s="499"/>
      <c r="E39" s="597"/>
      <c r="F39" s="596"/>
      <c r="G39" s="596"/>
      <c r="H39" s="596"/>
      <c r="I39" s="596"/>
      <c r="J39" s="60" t="str">
        <f>IF(AND('Mapa final'!$AB$27="Baja",'Mapa final'!$AD$27="Leve"),CONCATENATE("R4C",'Mapa final'!$R$27),"")</f>
        <v/>
      </c>
      <c r="K39" s="61" t="str">
        <f>IF(AND('Mapa final'!$AB$28="Baja",'Mapa final'!$AD$28="Leve"),CONCATENATE("R4C",'Mapa final'!$R$28),"")</f>
        <v/>
      </c>
      <c r="L39" s="61" t="str">
        <f>IF(AND('Mapa final'!$AB$29="Baja",'Mapa final'!$AD$29="Leve"),CONCATENATE("R4C",'Mapa final'!$R$29),"")</f>
        <v/>
      </c>
      <c r="M39" s="61" t="str">
        <f>IF(AND('Mapa final'!$AB$30="Baja",'Mapa final'!$AD$30="Leve"),CONCATENATE("R4C",'Mapa final'!$R$30),"")</f>
        <v/>
      </c>
      <c r="N39" s="61" t="str">
        <f>IF(AND('Mapa final'!$AB$31="Baja",'Mapa final'!$AD$31="Leve"),CONCATENATE("R4C",'Mapa final'!$R$31),"")</f>
        <v/>
      </c>
      <c r="O39" s="62" t="str">
        <f>IF(AND('Mapa final'!$AB$32="Baja",'Mapa final'!$AD$32="Leve"),CONCATENATE("R4C",'Mapa final'!$R$32),"")</f>
        <v/>
      </c>
      <c r="P39" s="51" t="str">
        <f>IF(AND('Mapa final'!$AB$27="Baja",'Mapa final'!$AD$27="Menor"),CONCATENATE("R4C",'Mapa final'!$R$27),"")</f>
        <v/>
      </c>
      <c r="Q39" s="52" t="str">
        <f>IF(AND('Mapa final'!$AB$28="Baja",'Mapa final'!$AD$28="Menor"),CONCATENATE("R4C",'Mapa final'!$R$28),"")</f>
        <v/>
      </c>
      <c r="R39" s="52" t="str">
        <f>IF(AND('Mapa final'!$AB$29="Baja",'Mapa final'!$AD$29="Menor"),CONCATENATE("R4C",'Mapa final'!$R$29),"")</f>
        <v/>
      </c>
      <c r="S39" s="52" t="str">
        <f>IF(AND('Mapa final'!$AB$30="Baja",'Mapa final'!$AD$30="Menor"),CONCATENATE("R4C",'Mapa final'!$R$30),"")</f>
        <v/>
      </c>
      <c r="T39" s="52" t="str">
        <f>IF(AND('Mapa final'!$AB$31="Baja",'Mapa final'!$AD$31="Menor"),CONCATENATE("R4C",'Mapa final'!$R$31),"")</f>
        <v/>
      </c>
      <c r="U39" s="53" t="str">
        <f>IF(AND('Mapa final'!$AB$32="Baja",'Mapa final'!$AD$32="Menor"),CONCATENATE("R4C",'Mapa final'!$R$32),"")</f>
        <v/>
      </c>
      <c r="V39" s="51" t="str">
        <f>IF(AND('Mapa final'!$AB$27="Baja",'Mapa final'!$AD$27="Moderado"),CONCATENATE("R4C",'Mapa final'!$R$27),"")</f>
        <v/>
      </c>
      <c r="W39" s="52" t="str">
        <f>IF(AND('Mapa final'!$AB$28="Baja",'Mapa final'!$AD$28="Moderado"),CONCATENATE("R4C",'Mapa final'!$R$28),"")</f>
        <v/>
      </c>
      <c r="X39" s="52" t="str">
        <f>IF(AND('Mapa final'!$AB$29="Baja",'Mapa final'!$AD$29="Moderado"),CONCATENATE("R4C",'Mapa final'!$R$29),"")</f>
        <v/>
      </c>
      <c r="Y39" s="52" t="str">
        <f>IF(AND('Mapa final'!$AB$30="Baja",'Mapa final'!$AD$30="Moderado"),CONCATENATE("R4C",'Mapa final'!$R$30),"")</f>
        <v/>
      </c>
      <c r="Z39" s="52" t="str">
        <f>IF(AND('Mapa final'!$AB$31="Baja",'Mapa final'!$AD$31="Moderado"),CONCATENATE("R4C",'Mapa final'!$R$31),"")</f>
        <v/>
      </c>
      <c r="AA39" s="53" t="str">
        <f>IF(AND('Mapa final'!$AB$32="Baja",'Mapa final'!$AD$32="Moderado"),CONCATENATE("R4C",'Mapa final'!$R$32),"")</f>
        <v/>
      </c>
      <c r="AB39" s="36" t="str">
        <f>IF(AND('Mapa final'!$AB$27="Baja",'Mapa final'!$AD$27="Mayor"),CONCATENATE("R4C",'Mapa final'!$R$27),"")</f>
        <v/>
      </c>
      <c r="AC39" s="37" t="str">
        <f>IF(AND('Mapa final'!$AB$28="Baja",'Mapa final'!$AD$28="Mayor"),CONCATENATE("R4C",'Mapa final'!$R$28),"")</f>
        <v/>
      </c>
      <c r="AD39" s="37" t="str">
        <f>IF(AND('Mapa final'!$AB$29="Baja",'Mapa final'!$AD$29="Mayor"),CONCATENATE("R4C",'Mapa final'!$R$29),"")</f>
        <v/>
      </c>
      <c r="AE39" s="37" t="str">
        <f>IF(AND('Mapa final'!$AB$30="Baja",'Mapa final'!$AD$30="Mayor"),CONCATENATE("R4C",'Mapa final'!$R$30),"")</f>
        <v/>
      </c>
      <c r="AF39" s="37" t="str">
        <f>IF(AND('Mapa final'!$AB$31="Baja",'Mapa final'!$AD$31="Mayor"),CONCATENATE("R4C",'Mapa final'!$R$31),"")</f>
        <v/>
      </c>
      <c r="AG39" s="38" t="str">
        <f>IF(AND('Mapa final'!$AB$32="Baja",'Mapa final'!$AD$32="Mayor"),CONCATENATE("R4C",'Mapa final'!$R$32),"")</f>
        <v/>
      </c>
      <c r="AH39" s="39" t="str">
        <f>IF(AND('Mapa final'!$AB$27="Baja",'Mapa final'!$AD$27="Catastrófico"),CONCATENATE("R4C",'Mapa final'!$R$27),"")</f>
        <v/>
      </c>
      <c r="AI39" s="40" t="str">
        <f>IF(AND('Mapa final'!$AB$28="Baja",'Mapa final'!$AD$28="Catastrófico"),CONCATENATE("R4C",'Mapa final'!$R$28),"")</f>
        <v/>
      </c>
      <c r="AJ39" s="40" t="str">
        <f>IF(AND('Mapa final'!$AB$29="Baja",'Mapa final'!$AD$29="Catastrófico"),CONCATENATE("R4C",'Mapa final'!$R$29),"")</f>
        <v/>
      </c>
      <c r="AK39" s="40" t="str">
        <f>IF(AND('Mapa final'!$AB$30="Baja",'Mapa final'!$AD$30="Catastrófico"),CONCATENATE("R4C",'Mapa final'!$R$30),"")</f>
        <v/>
      </c>
      <c r="AL39" s="40" t="str">
        <f>IF(AND('Mapa final'!$AB$31="Baja",'Mapa final'!$AD$31="Catastrófico"),CONCATENATE("R4C",'Mapa final'!$R$31),"")</f>
        <v/>
      </c>
      <c r="AM39" s="41" t="str">
        <f>IF(AND('Mapa final'!$AB$32="Baja",'Mapa final'!$AD$32="Catastrófico"),CONCATENATE("R4C",'Mapa final'!$R$32),"")</f>
        <v/>
      </c>
      <c r="AN39" s="67"/>
      <c r="AO39" s="617"/>
      <c r="AP39" s="618"/>
      <c r="AQ39" s="618"/>
      <c r="AR39" s="618"/>
      <c r="AS39" s="618"/>
      <c r="AT39" s="619"/>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498"/>
      <c r="C40" s="498"/>
      <c r="D40" s="499"/>
      <c r="E40" s="597"/>
      <c r="F40" s="596"/>
      <c r="G40" s="596"/>
      <c r="H40" s="596"/>
      <c r="I40" s="596"/>
      <c r="J40" s="60" t="str">
        <f>IF(AND('Mapa final'!$AB$33="Baja",'Mapa final'!$AD$33="Leve"),CONCATENATE("R5C",'Mapa final'!$R$33),"")</f>
        <v/>
      </c>
      <c r="K40" s="61" t="str">
        <f>IF(AND('Mapa final'!$AB$34="Baja",'Mapa final'!$AD$34="Leve"),CONCATENATE("R5C",'Mapa final'!$R$34),"")</f>
        <v/>
      </c>
      <c r="L40" s="61" t="str">
        <f>IF(AND('Mapa final'!$AB$35="Baja",'Mapa final'!$AD$35="Leve"),CONCATENATE("R5C",'Mapa final'!$R$35),"")</f>
        <v/>
      </c>
      <c r="M40" s="61" t="str">
        <f>IF(AND('Mapa final'!$AB$36="Baja",'Mapa final'!$AD$36="Leve"),CONCATENATE("R5C",'Mapa final'!$R$36),"")</f>
        <v/>
      </c>
      <c r="N40" s="61" t="str">
        <f>IF(AND('Mapa final'!$AB$37="Baja",'Mapa final'!$AD$37="Leve"),CONCATENATE("R5C",'Mapa final'!$R$37),"")</f>
        <v/>
      </c>
      <c r="O40" s="62" t="str">
        <f>IF(AND('Mapa final'!$AB$38="Baja",'Mapa final'!$AD$38="Leve"),CONCATENATE("R5C",'Mapa final'!$R$38),"")</f>
        <v/>
      </c>
      <c r="P40" s="51" t="str">
        <f>IF(AND('Mapa final'!$AB$33="Baja",'Mapa final'!$AD$33="Menor"),CONCATENATE("R5C",'Mapa final'!$R$33),"")</f>
        <v/>
      </c>
      <c r="Q40" s="52" t="str">
        <f>IF(AND('Mapa final'!$AB$34="Baja",'Mapa final'!$AD$34="Menor"),CONCATENATE("R5C",'Mapa final'!$R$34),"")</f>
        <v/>
      </c>
      <c r="R40" s="52" t="str">
        <f>IF(AND('Mapa final'!$AB$35="Baja",'Mapa final'!$AD$35="Menor"),CONCATENATE("R5C",'Mapa final'!$R$35),"")</f>
        <v/>
      </c>
      <c r="S40" s="52" t="str">
        <f>IF(AND('Mapa final'!$AB$36="Baja",'Mapa final'!$AD$36="Menor"),CONCATENATE("R5C",'Mapa final'!$R$36),"")</f>
        <v/>
      </c>
      <c r="T40" s="52" t="str">
        <f>IF(AND('Mapa final'!$AB$37="Baja",'Mapa final'!$AD$37="Menor"),CONCATENATE("R5C",'Mapa final'!$R$37),"")</f>
        <v/>
      </c>
      <c r="U40" s="53" t="str">
        <f>IF(AND('Mapa final'!$AB$38="Baja",'Mapa final'!$AD$38="Menor"),CONCATENATE("R5C",'Mapa final'!$R$38),"")</f>
        <v/>
      </c>
      <c r="V40" s="51" t="str">
        <f>IF(AND('Mapa final'!$AB$33="Baja",'Mapa final'!$AD$33="Moderado"),CONCATENATE("R5C",'Mapa final'!$R$33),"")</f>
        <v/>
      </c>
      <c r="W40" s="52" t="str">
        <f>IF(AND('Mapa final'!$AB$34="Baja",'Mapa final'!$AD$34="Moderado"),CONCATENATE("R5C",'Mapa final'!$R$34),"")</f>
        <v/>
      </c>
      <c r="X40" s="52" t="str">
        <f>IF(AND('Mapa final'!$AB$35="Baja",'Mapa final'!$AD$35="Moderado"),CONCATENATE("R5C",'Mapa final'!$R$35),"")</f>
        <v/>
      </c>
      <c r="Y40" s="52" t="str">
        <f>IF(AND('Mapa final'!$AB$36="Baja",'Mapa final'!$AD$36="Moderado"),CONCATENATE("R5C",'Mapa final'!$R$36),"")</f>
        <v/>
      </c>
      <c r="Z40" s="52" t="str">
        <f>IF(AND('Mapa final'!$AB$37="Baja",'Mapa final'!$AD$37="Moderado"),CONCATENATE("R5C",'Mapa final'!$R$37),"")</f>
        <v/>
      </c>
      <c r="AA40" s="53" t="str">
        <f>IF(AND('Mapa final'!$AB$38="Baja",'Mapa final'!$AD$38="Moderado"),CONCATENATE("R5C",'Mapa final'!$R$38),"")</f>
        <v/>
      </c>
      <c r="AB40" s="36" t="str">
        <f>IF(AND('Mapa final'!$AB$33="Baja",'Mapa final'!$AD$33="Mayor"),CONCATENATE("R5C",'Mapa final'!$R$33),"")</f>
        <v/>
      </c>
      <c r="AC40" s="37" t="str">
        <f>IF(AND('Mapa final'!$AB$34="Baja",'Mapa final'!$AD$34="Mayor"),CONCATENATE("R5C",'Mapa final'!$R$34),"")</f>
        <v/>
      </c>
      <c r="AD40" s="37" t="str">
        <f>IF(AND('Mapa final'!$AB$35="Baja",'Mapa final'!$AD$35="Mayor"),CONCATENATE("R5C",'Mapa final'!$R$35),"")</f>
        <v/>
      </c>
      <c r="AE40" s="37" t="str">
        <f>IF(AND('Mapa final'!$AB$36="Baja",'Mapa final'!$AD$36="Mayor"),CONCATENATE("R5C",'Mapa final'!$R$36),"")</f>
        <v/>
      </c>
      <c r="AF40" s="37" t="str">
        <f>IF(AND('Mapa final'!$AB$37="Baja",'Mapa final'!$AD$37="Mayor"),CONCATENATE("R5C",'Mapa final'!$R$37),"")</f>
        <v/>
      </c>
      <c r="AG40" s="38" t="str">
        <f>IF(AND('Mapa final'!$AB$38="Baja",'Mapa final'!$AD$38="Mayor"),CONCATENATE("R5C",'Mapa final'!$R$38),"")</f>
        <v/>
      </c>
      <c r="AH40" s="39" t="str">
        <f>IF(AND('Mapa final'!$AB$33="Baja",'Mapa final'!$AD$33="Catastrófico"),CONCATENATE("R5C",'Mapa final'!$R$33),"")</f>
        <v/>
      </c>
      <c r="AI40" s="40" t="str">
        <f>IF(AND('Mapa final'!$AB$34="Baja",'Mapa final'!$AD$34="Catastrófico"),CONCATENATE("R5C",'Mapa final'!$R$34),"")</f>
        <v/>
      </c>
      <c r="AJ40" s="40" t="str">
        <f>IF(AND('Mapa final'!$AB$35="Baja",'Mapa final'!$AD$35="Catastrófico"),CONCATENATE("R5C",'Mapa final'!$R$35),"")</f>
        <v/>
      </c>
      <c r="AK40" s="40" t="str">
        <f>IF(AND('Mapa final'!$AB$36="Baja",'Mapa final'!$AD$36="Catastrófico"),CONCATENATE("R5C",'Mapa final'!$R$36),"")</f>
        <v/>
      </c>
      <c r="AL40" s="40" t="str">
        <f>IF(AND('Mapa final'!$AB$37="Baja",'Mapa final'!$AD$37="Catastrófico"),CONCATENATE("R5C",'Mapa final'!$R$37),"")</f>
        <v/>
      </c>
      <c r="AM40" s="41" t="str">
        <f>IF(AND('Mapa final'!$AB$38="Baja",'Mapa final'!$AD$38="Catastrófico"),CONCATENATE("R5C",'Mapa final'!$R$38),"")</f>
        <v/>
      </c>
      <c r="AN40" s="67"/>
      <c r="AO40" s="617"/>
      <c r="AP40" s="618"/>
      <c r="AQ40" s="618"/>
      <c r="AR40" s="618"/>
      <c r="AS40" s="618"/>
      <c r="AT40" s="619"/>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498"/>
      <c r="C41" s="498"/>
      <c r="D41" s="499"/>
      <c r="E41" s="597"/>
      <c r="F41" s="596"/>
      <c r="G41" s="596"/>
      <c r="H41" s="596"/>
      <c r="I41" s="596"/>
      <c r="J41" s="60" t="str">
        <f>IF(AND('Mapa final'!$AB$39="Baja",'Mapa final'!$AD$39="Leve"),CONCATENATE("R6C",'Mapa final'!$R$39),"")</f>
        <v/>
      </c>
      <c r="K41" s="61" t="str">
        <f>IF(AND('Mapa final'!$AB$40="Baja",'Mapa final'!$AD$40="Leve"),CONCATENATE("R6C",'Mapa final'!$R$40),"")</f>
        <v/>
      </c>
      <c r="L41" s="61" t="str">
        <f>IF(AND('Mapa final'!$AB$41="Baja",'Mapa final'!$AD$41="Leve"),CONCATENATE("R6C",'Mapa final'!$R$41),"")</f>
        <v/>
      </c>
      <c r="M41" s="61" t="str">
        <f>IF(AND('Mapa final'!$AB$42="Baja",'Mapa final'!$AD$42="Leve"),CONCATENATE("R6C",'Mapa final'!$R$42),"")</f>
        <v/>
      </c>
      <c r="N41" s="61" t="str">
        <f>IF(AND('Mapa final'!$AB$43="Baja",'Mapa final'!$AD$43="Leve"),CONCATENATE("R6C",'Mapa final'!$R$43),"")</f>
        <v/>
      </c>
      <c r="O41" s="62" t="str">
        <f>IF(AND('Mapa final'!$AB$44="Baja",'Mapa final'!$AD$44="Leve"),CONCATENATE("R6C",'Mapa final'!$R$44),"")</f>
        <v/>
      </c>
      <c r="P41" s="51" t="str">
        <f>IF(AND('Mapa final'!$AB$39="Baja",'Mapa final'!$AD$39="Menor"),CONCATENATE("R6C",'Mapa final'!$R$39),"")</f>
        <v/>
      </c>
      <c r="Q41" s="52" t="str">
        <f>IF(AND('Mapa final'!$AB$40="Baja",'Mapa final'!$AD$40="Menor"),CONCATENATE("R6C",'Mapa final'!$R$40),"")</f>
        <v/>
      </c>
      <c r="R41" s="52" t="str">
        <f>IF(AND('Mapa final'!$AB$41="Baja",'Mapa final'!$AD$41="Menor"),CONCATENATE("R6C",'Mapa final'!$R$41),"")</f>
        <v/>
      </c>
      <c r="S41" s="52" t="str">
        <f>IF(AND('Mapa final'!$AB$42="Baja",'Mapa final'!$AD$42="Menor"),CONCATENATE("R6C",'Mapa final'!$R$42),"")</f>
        <v/>
      </c>
      <c r="T41" s="52" t="str">
        <f>IF(AND('Mapa final'!$AB$43="Baja",'Mapa final'!$AD$43="Menor"),CONCATENATE("R6C",'Mapa final'!$R$43),"")</f>
        <v/>
      </c>
      <c r="U41" s="53" t="str">
        <f>IF(AND('Mapa final'!$AB$44="Baja",'Mapa final'!$AD$44="Menor"),CONCATENATE("R6C",'Mapa final'!$R$44),"")</f>
        <v/>
      </c>
      <c r="V41" s="51" t="str">
        <f>IF(AND('Mapa final'!$AB$39="Baja",'Mapa final'!$AD$39="Moderado"),CONCATENATE("R6C",'Mapa final'!$R$39),"")</f>
        <v/>
      </c>
      <c r="W41" s="52" t="str">
        <f>IF(AND('Mapa final'!$AB$40="Baja",'Mapa final'!$AD$40="Moderado"),CONCATENATE("R6C",'Mapa final'!$R$40),"")</f>
        <v/>
      </c>
      <c r="X41" s="52" t="str">
        <f>IF(AND('Mapa final'!$AB$41="Baja",'Mapa final'!$AD$41="Moderado"),CONCATENATE("R6C",'Mapa final'!$R$41),"")</f>
        <v/>
      </c>
      <c r="Y41" s="52" t="str">
        <f>IF(AND('Mapa final'!$AB$42="Baja",'Mapa final'!$AD$42="Moderado"),CONCATENATE("R6C",'Mapa final'!$R$42),"")</f>
        <v/>
      </c>
      <c r="Z41" s="52" t="str">
        <f>IF(AND('Mapa final'!$AB$43="Baja",'Mapa final'!$AD$43="Moderado"),CONCATENATE("R6C",'Mapa final'!$R$43),"")</f>
        <v/>
      </c>
      <c r="AA41" s="53" t="str">
        <f>IF(AND('Mapa final'!$AB$44="Baja",'Mapa final'!$AD$44="Moderado"),CONCATENATE("R6C",'Mapa final'!$R$44),"")</f>
        <v/>
      </c>
      <c r="AB41" s="36" t="str">
        <f>IF(AND('Mapa final'!$AB$39="Baja",'Mapa final'!$AD$39="Mayor"),CONCATENATE("R6C",'Mapa final'!$R$39),"")</f>
        <v/>
      </c>
      <c r="AC41" s="37" t="str">
        <f>IF(AND('Mapa final'!$AB$40="Baja",'Mapa final'!$AD$40="Mayor"),CONCATENATE("R6C",'Mapa final'!$R$40),"")</f>
        <v/>
      </c>
      <c r="AD41" s="37" t="str">
        <f>IF(AND('Mapa final'!$AB$41="Baja",'Mapa final'!$AD$41="Mayor"),CONCATENATE("R6C",'Mapa final'!$R$41),"")</f>
        <v/>
      </c>
      <c r="AE41" s="37" t="str">
        <f>IF(AND('Mapa final'!$AB$42="Baja",'Mapa final'!$AD$42="Mayor"),CONCATENATE("R6C",'Mapa final'!$R$42),"")</f>
        <v/>
      </c>
      <c r="AF41" s="37" t="str">
        <f>IF(AND('Mapa final'!$AB$43="Baja",'Mapa final'!$AD$43="Mayor"),CONCATENATE("R6C",'Mapa final'!$R$43),"")</f>
        <v/>
      </c>
      <c r="AG41" s="38" t="str">
        <f>IF(AND('Mapa final'!$AB$44="Baja",'Mapa final'!$AD$44="Mayor"),CONCATENATE("R6C",'Mapa final'!$R$44),"")</f>
        <v/>
      </c>
      <c r="AH41" s="39" t="str">
        <f>IF(AND('Mapa final'!$AB$39="Baja",'Mapa final'!$AD$39="Catastrófico"),CONCATENATE("R6C",'Mapa final'!$R$39),"")</f>
        <v/>
      </c>
      <c r="AI41" s="40" t="str">
        <f>IF(AND('Mapa final'!$AB$40="Baja",'Mapa final'!$AD$40="Catastrófico"),CONCATENATE("R6C",'Mapa final'!$R$40),"")</f>
        <v/>
      </c>
      <c r="AJ41" s="40" t="str">
        <f>IF(AND('Mapa final'!$AB$41="Baja",'Mapa final'!$AD$41="Catastrófico"),CONCATENATE("R6C",'Mapa final'!$R$41),"")</f>
        <v/>
      </c>
      <c r="AK41" s="40" t="str">
        <f>IF(AND('Mapa final'!$AB$42="Baja",'Mapa final'!$AD$42="Catastrófico"),CONCATENATE("R6C",'Mapa final'!$R$42),"")</f>
        <v/>
      </c>
      <c r="AL41" s="40" t="str">
        <f>IF(AND('Mapa final'!$AB$43="Baja",'Mapa final'!$AD$43="Catastrófico"),CONCATENATE("R6C",'Mapa final'!$R$43),"")</f>
        <v/>
      </c>
      <c r="AM41" s="41" t="str">
        <f>IF(AND('Mapa final'!$AB$44="Baja",'Mapa final'!$AD$44="Catastrófico"),CONCATENATE("R6C",'Mapa final'!$R$44),"")</f>
        <v/>
      </c>
      <c r="AN41" s="67"/>
      <c r="AO41" s="617"/>
      <c r="AP41" s="618"/>
      <c r="AQ41" s="618"/>
      <c r="AR41" s="618"/>
      <c r="AS41" s="618"/>
      <c r="AT41" s="619"/>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498"/>
      <c r="C42" s="498"/>
      <c r="D42" s="499"/>
      <c r="E42" s="597"/>
      <c r="F42" s="596"/>
      <c r="G42" s="596"/>
      <c r="H42" s="596"/>
      <c r="I42" s="596"/>
      <c r="J42" s="60" t="str">
        <f>IF(AND('Mapa final'!$AB$45="Baja",'Mapa final'!$AD$45="Leve"),CONCATENATE("R7C",'Mapa final'!$R$45),"")</f>
        <v/>
      </c>
      <c r="K42" s="61" t="str">
        <f>IF(AND('Mapa final'!$AB$46="Baja",'Mapa final'!$AD$46="Leve"),CONCATENATE("R7C",'Mapa final'!$R$46),"")</f>
        <v/>
      </c>
      <c r="L42" s="61" t="str">
        <f>IF(AND('Mapa final'!$AB$47="Baja",'Mapa final'!$AD$47="Leve"),CONCATENATE("R7C",'Mapa final'!$R$47),"")</f>
        <v/>
      </c>
      <c r="M42" s="61" t="str">
        <f>IF(AND('Mapa final'!$AB$48="Baja",'Mapa final'!$AD$48="Leve"),CONCATENATE("R7C",'Mapa final'!$R$48),"")</f>
        <v/>
      </c>
      <c r="N42" s="61" t="str">
        <f>IF(AND('Mapa final'!$AB$49="Baja",'Mapa final'!$AD$49="Leve"),CONCATENATE("R7C",'Mapa final'!$R$49),"")</f>
        <v/>
      </c>
      <c r="O42" s="62" t="str">
        <f>IF(AND('Mapa final'!$AB$50="Baja",'Mapa final'!$AD$50="Leve"),CONCATENATE("R7C",'Mapa final'!$R$50),"")</f>
        <v/>
      </c>
      <c r="P42" s="51" t="str">
        <f>IF(AND('Mapa final'!$AB$45="Baja",'Mapa final'!$AD$45="Menor"),CONCATENATE("R7C",'Mapa final'!$R$45),"")</f>
        <v/>
      </c>
      <c r="Q42" s="52" t="str">
        <f>IF(AND('Mapa final'!$AB$46="Baja",'Mapa final'!$AD$46="Menor"),CONCATENATE("R7C",'Mapa final'!$R$46),"")</f>
        <v/>
      </c>
      <c r="R42" s="52" t="str">
        <f>IF(AND('Mapa final'!$AB$47="Baja",'Mapa final'!$AD$47="Menor"),CONCATENATE("R7C",'Mapa final'!$R$47),"")</f>
        <v/>
      </c>
      <c r="S42" s="52" t="str">
        <f>IF(AND('Mapa final'!$AB$48="Baja",'Mapa final'!$AD$48="Menor"),CONCATENATE("R7C",'Mapa final'!$R$48),"")</f>
        <v/>
      </c>
      <c r="T42" s="52" t="str">
        <f>IF(AND('Mapa final'!$AB$49="Baja",'Mapa final'!$AD$49="Menor"),CONCATENATE("R7C",'Mapa final'!$R$49),"")</f>
        <v/>
      </c>
      <c r="U42" s="53" t="str">
        <f>IF(AND('Mapa final'!$AB$50="Baja",'Mapa final'!$AD$50="Menor"),CONCATENATE("R7C",'Mapa final'!$R$50),"")</f>
        <v/>
      </c>
      <c r="V42" s="51" t="str">
        <f>IF(AND('Mapa final'!$AB$45="Baja",'Mapa final'!$AD$45="Moderado"),CONCATENATE("R7C",'Mapa final'!$R$45),"")</f>
        <v/>
      </c>
      <c r="W42" s="52" t="str">
        <f>IF(AND('Mapa final'!$AB$46="Baja",'Mapa final'!$AD$46="Moderado"),CONCATENATE("R7C",'Mapa final'!$R$46),"")</f>
        <v/>
      </c>
      <c r="X42" s="52" t="str">
        <f>IF(AND('Mapa final'!$AB$47="Baja",'Mapa final'!$AD$47="Moderado"),CONCATENATE("R7C",'Mapa final'!$R$47),"")</f>
        <v/>
      </c>
      <c r="Y42" s="52" t="str">
        <f>IF(AND('Mapa final'!$AB$48="Baja",'Mapa final'!$AD$48="Moderado"),CONCATENATE("R7C",'Mapa final'!$R$48),"")</f>
        <v/>
      </c>
      <c r="Z42" s="52" t="str">
        <f>IF(AND('Mapa final'!$AB$49="Baja",'Mapa final'!$AD$49="Moderado"),CONCATENATE("R7C",'Mapa final'!$R$49),"")</f>
        <v/>
      </c>
      <c r="AA42" s="53" t="str">
        <f>IF(AND('Mapa final'!$AB$50="Baja",'Mapa final'!$AD$50="Moderado"),CONCATENATE("R7C",'Mapa final'!$R$50),"")</f>
        <v/>
      </c>
      <c r="AB42" s="36" t="str">
        <f>IF(AND('Mapa final'!$AB$45="Baja",'Mapa final'!$AD$45="Mayor"),CONCATENATE("R7C",'Mapa final'!$R$45),"")</f>
        <v/>
      </c>
      <c r="AC42" s="37" t="str">
        <f>IF(AND('Mapa final'!$AB$46="Baja",'Mapa final'!$AD$46="Mayor"),CONCATENATE("R7C",'Mapa final'!$R$46),"")</f>
        <v/>
      </c>
      <c r="AD42" s="37" t="str">
        <f>IF(AND('Mapa final'!$AB$47="Baja",'Mapa final'!$AD$47="Mayor"),CONCATENATE("R7C",'Mapa final'!$R$47),"")</f>
        <v/>
      </c>
      <c r="AE42" s="37" t="str">
        <f>IF(AND('Mapa final'!$AB$48="Baja",'Mapa final'!$AD$48="Mayor"),CONCATENATE("R7C",'Mapa final'!$R$48),"")</f>
        <v/>
      </c>
      <c r="AF42" s="37" t="str">
        <f>IF(AND('Mapa final'!$AB$49="Baja",'Mapa final'!$AD$49="Mayor"),CONCATENATE("R7C",'Mapa final'!$R$49),"")</f>
        <v/>
      </c>
      <c r="AG42" s="38" t="str">
        <f>IF(AND('Mapa final'!$AB$50="Baja",'Mapa final'!$AD$50="Mayor"),CONCATENATE("R7C",'Mapa final'!$R$50),"")</f>
        <v/>
      </c>
      <c r="AH42" s="39" t="str">
        <f>IF(AND('Mapa final'!$AB$45="Baja",'Mapa final'!$AD$45="Catastrófico"),CONCATENATE("R7C",'Mapa final'!$R$45),"")</f>
        <v/>
      </c>
      <c r="AI42" s="40" t="str">
        <f>IF(AND('Mapa final'!$AB$46="Baja",'Mapa final'!$AD$46="Catastrófico"),CONCATENATE("R7C",'Mapa final'!$R$46),"")</f>
        <v/>
      </c>
      <c r="AJ42" s="40" t="str">
        <f>IF(AND('Mapa final'!$AB$47="Baja",'Mapa final'!$AD$47="Catastrófico"),CONCATENATE("R7C",'Mapa final'!$R$47),"")</f>
        <v/>
      </c>
      <c r="AK42" s="40" t="str">
        <f>IF(AND('Mapa final'!$AB$48="Baja",'Mapa final'!$AD$48="Catastrófico"),CONCATENATE("R7C",'Mapa final'!$R$48),"")</f>
        <v/>
      </c>
      <c r="AL42" s="40" t="str">
        <f>IF(AND('Mapa final'!$AB$49="Baja",'Mapa final'!$AD$49="Catastrófico"),CONCATENATE("R7C",'Mapa final'!$R$49),"")</f>
        <v/>
      </c>
      <c r="AM42" s="41" t="str">
        <f>IF(AND('Mapa final'!$AB$50="Baja",'Mapa final'!$AD$50="Catastrófico"),CONCATENATE("R7C",'Mapa final'!$R$50),"")</f>
        <v/>
      </c>
      <c r="AN42" s="67"/>
      <c r="AO42" s="617"/>
      <c r="AP42" s="618"/>
      <c r="AQ42" s="618"/>
      <c r="AR42" s="618"/>
      <c r="AS42" s="618"/>
      <c r="AT42" s="619"/>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498"/>
      <c r="C43" s="498"/>
      <c r="D43" s="499"/>
      <c r="E43" s="597"/>
      <c r="F43" s="596"/>
      <c r="G43" s="596"/>
      <c r="H43" s="596"/>
      <c r="I43" s="596"/>
      <c r="J43" s="60" t="str">
        <f>IF(AND('Mapa final'!$AB$51="Baja",'Mapa final'!$AD$51="Leve"),CONCATENATE("R8C",'Mapa final'!$R$51),"")</f>
        <v/>
      </c>
      <c r="K43" s="61" t="str">
        <f>IF(AND('Mapa final'!$AB$52="Baja",'Mapa final'!$AD$52="Leve"),CONCATENATE("R8C",'Mapa final'!$R$52),"")</f>
        <v/>
      </c>
      <c r="L43" s="61" t="str">
        <f>IF(AND('Mapa final'!$AB$53="Baja",'Mapa final'!$AD$53="Leve"),CONCATENATE("R8C",'Mapa final'!$R$53),"")</f>
        <v/>
      </c>
      <c r="M43" s="61" t="str">
        <f>IF(AND('Mapa final'!$AB$54="Baja",'Mapa final'!$AD$54="Leve"),CONCATENATE("R8C",'Mapa final'!$R$54),"")</f>
        <v/>
      </c>
      <c r="N43" s="61" t="str">
        <f>IF(AND('Mapa final'!$AB$55="Baja",'Mapa final'!$AD$55="Leve"),CONCATENATE("R8C",'Mapa final'!$R$55),"")</f>
        <v/>
      </c>
      <c r="O43" s="62" t="str">
        <f>IF(AND('Mapa final'!$AB$56="Baja",'Mapa final'!$AD$56="Leve"),CONCATENATE("R8C",'Mapa final'!$R$56),"")</f>
        <v/>
      </c>
      <c r="P43" s="51" t="str">
        <f>IF(AND('Mapa final'!$AB$51="Baja",'Mapa final'!$AD$51="Menor"),CONCATENATE("R8C",'Mapa final'!$R$51),"")</f>
        <v/>
      </c>
      <c r="Q43" s="52" t="str">
        <f>IF(AND('Mapa final'!$AB$52="Baja",'Mapa final'!$AD$52="Menor"),CONCATENATE("R8C",'Mapa final'!$R$52),"")</f>
        <v/>
      </c>
      <c r="R43" s="52" t="str">
        <f>IF(AND('Mapa final'!$AB$53="Baja",'Mapa final'!$AD$53="Menor"),CONCATENATE("R8C",'Mapa final'!$R$53),"")</f>
        <v/>
      </c>
      <c r="S43" s="52" t="str">
        <f>IF(AND('Mapa final'!$AB$54="Baja",'Mapa final'!$AD$54="Menor"),CONCATENATE("R8C",'Mapa final'!$R$54),"")</f>
        <v/>
      </c>
      <c r="T43" s="52" t="str">
        <f>IF(AND('Mapa final'!$AB$55="Baja",'Mapa final'!$AD$55="Menor"),CONCATENATE("R8C",'Mapa final'!$R$55),"")</f>
        <v/>
      </c>
      <c r="U43" s="53" t="str">
        <f>IF(AND('Mapa final'!$AB$56="Baja",'Mapa final'!$AD$56="Menor"),CONCATENATE("R8C",'Mapa final'!$R$56),"")</f>
        <v/>
      </c>
      <c r="V43" s="51" t="str">
        <f>IF(AND('Mapa final'!$AB$51="Baja",'Mapa final'!$AD$51="Moderado"),CONCATENATE("R8C",'Mapa final'!$R$51),"")</f>
        <v/>
      </c>
      <c r="W43" s="52" t="str">
        <f>IF(AND('Mapa final'!$AB$52="Baja",'Mapa final'!$AD$52="Moderado"),CONCATENATE("R8C",'Mapa final'!$R$52),"")</f>
        <v/>
      </c>
      <c r="X43" s="52" t="str">
        <f>IF(AND('Mapa final'!$AB$53="Baja",'Mapa final'!$AD$53="Moderado"),CONCATENATE("R8C",'Mapa final'!$R$53),"")</f>
        <v/>
      </c>
      <c r="Y43" s="52" t="str">
        <f>IF(AND('Mapa final'!$AB$54="Baja",'Mapa final'!$AD$54="Moderado"),CONCATENATE("R8C",'Mapa final'!$R$54),"")</f>
        <v/>
      </c>
      <c r="Z43" s="52" t="str">
        <f>IF(AND('Mapa final'!$AB$55="Baja",'Mapa final'!$AD$55="Moderado"),CONCATENATE("R8C",'Mapa final'!$R$55),"")</f>
        <v/>
      </c>
      <c r="AA43" s="53" t="str">
        <f>IF(AND('Mapa final'!$AB$56="Baja",'Mapa final'!$AD$56="Moderado"),CONCATENATE("R8C",'Mapa final'!$R$56),"")</f>
        <v/>
      </c>
      <c r="AB43" s="36" t="str">
        <f>IF(AND('Mapa final'!$AB$51="Baja",'Mapa final'!$AD$51="Mayor"),CONCATENATE("R8C",'Mapa final'!$R$51),"")</f>
        <v/>
      </c>
      <c r="AC43" s="37" t="str">
        <f>IF(AND('Mapa final'!$AB$52="Baja",'Mapa final'!$AD$52="Mayor"),CONCATENATE("R8C",'Mapa final'!$R$52),"")</f>
        <v/>
      </c>
      <c r="AD43" s="37" t="str">
        <f>IF(AND('Mapa final'!$AB$53="Baja",'Mapa final'!$AD$53="Mayor"),CONCATENATE("R8C",'Mapa final'!$R$53),"")</f>
        <v/>
      </c>
      <c r="AE43" s="37" t="str">
        <f>IF(AND('Mapa final'!$AB$54="Baja",'Mapa final'!$AD$54="Mayor"),CONCATENATE("R8C",'Mapa final'!$R$54),"")</f>
        <v/>
      </c>
      <c r="AF43" s="37" t="str">
        <f>IF(AND('Mapa final'!$AB$55="Baja",'Mapa final'!$AD$55="Mayor"),CONCATENATE("R8C",'Mapa final'!$R$55),"")</f>
        <v/>
      </c>
      <c r="AG43" s="38" t="str">
        <f>IF(AND('Mapa final'!$AB$56="Baja",'Mapa final'!$AD$56="Mayor"),CONCATENATE("R8C",'Mapa final'!$R$56),"")</f>
        <v/>
      </c>
      <c r="AH43" s="39" t="str">
        <f>IF(AND('Mapa final'!$AB$51="Baja",'Mapa final'!$AD$51="Catastrófico"),CONCATENATE("R8C",'Mapa final'!$R$51),"")</f>
        <v/>
      </c>
      <c r="AI43" s="40" t="str">
        <f>IF(AND('Mapa final'!$AB$52="Baja",'Mapa final'!$AD$52="Catastrófico"),CONCATENATE("R8C",'Mapa final'!$R$52),"")</f>
        <v/>
      </c>
      <c r="AJ43" s="40" t="str">
        <f>IF(AND('Mapa final'!$AB$53="Baja",'Mapa final'!$AD$53="Catastrófico"),CONCATENATE("R8C",'Mapa final'!$R$53),"")</f>
        <v/>
      </c>
      <c r="AK43" s="40" t="str">
        <f>IF(AND('Mapa final'!$AB$54="Baja",'Mapa final'!$AD$54="Catastrófico"),CONCATENATE("R8C",'Mapa final'!$R$54),"")</f>
        <v/>
      </c>
      <c r="AL43" s="40" t="str">
        <f>IF(AND('Mapa final'!$AB$55="Baja",'Mapa final'!$AD$55="Catastrófico"),CONCATENATE("R8C",'Mapa final'!$R$55),"")</f>
        <v/>
      </c>
      <c r="AM43" s="41" t="str">
        <f>IF(AND('Mapa final'!$AB$56="Baja",'Mapa final'!$AD$56="Catastrófico"),CONCATENATE("R8C",'Mapa final'!$R$56),"")</f>
        <v/>
      </c>
      <c r="AN43" s="67"/>
      <c r="AO43" s="617"/>
      <c r="AP43" s="618"/>
      <c r="AQ43" s="618"/>
      <c r="AR43" s="618"/>
      <c r="AS43" s="618"/>
      <c r="AT43" s="619"/>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498"/>
      <c r="C44" s="498"/>
      <c r="D44" s="499"/>
      <c r="E44" s="597"/>
      <c r="F44" s="596"/>
      <c r="G44" s="596"/>
      <c r="H44" s="596"/>
      <c r="I44" s="596"/>
      <c r="J44" s="60" t="str">
        <f>IF(AND('Mapa final'!$AB$57="Baja",'Mapa final'!$AD$57="Leve"),CONCATENATE("R9C",'Mapa final'!$R$57),"")</f>
        <v/>
      </c>
      <c r="K44" s="61" t="str">
        <f>IF(AND('Mapa final'!$AB$58="Baja",'Mapa final'!$AD$58="Leve"),CONCATENATE("R9C",'Mapa final'!$R$58),"")</f>
        <v/>
      </c>
      <c r="L44" s="61" t="str">
        <f>IF(AND('Mapa final'!$AB$59="Baja",'Mapa final'!$AD$59="Leve"),CONCATENATE("R9C",'Mapa final'!$R$59),"")</f>
        <v/>
      </c>
      <c r="M44" s="61" t="str">
        <f>IF(AND('Mapa final'!$AB$60="Baja",'Mapa final'!$AD$60="Leve"),CONCATENATE("R9C",'Mapa final'!$R$60),"")</f>
        <v/>
      </c>
      <c r="N44" s="61" t="str">
        <f>IF(AND('Mapa final'!$AB$61="Baja",'Mapa final'!$AD$61="Leve"),CONCATENATE("R9C",'Mapa final'!$R$61),"")</f>
        <v/>
      </c>
      <c r="O44" s="62" t="str">
        <f>IF(AND('Mapa final'!$AB$62="Baja",'Mapa final'!$AD$62="Leve"),CONCATENATE("R9C",'Mapa final'!$R$62),"")</f>
        <v/>
      </c>
      <c r="P44" s="51" t="str">
        <f>IF(AND('Mapa final'!$AB$57="Baja",'Mapa final'!$AD$57="Menor"),CONCATENATE("R9C",'Mapa final'!$R$57),"")</f>
        <v/>
      </c>
      <c r="Q44" s="52" t="str">
        <f>IF(AND('Mapa final'!$AB$58="Baja",'Mapa final'!$AD$58="Menor"),CONCATENATE("R9C",'Mapa final'!$R$58),"")</f>
        <v/>
      </c>
      <c r="R44" s="52" t="str">
        <f>IF(AND('Mapa final'!$AB$59="Baja",'Mapa final'!$AD$59="Menor"),CONCATENATE("R9C",'Mapa final'!$R$59),"")</f>
        <v/>
      </c>
      <c r="S44" s="52" t="str">
        <f>IF(AND('Mapa final'!$AB$60="Baja",'Mapa final'!$AD$60="Menor"),CONCATENATE("R9C",'Mapa final'!$R$60),"")</f>
        <v/>
      </c>
      <c r="T44" s="52" t="str">
        <f>IF(AND('Mapa final'!$AB$61="Baja",'Mapa final'!$AD$61="Menor"),CONCATENATE("R9C",'Mapa final'!$R$61),"")</f>
        <v/>
      </c>
      <c r="U44" s="53" t="str">
        <f>IF(AND('Mapa final'!$AB$62="Baja",'Mapa final'!$AD$62="Menor"),CONCATENATE("R9C",'Mapa final'!$R$62),"")</f>
        <v/>
      </c>
      <c r="V44" s="51" t="str">
        <f>IF(AND('Mapa final'!$AB$57="Baja",'Mapa final'!$AD$57="Moderado"),CONCATENATE("R9C",'Mapa final'!$R$57),"")</f>
        <v/>
      </c>
      <c r="W44" s="52" t="str">
        <f>IF(AND('Mapa final'!$AB$58="Baja",'Mapa final'!$AD$58="Moderado"),CONCATENATE("R9C",'Mapa final'!$R$58),"")</f>
        <v/>
      </c>
      <c r="X44" s="52" t="str">
        <f>IF(AND('Mapa final'!$AB$59="Baja",'Mapa final'!$AD$59="Moderado"),CONCATENATE("R9C",'Mapa final'!$R$59),"")</f>
        <v/>
      </c>
      <c r="Y44" s="52" t="str">
        <f>IF(AND('Mapa final'!$AB$60="Baja",'Mapa final'!$AD$60="Moderado"),CONCATENATE("R9C",'Mapa final'!$R$60),"")</f>
        <v/>
      </c>
      <c r="Z44" s="52" t="str">
        <f>IF(AND('Mapa final'!$AB$61="Baja",'Mapa final'!$AD$61="Moderado"),CONCATENATE("R9C",'Mapa final'!$R$61),"")</f>
        <v/>
      </c>
      <c r="AA44" s="53" t="str">
        <f>IF(AND('Mapa final'!$AB$62="Baja",'Mapa final'!$AD$62="Moderado"),CONCATENATE("R9C",'Mapa final'!$R$62),"")</f>
        <v/>
      </c>
      <c r="AB44" s="36" t="str">
        <f>IF(AND('Mapa final'!$AB$57="Baja",'Mapa final'!$AD$57="Mayor"),CONCATENATE("R9C",'Mapa final'!$R$57),"")</f>
        <v/>
      </c>
      <c r="AC44" s="37" t="str">
        <f>IF(AND('Mapa final'!$AB$58="Baja",'Mapa final'!$AD$58="Mayor"),CONCATENATE("R9C",'Mapa final'!$R$58),"")</f>
        <v/>
      </c>
      <c r="AD44" s="37" t="str">
        <f>IF(AND('Mapa final'!$AB$59="Baja",'Mapa final'!$AD$59="Mayor"),CONCATENATE("R9C",'Mapa final'!$R$59),"")</f>
        <v/>
      </c>
      <c r="AE44" s="37" t="str">
        <f>IF(AND('Mapa final'!$AB$60="Baja",'Mapa final'!$AD$60="Mayor"),CONCATENATE("R9C",'Mapa final'!$R$60),"")</f>
        <v/>
      </c>
      <c r="AF44" s="37" t="str">
        <f>IF(AND('Mapa final'!$AB$61="Baja",'Mapa final'!$AD$61="Mayor"),CONCATENATE("R9C",'Mapa final'!$R$61),"")</f>
        <v/>
      </c>
      <c r="AG44" s="38" t="str">
        <f>IF(AND('Mapa final'!$AB$62="Baja",'Mapa final'!$AD$62="Mayor"),CONCATENATE("R9C",'Mapa final'!$R$62),"")</f>
        <v/>
      </c>
      <c r="AH44" s="39" t="str">
        <f>IF(AND('Mapa final'!$AB$57="Baja",'Mapa final'!$AD$57="Catastrófico"),CONCATENATE("R9C",'Mapa final'!$R$57),"")</f>
        <v/>
      </c>
      <c r="AI44" s="40" t="str">
        <f>IF(AND('Mapa final'!$AB$58="Baja",'Mapa final'!$AD$58="Catastrófico"),CONCATENATE("R9C",'Mapa final'!$R$58),"")</f>
        <v/>
      </c>
      <c r="AJ44" s="40" t="str">
        <f>IF(AND('Mapa final'!$AB$59="Baja",'Mapa final'!$AD$59="Catastrófico"),CONCATENATE("R9C",'Mapa final'!$R$59),"")</f>
        <v/>
      </c>
      <c r="AK44" s="40" t="str">
        <f>IF(AND('Mapa final'!$AB$60="Baja",'Mapa final'!$AD$60="Catastrófico"),CONCATENATE("R9C",'Mapa final'!$R$60),"")</f>
        <v/>
      </c>
      <c r="AL44" s="40" t="str">
        <f>IF(AND('Mapa final'!$AB$61="Baja",'Mapa final'!$AD$61="Catastrófico"),CONCATENATE("R9C",'Mapa final'!$R$61),"")</f>
        <v/>
      </c>
      <c r="AM44" s="41" t="str">
        <f>IF(AND('Mapa final'!$AB$62="Baja",'Mapa final'!$AD$62="Catastrófico"),CONCATENATE("R9C",'Mapa final'!$R$62),"")</f>
        <v/>
      </c>
      <c r="AN44" s="67"/>
      <c r="AO44" s="617"/>
      <c r="AP44" s="618"/>
      <c r="AQ44" s="618"/>
      <c r="AR44" s="618"/>
      <c r="AS44" s="618"/>
      <c r="AT44" s="619"/>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498"/>
      <c r="C45" s="498"/>
      <c r="D45" s="499"/>
      <c r="E45" s="598"/>
      <c r="F45" s="599"/>
      <c r="G45" s="599"/>
      <c r="H45" s="599"/>
      <c r="I45" s="599"/>
      <c r="J45" s="63" t="str">
        <f>IF(AND('Mapa final'!$AB$63="Baja",'Mapa final'!$AD$63="Leve"),CONCATENATE("R10C",'Mapa final'!$R$63),"")</f>
        <v/>
      </c>
      <c r="K45" s="64" t="str">
        <f>IF(AND('Mapa final'!$AB$64="Baja",'Mapa final'!$AD$64="Leve"),CONCATENATE("R10C",'Mapa final'!$R$64),"")</f>
        <v/>
      </c>
      <c r="L45" s="64" t="str">
        <f>IF(AND('Mapa final'!$AB$65="Baja",'Mapa final'!$AD$65="Leve"),CONCATENATE("R10C",'Mapa final'!$R$65),"")</f>
        <v/>
      </c>
      <c r="M45" s="64" t="str">
        <f>IF(AND('Mapa final'!$AB$66="Baja",'Mapa final'!$AD$66="Leve"),CONCATENATE("R10C",'Mapa final'!$R$66),"")</f>
        <v/>
      </c>
      <c r="N45" s="64" t="str">
        <f>IF(AND('Mapa final'!$AB$67="Baja",'Mapa final'!$AD$67="Leve"),CONCATENATE("R10C",'Mapa final'!$R$67),"")</f>
        <v/>
      </c>
      <c r="O45" s="65" t="str">
        <f>IF(AND('Mapa final'!$AB$68="Baja",'Mapa final'!$AD$68="Leve"),CONCATENATE("R10C",'Mapa final'!$R$68),"")</f>
        <v/>
      </c>
      <c r="P45" s="51" t="str">
        <f>IF(AND('Mapa final'!$AB$63="Baja",'Mapa final'!$AD$63="Menor"),CONCATENATE("R10C",'Mapa final'!$R$63),"")</f>
        <v/>
      </c>
      <c r="Q45" s="52" t="str">
        <f>IF(AND('Mapa final'!$AB$64="Baja",'Mapa final'!$AD$64="Menor"),CONCATENATE("R10C",'Mapa final'!$R$64),"")</f>
        <v/>
      </c>
      <c r="R45" s="52" t="str">
        <f>IF(AND('Mapa final'!$AB$65="Baja",'Mapa final'!$AD$65="Menor"),CONCATENATE("R10C",'Mapa final'!$R$65),"")</f>
        <v/>
      </c>
      <c r="S45" s="52" t="str">
        <f>IF(AND('Mapa final'!$AB$66="Baja",'Mapa final'!$AD$66="Menor"),CONCATENATE("R10C",'Mapa final'!$R$66),"")</f>
        <v/>
      </c>
      <c r="T45" s="52" t="str">
        <f>IF(AND('Mapa final'!$AB$67="Baja",'Mapa final'!$AD$67="Menor"),CONCATENATE("R10C",'Mapa final'!$R$67),"")</f>
        <v/>
      </c>
      <c r="U45" s="53" t="str">
        <f>IF(AND('Mapa final'!$AB$68="Baja",'Mapa final'!$AD$68="Menor"),CONCATENATE("R10C",'Mapa final'!$R$68),"")</f>
        <v/>
      </c>
      <c r="V45" s="54" t="str">
        <f>IF(AND('Mapa final'!$AB$63="Baja",'Mapa final'!$AD$63="Moderado"),CONCATENATE("R10C",'Mapa final'!$R$63),"")</f>
        <v/>
      </c>
      <c r="W45" s="55" t="str">
        <f>IF(AND('Mapa final'!$AB$64="Baja",'Mapa final'!$AD$64="Moderado"),CONCATENATE("R10C",'Mapa final'!$R$64),"")</f>
        <v/>
      </c>
      <c r="X45" s="55" t="str">
        <f>IF(AND('Mapa final'!$AB$65="Baja",'Mapa final'!$AD$65="Moderado"),CONCATENATE("R10C",'Mapa final'!$R$65),"")</f>
        <v/>
      </c>
      <c r="Y45" s="55" t="str">
        <f>IF(AND('Mapa final'!$AB$66="Baja",'Mapa final'!$AD$66="Moderado"),CONCATENATE("R10C",'Mapa final'!$R$66),"")</f>
        <v/>
      </c>
      <c r="Z45" s="55" t="str">
        <f>IF(AND('Mapa final'!$AB$67="Baja",'Mapa final'!$AD$67="Moderado"),CONCATENATE("R10C",'Mapa final'!$R$67),"")</f>
        <v/>
      </c>
      <c r="AA45" s="56" t="str">
        <f>IF(AND('Mapa final'!$AB$68="Baja",'Mapa final'!$AD$68="Moderado"),CONCATENATE("R10C",'Mapa final'!$R$68),"")</f>
        <v/>
      </c>
      <c r="AB45" s="42" t="str">
        <f>IF(AND('Mapa final'!$AB$63="Baja",'Mapa final'!$AD$63="Mayor"),CONCATENATE("R10C",'Mapa final'!$R$63),"")</f>
        <v/>
      </c>
      <c r="AC45" s="43" t="str">
        <f>IF(AND('Mapa final'!$AB$64="Baja",'Mapa final'!$AD$64="Mayor"),CONCATENATE("R10C",'Mapa final'!$R$64),"")</f>
        <v/>
      </c>
      <c r="AD45" s="43" t="str">
        <f>IF(AND('Mapa final'!$AB$65="Baja",'Mapa final'!$AD$65="Mayor"),CONCATENATE("R10C",'Mapa final'!$R$65),"")</f>
        <v/>
      </c>
      <c r="AE45" s="43" t="str">
        <f>IF(AND('Mapa final'!$AB$66="Baja",'Mapa final'!$AD$66="Mayor"),CONCATENATE("R10C",'Mapa final'!$R$66),"")</f>
        <v/>
      </c>
      <c r="AF45" s="43" t="str">
        <f>IF(AND('Mapa final'!$AB$67="Baja",'Mapa final'!$AD$67="Mayor"),CONCATENATE("R10C",'Mapa final'!$R$67),"")</f>
        <v/>
      </c>
      <c r="AG45" s="44" t="str">
        <f>IF(AND('Mapa final'!$AB$68="Baja",'Mapa final'!$AD$68="Mayor"),CONCATENATE("R10C",'Mapa final'!$R$68),"")</f>
        <v/>
      </c>
      <c r="AH45" s="45" t="str">
        <f>IF(AND('Mapa final'!$AB$63="Baja",'Mapa final'!$AD$63="Catastrófico"),CONCATENATE("R10C",'Mapa final'!$R$63),"")</f>
        <v/>
      </c>
      <c r="AI45" s="46" t="str">
        <f>IF(AND('Mapa final'!$AB$64="Baja",'Mapa final'!$AD$64="Catastrófico"),CONCATENATE("R10C",'Mapa final'!$R$64),"")</f>
        <v/>
      </c>
      <c r="AJ45" s="46" t="str">
        <f>IF(AND('Mapa final'!$AB$65="Baja",'Mapa final'!$AD$65="Catastrófico"),CONCATENATE("R10C",'Mapa final'!$R$65),"")</f>
        <v/>
      </c>
      <c r="AK45" s="46" t="str">
        <f>IF(AND('Mapa final'!$AB$66="Baja",'Mapa final'!$AD$66="Catastrófico"),CONCATENATE("R10C",'Mapa final'!$R$66),"")</f>
        <v/>
      </c>
      <c r="AL45" s="46" t="str">
        <f>IF(AND('Mapa final'!$AB$67="Baja",'Mapa final'!$AD$67="Catastrófico"),CONCATENATE("R10C",'Mapa final'!$R$67),"")</f>
        <v/>
      </c>
      <c r="AM45" s="47" t="str">
        <f>IF(AND('Mapa final'!$AB$68="Baja",'Mapa final'!$AD$68="Catastrófico"),CONCATENATE("R10C",'Mapa final'!$R$68),"")</f>
        <v/>
      </c>
      <c r="AN45" s="67"/>
      <c r="AO45" s="620"/>
      <c r="AP45" s="621"/>
      <c r="AQ45" s="621"/>
      <c r="AR45" s="621"/>
      <c r="AS45" s="621"/>
      <c r="AT45" s="622"/>
    </row>
    <row r="46" spans="1:80" ht="46.5" customHeight="1" x14ac:dyDescent="0.35">
      <c r="A46" s="67"/>
      <c r="B46" s="498"/>
      <c r="C46" s="498"/>
      <c r="D46" s="499"/>
      <c r="E46" s="593" t="s">
        <v>108</v>
      </c>
      <c r="F46" s="594"/>
      <c r="G46" s="594"/>
      <c r="H46" s="594"/>
      <c r="I46" s="611"/>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e">
        <f>IF(AND('Mapa final'!#REF!="Muy Baja",'Mapa final'!#REF!="Leve"),CONCATENATE("R1C",'Mapa final'!#REF!),"")</f>
        <v>#REF!</v>
      </c>
      <c r="O46" s="59" t="str">
        <f>IF(AND('Mapa final'!$AB$14="Muy Baja",'Mapa final'!$AD$14="Leve"),CONCATENATE("R1C",'Mapa final'!$R$14),"")</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e">
        <f>IF(AND('Mapa final'!#REF!="Muy Baja",'Mapa final'!#REF!="Menor"),CONCATENATE("R1C",'Mapa final'!#REF!),"")</f>
        <v>#REF!</v>
      </c>
      <c r="U46" s="59" t="str">
        <f>IF(AND('Mapa final'!$AB$14="Muy Baja",'Mapa final'!$AD$14="Menor"),CONCATENATE("R1C",'Mapa final'!$R$14),"")</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e">
        <f>IF(AND('Mapa final'!#REF!="Muy Baja",'Mapa final'!#REF!="Moderado"),CONCATENATE("R1C",'Mapa final'!#REF!),"")</f>
        <v>#REF!</v>
      </c>
      <c r="AA46" s="50" t="str">
        <f>IF(AND('Mapa final'!$AB$14="Muy Baja",'Mapa final'!$AD$14="Moderado"),CONCATENATE("R1C",'Mapa final'!$R$14),"")</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e">
        <f>IF(AND('Mapa final'!#REF!="Muy Baja",'Mapa final'!#REF!="Mayor"),CONCATENATE("R1C",'Mapa final'!#REF!),"")</f>
        <v>#REF!</v>
      </c>
      <c r="AG46" s="32" t="str">
        <f>IF(AND('Mapa final'!$AB$14="Muy Baja",'Mapa final'!$AD$14="Mayor"),CONCATENATE("R1C",'Mapa final'!$R$14),"")</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e">
        <f>IF(AND('Mapa final'!#REF!="Muy Baja",'Mapa final'!#REF!="Catastrófico"),CONCATENATE("R1C",'Mapa final'!#REF!),"")</f>
        <v>#REF!</v>
      </c>
      <c r="AM46" s="35" t="str">
        <f>IF(AND('Mapa final'!$AB$14="Muy Baja",'Mapa final'!$AD$14="Catastrófico"),CONCATENATE("R1C",'Mapa final'!$R$14),"")</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498"/>
      <c r="C47" s="498"/>
      <c r="D47" s="499"/>
      <c r="E47" s="595"/>
      <c r="F47" s="596"/>
      <c r="G47" s="596"/>
      <c r="H47" s="596"/>
      <c r="I47" s="612"/>
      <c r="J47" s="60" t="str">
        <f>IF(AND('Mapa final'!$AB$15="Muy Baja",'Mapa final'!$AD$15="Leve"),CONCATENATE("R2C",'Mapa final'!$R$15),"")</f>
        <v/>
      </c>
      <c r="K47" s="61" t="str">
        <f>IF(AND('Mapa final'!$AB$16="Muy Baja",'Mapa final'!$AD$16="Leve"),CONCATENATE("R2C",'Mapa final'!$R$16),"")</f>
        <v/>
      </c>
      <c r="L47" s="61" t="str">
        <f>IF(AND('Mapa final'!$AB$17="Muy Baja",'Mapa final'!$AD$17="Leve"),CONCATENATE("R2C",'Mapa final'!$R$17),"")</f>
        <v/>
      </c>
      <c r="M47" s="61" t="str">
        <f>IF(AND('Mapa final'!$AB$18="Muy Baja",'Mapa final'!$AD$18="Leve"),CONCATENATE("R2C",'Mapa final'!$R$18),"")</f>
        <v/>
      </c>
      <c r="N47" s="61" t="str">
        <f>IF(AND('Mapa final'!$AB$19="Muy Baja",'Mapa final'!$AD$19="Leve"),CONCATENATE("R2C",'Mapa final'!$R$19),"")</f>
        <v/>
      </c>
      <c r="O47" s="62" t="str">
        <f>IF(AND('Mapa final'!$AB$20="Muy Baja",'Mapa final'!$AD$20="Leve"),CONCATENATE("R2C",'Mapa final'!$R$20),"")</f>
        <v/>
      </c>
      <c r="P47" s="60" t="str">
        <f>IF(AND('Mapa final'!$AB$15="Muy Baja",'Mapa final'!$AD$15="Menor"),CONCATENATE("R2C",'Mapa final'!$R$15),"")</f>
        <v/>
      </c>
      <c r="Q47" s="61" t="str">
        <f>IF(AND('Mapa final'!$AB$16="Muy Baja",'Mapa final'!$AD$16="Menor"),CONCATENATE("R2C",'Mapa final'!$R$16),"")</f>
        <v/>
      </c>
      <c r="R47" s="61" t="str">
        <f>IF(AND('Mapa final'!$AB$17="Muy Baja",'Mapa final'!$AD$17="Menor"),CONCATENATE("R2C",'Mapa final'!$R$17),"")</f>
        <v/>
      </c>
      <c r="S47" s="61" t="str">
        <f>IF(AND('Mapa final'!$AB$18="Muy Baja",'Mapa final'!$AD$18="Menor"),CONCATENATE("R2C",'Mapa final'!$R$18),"")</f>
        <v/>
      </c>
      <c r="T47" s="61" t="str">
        <f>IF(AND('Mapa final'!$AB$19="Muy Baja",'Mapa final'!$AD$19="Menor"),CONCATENATE("R2C",'Mapa final'!$R$19),"")</f>
        <v/>
      </c>
      <c r="U47" s="62" t="str">
        <f>IF(AND('Mapa final'!$AB$20="Muy Baja",'Mapa final'!$AD$20="Menor"),CONCATENATE("R2C",'Mapa final'!$R$20),"")</f>
        <v/>
      </c>
      <c r="V47" s="51" t="str">
        <f>IF(AND('Mapa final'!$AB$15="Muy Baja",'Mapa final'!$AD$15="Moderado"),CONCATENATE("R2C",'Mapa final'!$R$15),"")</f>
        <v/>
      </c>
      <c r="W47" s="52" t="str">
        <f>IF(AND('Mapa final'!$AB$16="Muy Baja",'Mapa final'!$AD$16="Moderado"),CONCATENATE("R2C",'Mapa final'!$R$16),"")</f>
        <v/>
      </c>
      <c r="X47" s="52" t="str">
        <f>IF(AND('Mapa final'!$AB$17="Muy Baja",'Mapa final'!$AD$17="Moderado"),CONCATENATE("R2C",'Mapa final'!$R$17),"")</f>
        <v/>
      </c>
      <c r="Y47" s="52" t="str">
        <f>IF(AND('Mapa final'!$AB$18="Muy Baja",'Mapa final'!$AD$18="Moderado"),CONCATENATE("R2C",'Mapa final'!$R$18),"")</f>
        <v/>
      </c>
      <c r="Z47" s="52" t="str">
        <f>IF(AND('Mapa final'!$AB$19="Muy Baja",'Mapa final'!$AD$19="Moderado"),CONCATENATE("R2C",'Mapa final'!$R$19),"")</f>
        <v/>
      </c>
      <c r="AA47" s="53" t="str">
        <f>IF(AND('Mapa final'!$AB$20="Muy Baja",'Mapa final'!$AD$20="Moderado"),CONCATENATE("R2C",'Mapa final'!$R$20),"")</f>
        <v/>
      </c>
      <c r="AB47" s="36" t="str">
        <f>IF(AND('Mapa final'!$AB$15="Muy Baja",'Mapa final'!$AD$15="Mayor"),CONCATENATE("R2C",'Mapa final'!$R$15),"")</f>
        <v/>
      </c>
      <c r="AC47" s="37" t="str">
        <f>IF(AND('Mapa final'!$AB$16="Muy Baja",'Mapa final'!$AD$16="Mayor"),CONCATENATE("R2C",'Mapa final'!$R$16),"")</f>
        <v/>
      </c>
      <c r="AD47" s="37" t="str">
        <f>IF(AND('Mapa final'!$AB$17="Muy Baja",'Mapa final'!$AD$17="Mayor"),CONCATENATE("R2C",'Mapa final'!$R$17),"")</f>
        <v/>
      </c>
      <c r="AE47" s="37" t="str">
        <f>IF(AND('Mapa final'!$AB$18="Muy Baja",'Mapa final'!$AD$18="Mayor"),CONCATENATE("R2C",'Mapa final'!$R$18),"")</f>
        <v/>
      </c>
      <c r="AF47" s="37" t="str">
        <f>IF(AND('Mapa final'!$AB$19="Muy Baja",'Mapa final'!$AD$19="Mayor"),CONCATENATE("R2C",'Mapa final'!$R$19),"")</f>
        <v/>
      </c>
      <c r="AG47" s="38" t="str">
        <f>IF(AND('Mapa final'!$AB$20="Muy Baja",'Mapa final'!$AD$20="Mayor"),CONCATENATE("R2C",'Mapa final'!$R$20),"")</f>
        <v/>
      </c>
      <c r="AH47" s="39" t="str">
        <f>IF(AND('Mapa final'!$AB$15="Muy Baja",'Mapa final'!$AD$15="Catastrófico"),CONCATENATE("R2C",'Mapa final'!$R$15),"")</f>
        <v/>
      </c>
      <c r="AI47" s="40" t="str">
        <f>IF(AND('Mapa final'!$AB$16="Muy Baja",'Mapa final'!$AD$16="Catastrófico"),CONCATENATE("R2C",'Mapa final'!$R$16),"")</f>
        <v/>
      </c>
      <c r="AJ47" s="40" t="str">
        <f>IF(AND('Mapa final'!$AB$17="Muy Baja",'Mapa final'!$AD$17="Catastrófico"),CONCATENATE("R2C",'Mapa final'!$R$17),"")</f>
        <v/>
      </c>
      <c r="AK47" s="40" t="str">
        <f>IF(AND('Mapa final'!$AB$18="Muy Baja",'Mapa final'!$AD$18="Catastrófico"),CONCATENATE("R2C",'Mapa final'!$R$18),"")</f>
        <v/>
      </c>
      <c r="AL47" s="40" t="str">
        <f>IF(AND('Mapa final'!$AB$19="Muy Baja",'Mapa final'!$AD$19="Catastrófico"),CONCATENATE("R2C",'Mapa final'!$R$19),"")</f>
        <v/>
      </c>
      <c r="AM47" s="41" t="str">
        <f>IF(AND('Mapa final'!$AB$20="Muy Baja",'Mapa final'!$AD$20="Catastrófico"),CONCATENATE("R2C",'Mapa final'!$R$20),"")</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498"/>
      <c r="C48" s="498"/>
      <c r="D48" s="499"/>
      <c r="E48" s="595"/>
      <c r="F48" s="596"/>
      <c r="G48" s="596"/>
      <c r="H48" s="596"/>
      <c r="I48" s="612"/>
      <c r="J48" s="60" t="str">
        <f>IF(AND('Mapa final'!$AB$21="Muy Baja",'Mapa final'!$AD$21="Leve"),CONCATENATE("R3C",'Mapa final'!$R$21),"")</f>
        <v/>
      </c>
      <c r="K48" s="61" t="str">
        <f>IF(AND('Mapa final'!$AB$22="Muy Baja",'Mapa final'!$AD$22="Leve"),CONCATENATE("R3C",'Mapa final'!$R$22),"")</f>
        <v/>
      </c>
      <c r="L48" s="61" t="str">
        <f>IF(AND('Mapa final'!$AB$23="Muy Baja",'Mapa final'!$AD$23="Leve"),CONCATENATE("R3C",'Mapa final'!$R$23),"")</f>
        <v/>
      </c>
      <c r="M48" s="61" t="str">
        <f>IF(AND('Mapa final'!$AB$24="Muy Baja",'Mapa final'!$AD$24="Leve"),CONCATENATE("R3C",'Mapa final'!$R$24),"")</f>
        <v/>
      </c>
      <c r="N48" s="61" t="str">
        <f>IF(AND('Mapa final'!$AB$25="Muy Baja",'Mapa final'!$AD$25="Leve"),CONCATENATE("R3C",'Mapa final'!$R$25),"")</f>
        <v/>
      </c>
      <c r="O48" s="62" t="str">
        <f>IF(AND('Mapa final'!$AB$26="Muy Baja",'Mapa final'!$AD$26="Leve"),CONCATENATE("R3C",'Mapa final'!$R$26),"")</f>
        <v/>
      </c>
      <c r="P48" s="60" t="str">
        <f>IF(AND('Mapa final'!$AB$21="Muy Baja",'Mapa final'!$AD$21="Menor"),CONCATENATE("R3C",'Mapa final'!$R$21),"")</f>
        <v/>
      </c>
      <c r="Q48" s="61" t="str">
        <f>IF(AND('Mapa final'!$AB$22="Muy Baja",'Mapa final'!$AD$22="Menor"),CONCATENATE("R3C",'Mapa final'!$R$22),"")</f>
        <v/>
      </c>
      <c r="R48" s="61" t="str">
        <f>IF(AND('Mapa final'!$AB$23="Muy Baja",'Mapa final'!$AD$23="Menor"),CONCATENATE("R3C",'Mapa final'!$R$23),"")</f>
        <v/>
      </c>
      <c r="S48" s="61" t="str">
        <f>IF(AND('Mapa final'!$AB$24="Muy Baja",'Mapa final'!$AD$24="Menor"),CONCATENATE("R3C",'Mapa final'!$R$24),"")</f>
        <v/>
      </c>
      <c r="T48" s="61" t="str">
        <f>IF(AND('Mapa final'!$AB$25="Muy Baja",'Mapa final'!$AD$25="Menor"),CONCATENATE("R3C",'Mapa final'!$R$25),"")</f>
        <v/>
      </c>
      <c r="U48" s="62" t="str">
        <f>IF(AND('Mapa final'!$AB$26="Muy Baja",'Mapa final'!$AD$26="Menor"),CONCATENATE("R3C",'Mapa final'!$R$26),"")</f>
        <v/>
      </c>
      <c r="V48" s="51" t="str">
        <f>IF(AND('Mapa final'!$AB$21="Muy Baja",'Mapa final'!$AD$21="Moderado"),CONCATENATE("R3C",'Mapa final'!$R$21),"")</f>
        <v/>
      </c>
      <c r="W48" s="52" t="str">
        <f>IF(AND('Mapa final'!$AB$22="Muy Baja",'Mapa final'!$AD$22="Moderado"),CONCATENATE("R3C",'Mapa final'!$R$22),"")</f>
        <v/>
      </c>
      <c r="X48" s="52" t="str">
        <f>IF(AND('Mapa final'!$AB$23="Muy Baja",'Mapa final'!$AD$23="Moderado"),CONCATENATE("R3C",'Mapa final'!$R$23),"")</f>
        <v/>
      </c>
      <c r="Y48" s="52" t="str">
        <f>IF(AND('Mapa final'!$AB$24="Muy Baja",'Mapa final'!$AD$24="Moderado"),CONCATENATE("R3C",'Mapa final'!$R$24),"")</f>
        <v/>
      </c>
      <c r="Z48" s="52" t="str">
        <f>IF(AND('Mapa final'!$AB$25="Muy Baja",'Mapa final'!$AD$25="Moderado"),CONCATENATE("R3C",'Mapa final'!$R$25),"")</f>
        <v/>
      </c>
      <c r="AA48" s="53" t="str">
        <f>IF(AND('Mapa final'!$AB$26="Muy Baja",'Mapa final'!$AD$26="Moderado"),CONCATENATE("R3C",'Mapa final'!$R$26),"")</f>
        <v/>
      </c>
      <c r="AB48" s="36" t="str">
        <f>IF(AND('Mapa final'!$AB$21="Muy Baja",'Mapa final'!$AD$21="Mayor"),CONCATENATE("R3C",'Mapa final'!$R$21),"")</f>
        <v/>
      </c>
      <c r="AC48" s="37" t="str">
        <f>IF(AND('Mapa final'!$AB$22="Muy Baja",'Mapa final'!$AD$22="Mayor"),CONCATENATE("R3C",'Mapa final'!$R$22),"")</f>
        <v/>
      </c>
      <c r="AD48" s="37" t="str">
        <f>IF(AND('Mapa final'!$AB$23="Muy Baja",'Mapa final'!$AD$23="Mayor"),CONCATENATE("R3C",'Mapa final'!$R$23),"")</f>
        <v/>
      </c>
      <c r="AE48" s="37" t="str">
        <f>IF(AND('Mapa final'!$AB$24="Muy Baja",'Mapa final'!$AD$24="Mayor"),CONCATENATE("R3C",'Mapa final'!$R$24),"")</f>
        <v/>
      </c>
      <c r="AF48" s="37" t="str">
        <f>IF(AND('Mapa final'!$AB$25="Muy Baja",'Mapa final'!$AD$25="Mayor"),CONCATENATE("R3C",'Mapa final'!$R$25),"")</f>
        <v/>
      </c>
      <c r="AG48" s="38" t="str">
        <f>IF(AND('Mapa final'!$AB$26="Muy Baja",'Mapa final'!$AD$26="Mayor"),CONCATENATE("R3C",'Mapa final'!$R$26),"")</f>
        <v/>
      </c>
      <c r="AH48" s="39" t="str">
        <f>IF(AND('Mapa final'!$AB$21="Muy Baja",'Mapa final'!$AD$21="Catastrófico"),CONCATENATE("R3C",'Mapa final'!$R$21),"")</f>
        <v/>
      </c>
      <c r="AI48" s="40" t="str">
        <f>IF(AND('Mapa final'!$AB$22="Muy Baja",'Mapa final'!$AD$22="Catastrófico"),CONCATENATE("R3C",'Mapa final'!$R$22),"")</f>
        <v/>
      </c>
      <c r="AJ48" s="40" t="str">
        <f>IF(AND('Mapa final'!$AB$23="Muy Baja",'Mapa final'!$AD$23="Catastrófico"),CONCATENATE("R3C",'Mapa final'!$R$23),"")</f>
        <v/>
      </c>
      <c r="AK48" s="40" t="str">
        <f>IF(AND('Mapa final'!$AB$24="Muy Baja",'Mapa final'!$AD$24="Catastrófico"),CONCATENATE("R3C",'Mapa final'!$R$24),"")</f>
        <v/>
      </c>
      <c r="AL48" s="40" t="str">
        <f>IF(AND('Mapa final'!$AB$25="Muy Baja",'Mapa final'!$AD$25="Catastrófico"),CONCATENATE("R3C",'Mapa final'!$R$25),"")</f>
        <v/>
      </c>
      <c r="AM48" s="41" t="str">
        <f>IF(AND('Mapa final'!$AB$26="Muy Baja",'Mapa final'!$AD$26="Catastrófico"),CONCATENATE("R3C",'Mapa final'!$R$26),"")</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498"/>
      <c r="C49" s="498"/>
      <c r="D49" s="499"/>
      <c r="E49" s="597"/>
      <c r="F49" s="596"/>
      <c r="G49" s="596"/>
      <c r="H49" s="596"/>
      <c r="I49" s="612"/>
      <c r="J49" s="60" t="str">
        <f>IF(AND('Mapa final'!$AB$27="Muy Baja",'Mapa final'!$AD$27="Leve"),CONCATENATE("R4C",'Mapa final'!$R$27),"")</f>
        <v/>
      </c>
      <c r="K49" s="61" t="str">
        <f>IF(AND('Mapa final'!$AB$28="Muy Baja",'Mapa final'!$AD$28="Leve"),CONCATENATE("R4C",'Mapa final'!$R$28),"")</f>
        <v/>
      </c>
      <c r="L49" s="61" t="str">
        <f>IF(AND('Mapa final'!$AB$29="Muy Baja",'Mapa final'!$AD$29="Leve"),CONCATENATE("R4C",'Mapa final'!$R$29),"")</f>
        <v/>
      </c>
      <c r="M49" s="61" t="str">
        <f>IF(AND('Mapa final'!$AB$30="Muy Baja",'Mapa final'!$AD$30="Leve"),CONCATENATE("R4C",'Mapa final'!$R$30),"")</f>
        <v/>
      </c>
      <c r="N49" s="61" t="str">
        <f>IF(AND('Mapa final'!$AB$31="Muy Baja",'Mapa final'!$AD$31="Leve"),CONCATENATE("R4C",'Mapa final'!$R$31),"")</f>
        <v/>
      </c>
      <c r="O49" s="62" t="str">
        <f>IF(AND('Mapa final'!$AB$32="Muy Baja",'Mapa final'!$AD$32="Leve"),CONCATENATE("R4C",'Mapa final'!$R$32),"")</f>
        <v/>
      </c>
      <c r="P49" s="60" t="str">
        <f>IF(AND('Mapa final'!$AB$27="Muy Baja",'Mapa final'!$AD$27="Menor"),CONCATENATE("R4C",'Mapa final'!$R$27),"")</f>
        <v/>
      </c>
      <c r="Q49" s="61" t="str">
        <f>IF(AND('Mapa final'!$AB$28="Muy Baja",'Mapa final'!$AD$28="Menor"),CONCATENATE("R4C",'Mapa final'!$R$28),"")</f>
        <v/>
      </c>
      <c r="R49" s="61" t="str">
        <f>IF(AND('Mapa final'!$AB$29="Muy Baja",'Mapa final'!$AD$29="Menor"),CONCATENATE("R4C",'Mapa final'!$R$29),"")</f>
        <v/>
      </c>
      <c r="S49" s="61" t="str">
        <f>IF(AND('Mapa final'!$AB$30="Muy Baja",'Mapa final'!$AD$30="Menor"),CONCATENATE("R4C",'Mapa final'!$R$30),"")</f>
        <v/>
      </c>
      <c r="T49" s="61" t="str">
        <f>IF(AND('Mapa final'!$AB$31="Muy Baja",'Mapa final'!$AD$31="Menor"),CONCATENATE("R4C",'Mapa final'!$R$31),"")</f>
        <v/>
      </c>
      <c r="U49" s="62" t="str">
        <f>IF(AND('Mapa final'!$AB$32="Muy Baja",'Mapa final'!$AD$32="Menor"),CONCATENATE("R4C",'Mapa final'!$R$32),"")</f>
        <v/>
      </c>
      <c r="V49" s="51" t="str">
        <f>IF(AND('Mapa final'!$AB$27="Muy Baja",'Mapa final'!$AD$27="Moderado"),CONCATENATE("R4C",'Mapa final'!$R$27),"")</f>
        <v/>
      </c>
      <c r="W49" s="52" t="str">
        <f>IF(AND('Mapa final'!$AB$28="Muy Baja",'Mapa final'!$AD$28="Moderado"),CONCATENATE("R4C",'Mapa final'!$R$28),"")</f>
        <v/>
      </c>
      <c r="X49" s="52" t="str">
        <f>IF(AND('Mapa final'!$AB$29="Muy Baja",'Mapa final'!$AD$29="Moderado"),CONCATENATE("R4C",'Mapa final'!$R$29),"")</f>
        <v/>
      </c>
      <c r="Y49" s="52" t="str">
        <f>IF(AND('Mapa final'!$AB$30="Muy Baja",'Mapa final'!$AD$30="Moderado"),CONCATENATE("R4C",'Mapa final'!$R$30),"")</f>
        <v/>
      </c>
      <c r="Z49" s="52" t="str">
        <f>IF(AND('Mapa final'!$AB$31="Muy Baja",'Mapa final'!$AD$31="Moderado"),CONCATENATE("R4C",'Mapa final'!$R$31),"")</f>
        <v/>
      </c>
      <c r="AA49" s="53" t="str">
        <f>IF(AND('Mapa final'!$AB$32="Muy Baja",'Mapa final'!$AD$32="Moderado"),CONCATENATE("R4C",'Mapa final'!$R$32),"")</f>
        <v/>
      </c>
      <c r="AB49" s="36" t="str">
        <f>IF(AND('Mapa final'!$AB$27="Muy Baja",'Mapa final'!$AD$27="Mayor"),CONCATENATE("R4C",'Mapa final'!$R$27),"")</f>
        <v/>
      </c>
      <c r="AC49" s="37" t="str">
        <f>IF(AND('Mapa final'!$AB$28="Muy Baja",'Mapa final'!$AD$28="Mayor"),CONCATENATE("R4C",'Mapa final'!$R$28),"")</f>
        <v/>
      </c>
      <c r="AD49" s="37" t="str">
        <f>IF(AND('Mapa final'!$AB$29="Muy Baja",'Mapa final'!$AD$29="Mayor"),CONCATENATE("R4C",'Mapa final'!$R$29),"")</f>
        <v/>
      </c>
      <c r="AE49" s="37" t="str">
        <f>IF(AND('Mapa final'!$AB$30="Muy Baja",'Mapa final'!$AD$30="Mayor"),CONCATENATE("R4C",'Mapa final'!$R$30),"")</f>
        <v/>
      </c>
      <c r="AF49" s="37" t="str">
        <f>IF(AND('Mapa final'!$AB$31="Muy Baja",'Mapa final'!$AD$31="Mayor"),CONCATENATE("R4C",'Mapa final'!$R$31),"")</f>
        <v/>
      </c>
      <c r="AG49" s="38" t="str">
        <f>IF(AND('Mapa final'!$AB$32="Muy Baja",'Mapa final'!$AD$32="Mayor"),CONCATENATE("R4C",'Mapa final'!$R$32),"")</f>
        <v/>
      </c>
      <c r="AH49" s="39" t="str">
        <f>IF(AND('Mapa final'!$AB$27="Muy Baja",'Mapa final'!$AD$27="Catastrófico"),CONCATENATE("R4C",'Mapa final'!$R$27),"")</f>
        <v/>
      </c>
      <c r="AI49" s="40" t="str">
        <f>IF(AND('Mapa final'!$AB$28="Muy Baja",'Mapa final'!$AD$28="Catastrófico"),CONCATENATE("R4C",'Mapa final'!$R$28),"")</f>
        <v/>
      </c>
      <c r="AJ49" s="40" t="str">
        <f>IF(AND('Mapa final'!$AB$29="Muy Baja",'Mapa final'!$AD$29="Catastrófico"),CONCATENATE("R4C",'Mapa final'!$R$29),"")</f>
        <v/>
      </c>
      <c r="AK49" s="40" t="str">
        <f>IF(AND('Mapa final'!$AB$30="Muy Baja",'Mapa final'!$AD$30="Catastrófico"),CONCATENATE("R4C",'Mapa final'!$R$30),"")</f>
        <v/>
      </c>
      <c r="AL49" s="40" t="str">
        <f>IF(AND('Mapa final'!$AB$31="Muy Baja",'Mapa final'!$AD$31="Catastrófico"),CONCATENATE("R4C",'Mapa final'!$R$31),"")</f>
        <v/>
      </c>
      <c r="AM49" s="41" t="str">
        <f>IF(AND('Mapa final'!$AB$32="Muy Baja",'Mapa final'!$AD$32="Catastrófico"),CONCATENATE("R4C",'Mapa final'!$R$32),"")</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498"/>
      <c r="C50" s="498"/>
      <c r="D50" s="499"/>
      <c r="E50" s="597"/>
      <c r="F50" s="596"/>
      <c r="G50" s="596"/>
      <c r="H50" s="596"/>
      <c r="I50" s="612"/>
      <c r="J50" s="60" t="str">
        <f>IF(AND('Mapa final'!$AB$33="Muy Baja",'Mapa final'!$AD$33="Leve"),CONCATENATE("R5C",'Mapa final'!$R$33),"")</f>
        <v/>
      </c>
      <c r="K50" s="61" t="str">
        <f>IF(AND('Mapa final'!$AB$34="Muy Baja",'Mapa final'!$AD$34="Leve"),CONCATENATE("R5C",'Mapa final'!$R$34),"")</f>
        <v/>
      </c>
      <c r="L50" s="61" t="str">
        <f>IF(AND('Mapa final'!$AB$35="Muy Baja",'Mapa final'!$AD$35="Leve"),CONCATENATE("R5C",'Mapa final'!$R$35),"")</f>
        <v/>
      </c>
      <c r="M50" s="61" t="str">
        <f>IF(AND('Mapa final'!$AB$36="Muy Baja",'Mapa final'!$AD$36="Leve"),CONCATENATE("R5C",'Mapa final'!$R$36),"")</f>
        <v/>
      </c>
      <c r="N50" s="61" t="str">
        <f>IF(AND('Mapa final'!$AB$37="Muy Baja",'Mapa final'!$AD$37="Leve"),CONCATENATE("R5C",'Mapa final'!$R$37),"")</f>
        <v/>
      </c>
      <c r="O50" s="62" t="str">
        <f>IF(AND('Mapa final'!$AB$38="Muy Baja",'Mapa final'!$AD$38="Leve"),CONCATENATE("R5C",'Mapa final'!$R$38),"")</f>
        <v/>
      </c>
      <c r="P50" s="60" t="str">
        <f>IF(AND('Mapa final'!$AB$33="Muy Baja",'Mapa final'!$AD$33="Menor"),CONCATENATE("R5C",'Mapa final'!$R$33),"")</f>
        <v/>
      </c>
      <c r="Q50" s="61" t="str">
        <f>IF(AND('Mapa final'!$AB$34="Muy Baja",'Mapa final'!$AD$34="Menor"),CONCATENATE("R5C",'Mapa final'!$R$34),"")</f>
        <v/>
      </c>
      <c r="R50" s="61" t="str">
        <f>IF(AND('Mapa final'!$AB$35="Muy Baja",'Mapa final'!$AD$35="Menor"),CONCATENATE("R5C",'Mapa final'!$R$35),"")</f>
        <v/>
      </c>
      <c r="S50" s="61" t="str">
        <f>IF(AND('Mapa final'!$AB$36="Muy Baja",'Mapa final'!$AD$36="Menor"),CONCATENATE("R5C",'Mapa final'!$R$36),"")</f>
        <v/>
      </c>
      <c r="T50" s="61" t="str">
        <f>IF(AND('Mapa final'!$AB$37="Muy Baja",'Mapa final'!$AD$37="Menor"),CONCATENATE("R5C",'Mapa final'!$R$37),"")</f>
        <v/>
      </c>
      <c r="U50" s="62" t="str">
        <f>IF(AND('Mapa final'!$AB$38="Muy Baja",'Mapa final'!$AD$38="Menor"),CONCATENATE("R5C",'Mapa final'!$R$38),"")</f>
        <v/>
      </c>
      <c r="V50" s="51" t="str">
        <f>IF(AND('Mapa final'!$AB$33="Muy Baja",'Mapa final'!$AD$33="Moderado"),CONCATENATE("R5C",'Mapa final'!$R$33),"")</f>
        <v/>
      </c>
      <c r="W50" s="52" t="str">
        <f>IF(AND('Mapa final'!$AB$34="Muy Baja",'Mapa final'!$AD$34="Moderado"),CONCATENATE("R5C",'Mapa final'!$R$34),"")</f>
        <v/>
      </c>
      <c r="X50" s="52" t="str">
        <f>IF(AND('Mapa final'!$AB$35="Muy Baja",'Mapa final'!$AD$35="Moderado"),CONCATENATE("R5C",'Mapa final'!$R$35),"")</f>
        <v/>
      </c>
      <c r="Y50" s="52" t="str">
        <f>IF(AND('Mapa final'!$AB$36="Muy Baja",'Mapa final'!$AD$36="Moderado"),CONCATENATE("R5C",'Mapa final'!$R$36),"")</f>
        <v/>
      </c>
      <c r="Z50" s="52" t="str">
        <f>IF(AND('Mapa final'!$AB$37="Muy Baja",'Mapa final'!$AD$37="Moderado"),CONCATENATE("R5C",'Mapa final'!$R$37),"")</f>
        <v/>
      </c>
      <c r="AA50" s="53" t="str">
        <f>IF(AND('Mapa final'!$AB$38="Muy Baja",'Mapa final'!$AD$38="Moderado"),CONCATENATE("R5C",'Mapa final'!$R$38),"")</f>
        <v/>
      </c>
      <c r="AB50" s="36" t="str">
        <f>IF(AND('Mapa final'!$AB$33="Muy Baja",'Mapa final'!$AD$33="Mayor"),CONCATENATE("R5C",'Mapa final'!$R$33),"")</f>
        <v/>
      </c>
      <c r="AC50" s="37" t="str">
        <f>IF(AND('Mapa final'!$AB$34="Muy Baja",'Mapa final'!$AD$34="Mayor"),CONCATENATE("R5C",'Mapa final'!$R$34),"")</f>
        <v/>
      </c>
      <c r="AD50" s="37" t="str">
        <f>IF(AND('Mapa final'!$AB$35="Muy Baja",'Mapa final'!$AD$35="Mayor"),CONCATENATE("R5C",'Mapa final'!$R$35),"")</f>
        <v/>
      </c>
      <c r="AE50" s="37" t="str">
        <f>IF(AND('Mapa final'!$AB$36="Muy Baja",'Mapa final'!$AD$36="Mayor"),CONCATENATE("R5C",'Mapa final'!$R$36),"")</f>
        <v/>
      </c>
      <c r="AF50" s="37" t="str">
        <f>IF(AND('Mapa final'!$AB$37="Muy Baja",'Mapa final'!$AD$37="Mayor"),CONCATENATE("R5C",'Mapa final'!$R$37),"")</f>
        <v/>
      </c>
      <c r="AG50" s="38" t="str">
        <f>IF(AND('Mapa final'!$AB$38="Muy Baja",'Mapa final'!$AD$38="Mayor"),CONCATENATE("R5C",'Mapa final'!$R$38),"")</f>
        <v/>
      </c>
      <c r="AH50" s="39" t="str">
        <f>IF(AND('Mapa final'!$AB$33="Muy Baja",'Mapa final'!$AD$33="Catastrófico"),CONCATENATE("R5C",'Mapa final'!$R$33),"")</f>
        <v/>
      </c>
      <c r="AI50" s="40" t="str">
        <f>IF(AND('Mapa final'!$AB$34="Muy Baja",'Mapa final'!$AD$34="Catastrófico"),CONCATENATE("R5C",'Mapa final'!$R$34),"")</f>
        <v/>
      </c>
      <c r="AJ50" s="40" t="str">
        <f>IF(AND('Mapa final'!$AB$35="Muy Baja",'Mapa final'!$AD$35="Catastrófico"),CONCATENATE("R5C",'Mapa final'!$R$35),"")</f>
        <v/>
      </c>
      <c r="AK50" s="40" t="str">
        <f>IF(AND('Mapa final'!$AB$36="Muy Baja",'Mapa final'!$AD$36="Catastrófico"),CONCATENATE("R5C",'Mapa final'!$R$36),"")</f>
        <v/>
      </c>
      <c r="AL50" s="40" t="str">
        <f>IF(AND('Mapa final'!$AB$37="Muy Baja",'Mapa final'!$AD$37="Catastrófico"),CONCATENATE("R5C",'Mapa final'!$R$37),"")</f>
        <v/>
      </c>
      <c r="AM50" s="41" t="str">
        <f>IF(AND('Mapa final'!$AB$38="Muy Baja",'Mapa final'!$AD$38="Catastrófico"),CONCATENATE("R5C",'Mapa final'!$R$38),"")</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498"/>
      <c r="C51" s="498"/>
      <c r="D51" s="499"/>
      <c r="E51" s="597"/>
      <c r="F51" s="596"/>
      <c r="G51" s="596"/>
      <c r="H51" s="596"/>
      <c r="I51" s="612"/>
      <c r="J51" s="60" t="str">
        <f>IF(AND('Mapa final'!$AB$39="Muy Baja",'Mapa final'!$AD$39="Leve"),CONCATENATE("R6C",'Mapa final'!$R$39),"")</f>
        <v/>
      </c>
      <c r="K51" s="61" t="str">
        <f>IF(AND('Mapa final'!$AB$40="Muy Baja",'Mapa final'!$AD$40="Leve"),CONCATENATE("R6C",'Mapa final'!$R$40),"")</f>
        <v/>
      </c>
      <c r="L51" s="61" t="str">
        <f>IF(AND('Mapa final'!$AB$41="Muy Baja",'Mapa final'!$AD$41="Leve"),CONCATENATE("R6C",'Mapa final'!$R$41),"")</f>
        <v/>
      </c>
      <c r="M51" s="61" t="str">
        <f>IF(AND('Mapa final'!$AB$42="Muy Baja",'Mapa final'!$AD$42="Leve"),CONCATENATE("R6C",'Mapa final'!$R$42),"")</f>
        <v/>
      </c>
      <c r="N51" s="61" t="str">
        <f>IF(AND('Mapa final'!$AB$43="Muy Baja",'Mapa final'!$AD$43="Leve"),CONCATENATE("R6C",'Mapa final'!$R$43),"")</f>
        <v/>
      </c>
      <c r="O51" s="62" t="str">
        <f>IF(AND('Mapa final'!$AB$44="Muy Baja",'Mapa final'!$AD$44="Leve"),CONCATENATE("R6C",'Mapa final'!$R$44),"")</f>
        <v/>
      </c>
      <c r="P51" s="60" t="str">
        <f>IF(AND('Mapa final'!$AB$39="Muy Baja",'Mapa final'!$AD$39="Menor"),CONCATENATE("R6C",'Mapa final'!$R$39),"")</f>
        <v/>
      </c>
      <c r="Q51" s="61" t="str">
        <f>IF(AND('Mapa final'!$AB$40="Muy Baja",'Mapa final'!$AD$40="Menor"),CONCATENATE("R6C",'Mapa final'!$R$40),"")</f>
        <v/>
      </c>
      <c r="R51" s="61" t="str">
        <f>IF(AND('Mapa final'!$AB$41="Muy Baja",'Mapa final'!$AD$41="Menor"),CONCATENATE("R6C",'Mapa final'!$R$41),"")</f>
        <v/>
      </c>
      <c r="S51" s="61" t="str">
        <f>IF(AND('Mapa final'!$AB$42="Muy Baja",'Mapa final'!$AD$42="Menor"),CONCATENATE("R6C",'Mapa final'!$R$42),"")</f>
        <v/>
      </c>
      <c r="T51" s="61" t="str">
        <f>IF(AND('Mapa final'!$AB$43="Muy Baja",'Mapa final'!$AD$43="Menor"),CONCATENATE("R6C",'Mapa final'!$R$43),"")</f>
        <v/>
      </c>
      <c r="U51" s="62" t="str">
        <f>IF(AND('Mapa final'!$AB$44="Muy Baja",'Mapa final'!$AD$44="Menor"),CONCATENATE("R6C",'Mapa final'!$R$44),"")</f>
        <v/>
      </c>
      <c r="V51" s="51" t="str">
        <f>IF(AND('Mapa final'!$AB$39="Muy Baja",'Mapa final'!$AD$39="Moderado"),CONCATENATE("R6C",'Mapa final'!$R$39),"")</f>
        <v/>
      </c>
      <c r="W51" s="52" t="str">
        <f>IF(AND('Mapa final'!$AB$40="Muy Baja",'Mapa final'!$AD$40="Moderado"),CONCATENATE("R6C",'Mapa final'!$R$40),"")</f>
        <v/>
      </c>
      <c r="X51" s="52" t="str">
        <f>IF(AND('Mapa final'!$AB$41="Muy Baja",'Mapa final'!$AD$41="Moderado"),CONCATENATE("R6C",'Mapa final'!$R$41),"")</f>
        <v/>
      </c>
      <c r="Y51" s="52" t="str">
        <f>IF(AND('Mapa final'!$AB$42="Muy Baja",'Mapa final'!$AD$42="Moderado"),CONCATENATE("R6C",'Mapa final'!$R$42),"")</f>
        <v/>
      </c>
      <c r="Z51" s="52" t="str">
        <f>IF(AND('Mapa final'!$AB$43="Muy Baja",'Mapa final'!$AD$43="Moderado"),CONCATENATE("R6C",'Mapa final'!$R$43),"")</f>
        <v/>
      </c>
      <c r="AA51" s="53" t="str">
        <f>IF(AND('Mapa final'!$AB$44="Muy Baja",'Mapa final'!$AD$44="Moderado"),CONCATENATE("R6C",'Mapa final'!$R$44),"")</f>
        <v/>
      </c>
      <c r="AB51" s="36" t="str">
        <f>IF(AND('Mapa final'!$AB$39="Muy Baja",'Mapa final'!$AD$39="Mayor"),CONCATENATE("R6C",'Mapa final'!$R$39),"")</f>
        <v/>
      </c>
      <c r="AC51" s="37" t="str">
        <f>IF(AND('Mapa final'!$AB$40="Muy Baja",'Mapa final'!$AD$40="Mayor"),CONCATENATE("R6C",'Mapa final'!$R$40),"")</f>
        <v/>
      </c>
      <c r="AD51" s="37" t="str">
        <f>IF(AND('Mapa final'!$AB$41="Muy Baja",'Mapa final'!$AD$41="Mayor"),CONCATENATE("R6C",'Mapa final'!$R$41),"")</f>
        <v/>
      </c>
      <c r="AE51" s="37" t="str">
        <f>IF(AND('Mapa final'!$AB$42="Muy Baja",'Mapa final'!$AD$42="Mayor"),CONCATENATE("R6C",'Mapa final'!$R$42),"")</f>
        <v/>
      </c>
      <c r="AF51" s="37" t="str">
        <f>IF(AND('Mapa final'!$AB$43="Muy Baja",'Mapa final'!$AD$43="Mayor"),CONCATENATE("R6C",'Mapa final'!$R$43),"")</f>
        <v/>
      </c>
      <c r="AG51" s="38" t="str">
        <f>IF(AND('Mapa final'!$AB$44="Muy Baja",'Mapa final'!$AD$44="Mayor"),CONCATENATE("R6C",'Mapa final'!$R$44),"")</f>
        <v/>
      </c>
      <c r="AH51" s="39" t="str">
        <f>IF(AND('Mapa final'!$AB$39="Muy Baja",'Mapa final'!$AD$39="Catastrófico"),CONCATENATE("R6C",'Mapa final'!$R$39),"")</f>
        <v/>
      </c>
      <c r="AI51" s="40" t="str">
        <f>IF(AND('Mapa final'!$AB$40="Muy Baja",'Mapa final'!$AD$40="Catastrófico"),CONCATENATE("R6C",'Mapa final'!$R$40),"")</f>
        <v/>
      </c>
      <c r="AJ51" s="40" t="str">
        <f>IF(AND('Mapa final'!$AB$41="Muy Baja",'Mapa final'!$AD$41="Catastrófico"),CONCATENATE("R6C",'Mapa final'!$R$41),"")</f>
        <v/>
      </c>
      <c r="AK51" s="40" t="str">
        <f>IF(AND('Mapa final'!$AB$42="Muy Baja",'Mapa final'!$AD$42="Catastrófico"),CONCATENATE("R6C",'Mapa final'!$R$42),"")</f>
        <v/>
      </c>
      <c r="AL51" s="40" t="str">
        <f>IF(AND('Mapa final'!$AB$43="Muy Baja",'Mapa final'!$AD$43="Catastrófico"),CONCATENATE("R6C",'Mapa final'!$R$43),"")</f>
        <v/>
      </c>
      <c r="AM51" s="41" t="str">
        <f>IF(AND('Mapa final'!$AB$44="Muy Baja",'Mapa final'!$AD$44="Catastrófico"),CONCATENATE("R6C",'Mapa final'!$R$44),"")</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498"/>
      <c r="C52" s="498"/>
      <c r="D52" s="499"/>
      <c r="E52" s="597"/>
      <c r="F52" s="596"/>
      <c r="G52" s="596"/>
      <c r="H52" s="596"/>
      <c r="I52" s="612"/>
      <c r="J52" s="60" t="str">
        <f>IF(AND('Mapa final'!$AB$45="Muy Baja",'Mapa final'!$AD$45="Leve"),CONCATENATE("R7C",'Mapa final'!$R$45),"")</f>
        <v/>
      </c>
      <c r="K52" s="61" t="str">
        <f>IF(AND('Mapa final'!$AB$46="Muy Baja",'Mapa final'!$AD$46="Leve"),CONCATENATE("R7C",'Mapa final'!$R$46),"")</f>
        <v/>
      </c>
      <c r="L52" s="61" t="str">
        <f>IF(AND('Mapa final'!$AB$47="Muy Baja",'Mapa final'!$AD$47="Leve"),CONCATENATE("R7C",'Mapa final'!$R$47),"")</f>
        <v/>
      </c>
      <c r="M52" s="61" t="str">
        <f>IF(AND('Mapa final'!$AB$48="Muy Baja",'Mapa final'!$AD$48="Leve"),CONCATENATE("R7C",'Mapa final'!$R$48),"")</f>
        <v/>
      </c>
      <c r="N52" s="61" t="str">
        <f>IF(AND('Mapa final'!$AB$49="Muy Baja",'Mapa final'!$AD$49="Leve"),CONCATENATE("R7C",'Mapa final'!$R$49),"")</f>
        <v/>
      </c>
      <c r="O52" s="62" t="str">
        <f>IF(AND('Mapa final'!$AB$50="Muy Baja",'Mapa final'!$AD$50="Leve"),CONCATENATE("R7C",'Mapa final'!$R$50),"")</f>
        <v/>
      </c>
      <c r="P52" s="60" t="str">
        <f>IF(AND('Mapa final'!$AB$45="Muy Baja",'Mapa final'!$AD$45="Menor"),CONCATENATE("R7C",'Mapa final'!$R$45),"")</f>
        <v/>
      </c>
      <c r="Q52" s="61" t="str">
        <f>IF(AND('Mapa final'!$AB$46="Muy Baja",'Mapa final'!$AD$46="Menor"),CONCATENATE("R7C",'Mapa final'!$R$46),"")</f>
        <v/>
      </c>
      <c r="R52" s="61" t="str">
        <f>IF(AND('Mapa final'!$AB$47="Muy Baja",'Mapa final'!$AD$47="Menor"),CONCATENATE("R7C",'Mapa final'!$R$47),"")</f>
        <v/>
      </c>
      <c r="S52" s="61" t="str">
        <f>IF(AND('Mapa final'!$AB$48="Muy Baja",'Mapa final'!$AD$48="Menor"),CONCATENATE("R7C",'Mapa final'!$R$48),"")</f>
        <v/>
      </c>
      <c r="T52" s="61" t="str">
        <f>IF(AND('Mapa final'!$AB$49="Muy Baja",'Mapa final'!$AD$49="Menor"),CONCATENATE("R7C",'Mapa final'!$R$49),"")</f>
        <v/>
      </c>
      <c r="U52" s="62" t="str">
        <f>IF(AND('Mapa final'!$AB$50="Muy Baja",'Mapa final'!$AD$50="Menor"),CONCATENATE("R7C",'Mapa final'!$R$50),"")</f>
        <v/>
      </c>
      <c r="V52" s="51" t="str">
        <f>IF(AND('Mapa final'!$AB$45="Muy Baja",'Mapa final'!$AD$45="Moderado"),CONCATENATE("R7C",'Mapa final'!$R$45),"")</f>
        <v/>
      </c>
      <c r="W52" s="52" t="str">
        <f>IF(AND('Mapa final'!$AB$46="Muy Baja",'Mapa final'!$AD$46="Moderado"),CONCATENATE("R7C",'Mapa final'!$R$46),"")</f>
        <v/>
      </c>
      <c r="X52" s="52" t="str">
        <f>IF(AND('Mapa final'!$AB$47="Muy Baja",'Mapa final'!$AD$47="Moderado"),CONCATENATE("R7C",'Mapa final'!$R$47),"")</f>
        <v/>
      </c>
      <c r="Y52" s="52" t="str">
        <f>IF(AND('Mapa final'!$AB$48="Muy Baja",'Mapa final'!$AD$48="Moderado"),CONCATENATE("R7C",'Mapa final'!$R$48),"")</f>
        <v/>
      </c>
      <c r="Z52" s="52" t="str">
        <f>IF(AND('Mapa final'!$AB$49="Muy Baja",'Mapa final'!$AD$49="Moderado"),CONCATENATE("R7C",'Mapa final'!$R$49),"")</f>
        <v/>
      </c>
      <c r="AA52" s="53" t="str">
        <f>IF(AND('Mapa final'!$AB$50="Muy Baja",'Mapa final'!$AD$50="Moderado"),CONCATENATE("R7C",'Mapa final'!$R$50),"")</f>
        <v/>
      </c>
      <c r="AB52" s="36" t="str">
        <f>IF(AND('Mapa final'!$AB$45="Muy Baja",'Mapa final'!$AD$45="Mayor"),CONCATENATE("R7C",'Mapa final'!$R$45),"")</f>
        <v/>
      </c>
      <c r="AC52" s="37" t="str">
        <f>IF(AND('Mapa final'!$AB$46="Muy Baja",'Mapa final'!$AD$46="Mayor"),CONCATENATE("R7C",'Mapa final'!$R$46),"")</f>
        <v/>
      </c>
      <c r="AD52" s="37" t="str">
        <f>IF(AND('Mapa final'!$AB$47="Muy Baja",'Mapa final'!$AD$47="Mayor"),CONCATENATE("R7C",'Mapa final'!$R$47),"")</f>
        <v/>
      </c>
      <c r="AE52" s="37" t="str">
        <f>IF(AND('Mapa final'!$AB$48="Muy Baja",'Mapa final'!$AD$48="Mayor"),CONCATENATE("R7C",'Mapa final'!$R$48),"")</f>
        <v/>
      </c>
      <c r="AF52" s="37" t="str">
        <f>IF(AND('Mapa final'!$AB$49="Muy Baja",'Mapa final'!$AD$49="Mayor"),CONCATENATE("R7C",'Mapa final'!$R$49),"")</f>
        <v/>
      </c>
      <c r="AG52" s="38" t="str">
        <f>IF(AND('Mapa final'!$AB$50="Muy Baja",'Mapa final'!$AD$50="Mayor"),CONCATENATE("R7C",'Mapa final'!$R$50),"")</f>
        <v/>
      </c>
      <c r="AH52" s="39" t="str">
        <f>IF(AND('Mapa final'!$AB$45="Muy Baja",'Mapa final'!$AD$45="Catastrófico"),CONCATENATE("R7C",'Mapa final'!$R$45),"")</f>
        <v/>
      </c>
      <c r="AI52" s="40" t="str">
        <f>IF(AND('Mapa final'!$AB$46="Muy Baja",'Mapa final'!$AD$46="Catastrófico"),CONCATENATE("R7C",'Mapa final'!$R$46),"")</f>
        <v/>
      </c>
      <c r="AJ52" s="40" t="str">
        <f>IF(AND('Mapa final'!$AB$47="Muy Baja",'Mapa final'!$AD$47="Catastrófico"),CONCATENATE("R7C",'Mapa final'!$R$47),"")</f>
        <v/>
      </c>
      <c r="AK52" s="40" t="str">
        <f>IF(AND('Mapa final'!$AB$48="Muy Baja",'Mapa final'!$AD$48="Catastrófico"),CONCATENATE("R7C",'Mapa final'!$R$48),"")</f>
        <v/>
      </c>
      <c r="AL52" s="40" t="str">
        <f>IF(AND('Mapa final'!$AB$49="Muy Baja",'Mapa final'!$AD$49="Catastrófico"),CONCATENATE("R7C",'Mapa final'!$R$49),"")</f>
        <v/>
      </c>
      <c r="AM52" s="41" t="str">
        <f>IF(AND('Mapa final'!$AB$50="Muy Baja",'Mapa final'!$AD$50="Catastrófico"),CONCATENATE("R7C",'Mapa final'!$R$50),"")</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498"/>
      <c r="C53" s="498"/>
      <c r="D53" s="499"/>
      <c r="E53" s="597"/>
      <c r="F53" s="596"/>
      <c r="G53" s="596"/>
      <c r="H53" s="596"/>
      <c r="I53" s="612"/>
      <c r="J53" s="60" t="str">
        <f>IF(AND('Mapa final'!$AB$51="Muy Baja",'Mapa final'!$AD$51="Leve"),CONCATENATE("R8C",'Mapa final'!$R$51),"")</f>
        <v/>
      </c>
      <c r="K53" s="61" t="str">
        <f>IF(AND('Mapa final'!$AB$52="Muy Baja",'Mapa final'!$AD$52="Leve"),CONCATENATE("R8C",'Mapa final'!$R$52),"")</f>
        <v/>
      </c>
      <c r="L53" s="61" t="str">
        <f>IF(AND('Mapa final'!$AB$53="Muy Baja",'Mapa final'!$AD$53="Leve"),CONCATENATE("R8C",'Mapa final'!$R$53),"")</f>
        <v/>
      </c>
      <c r="M53" s="61" t="str">
        <f>IF(AND('Mapa final'!$AB$54="Muy Baja",'Mapa final'!$AD$54="Leve"),CONCATENATE("R8C",'Mapa final'!$R$54),"")</f>
        <v/>
      </c>
      <c r="N53" s="61" t="str">
        <f>IF(AND('Mapa final'!$AB$55="Muy Baja",'Mapa final'!$AD$55="Leve"),CONCATENATE("R8C",'Mapa final'!$R$55),"")</f>
        <v/>
      </c>
      <c r="O53" s="62" t="str">
        <f>IF(AND('Mapa final'!$AB$56="Muy Baja",'Mapa final'!$AD$56="Leve"),CONCATENATE("R8C",'Mapa final'!$R$56),"")</f>
        <v/>
      </c>
      <c r="P53" s="60" t="str">
        <f>IF(AND('Mapa final'!$AB$51="Muy Baja",'Mapa final'!$AD$51="Menor"),CONCATENATE("R8C",'Mapa final'!$R$51),"")</f>
        <v/>
      </c>
      <c r="Q53" s="61" t="str">
        <f>IF(AND('Mapa final'!$AB$52="Muy Baja",'Mapa final'!$AD$52="Menor"),CONCATENATE("R8C",'Mapa final'!$R$52),"")</f>
        <v/>
      </c>
      <c r="R53" s="61" t="str">
        <f>IF(AND('Mapa final'!$AB$53="Muy Baja",'Mapa final'!$AD$53="Menor"),CONCATENATE("R8C",'Mapa final'!$R$53),"")</f>
        <v/>
      </c>
      <c r="S53" s="61" t="str">
        <f>IF(AND('Mapa final'!$AB$54="Muy Baja",'Mapa final'!$AD$54="Menor"),CONCATENATE("R8C",'Mapa final'!$R$54),"")</f>
        <v/>
      </c>
      <c r="T53" s="61" t="str">
        <f>IF(AND('Mapa final'!$AB$55="Muy Baja",'Mapa final'!$AD$55="Menor"),CONCATENATE("R8C",'Mapa final'!$R$55),"")</f>
        <v/>
      </c>
      <c r="U53" s="62" t="str">
        <f>IF(AND('Mapa final'!$AB$56="Muy Baja",'Mapa final'!$AD$56="Menor"),CONCATENATE("R8C",'Mapa final'!$R$56),"")</f>
        <v/>
      </c>
      <c r="V53" s="51" t="str">
        <f>IF(AND('Mapa final'!$AB$51="Muy Baja",'Mapa final'!$AD$51="Moderado"),CONCATENATE("R8C",'Mapa final'!$R$51),"")</f>
        <v/>
      </c>
      <c r="W53" s="52" t="str">
        <f>IF(AND('Mapa final'!$AB$52="Muy Baja",'Mapa final'!$AD$52="Moderado"),CONCATENATE("R8C",'Mapa final'!$R$52),"")</f>
        <v/>
      </c>
      <c r="X53" s="52" t="str">
        <f>IF(AND('Mapa final'!$AB$53="Muy Baja",'Mapa final'!$AD$53="Moderado"),CONCATENATE("R8C",'Mapa final'!$R$53),"")</f>
        <v/>
      </c>
      <c r="Y53" s="52" t="str">
        <f>IF(AND('Mapa final'!$AB$54="Muy Baja",'Mapa final'!$AD$54="Moderado"),CONCATENATE("R8C",'Mapa final'!$R$54),"")</f>
        <v/>
      </c>
      <c r="Z53" s="52" t="str">
        <f>IF(AND('Mapa final'!$AB$55="Muy Baja",'Mapa final'!$AD$55="Moderado"),CONCATENATE("R8C",'Mapa final'!$R$55),"")</f>
        <v/>
      </c>
      <c r="AA53" s="53" t="str">
        <f>IF(AND('Mapa final'!$AB$56="Muy Baja",'Mapa final'!$AD$56="Moderado"),CONCATENATE("R8C",'Mapa final'!$R$56),"")</f>
        <v/>
      </c>
      <c r="AB53" s="36" t="str">
        <f>IF(AND('Mapa final'!$AB$51="Muy Baja",'Mapa final'!$AD$51="Mayor"),CONCATENATE("R8C",'Mapa final'!$R$51),"")</f>
        <v/>
      </c>
      <c r="AC53" s="37" t="str">
        <f>IF(AND('Mapa final'!$AB$52="Muy Baja",'Mapa final'!$AD$52="Mayor"),CONCATENATE("R8C",'Mapa final'!$R$52),"")</f>
        <v/>
      </c>
      <c r="AD53" s="37" t="str">
        <f>IF(AND('Mapa final'!$AB$53="Muy Baja",'Mapa final'!$AD$53="Mayor"),CONCATENATE("R8C",'Mapa final'!$R$53),"")</f>
        <v/>
      </c>
      <c r="AE53" s="37" t="str">
        <f>IF(AND('Mapa final'!$AB$54="Muy Baja",'Mapa final'!$AD$54="Mayor"),CONCATENATE("R8C",'Mapa final'!$R$54),"")</f>
        <v/>
      </c>
      <c r="AF53" s="37" t="str">
        <f>IF(AND('Mapa final'!$AB$55="Muy Baja",'Mapa final'!$AD$55="Mayor"),CONCATENATE("R8C",'Mapa final'!$R$55),"")</f>
        <v/>
      </c>
      <c r="AG53" s="38" t="str">
        <f>IF(AND('Mapa final'!$AB$56="Muy Baja",'Mapa final'!$AD$56="Mayor"),CONCATENATE("R8C",'Mapa final'!$R$56),"")</f>
        <v/>
      </c>
      <c r="AH53" s="39" t="str">
        <f>IF(AND('Mapa final'!$AB$51="Muy Baja",'Mapa final'!$AD$51="Catastrófico"),CONCATENATE("R8C",'Mapa final'!$R$51),"")</f>
        <v/>
      </c>
      <c r="AI53" s="40" t="str">
        <f>IF(AND('Mapa final'!$AB$52="Muy Baja",'Mapa final'!$AD$52="Catastrófico"),CONCATENATE("R8C",'Mapa final'!$R$52),"")</f>
        <v/>
      </c>
      <c r="AJ53" s="40" t="str">
        <f>IF(AND('Mapa final'!$AB$53="Muy Baja",'Mapa final'!$AD$53="Catastrófico"),CONCATENATE("R8C",'Mapa final'!$R$53),"")</f>
        <v/>
      </c>
      <c r="AK53" s="40" t="str">
        <f>IF(AND('Mapa final'!$AB$54="Muy Baja",'Mapa final'!$AD$54="Catastrófico"),CONCATENATE("R8C",'Mapa final'!$R$54),"")</f>
        <v/>
      </c>
      <c r="AL53" s="40" t="str">
        <f>IF(AND('Mapa final'!$AB$55="Muy Baja",'Mapa final'!$AD$55="Catastrófico"),CONCATENATE("R8C",'Mapa final'!$R$55),"")</f>
        <v/>
      </c>
      <c r="AM53" s="41" t="str">
        <f>IF(AND('Mapa final'!$AB$56="Muy Baja",'Mapa final'!$AD$56="Catastrófico"),CONCATENATE("R8C",'Mapa final'!$R$56),"")</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498"/>
      <c r="C54" s="498"/>
      <c r="D54" s="499"/>
      <c r="E54" s="597"/>
      <c r="F54" s="596"/>
      <c r="G54" s="596"/>
      <c r="H54" s="596"/>
      <c r="I54" s="612"/>
      <c r="J54" s="60" t="str">
        <f>IF(AND('Mapa final'!$AB$57="Muy Baja",'Mapa final'!$AD$57="Leve"),CONCATENATE("R9C",'Mapa final'!$R$57),"")</f>
        <v/>
      </c>
      <c r="K54" s="61" t="str">
        <f>IF(AND('Mapa final'!$AB$58="Muy Baja",'Mapa final'!$AD$58="Leve"),CONCATENATE("R9C",'Mapa final'!$R$58),"")</f>
        <v/>
      </c>
      <c r="L54" s="61" t="str">
        <f>IF(AND('Mapa final'!$AB$59="Muy Baja",'Mapa final'!$AD$59="Leve"),CONCATENATE("R9C",'Mapa final'!$R$59),"")</f>
        <v/>
      </c>
      <c r="M54" s="61" t="str">
        <f>IF(AND('Mapa final'!$AB$60="Muy Baja",'Mapa final'!$AD$60="Leve"),CONCATENATE("R9C",'Mapa final'!$R$60),"")</f>
        <v/>
      </c>
      <c r="N54" s="61" t="str">
        <f>IF(AND('Mapa final'!$AB$61="Muy Baja",'Mapa final'!$AD$61="Leve"),CONCATENATE("R9C",'Mapa final'!$R$61),"")</f>
        <v/>
      </c>
      <c r="O54" s="62" t="str">
        <f>IF(AND('Mapa final'!$AB$62="Muy Baja",'Mapa final'!$AD$62="Leve"),CONCATENATE("R9C",'Mapa final'!$R$62),"")</f>
        <v/>
      </c>
      <c r="P54" s="60" t="str">
        <f>IF(AND('Mapa final'!$AB$57="Muy Baja",'Mapa final'!$AD$57="Menor"),CONCATENATE("R9C",'Mapa final'!$R$57),"")</f>
        <v/>
      </c>
      <c r="Q54" s="61" t="str">
        <f>IF(AND('Mapa final'!$AB$58="Muy Baja",'Mapa final'!$AD$58="Menor"),CONCATENATE("R9C",'Mapa final'!$R$58),"")</f>
        <v/>
      </c>
      <c r="R54" s="61" t="str">
        <f>IF(AND('Mapa final'!$AB$59="Muy Baja",'Mapa final'!$AD$59="Menor"),CONCATENATE("R9C",'Mapa final'!$R$59),"")</f>
        <v/>
      </c>
      <c r="S54" s="61" t="str">
        <f>IF(AND('Mapa final'!$AB$60="Muy Baja",'Mapa final'!$AD$60="Menor"),CONCATENATE("R9C",'Mapa final'!$R$60),"")</f>
        <v/>
      </c>
      <c r="T54" s="61" t="str">
        <f>IF(AND('Mapa final'!$AB$61="Muy Baja",'Mapa final'!$AD$61="Menor"),CONCATENATE("R9C",'Mapa final'!$R$61),"")</f>
        <v/>
      </c>
      <c r="U54" s="62" t="str">
        <f>IF(AND('Mapa final'!$AB$62="Muy Baja",'Mapa final'!$AD$62="Menor"),CONCATENATE("R9C",'Mapa final'!$R$62),"")</f>
        <v/>
      </c>
      <c r="V54" s="51" t="str">
        <f>IF(AND('Mapa final'!$AB$57="Muy Baja",'Mapa final'!$AD$57="Moderado"),CONCATENATE("R9C",'Mapa final'!$R$57),"")</f>
        <v/>
      </c>
      <c r="W54" s="52" t="str">
        <f>IF(AND('Mapa final'!$AB$58="Muy Baja",'Mapa final'!$AD$58="Moderado"),CONCATENATE("R9C",'Mapa final'!$R$58),"")</f>
        <v/>
      </c>
      <c r="X54" s="52" t="str">
        <f>IF(AND('Mapa final'!$AB$59="Muy Baja",'Mapa final'!$AD$59="Moderado"),CONCATENATE("R9C",'Mapa final'!$R$59),"")</f>
        <v/>
      </c>
      <c r="Y54" s="52" t="str">
        <f>IF(AND('Mapa final'!$AB$60="Muy Baja",'Mapa final'!$AD$60="Moderado"),CONCATENATE("R9C",'Mapa final'!$R$60),"")</f>
        <v/>
      </c>
      <c r="Z54" s="52" t="str">
        <f>IF(AND('Mapa final'!$AB$61="Muy Baja",'Mapa final'!$AD$61="Moderado"),CONCATENATE("R9C",'Mapa final'!$R$61),"")</f>
        <v/>
      </c>
      <c r="AA54" s="53" t="str">
        <f>IF(AND('Mapa final'!$AB$62="Muy Baja",'Mapa final'!$AD$62="Moderado"),CONCATENATE("R9C",'Mapa final'!$R$62),"")</f>
        <v/>
      </c>
      <c r="AB54" s="36" t="str">
        <f>IF(AND('Mapa final'!$AB$57="Muy Baja",'Mapa final'!$AD$57="Mayor"),CONCATENATE("R9C",'Mapa final'!$R$57),"")</f>
        <v/>
      </c>
      <c r="AC54" s="37" t="str">
        <f>IF(AND('Mapa final'!$AB$58="Muy Baja",'Mapa final'!$AD$58="Mayor"),CONCATENATE("R9C",'Mapa final'!$R$58),"")</f>
        <v/>
      </c>
      <c r="AD54" s="37" t="str">
        <f>IF(AND('Mapa final'!$AB$59="Muy Baja",'Mapa final'!$AD$59="Mayor"),CONCATENATE("R9C",'Mapa final'!$R$59),"")</f>
        <v/>
      </c>
      <c r="AE54" s="37" t="str">
        <f>IF(AND('Mapa final'!$AB$60="Muy Baja",'Mapa final'!$AD$60="Mayor"),CONCATENATE("R9C",'Mapa final'!$R$60),"")</f>
        <v/>
      </c>
      <c r="AF54" s="37" t="str">
        <f>IF(AND('Mapa final'!$AB$61="Muy Baja",'Mapa final'!$AD$61="Mayor"),CONCATENATE("R9C",'Mapa final'!$R$61),"")</f>
        <v/>
      </c>
      <c r="AG54" s="38" t="str">
        <f>IF(AND('Mapa final'!$AB$62="Muy Baja",'Mapa final'!$AD$62="Mayor"),CONCATENATE("R9C",'Mapa final'!$R$62),"")</f>
        <v/>
      </c>
      <c r="AH54" s="39" t="str">
        <f>IF(AND('Mapa final'!$AB$57="Muy Baja",'Mapa final'!$AD$57="Catastrófico"),CONCATENATE("R9C",'Mapa final'!$R$57),"")</f>
        <v/>
      </c>
      <c r="AI54" s="40" t="str">
        <f>IF(AND('Mapa final'!$AB$58="Muy Baja",'Mapa final'!$AD$58="Catastrófico"),CONCATENATE("R9C",'Mapa final'!$R$58),"")</f>
        <v/>
      </c>
      <c r="AJ54" s="40" t="str">
        <f>IF(AND('Mapa final'!$AB$59="Muy Baja",'Mapa final'!$AD$59="Catastrófico"),CONCATENATE("R9C",'Mapa final'!$R$59),"")</f>
        <v/>
      </c>
      <c r="AK54" s="40" t="str">
        <f>IF(AND('Mapa final'!$AB$60="Muy Baja",'Mapa final'!$AD$60="Catastrófico"),CONCATENATE("R9C",'Mapa final'!$R$60),"")</f>
        <v/>
      </c>
      <c r="AL54" s="40" t="str">
        <f>IF(AND('Mapa final'!$AB$61="Muy Baja",'Mapa final'!$AD$61="Catastrófico"),CONCATENATE("R9C",'Mapa final'!$R$61),"")</f>
        <v/>
      </c>
      <c r="AM54" s="41" t="str">
        <f>IF(AND('Mapa final'!$AB$62="Muy Baja",'Mapa final'!$AD$62="Catastrófico"),CONCATENATE("R9C",'Mapa final'!$R$62),"")</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498"/>
      <c r="C55" s="498"/>
      <c r="D55" s="499"/>
      <c r="E55" s="598"/>
      <c r="F55" s="599"/>
      <c r="G55" s="599"/>
      <c r="H55" s="599"/>
      <c r="I55" s="613"/>
      <c r="J55" s="63" t="str">
        <f>IF(AND('Mapa final'!$AB$63="Muy Baja",'Mapa final'!$AD$63="Leve"),CONCATENATE("R10C",'Mapa final'!$R$63),"")</f>
        <v/>
      </c>
      <c r="K55" s="64" t="str">
        <f>IF(AND('Mapa final'!$AB$64="Muy Baja",'Mapa final'!$AD$64="Leve"),CONCATENATE("R10C",'Mapa final'!$R$64),"")</f>
        <v/>
      </c>
      <c r="L55" s="64" t="str">
        <f>IF(AND('Mapa final'!$AB$65="Muy Baja",'Mapa final'!$AD$65="Leve"),CONCATENATE("R10C",'Mapa final'!$R$65),"")</f>
        <v/>
      </c>
      <c r="M55" s="64" t="str">
        <f>IF(AND('Mapa final'!$AB$66="Muy Baja",'Mapa final'!$AD$66="Leve"),CONCATENATE("R10C",'Mapa final'!$R$66),"")</f>
        <v/>
      </c>
      <c r="N55" s="64" t="str">
        <f>IF(AND('Mapa final'!$AB$67="Muy Baja",'Mapa final'!$AD$67="Leve"),CONCATENATE("R10C",'Mapa final'!$R$67),"")</f>
        <v/>
      </c>
      <c r="O55" s="65" t="str">
        <f>IF(AND('Mapa final'!$AB$68="Muy Baja",'Mapa final'!$AD$68="Leve"),CONCATENATE("R10C",'Mapa final'!$R$68),"")</f>
        <v/>
      </c>
      <c r="P55" s="63" t="str">
        <f>IF(AND('Mapa final'!$AB$63="Muy Baja",'Mapa final'!$AD$63="Menor"),CONCATENATE("R10C",'Mapa final'!$R$63),"")</f>
        <v/>
      </c>
      <c r="Q55" s="64" t="str">
        <f>IF(AND('Mapa final'!$AB$64="Muy Baja",'Mapa final'!$AD$64="Menor"),CONCATENATE("R10C",'Mapa final'!$R$64),"")</f>
        <v/>
      </c>
      <c r="R55" s="64" t="str">
        <f>IF(AND('Mapa final'!$AB$65="Muy Baja",'Mapa final'!$AD$65="Menor"),CONCATENATE("R10C",'Mapa final'!$R$65),"")</f>
        <v/>
      </c>
      <c r="S55" s="64" t="str">
        <f>IF(AND('Mapa final'!$AB$66="Muy Baja",'Mapa final'!$AD$66="Menor"),CONCATENATE("R10C",'Mapa final'!$R$66),"")</f>
        <v/>
      </c>
      <c r="T55" s="64" t="str">
        <f>IF(AND('Mapa final'!$AB$67="Muy Baja",'Mapa final'!$AD$67="Menor"),CONCATENATE("R10C",'Mapa final'!$R$67),"")</f>
        <v/>
      </c>
      <c r="U55" s="65" t="str">
        <f>IF(AND('Mapa final'!$AB$68="Muy Baja",'Mapa final'!$AD$68="Menor"),CONCATENATE("R10C",'Mapa final'!$R$68),"")</f>
        <v/>
      </c>
      <c r="V55" s="54" t="str">
        <f>IF(AND('Mapa final'!$AB$63="Muy Baja",'Mapa final'!$AD$63="Moderado"),CONCATENATE("R10C",'Mapa final'!$R$63),"")</f>
        <v/>
      </c>
      <c r="W55" s="55" t="str">
        <f>IF(AND('Mapa final'!$AB$64="Muy Baja",'Mapa final'!$AD$64="Moderado"),CONCATENATE("R10C",'Mapa final'!$R$64),"")</f>
        <v/>
      </c>
      <c r="X55" s="55" t="str">
        <f>IF(AND('Mapa final'!$AB$65="Muy Baja",'Mapa final'!$AD$65="Moderado"),CONCATENATE("R10C",'Mapa final'!$R$65),"")</f>
        <v/>
      </c>
      <c r="Y55" s="55" t="str">
        <f>IF(AND('Mapa final'!$AB$66="Muy Baja",'Mapa final'!$AD$66="Moderado"),CONCATENATE("R10C",'Mapa final'!$R$66),"")</f>
        <v/>
      </c>
      <c r="Z55" s="55" t="str">
        <f>IF(AND('Mapa final'!$AB$67="Muy Baja",'Mapa final'!$AD$67="Moderado"),CONCATENATE("R10C",'Mapa final'!$R$67),"")</f>
        <v/>
      </c>
      <c r="AA55" s="56" t="str">
        <f>IF(AND('Mapa final'!$AB$68="Muy Baja",'Mapa final'!$AD$68="Moderado"),CONCATENATE("R10C",'Mapa final'!$R$68),"")</f>
        <v/>
      </c>
      <c r="AB55" s="42" t="str">
        <f>IF(AND('Mapa final'!$AB$63="Muy Baja",'Mapa final'!$AD$63="Mayor"),CONCATENATE("R10C",'Mapa final'!$R$63),"")</f>
        <v/>
      </c>
      <c r="AC55" s="43" t="str">
        <f>IF(AND('Mapa final'!$AB$64="Muy Baja",'Mapa final'!$AD$64="Mayor"),CONCATENATE("R10C",'Mapa final'!$R$64),"")</f>
        <v/>
      </c>
      <c r="AD55" s="43" t="str">
        <f>IF(AND('Mapa final'!$AB$65="Muy Baja",'Mapa final'!$AD$65="Mayor"),CONCATENATE("R10C",'Mapa final'!$R$65),"")</f>
        <v/>
      </c>
      <c r="AE55" s="43" t="str">
        <f>IF(AND('Mapa final'!$AB$66="Muy Baja",'Mapa final'!$AD$66="Mayor"),CONCATENATE("R10C",'Mapa final'!$R$66),"")</f>
        <v/>
      </c>
      <c r="AF55" s="43" t="str">
        <f>IF(AND('Mapa final'!$AB$67="Muy Baja",'Mapa final'!$AD$67="Mayor"),CONCATENATE("R10C",'Mapa final'!$R$67),"")</f>
        <v/>
      </c>
      <c r="AG55" s="44" t="str">
        <f>IF(AND('Mapa final'!$AB$68="Muy Baja",'Mapa final'!$AD$68="Mayor"),CONCATENATE("R10C",'Mapa final'!$R$68),"")</f>
        <v/>
      </c>
      <c r="AH55" s="45" t="str">
        <f>IF(AND('Mapa final'!$AB$63="Muy Baja",'Mapa final'!$AD$63="Catastrófico"),CONCATENATE("R10C",'Mapa final'!$R$63),"")</f>
        <v/>
      </c>
      <c r="AI55" s="46" t="str">
        <f>IF(AND('Mapa final'!$AB$64="Muy Baja",'Mapa final'!$AD$64="Catastrófico"),CONCATENATE("R10C",'Mapa final'!$R$64),"")</f>
        <v/>
      </c>
      <c r="AJ55" s="46" t="str">
        <f>IF(AND('Mapa final'!$AB$65="Muy Baja",'Mapa final'!$AD$65="Catastrófico"),CONCATENATE("R10C",'Mapa final'!$R$65),"")</f>
        <v/>
      </c>
      <c r="AK55" s="46" t="str">
        <f>IF(AND('Mapa final'!$AB$66="Muy Baja",'Mapa final'!$AD$66="Catastrófico"),CONCATENATE("R10C",'Mapa final'!$R$66),"")</f>
        <v/>
      </c>
      <c r="AL55" s="46" t="str">
        <f>IF(AND('Mapa final'!$AB$67="Muy Baja",'Mapa final'!$AD$67="Catastrófico"),CONCATENATE("R10C",'Mapa final'!$R$67),"")</f>
        <v/>
      </c>
      <c r="AM55" s="47" t="str">
        <f>IF(AND('Mapa final'!$AB$68="Muy Baja",'Mapa final'!$AD$68="Catastrófico"),CONCATENATE("R10C",'Mapa final'!$R$68),"")</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593" t="s">
        <v>107</v>
      </c>
      <c r="K56" s="594"/>
      <c r="L56" s="594"/>
      <c r="M56" s="594"/>
      <c r="N56" s="594"/>
      <c r="O56" s="611"/>
      <c r="P56" s="593" t="s">
        <v>106</v>
      </c>
      <c r="Q56" s="594"/>
      <c r="R56" s="594"/>
      <c r="S56" s="594"/>
      <c r="T56" s="594"/>
      <c r="U56" s="611"/>
      <c r="V56" s="593" t="s">
        <v>105</v>
      </c>
      <c r="W56" s="594"/>
      <c r="X56" s="594"/>
      <c r="Y56" s="594"/>
      <c r="Z56" s="594"/>
      <c r="AA56" s="611"/>
      <c r="AB56" s="593" t="s">
        <v>104</v>
      </c>
      <c r="AC56" s="632"/>
      <c r="AD56" s="594"/>
      <c r="AE56" s="594"/>
      <c r="AF56" s="594"/>
      <c r="AG56" s="611"/>
      <c r="AH56" s="593" t="s">
        <v>103</v>
      </c>
      <c r="AI56" s="594"/>
      <c r="AJ56" s="594"/>
      <c r="AK56" s="594"/>
      <c r="AL56" s="594"/>
      <c r="AM56" s="611"/>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597"/>
      <c r="K57" s="596"/>
      <c r="L57" s="596"/>
      <c r="M57" s="596"/>
      <c r="N57" s="596"/>
      <c r="O57" s="612"/>
      <c r="P57" s="597"/>
      <c r="Q57" s="596"/>
      <c r="R57" s="596"/>
      <c r="S57" s="596"/>
      <c r="T57" s="596"/>
      <c r="U57" s="612"/>
      <c r="V57" s="597"/>
      <c r="W57" s="596"/>
      <c r="X57" s="596"/>
      <c r="Y57" s="596"/>
      <c r="Z57" s="596"/>
      <c r="AA57" s="612"/>
      <c r="AB57" s="597"/>
      <c r="AC57" s="596"/>
      <c r="AD57" s="596"/>
      <c r="AE57" s="596"/>
      <c r="AF57" s="596"/>
      <c r="AG57" s="612"/>
      <c r="AH57" s="597"/>
      <c r="AI57" s="596"/>
      <c r="AJ57" s="596"/>
      <c r="AK57" s="596"/>
      <c r="AL57" s="596"/>
      <c r="AM57" s="612"/>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597"/>
      <c r="K58" s="596"/>
      <c r="L58" s="596"/>
      <c r="M58" s="596"/>
      <c r="N58" s="596"/>
      <c r="O58" s="612"/>
      <c r="P58" s="597"/>
      <c r="Q58" s="596"/>
      <c r="R58" s="596"/>
      <c r="S58" s="596"/>
      <c r="T58" s="596"/>
      <c r="U58" s="612"/>
      <c r="V58" s="597"/>
      <c r="W58" s="596"/>
      <c r="X58" s="596"/>
      <c r="Y58" s="596"/>
      <c r="Z58" s="596"/>
      <c r="AA58" s="612"/>
      <c r="AB58" s="597"/>
      <c r="AC58" s="596"/>
      <c r="AD58" s="596"/>
      <c r="AE58" s="596"/>
      <c r="AF58" s="596"/>
      <c r="AG58" s="612"/>
      <c r="AH58" s="597"/>
      <c r="AI58" s="596"/>
      <c r="AJ58" s="596"/>
      <c r="AK58" s="596"/>
      <c r="AL58" s="596"/>
      <c r="AM58" s="612"/>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597"/>
      <c r="K59" s="596"/>
      <c r="L59" s="596"/>
      <c r="M59" s="596"/>
      <c r="N59" s="596"/>
      <c r="O59" s="612"/>
      <c r="P59" s="597"/>
      <c r="Q59" s="596"/>
      <c r="R59" s="596"/>
      <c r="S59" s="596"/>
      <c r="T59" s="596"/>
      <c r="U59" s="612"/>
      <c r="V59" s="597"/>
      <c r="W59" s="596"/>
      <c r="X59" s="596"/>
      <c r="Y59" s="596"/>
      <c r="Z59" s="596"/>
      <c r="AA59" s="612"/>
      <c r="AB59" s="597"/>
      <c r="AC59" s="596"/>
      <c r="AD59" s="596"/>
      <c r="AE59" s="596"/>
      <c r="AF59" s="596"/>
      <c r="AG59" s="612"/>
      <c r="AH59" s="597"/>
      <c r="AI59" s="596"/>
      <c r="AJ59" s="596"/>
      <c r="AK59" s="596"/>
      <c r="AL59" s="596"/>
      <c r="AM59" s="612"/>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597"/>
      <c r="K60" s="596"/>
      <c r="L60" s="596"/>
      <c r="M60" s="596"/>
      <c r="N60" s="596"/>
      <c r="O60" s="612"/>
      <c r="P60" s="597"/>
      <c r="Q60" s="596"/>
      <c r="R60" s="596"/>
      <c r="S60" s="596"/>
      <c r="T60" s="596"/>
      <c r="U60" s="612"/>
      <c r="V60" s="597"/>
      <c r="W60" s="596"/>
      <c r="X60" s="596"/>
      <c r="Y60" s="596"/>
      <c r="Z60" s="596"/>
      <c r="AA60" s="612"/>
      <c r="AB60" s="597"/>
      <c r="AC60" s="596"/>
      <c r="AD60" s="596"/>
      <c r="AE60" s="596"/>
      <c r="AF60" s="596"/>
      <c r="AG60" s="612"/>
      <c r="AH60" s="597"/>
      <c r="AI60" s="596"/>
      <c r="AJ60" s="596"/>
      <c r="AK60" s="596"/>
      <c r="AL60" s="596"/>
      <c r="AM60" s="612"/>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598"/>
      <c r="K61" s="599"/>
      <c r="L61" s="599"/>
      <c r="M61" s="599"/>
      <c r="N61" s="599"/>
      <c r="O61" s="613"/>
      <c r="P61" s="598"/>
      <c r="Q61" s="599"/>
      <c r="R61" s="599"/>
      <c r="S61" s="599"/>
      <c r="T61" s="599"/>
      <c r="U61" s="613"/>
      <c r="V61" s="598"/>
      <c r="W61" s="599"/>
      <c r="X61" s="599"/>
      <c r="Y61" s="599"/>
      <c r="Z61" s="599"/>
      <c r="AA61" s="613"/>
      <c r="AB61" s="598"/>
      <c r="AC61" s="599"/>
      <c r="AD61" s="599"/>
      <c r="AE61" s="599"/>
      <c r="AF61" s="599"/>
      <c r="AG61" s="613"/>
      <c r="AH61" s="598"/>
      <c r="AI61" s="599"/>
      <c r="AJ61" s="599"/>
      <c r="AK61" s="599"/>
      <c r="AL61" s="599"/>
      <c r="AM61" s="613"/>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633" t="s">
        <v>55</v>
      </c>
      <c r="C1" s="633"/>
      <c r="D1" s="633"/>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Intructivo</vt:lpstr>
      <vt:lpstr>Contexto</vt:lpstr>
      <vt:lpstr>Priorizacion de Causas</vt:lpstr>
      <vt:lpstr>PRIORIZ CAUSA R CORUP TRÁMITES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2024-10-25T14:15:27Z</dcterms:modified>
</cp:coreProperties>
</file>