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INFORME DE ACTIVIDADES\REVISION DEPENDENCIAS\MATRIZ\1. MONITOREO\10-8-24 REV SIGAMI RIESGOS GEST-CORRUPCION\5. BIM (SEP-OCT_24)\8. GEST SS Y ATENC AL CIUDADANO\"/>
    </mc:Choice>
  </mc:AlternateContent>
  <xr:revisionPtr revIDLastSave="0" documentId="13_ncr:1_{7A68ADA0-C551-4091-9977-2D4574ACBA00}" xr6:coauthVersionLast="47" xr6:coauthVersionMax="47" xr10:uidLastSave="{00000000-0000-0000-0000-000000000000}"/>
  <bookViews>
    <workbookView xWindow="-108" yWindow="-108" windowWidth="23256" windowHeight="12456" activeTab="6" xr2:uid="{00000000-000D-0000-FFFF-FFFF00000000}"/>
  </bookViews>
  <sheets>
    <sheet name="Intructivo" sheetId="20" r:id="rId1"/>
    <sheet name="Contexto" sheetId="21" r:id="rId2"/>
    <sheet name="Priorización de causa" sheetId="22" r:id="rId3"/>
    <sheet name="DOFA" sheetId="23"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s>
  <definedNames>
    <definedName name="_xlnm.Print_Area" localSheetId="4">'Mapa final'!$A$7:$AL$20</definedName>
  </definedNames>
  <calcPr calcId="191029"/>
  <pivotCaches>
    <pivotCache cacheId="19"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23" l="1"/>
  <c r="B30" i="22"/>
  <c r="B29" i="22"/>
  <c r="B28" i="22"/>
  <c r="B27" i="22"/>
  <c r="B26" i="22"/>
  <c r="B20" i="22"/>
  <c r="B21" i="22"/>
  <c r="B22" i="22"/>
  <c r="B23" i="22"/>
  <c r="B24" i="22"/>
  <c r="B25" i="22"/>
  <c r="B18" i="22"/>
  <c r="B19" i="22"/>
  <c r="B17" i="22"/>
  <c r="B16" i="22"/>
  <c r="B11" i="22"/>
  <c r="B12" i="22"/>
  <c r="B13" i="22"/>
  <c r="B14" i="22"/>
  <c r="B15" i="22"/>
  <c r="B10" i="22"/>
  <c r="S10" i="22"/>
  <c r="R10" i="22"/>
  <c r="A6" i="22"/>
  <c r="A5" i="22"/>
  <c r="S30" i="22"/>
  <c r="R30" i="22"/>
  <c r="S29" i="22"/>
  <c r="R29" i="22"/>
  <c r="S28" i="22"/>
  <c r="R28" i="22"/>
  <c r="S27" i="22"/>
  <c r="R27" i="22"/>
  <c r="S26" i="22"/>
  <c r="R26" i="22"/>
  <c r="S25" i="22"/>
  <c r="R25" i="22"/>
  <c r="S24" i="22"/>
  <c r="R24" i="22"/>
  <c r="S23" i="22"/>
  <c r="R23" i="22"/>
  <c r="S22" i="22"/>
  <c r="R22" i="22"/>
  <c r="S21" i="22"/>
  <c r="R21" i="22"/>
  <c r="S20" i="22"/>
  <c r="R20" i="22"/>
  <c r="S19" i="22"/>
  <c r="R19" i="22"/>
  <c r="S18" i="22"/>
  <c r="R18" i="22"/>
  <c r="S17" i="22"/>
  <c r="R17" i="22"/>
  <c r="S16" i="22"/>
  <c r="R16" i="22"/>
  <c r="S15" i="22"/>
  <c r="R15" i="22"/>
  <c r="S14" i="22"/>
  <c r="R14" i="22"/>
  <c r="S13" i="22"/>
  <c r="R13" i="22"/>
  <c r="S12" i="22"/>
  <c r="R12" i="22"/>
  <c r="S11" i="22"/>
  <c r="R11" i="22"/>
  <c r="S40" i="22" l="1"/>
  <c r="S41" i="22" s="1"/>
  <c r="T14" i="1" l="1"/>
  <c r="W11" i="1" l="1"/>
  <c r="W13" i="1"/>
  <c r="W14" i="1"/>
  <c r="W15" i="1"/>
  <c r="W16" i="1"/>
  <c r="W18" i="1"/>
  <c r="W19" i="1"/>
  <c r="W20" i="1"/>
  <c r="K21" i="1" l="1"/>
  <c r="L21" i="1" s="1"/>
  <c r="K27" i="1"/>
  <c r="K33" i="1"/>
  <c r="L33" i="1" s="1"/>
  <c r="K39" i="1"/>
  <c r="L39" i="1" s="1"/>
  <c r="K45" i="1"/>
  <c r="L45" i="1" s="1"/>
  <c r="K51" i="1"/>
  <c r="L51" i="1" s="1"/>
  <c r="K57" i="1"/>
  <c r="L57" i="1" s="1"/>
  <c r="K63" i="1"/>
  <c r="L63" i="1" s="1"/>
  <c r="W32" i="1"/>
  <c r="T32" i="1"/>
  <c r="W31" i="1"/>
  <c r="T31" i="1"/>
  <c r="W30" i="1"/>
  <c r="T30" i="1"/>
  <c r="W29" i="1"/>
  <c r="T29" i="1"/>
  <c r="W28" i="1"/>
  <c r="T28" i="1"/>
  <c r="W27" i="1"/>
  <c r="T27" i="1"/>
  <c r="W26" i="1"/>
  <c r="T26" i="1"/>
  <c r="W25" i="1"/>
  <c r="T25" i="1"/>
  <c r="W24" i="1"/>
  <c r="T24" i="1"/>
  <c r="W23" i="1"/>
  <c r="T23" i="1"/>
  <c r="W22" i="1"/>
  <c r="T22" i="1"/>
  <c r="AE22" i="1" s="1"/>
  <c r="AD22" i="1" s="1"/>
  <c r="N55" i="1"/>
  <c r="N46" i="1"/>
  <c r="N64" i="1"/>
  <c r="N32" i="1"/>
  <c r="N41" i="1"/>
  <c r="N50" i="1"/>
  <c r="N23" i="1"/>
  <c r="N25" i="1"/>
  <c r="N43" i="1"/>
  <c r="N62" i="1"/>
  <c r="N30" i="1"/>
  <c r="N66" i="1"/>
  <c r="N37" i="1"/>
  <c r="N53" i="1"/>
  <c r="N44" i="1"/>
  <c r="N56" i="1"/>
  <c r="N65" i="1"/>
  <c r="N67" i="1"/>
  <c r="N54" i="1"/>
  <c r="N26" i="1"/>
  <c r="N29" i="1"/>
  <c r="N52" i="1"/>
  <c r="N31" i="1"/>
  <c r="N49" i="1"/>
  <c r="N58" i="1"/>
  <c r="N36" i="1"/>
  <c r="N40" i="1"/>
  <c r="N42" i="1"/>
  <c r="N60" i="1"/>
  <c r="N35" i="1"/>
  <c r="N28" i="1"/>
  <c r="N48" i="1"/>
  <c r="N59" i="1"/>
  <c r="N68" i="1"/>
  <c r="N34" i="1"/>
  <c r="N38" i="1"/>
  <c r="N47" i="1"/>
  <c r="N22" i="1"/>
  <c r="N24" i="1"/>
  <c r="N61" i="1"/>
  <c r="AE24" i="1" l="1"/>
  <c r="AD24" i="1" s="1"/>
  <c r="AA26" i="1"/>
  <c r="AC26" i="1" s="1"/>
  <c r="AE28" i="1"/>
  <c r="AD28" i="1" s="1"/>
  <c r="AE30" i="1"/>
  <c r="AD30" i="1" s="1"/>
  <c r="AE32" i="1"/>
  <c r="AD32" i="1" s="1"/>
  <c r="AE23" i="1"/>
  <c r="AD23" i="1" s="1"/>
  <c r="AE25" i="1"/>
  <c r="AD25" i="1" s="1"/>
  <c r="AA29" i="1"/>
  <c r="AB29" i="1" s="1"/>
  <c r="AE31" i="1"/>
  <c r="AD31" i="1" s="1"/>
  <c r="L27" i="1"/>
  <c r="AA27" i="1"/>
  <c r="AA31" i="1"/>
  <c r="AE27" i="1"/>
  <c r="AD27" i="1" s="1"/>
  <c r="AE29" i="1"/>
  <c r="AD29" i="1" s="1"/>
  <c r="AA28" i="1"/>
  <c r="AA30" i="1"/>
  <c r="AA32" i="1"/>
  <c r="AA23" i="1"/>
  <c r="AA25" i="1"/>
  <c r="AA24" i="1"/>
  <c r="AA22" i="1"/>
  <c r="AE26" i="1"/>
  <c r="AD26" i="1" s="1"/>
  <c r="AB26" i="1" l="1"/>
  <c r="AF26" i="1" s="1"/>
  <c r="AC29" i="1"/>
  <c r="AC31" i="1"/>
  <c r="AB31" i="1"/>
  <c r="AF31" i="1" s="1"/>
  <c r="AC30" i="1"/>
  <c r="AB30" i="1"/>
  <c r="AF30" i="1" s="1"/>
  <c r="AC27" i="1"/>
  <c r="AB27" i="1"/>
  <c r="AF27" i="1" s="1"/>
  <c r="AB32" i="1"/>
  <c r="AF32" i="1" s="1"/>
  <c r="AC32" i="1"/>
  <c r="AC28" i="1"/>
  <c r="AB28" i="1"/>
  <c r="AF28" i="1" s="1"/>
  <c r="AF29" i="1"/>
  <c r="AC22" i="1"/>
  <c r="AB22" i="1"/>
  <c r="AF22" i="1" s="1"/>
  <c r="AC24" i="1"/>
  <c r="AB24" i="1"/>
  <c r="AF24" i="1" s="1"/>
  <c r="AC25" i="1"/>
  <c r="AB25" i="1"/>
  <c r="AF25" i="1" s="1"/>
  <c r="AC23" i="1"/>
  <c r="AB23" i="1"/>
  <c r="AF23" i="1" s="1"/>
  <c r="T11" i="1" l="1"/>
  <c r="F217" i="13"/>
  <c r="T13" i="1"/>
  <c r="W10" i="1" l="1"/>
  <c r="T10" i="1"/>
  <c r="K10" i="1" l="1"/>
  <c r="L10" i="1" s="1"/>
  <c r="N16" i="1"/>
  <c r="N17" i="1"/>
  <c r="N20" i="1"/>
  <c r="N19" i="1"/>
  <c r="N18" i="1"/>
  <c r="F221" i="13" l="1"/>
  <c r="F211" i="13"/>
  <c r="F212" i="13"/>
  <c r="F213" i="13"/>
  <c r="F214" i="13"/>
  <c r="F215" i="13"/>
  <c r="F216" i="13"/>
  <c r="F218" i="13"/>
  <c r="F219" i="13"/>
  <c r="F220" i="13"/>
  <c r="F210" i="13"/>
  <c r="N13" i="1"/>
  <c r="N12" i="1"/>
  <c r="N14" i="1"/>
  <c r="B221" i="13" a="1"/>
  <c r="B221" i="13" l="1"/>
  <c r="T5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W68" i="1" l="1"/>
  <c r="T68" i="1"/>
  <c r="W67" i="1"/>
  <c r="T67" i="1"/>
  <c r="W66" i="1"/>
  <c r="T66" i="1"/>
  <c r="W65" i="1"/>
  <c r="T65" i="1"/>
  <c r="W64" i="1"/>
  <c r="T64" i="1"/>
  <c r="W63" i="1"/>
  <c r="T63" i="1"/>
  <c r="W62" i="1"/>
  <c r="T62" i="1"/>
  <c r="W61" i="1"/>
  <c r="T61" i="1"/>
  <c r="W60" i="1"/>
  <c r="T60" i="1"/>
  <c r="W59" i="1"/>
  <c r="T59" i="1"/>
  <c r="W58" i="1"/>
  <c r="T58" i="1"/>
  <c r="W57" i="1"/>
  <c r="T57" i="1"/>
  <c r="W56" i="1"/>
  <c r="T56" i="1"/>
  <c r="W55" i="1"/>
  <c r="T55" i="1"/>
  <c r="W54" i="1"/>
  <c r="T54" i="1"/>
  <c r="W53" i="1"/>
  <c r="T53" i="1"/>
  <c r="W52" i="1"/>
  <c r="T52" i="1"/>
  <c r="AE52" i="1" s="1"/>
  <c r="W51" i="1"/>
  <c r="K15" i="1"/>
  <c r="T20" i="1"/>
  <c r="T16" i="1"/>
  <c r="T15" i="1"/>
  <c r="AE64" i="1" l="1"/>
  <c r="AE58" i="1"/>
  <c r="L15" i="1"/>
  <c r="AA15" i="1" s="1"/>
  <c r="AA63" i="1"/>
  <c r="AA57" i="1"/>
  <c r="AA51" i="1"/>
  <c r="AC15" i="1" l="1"/>
  <c r="AA16" i="1" s="1"/>
  <c r="AC16" i="1" s="1"/>
  <c r="AA17" i="1" s="1"/>
  <c r="AB15" i="1"/>
  <c r="AB63" i="1"/>
  <c r="AC63" i="1"/>
  <c r="AA64" i="1" s="1"/>
  <c r="AB64" i="1" s="1"/>
  <c r="AB57" i="1"/>
  <c r="AC57" i="1"/>
  <c r="AA58" i="1" s="1"/>
  <c r="AC58" i="1" s="1"/>
  <c r="AA59" i="1" s="1"/>
  <c r="AB51" i="1"/>
  <c r="AC51" i="1"/>
  <c r="AA52" i="1" s="1"/>
  <c r="AC52" i="1" s="1"/>
  <c r="AA53" i="1" s="1"/>
  <c r="AB17" i="1" l="1"/>
  <c r="AC17" i="1"/>
  <c r="AA18" i="1" s="1"/>
  <c r="AB16" i="1"/>
  <c r="AB58" i="1"/>
  <c r="AB52" i="1"/>
  <c r="AC59" i="1"/>
  <c r="AA60" i="1" s="1"/>
  <c r="AB59" i="1"/>
  <c r="AC53" i="1"/>
  <c r="AA54" i="1" s="1"/>
  <c r="AB53" i="1"/>
  <c r="AC64" i="1"/>
  <c r="AA65"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B18" i="1" l="1"/>
  <c r="AC18" i="1"/>
  <c r="AA19" i="1" s="1"/>
  <c r="AB60" i="1"/>
  <c r="AC60" i="1"/>
  <c r="AB54" i="1"/>
  <c r="AC54" i="1"/>
  <c r="AA55" i="1" s="1"/>
  <c r="AB65" i="1"/>
  <c r="AC65" i="1"/>
  <c r="AA66" i="1" s="1"/>
  <c r="AB19" i="1" l="1"/>
  <c r="AC19" i="1"/>
  <c r="AA20" i="1" s="1"/>
  <c r="AB55" i="1"/>
  <c r="AC55" i="1"/>
  <c r="AA56" i="1" s="1"/>
  <c r="AA61" i="1"/>
  <c r="AA62" i="1"/>
  <c r="AC66" i="1"/>
  <c r="AB66" i="1"/>
  <c r="AB20" i="1" l="1"/>
  <c r="AC20" i="1"/>
  <c r="AB62" i="1"/>
  <c r="AC62" i="1"/>
  <c r="AB61" i="1"/>
  <c r="AC61" i="1"/>
  <c r="AB56" i="1"/>
  <c r="AC56" i="1"/>
  <c r="AA67" i="1"/>
  <c r="AA68" i="1"/>
  <c r="AA10" i="1"/>
  <c r="AB10" i="1" s="1"/>
  <c r="AB68" i="1" l="1"/>
  <c r="AC68" i="1"/>
  <c r="AB67" i="1"/>
  <c r="AC67" i="1"/>
  <c r="AC10" i="1" l="1"/>
  <c r="AA11" i="1" s="1"/>
  <c r="AB11" i="1" l="1"/>
  <c r="AC11" i="1"/>
  <c r="AA13" i="1" s="1"/>
  <c r="AE63" i="1"/>
  <c r="AB13" i="1" l="1"/>
  <c r="AC13" i="1"/>
  <c r="AA14" i="1" s="1"/>
  <c r="AD63" i="1"/>
  <c r="AE65" i="1"/>
  <c r="AE57" i="1"/>
  <c r="AE51" i="1"/>
  <c r="AD51" i="1" s="1"/>
  <c r="AC14" i="1" l="1"/>
  <c r="AB14"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AF63" i="1"/>
  <c r="P25" i="19"/>
  <c r="V55" i="19"/>
  <c r="J15" i="19"/>
  <c r="AB15" i="19"/>
  <c r="J35" i="19"/>
  <c r="AB35" i="19"/>
  <c r="J55" i="19"/>
  <c r="AB25" i="19"/>
  <c r="P35" i="19"/>
  <c r="P55" i="19"/>
  <c r="AB45" i="19"/>
  <c r="P15" i="19"/>
  <c r="AF51"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D57" i="1"/>
  <c r="AD6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65" i="1"/>
  <c r="AE66"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D52" i="1"/>
  <c r="AE53" i="1"/>
  <c r="AD58" i="1"/>
  <c r="AE59" i="1"/>
  <c r="AD66" i="1" l="1"/>
  <c r="AE67" i="1"/>
  <c r="K35" i="19"/>
  <c r="AC25" i="19"/>
  <c r="K45" i="19"/>
  <c r="AI45" i="19"/>
  <c r="W45" i="19"/>
  <c r="Q35" i="19"/>
  <c r="K55" i="19"/>
  <c r="AC15" i="19"/>
  <c r="Q15" i="19"/>
  <c r="AC35" i="19"/>
  <c r="AI35" i="19"/>
  <c r="Q55" i="19"/>
  <c r="AI25" i="19"/>
  <c r="AF64"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F58"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F65"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F57"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D53" i="1"/>
  <c r="AE54"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D59" i="1"/>
  <c r="AE60"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F52"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54" i="1"/>
  <c r="AE55" i="1"/>
  <c r="AD67" i="1"/>
  <c r="AE68" i="1"/>
  <c r="AD68" i="1" s="1"/>
  <c r="AJ43" i="19"/>
  <c r="AD33" i="19"/>
  <c r="X33" i="19"/>
  <c r="X13" i="19"/>
  <c r="AD43" i="19"/>
  <c r="L43" i="19"/>
  <c r="AF53" i="1"/>
  <c r="X23" i="19"/>
  <c r="R33" i="19"/>
  <c r="R43" i="19"/>
  <c r="AD53" i="19"/>
  <c r="AJ13" i="19"/>
  <c r="R23" i="19"/>
  <c r="R13" i="19"/>
  <c r="AJ53" i="19"/>
  <c r="L33" i="19"/>
  <c r="L23" i="19"/>
  <c r="X43" i="19"/>
  <c r="X53" i="19"/>
  <c r="AD13" i="19"/>
  <c r="L53" i="19"/>
  <c r="L13" i="19"/>
  <c r="AD23" i="19"/>
  <c r="AJ33" i="19"/>
  <c r="AJ23" i="19"/>
  <c r="R53" i="19"/>
  <c r="M55" i="19"/>
  <c r="AK15" i="19"/>
  <c r="AE25" i="19"/>
  <c r="AF66"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D60" i="1"/>
  <c r="AE61"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F59"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F60" i="1"/>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F68"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F67"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D55" i="1"/>
  <c r="AE56" i="1"/>
  <c r="AD56" i="1" s="1"/>
  <c r="AD61" i="1"/>
  <c r="AE62" i="1"/>
  <c r="AD62"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F54" i="1"/>
  <c r="M33" i="19"/>
  <c r="AG24" i="19" l="1"/>
  <c r="O44" i="19"/>
  <c r="O24" i="19"/>
  <c r="AM14" i="19"/>
  <c r="AG34" i="19"/>
  <c r="O34" i="19"/>
  <c r="AA44" i="19"/>
  <c r="O14" i="19"/>
  <c r="AA54" i="19"/>
  <c r="U14" i="19"/>
  <c r="AM44" i="19"/>
  <c r="AA34" i="19"/>
  <c r="AM24" i="19"/>
  <c r="AM54" i="19"/>
  <c r="AG14" i="19"/>
  <c r="AM34" i="19"/>
  <c r="U54" i="19"/>
  <c r="AG44" i="19"/>
  <c r="AA24" i="19"/>
  <c r="AG54" i="19"/>
  <c r="U34" i="19"/>
  <c r="U24" i="19"/>
  <c r="AF62" i="1"/>
  <c r="AA14" i="19"/>
  <c r="O54" i="19"/>
  <c r="U44" i="19"/>
  <c r="U43" i="19"/>
  <c r="U13" i="19"/>
  <c r="AM53" i="19"/>
  <c r="AA53" i="19"/>
  <c r="AA43" i="19"/>
  <c r="O53" i="19"/>
  <c r="O23" i="19"/>
  <c r="O13" i="19"/>
  <c r="AG43" i="19"/>
  <c r="U33" i="19"/>
  <c r="U23" i="19"/>
  <c r="AM13" i="19"/>
  <c r="AM23" i="19"/>
  <c r="AG13" i="19"/>
  <c r="AA23" i="19"/>
  <c r="AG33" i="19"/>
  <c r="AA33" i="19"/>
  <c r="AM33" i="19"/>
  <c r="AA13" i="19"/>
  <c r="AF56"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61" i="1"/>
  <c r="AF53" i="19"/>
  <c r="T43" i="19"/>
  <c r="Z53" i="19"/>
  <c r="N43" i="19"/>
  <c r="T23" i="19"/>
  <c r="AF43" i="19"/>
  <c r="Z13" i="19"/>
  <c r="Z43" i="19"/>
  <c r="AF23" i="19"/>
  <c r="AL13" i="19"/>
  <c r="Z23" i="19"/>
  <c r="AL43" i="19"/>
  <c r="AF13" i="19"/>
  <c r="AL23" i="19"/>
  <c r="N13" i="19"/>
  <c r="T33" i="19"/>
  <c r="AL53" i="19"/>
  <c r="N23" i="19"/>
  <c r="N53" i="19"/>
  <c r="AF33" i="19"/>
  <c r="N33" i="19"/>
  <c r="AF55" i="1"/>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21" i="1" l="1"/>
  <c r="O21" i="1" s="1"/>
  <c r="N27" i="1"/>
  <c r="O27" i="1" s="1"/>
  <c r="N15" i="1"/>
  <c r="O15" i="1" s="1"/>
  <c r="N33" i="1"/>
  <c r="O33" i="1" s="1"/>
  <c r="N39" i="1"/>
  <c r="O39" i="1" s="1"/>
  <c r="N10" i="1"/>
  <c r="O10" i="1" s="1"/>
  <c r="N45" i="1"/>
  <c r="O45" i="1" s="1"/>
  <c r="N51" i="1"/>
  <c r="O51" i="1" s="1"/>
  <c r="N57" i="1"/>
  <c r="O57" i="1" s="1"/>
  <c r="N63" i="1"/>
  <c r="O63" i="1" s="1"/>
  <c r="P57" i="1" l="1"/>
  <c r="Q57" i="1"/>
  <c r="Z42" i="18"/>
  <c r="AF18" i="18"/>
  <c r="T18" i="18"/>
  <c r="Z26" i="18"/>
  <c r="N18" i="18"/>
  <c r="AF10" i="18"/>
  <c r="T26" i="18"/>
  <c r="N34" i="18"/>
  <c r="Z10" i="18"/>
  <c r="AF42" i="18"/>
  <c r="N42" i="18"/>
  <c r="T10" i="18"/>
  <c r="Z18" i="18"/>
  <c r="T42" i="18"/>
  <c r="N10" i="18"/>
  <c r="Z34" i="18"/>
  <c r="AF26" i="18"/>
  <c r="AF34" i="18"/>
  <c r="N26" i="18"/>
  <c r="T34" i="18"/>
  <c r="AL18" i="18"/>
  <c r="AL10" i="18"/>
  <c r="AL42" i="18"/>
  <c r="AL26" i="18"/>
  <c r="AL34" i="18"/>
  <c r="Q51" i="1"/>
  <c r="P51" i="1"/>
  <c r="AJ26" i="18"/>
  <c r="R18" i="18"/>
  <c r="X34" i="18"/>
  <c r="AJ10" i="18"/>
  <c r="L10" i="18"/>
  <c r="L18" i="18"/>
  <c r="X42" i="18"/>
  <c r="AD34" i="18"/>
  <c r="X18" i="18"/>
  <c r="AJ34" i="18"/>
  <c r="X10" i="18"/>
  <c r="R26" i="18"/>
  <c r="AD18" i="18"/>
  <c r="AJ42" i="18"/>
  <c r="AD10" i="18"/>
  <c r="R10" i="18"/>
  <c r="R34" i="18"/>
  <c r="L34" i="18"/>
  <c r="AJ18" i="18"/>
  <c r="R42" i="18"/>
  <c r="L42" i="18"/>
  <c r="X26" i="18"/>
  <c r="L26" i="18"/>
  <c r="AD26" i="18"/>
  <c r="AD42" i="18"/>
  <c r="P33" i="1"/>
  <c r="Q33" i="1"/>
  <c r="L16" i="18"/>
  <c r="AJ40" i="18"/>
  <c r="AJ16" i="18"/>
  <c r="R16" i="18"/>
  <c r="R8" i="18"/>
  <c r="AD40" i="18"/>
  <c r="AJ24" i="18"/>
  <c r="X32" i="18"/>
  <c r="R32" i="18"/>
  <c r="AD24" i="18"/>
  <c r="AD8" i="18"/>
  <c r="L24" i="18"/>
  <c r="X40" i="18"/>
  <c r="X24" i="18"/>
  <c r="L32" i="18"/>
  <c r="X8" i="18"/>
  <c r="AJ8" i="18"/>
  <c r="R40" i="18"/>
  <c r="R24" i="18"/>
  <c r="L40" i="18"/>
  <c r="L8" i="18"/>
  <c r="X16" i="18"/>
  <c r="AD32" i="18"/>
  <c r="AJ32" i="18"/>
  <c r="AD16" i="18"/>
  <c r="P45" i="1"/>
  <c r="Q45" i="1"/>
  <c r="AB10" i="18"/>
  <c r="J42" i="18"/>
  <c r="J18" i="18"/>
  <c r="P34" i="18"/>
  <c r="P18" i="18"/>
  <c r="P42" i="18"/>
  <c r="AH34" i="18"/>
  <c r="J26" i="18"/>
  <c r="P10" i="18"/>
  <c r="AH10" i="18"/>
  <c r="V34" i="18"/>
  <c r="AB42" i="18"/>
  <c r="V26" i="18"/>
  <c r="AH18" i="18"/>
  <c r="V42" i="18"/>
  <c r="J34" i="18"/>
  <c r="P26" i="18"/>
  <c r="J10" i="18"/>
  <c r="AB18" i="18"/>
  <c r="V18" i="18"/>
  <c r="AB34" i="18"/>
  <c r="AH26" i="18"/>
  <c r="V10" i="18"/>
  <c r="AB26" i="18"/>
  <c r="AH42" i="18"/>
  <c r="L30" i="18"/>
  <c r="L22" i="18"/>
  <c r="R38" i="18"/>
  <c r="R6" i="18"/>
  <c r="AJ14" i="18"/>
  <c r="X14" i="18"/>
  <c r="R14" i="18"/>
  <c r="L38" i="18"/>
  <c r="AD14" i="18"/>
  <c r="AD30" i="18"/>
  <c r="X6" i="18"/>
  <c r="AJ38" i="18"/>
  <c r="AJ30" i="18"/>
  <c r="AJ22" i="18"/>
  <c r="R22" i="18"/>
  <c r="X30" i="18"/>
  <c r="AJ6" i="18"/>
  <c r="R30" i="18"/>
  <c r="AD38" i="18"/>
  <c r="L14" i="18"/>
  <c r="Q15" i="1"/>
  <c r="AD6" i="18"/>
  <c r="AD22" i="18"/>
  <c r="X38" i="18"/>
  <c r="P15" i="1"/>
  <c r="AE15" i="1" s="1"/>
  <c r="L6" i="18"/>
  <c r="X22" i="18"/>
  <c r="AH30" i="18"/>
  <c r="J30" i="18"/>
  <c r="J22" i="18"/>
  <c r="P38" i="18"/>
  <c r="V38" i="18"/>
  <c r="AB6" i="18"/>
  <c r="Q10" i="1"/>
  <c r="AH14" i="18"/>
  <c r="AH38" i="18"/>
  <c r="P14" i="18"/>
  <c r="J38" i="18"/>
  <c r="V22" i="18"/>
  <c r="AH6" i="18"/>
  <c r="V14" i="18"/>
  <c r="V6" i="18"/>
  <c r="J6" i="18"/>
  <c r="P30" i="18"/>
  <c r="J14" i="18"/>
  <c r="AB38" i="18"/>
  <c r="AB22" i="18"/>
  <c r="P22" i="18"/>
  <c r="V30" i="18"/>
  <c r="AB30" i="18"/>
  <c r="AB14" i="18"/>
  <c r="P10" i="1"/>
  <c r="AE10" i="1" s="1"/>
  <c r="P6" i="18"/>
  <c r="AH22" i="18"/>
  <c r="P27" i="1"/>
  <c r="Q27" i="1"/>
  <c r="P16" i="18"/>
  <c r="AH16" i="18"/>
  <c r="P40" i="18"/>
  <c r="V16" i="18"/>
  <c r="V32" i="18"/>
  <c r="AH40" i="18"/>
  <c r="J40" i="18"/>
  <c r="AB32" i="18"/>
  <c r="P24" i="18"/>
  <c r="V8" i="18"/>
  <c r="AB16" i="18"/>
  <c r="AH24" i="18"/>
  <c r="V40" i="18"/>
  <c r="AH8" i="18"/>
  <c r="AB24" i="18"/>
  <c r="AB40" i="18"/>
  <c r="AB8" i="18"/>
  <c r="J16" i="18"/>
  <c r="J24" i="18"/>
  <c r="P32" i="18"/>
  <c r="J32" i="18"/>
  <c r="V24" i="18"/>
  <c r="P8" i="18"/>
  <c r="J8" i="18"/>
  <c r="AH32" i="18"/>
  <c r="P63" i="1"/>
  <c r="Q63" i="1"/>
  <c r="AH12" i="18"/>
  <c r="V12" i="18"/>
  <c r="J20" i="18"/>
  <c r="V36" i="18"/>
  <c r="P12" i="18"/>
  <c r="V20" i="18"/>
  <c r="AH20" i="18"/>
  <c r="AB20" i="18"/>
  <c r="AH36" i="18"/>
  <c r="J36" i="18"/>
  <c r="P28" i="18"/>
  <c r="AH28" i="18"/>
  <c r="P44" i="18"/>
  <c r="J28" i="18"/>
  <c r="AB12" i="18"/>
  <c r="P20" i="18"/>
  <c r="AB36" i="18"/>
  <c r="P36" i="18"/>
  <c r="J12" i="18"/>
  <c r="V28" i="18"/>
  <c r="J44" i="18"/>
  <c r="AH44" i="18"/>
  <c r="AB28" i="18"/>
  <c r="AB44" i="18"/>
  <c r="V44" i="18"/>
  <c r="P39" i="1"/>
  <c r="Q39" i="1"/>
  <c r="AL32" i="18"/>
  <c r="Z40" i="18"/>
  <c r="N40" i="18"/>
  <c r="T24" i="18"/>
  <c r="AF16" i="18"/>
  <c r="Z8" i="18"/>
  <c r="AL40" i="18"/>
  <c r="Z16" i="18"/>
  <c r="T8" i="18"/>
  <c r="N16" i="18"/>
  <c r="T40" i="18"/>
  <c r="AF40" i="18"/>
  <c r="N24" i="18"/>
  <c r="AF24" i="18"/>
  <c r="T32" i="18"/>
  <c r="AL8" i="18"/>
  <c r="Z24" i="18"/>
  <c r="AL24" i="18"/>
  <c r="N8" i="18"/>
  <c r="AF8" i="18"/>
  <c r="N32" i="18"/>
  <c r="AL16" i="18"/>
  <c r="AF32" i="18"/>
  <c r="T16" i="18"/>
  <c r="Z32" i="18"/>
  <c r="P21" i="1"/>
  <c r="Q21" i="1"/>
  <c r="T38" i="18"/>
  <c r="AL6" i="18"/>
  <c r="N6" i="18"/>
  <c r="Z30" i="18"/>
  <c r="AL22" i="18"/>
  <c r="N30" i="18"/>
  <c r="T6" i="18"/>
  <c r="N38" i="18"/>
  <c r="Z22" i="18"/>
  <c r="N22" i="18"/>
  <c r="AF22" i="18"/>
  <c r="Z6" i="18"/>
  <c r="AL30" i="18"/>
  <c r="AL38" i="18"/>
  <c r="T30" i="18"/>
  <c r="N14" i="18"/>
  <c r="Z38" i="18"/>
  <c r="AF30" i="18"/>
  <c r="T22" i="18"/>
  <c r="Z14" i="18"/>
  <c r="AF6" i="18"/>
  <c r="AF14" i="18"/>
  <c r="AF38" i="18"/>
  <c r="T14" i="18"/>
  <c r="AL14" i="18"/>
  <c r="AD10" i="1" l="1"/>
  <c r="AH36" i="19" s="1"/>
  <c r="AE11" i="1"/>
  <c r="P38" i="19"/>
  <c r="AH38" i="19"/>
  <c r="P48" i="19"/>
  <c r="AB18" i="19"/>
  <c r="J8" i="19"/>
  <c r="J18" i="19"/>
  <c r="AH8" i="19"/>
  <c r="AB48" i="19"/>
  <c r="V8" i="19"/>
  <c r="AH48" i="19"/>
  <c r="AH18" i="19"/>
  <c r="V18" i="19"/>
  <c r="J38" i="19"/>
  <c r="P18" i="19"/>
  <c r="J28" i="19"/>
  <c r="J48" i="19"/>
  <c r="V28" i="19"/>
  <c r="AB8" i="19"/>
  <c r="P28" i="19"/>
  <c r="P8" i="19"/>
  <c r="AB28" i="19"/>
  <c r="V38" i="19"/>
  <c r="AH28" i="19"/>
  <c r="AB38" i="19"/>
  <c r="V48" i="19"/>
  <c r="AD15" i="1"/>
  <c r="AH7" i="19" s="1"/>
  <c r="AE16" i="1"/>
  <c r="AH47" i="19" l="1"/>
  <c r="AF10" i="1"/>
  <c r="J26" i="19"/>
  <c r="J6" i="19"/>
  <c r="P6" i="19"/>
  <c r="AH16" i="19"/>
  <c r="AH26" i="19"/>
  <c r="V26" i="19"/>
  <c r="P36" i="19"/>
  <c r="P16" i="19"/>
  <c r="V6" i="19"/>
  <c r="P46" i="19"/>
  <c r="AH46" i="19"/>
  <c r="AH37" i="19"/>
  <c r="J47" i="19"/>
  <c r="P47" i="19"/>
  <c r="AB26" i="19"/>
  <c r="AB36" i="19"/>
  <c r="V16" i="19"/>
  <c r="AB7" i="19"/>
  <c r="P7" i="19"/>
  <c r="P37" i="19"/>
  <c r="AB47" i="19"/>
  <c r="J17" i="19"/>
  <c r="V7" i="19"/>
  <c r="J36" i="19"/>
  <c r="AB6" i="19"/>
  <c r="AB16" i="19"/>
  <c r="J16" i="19"/>
  <c r="P27" i="19"/>
  <c r="V17" i="19"/>
  <c r="P17" i="19"/>
  <c r="J46" i="19"/>
  <c r="V36" i="19"/>
  <c r="P26" i="19"/>
  <c r="V27" i="19"/>
  <c r="AB37" i="19"/>
  <c r="J7" i="19"/>
  <c r="J27" i="19"/>
  <c r="V47" i="19"/>
  <c r="AH6" i="19"/>
  <c r="AF15" i="1"/>
  <c r="AH17" i="19"/>
  <c r="V37" i="19"/>
  <c r="AB27" i="19"/>
  <c r="AH27" i="19"/>
  <c r="J37" i="19"/>
  <c r="AB17" i="19"/>
  <c r="AB46" i="19"/>
  <c r="V46" i="19"/>
  <c r="AD16" i="1"/>
  <c r="AE17" i="1"/>
  <c r="AD11" i="1"/>
  <c r="AE13" i="1"/>
  <c r="AD13" i="1" l="1"/>
  <c r="AE14" i="1"/>
  <c r="AD17" i="1"/>
  <c r="AE18" i="1"/>
  <c r="AF11" i="1"/>
  <c r="AI36" i="19"/>
  <c r="W16" i="19"/>
  <c r="AI26" i="19"/>
  <c r="K36" i="19"/>
  <c r="AC6" i="19"/>
  <c r="Q26" i="19"/>
  <c r="W36" i="19"/>
  <c r="Q6" i="19"/>
  <c r="AC36" i="19"/>
  <c r="K6" i="19"/>
  <c r="K16" i="19"/>
  <c r="Q16" i="19"/>
  <c r="AI6" i="19"/>
  <c r="K46" i="19"/>
  <c r="AI16" i="19"/>
  <c r="AI46" i="19"/>
  <c r="Q36" i="19"/>
  <c r="AC46" i="19"/>
  <c r="W6" i="19"/>
  <c r="W26" i="19"/>
  <c r="Q46" i="19"/>
  <c r="K26" i="19"/>
  <c r="AC26" i="19"/>
  <c r="W46" i="19"/>
  <c r="AC16" i="19"/>
  <c r="AF16" i="1"/>
  <c r="W37" i="19"/>
  <c r="Q47" i="19"/>
  <c r="AI47" i="19"/>
  <c r="AC37" i="19"/>
  <c r="AC7" i="19"/>
  <c r="Q7" i="19"/>
  <c r="Q17" i="19"/>
  <c r="AI7" i="19"/>
  <c r="W7" i="19"/>
  <c r="Q27" i="19"/>
  <c r="AI37" i="19"/>
  <c r="W47" i="19"/>
  <c r="K27" i="19"/>
  <c r="W17" i="19"/>
  <c r="AI17" i="19"/>
  <c r="AC27" i="19"/>
  <c r="AC17" i="19"/>
  <c r="Q37" i="19"/>
  <c r="K17" i="19"/>
  <c r="W27" i="19"/>
  <c r="K47" i="19"/>
  <c r="AC47" i="19"/>
  <c r="K37" i="19"/>
  <c r="AI27" i="19"/>
  <c r="K7" i="19"/>
  <c r="AD18" i="1" l="1"/>
  <c r="AE19" i="1"/>
  <c r="AF17" i="1"/>
  <c r="AJ7" i="19"/>
  <c r="L37" i="19"/>
  <c r="X47" i="19"/>
  <c r="X27" i="19"/>
  <c r="L47" i="19"/>
  <c r="R47" i="19"/>
  <c r="AD47" i="19"/>
  <c r="AJ37" i="19"/>
  <c r="R17" i="19"/>
  <c r="L7" i="19"/>
  <c r="R7" i="19"/>
  <c r="R37" i="19"/>
  <c r="AD37" i="19"/>
  <c r="AJ27" i="19"/>
  <c r="L27" i="19"/>
  <c r="AJ17" i="19"/>
  <c r="L17" i="19"/>
  <c r="X17" i="19"/>
  <c r="AD7" i="19"/>
  <c r="AD27" i="19"/>
  <c r="AD17" i="19"/>
  <c r="X7" i="19"/>
  <c r="R27" i="19"/>
  <c r="AJ47" i="19"/>
  <c r="X37" i="19"/>
  <c r="AD14" i="1"/>
  <c r="AF13" i="1"/>
  <c r="AJ46" i="19"/>
  <c r="AJ26" i="19"/>
  <c r="X36" i="19"/>
  <c r="R46" i="19"/>
  <c r="X46" i="19"/>
  <c r="AD6" i="19"/>
  <c r="AJ16" i="19"/>
  <c r="AJ36" i="19"/>
  <c r="AD46" i="19"/>
  <c r="L46" i="19"/>
  <c r="R6" i="19"/>
  <c r="AD26" i="19"/>
  <c r="X26" i="19"/>
  <c r="L6" i="19"/>
  <c r="X6" i="19"/>
  <c r="L16" i="19"/>
  <c r="L36" i="19"/>
  <c r="AJ6" i="19"/>
  <c r="L26" i="19"/>
  <c r="X16" i="19"/>
  <c r="R36" i="19"/>
  <c r="AD36" i="19"/>
  <c r="AD16" i="19"/>
  <c r="R26" i="19"/>
  <c r="R16" i="19"/>
  <c r="AD19" i="1" l="1"/>
  <c r="AE20" i="1"/>
  <c r="AD20" i="1" s="1"/>
  <c r="AF14" i="1"/>
  <c r="AE46" i="19"/>
  <c r="S36" i="19"/>
  <c r="M26" i="19"/>
  <c r="Y46" i="19"/>
  <c r="AK36" i="19"/>
  <c r="Y26" i="19"/>
  <c r="AE36" i="19"/>
  <c r="M36" i="19"/>
  <c r="AE16" i="19"/>
  <c r="S46" i="19"/>
  <c r="AK26" i="19"/>
  <c r="S26" i="19"/>
  <c r="AK6" i="19"/>
  <c r="Y16" i="19"/>
  <c r="M6" i="19"/>
  <c r="AE26" i="19"/>
  <c r="S16" i="19"/>
  <c r="AE6" i="19"/>
  <c r="Y36" i="19"/>
  <c r="AK46" i="19"/>
  <c r="AK16" i="19"/>
  <c r="M16" i="19"/>
  <c r="Y6" i="19"/>
  <c r="M46" i="19"/>
  <c r="S6" i="19"/>
  <c r="AF18" i="1"/>
  <c r="S27" i="19"/>
  <c r="S7" i="19"/>
  <c r="Y7" i="19"/>
  <c r="M47" i="19"/>
  <c r="M27" i="19"/>
  <c r="S17" i="19"/>
  <c r="S37" i="19"/>
  <c r="M17" i="19"/>
  <c r="Y37" i="19"/>
  <c r="AE47" i="19"/>
  <c r="S47" i="19"/>
  <c r="AK7" i="19"/>
  <c r="AE27" i="19"/>
  <c r="AE17" i="19"/>
  <c r="AE37" i="19"/>
  <c r="Y17" i="19"/>
  <c r="M7" i="19"/>
  <c r="AK47" i="19"/>
  <c r="AK17" i="19"/>
  <c r="Y47" i="19"/>
  <c r="AK27" i="19"/>
  <c r="Y27" i="19"/>
  <c r="AE7" i="19"/>
  <c r="M37" i="19"/>
  <c r="AK37" i="19"/>
  <c r="AF20" i="1" l="1"/>
  <c r="U7" i="19"/>
  <c r="O17" i="19"/>
  <c r="U37" i="19"/>
  <c r="AM7" i="19"/>
  <c r="AA37" i="19"/>
  <c r="U47" i="19"/>
  <c r="O47" i="19"/>
  <c r="AM47" i="19"/>
  <c r="AA7" i="19"/>
  <c r="AM17" i="19"/>
  <c r="AG7" i="19"/>
  <c r="AA27" i="19"/>
  <c r="AG37" i="19"/>
  <c r="U27" i="19"/>
  <c r="AA47" i="19"/>
  <c r="AM37" i="19"/>
  <c r="AA17" i="19"/>
  <c r="AM27" i="19"/>
  <c r="AG47" i="19"/>
  <c r="O37" i="19"/>
  <c r="O27" i="19"/>
  <c r="AG27" i="19"/>
  <c r="O7" i="19"/>
  <c r="U17" i="19"/>
  <c r="AG17" i="19"/>
  <c r="AF19" i="1"/>
  <c r="Z47" i="19"/>
  <c r="Z17" i="19"/>
  <c r="AF27" i="19"/>
  <c r="Z37" i="19"/>
  <c r="Z27" i="19"/>
  <c r="AL27" i="19"/>
  <c r="T47" i="19"/>
  <c r="T7" i="19"/>
  <c r="AF7" i="19"/>
  <c r="AF47" i="19"/>
  <c r="T37" i="19"/>
  <c r="AL7" i="19"/>
  <c r="N27" i="19"/>
  <c r="AL37" i="19"/>
  <c r="AF37" i="19"/>
  <c r="AL47" i="19"/>
  <c r="N37" i="19"/>
  <c r="AL17" i="19"/>
  <c r="N7" i="19"/>
  <c r="T17" i="19"/>
  <c r="N17" i="19"/>
  <c r="T27" i="19"/>
  <c r="N47" i="19"/>
  <c r="AF17" i="19"/>
  <c r="Z7" i="19"/>
  <c r="U36" i="19"/>
  <c r="AM16" i="19"/>
  <c r="AA6" i="19"/>
  <c r="U16" i="19"/>
  <c r="AA26" i="19"/>
  <c r="O16" i="19"/>
  <c r="AG16" i="19"/>
  <c r="U6" i="19"/>
  <c r="AG6" i="19"/>
  <c r="O36" i="19"/>
  <c r="AM6" i="19"/>
  <c r="AG36" i="19"/>
  <c r="O6" i="19"/>
  <c r="AG46" i="19"/>
  <c r="AA46" i="19"/>
  <c r="U26" i="19"/>
  <c r="U46" i="19"/>
  <c r="O26" i="19"/>
  <c r="AM46" i="19"/>
  <c r="AA36" i="19"/>
  <c r="AA16" i="19"/>
  <c r="AM26" i="19"/>
  <c r="O46" i="19"/>
  <c r="AG26" i="19"/>
  <c r="AM36" i="19"/>
  <c r="AL6" i="19"/>
  <c r="T26" i="19"/>
  <c r="T6" i="19"/>
  <c r="AL26" i="19"/>
  <c r="T36" i="19"/>
  <c r="AL16" i="19"/>
  <c r="Z36" i="19"/>
  <c r="N6" i="19"/>
  <c r="AF6" i="19"/>
  <c r="AL36" i="19"/>
  <c r="Z46" i="19"/>
  <c r="AF36" i="19"/>
  <c r="T16" i="19"/>
  <c r="N46" i="19"/>
  <c r="AF26" i="19"/>
  <c r="AF46" i="19"/>
  <c r="N26" i="19"/>
  <c r="Z26" i="19"/>
  <c r="Z6" i="19"/>
  <c r="T46" i="19"/>
  <c r="Z16" i="19"/>
  <c r="AL46" i="19"/>
  <c r="N16" i="19"/>
  <c r="AF16" i="19"/>
  <c r="N3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EDUARDO HERNANDEZ</author>
  </authors>
  <commentList>
    <comment ref="S41" authorId="0" shapeId="0" xr:uid="{32950BC6-FCB0-4FA6-88A7-955279A3D384}">
      <text>
        <r>
          <rPr>
            <b/>
            <sz val="9"/>
            <color indexed="81"/>
            <rFont val="Tahoma"/>
            <family val="2"/>
          </rPr>
          <t>EDUARDO HERNANDEZ:</t>
        </r>
        <r>
          <rPr>
            <sz val="9"/>
            <color indexed="81"/>
            <rFont val="Tahoma"/>
            <family val="2"/>
          </rPr>
          <t xml:space="preserve">
CORREGIR FORMULA ES SUMA TOTAL/ TOTAL DE CAUSAS (21) MAS NO 30, VARIA EL PROMEDIO PARA SELECCIÓN DE LA PRIORIZACION DE CAUSAS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ATENCION CIUDADANO</author>
  </authors>
  <commentList>
    <comment ref="J10" authorId="0" shapeId="0" xr:uid="{1CF06F25-82F8-49BD-AC1A-0DCB189B2D2E}">
      <text>
        <r>
          <rPr>
            <b/>
            <sz val="9"/>
            <color indexed="81"/>
            <rFont val="Tahoma"/>
            <family val="2"/>
          </rPr>
          <t>ATENCION CIUDADANO:</t>
        </r>
        <r>
          <rPr>
            <sz val="9"/>
            <color indexed="81"/>
            <rFont val="Tahoma"/>
            <family val="2"/>
          </rPr>
          <t xml:space="preserve">
Número de PQRSD respondidos por fuera del termino y sin respuesta vencidos (enero - agosto). </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<sst xmlns="http://schemas.openxmlformats.org/spreadsheetml/2006/main" count="751" uniqueCount="424">
  <si>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</si>
  <si>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</si>
  <si>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</si>
  <si>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</si>
  <si>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</si>
  <si>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</si>
  <si>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</si>
  <si>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</si>
  <si>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</si>
  <si>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</si>
  <si>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</si>
  <si>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</si>
  <si>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</si>
  <si>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</si>
  <si>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</si>
  <si>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</si>
  <si>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</si>
  <si>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</si>
  <si>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</si>
  <si>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</si>
  <si>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</si>
  <si>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</si>
  <si>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</si>
  <si>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</si>
  <si>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</si>
  <si>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</si>
  <si>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</si>
  <si>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</si>
  <si>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</si>
  <si>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</si>
  <si>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</si>
  <si>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</si>
  <si>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</si>
  <si>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</si>
  <si>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</si>
  <si>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</si>
  <si>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</si>
  <si>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</si>
  <si>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</si>
  <si>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</si>
  <si>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</si>
  <si>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</si>
  <si>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</si>
  <si>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</si>
  <si>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</si>
  <si>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</si>
  <si>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</si>
  <si>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</si>
  <si>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</si>
  <si>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</si>
  <si>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</si>
  <si>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</si>
  <si>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</si>
  <si>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</si>
  <si>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</si>
  <si>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</si>
  <si>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</si>
  <si>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</si>
  <si>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</si>
  <si>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</si>
  <si>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</si>
  <si>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</si>
  <si>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</si>
  <si>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</si>
  <si>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</si>
  <si>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</si>
  <si>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</si>
  <si>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</si>
  <si>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</si>
  <si>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</si>
  <si>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</si>
  <si>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</si>
  <si>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</si>
  <si>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</si>
  <si>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</si>
  <si>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</si>
  <si>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</si>
  <si>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</si>
  <si>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</si>
  <si>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</si>
  <si>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</si>
  <si>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</si>
  <si>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</si>
  <si>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</si>
  <si>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</si>
  <si>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</si>
  <si>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</si>
  <si>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</si>
  <si>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</si>
  <si>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</si>
  <si>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</si>
  <si>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</si>
  <si>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</si>
  <si>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</si>
  <si>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</si>
  <si>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</si>
  <si>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</si>
  <si>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</si>
  <si>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</si>
  <si>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</si>
  <si>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</si>
  <si>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</si>
  <si>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</si>
  <si>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</si>
  <si>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</si>
  <si>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</si>
  <si>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</si>
  <si>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</si>
  <si>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</si>
  <si>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</si>
  <si>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</si>
  <si>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</si>
  <si>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</si>
  <si>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</si>
  <si>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</si>
  <si>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</si>
  <si>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</si>
  <si>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</si>
  <si>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</si>
  <si>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</si>
  <si>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</si>
  <si>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</si>
  <si>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</si>
  <si>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</si>
  <si>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</si>
  <si>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</si>
  <si>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</si>
  <si>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</si>
  <si>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</si>
  <si>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</si>
  <si>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</si>
  <si>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</si>
  <si>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</si>
  <si>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</si>
  <si>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</si>
  <si>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</si>
  <si>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</si>
  <si>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</si>
  <si>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</si>
  <si>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</si>
  <si>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</si>
  <si>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</si>
  <si>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</si>
  <si>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</si>
  <si>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</si>
  <si>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</si>
  <si>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</si>
  <si>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</si>
  <si>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</si>
  <si>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</si>
  <si>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</si>
  <si>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</si>
  <si>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</si>
  <si>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</si>
  <si>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</si>
  <si>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</si>
  <si>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</si>
  <si>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</si>
  <si>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</si>
  <si>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</si>
  <si>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</si>
  <si>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</si>
  <si>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</si>
  <si>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</si>
  <si>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</si>
  <si>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</si>
  <si>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</si>
  <si>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</si>
  <si>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</si>
  <si>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</si>
  <si>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</si>
  <si>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</si>
  <si>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</si>
  <si>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</si>
  <si>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</si>
  <si>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</si>
  <si>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</si>
  <si>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</si>
  <si>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</si>
  <si>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</si>
  <si>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</si>
  <si>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</si>
  <si>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</si>
  <si>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</si>
  <si>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</si>
  <si>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</si>
  <si>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</si>
  <si>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</si>
  <si>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</si>
  <si>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</si>
  <si>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</si>
  <si>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</si>
  <si>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</si>
  <si>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</si>
  <si>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</si>
  <si>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</si>
  <si>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</si>
  <si>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</si>
  <si>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</si>
  <si>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</si>
  <si>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</si>
  <si>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</si>
  <si>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</si>
  <si>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</si>
  <si>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</si>
  <si>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</si>
  <si>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</si>
  <si>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</si>
  <si>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Entre 1000 y 5000 SMLMV </t>
  </si>
  <si>
    <t>Entre 5000 y 10000 SMLMV</t>
  </si>
  <si>
    <t xml:space="preserve">     Entre 1000 y 5000 SMLMV </t>
  </si>
  <si>
    <t xml:space="preserve">     Mayor a 10000 SMLMV</t>
  </si>
  <si>
    <t xml:space="preserve">     Entre 5000 y 10000 SMLMV</t>
  </si>
  <si>
    <t/>
  </si>
  <si>
    <t>GESTIÓN DEL SERVICIO Y ATENCIÓN AL CIUDADANO</t>
  </si>
  <si>
    <t>ATENDER, ORIENTAR Y EVALUAR CONTINUAMENTE DE MANERA OPORTUNA Y EFICAZ, LAS DIFERENTES SOLICITUDES DE LA CIUDADANÍA, EN EL MARCO DE SUS REQUISITOS Y NECESIDADES, CON EL FIN DE LOGRAR LA SATISFACCIÓN DEL CIUDADANO, FRENTE A LOS SERVICIOS Y LA ATENCIÓN PRESTADA EN LA ADMINISTRACIÓN MUNICIPAL.</t>
  </si>
  <si>
    <t>INICIA CON LA PRESENTACIÓN DE LAS NECESIDADES DE LOS CIUDADANOS EN CUANTO A LA PRESTACIÓN DE LOS SERVICIOS, PLANEACIÓN DE LAS ESTRATEGIAS Y ACTIVIDADES A REALIZAR PARA MEJORAR LA ATENCIÓN TENIENDO EN CUENTA LA ORIENTACIÓN QUE SE DEBE BRINDAR, PARA LA RECEPCIÓN DE SOLICITUDES, PQRS, Y FACILITAR LAS RESPUESTAS OPORTUNAS, EFECTUANDO EVALUACIONES PARA EL ANÁLISIS Y LA RETROALIMENTACIÓN DE LA INFORMACIÓN A LOS REQUERIMIENTOS, EJERCIENDO CONTROLES EN CUANTO A LA PERCEPCIÓN DEL CIUDADANO Y FINALIZA CON EL SEGUIMIENTO E IMPLEMENTACIÓN DE ACCIONES PREVENTIVAS, CORRECTIVAS Y DE MEJORA.</t>
  </si>
  <si>
    <t>Falta de seguimiento a los tiempos de respuestas de las PQRS - Derechos de Petición formuladas a la entidad</t>
  </si>
  <si>
    <t>Errores en la clasificación del tipo de petición - Derechos de Petición</t>
  </si>
  <si>
    <t>Errores en el direccionamiento del tipo de petición - Derechos de Petición</t>
  </si>
  <si>
    <t>Falta de socialización de los mecanismos de comunicación para con los ciudadanos</t>
  </si>
  <si>
    <t>Falta de seguimiento a los tiempos de respuestas de los Reclamos - Derechos de Petición formulados a la entidad</t>
  </si>
  <si>
    <t>El Profesional Universitaro(a) de la Dirección de Atención al Ciudadano y lider de cada unidad administrativa diariamente verifica y revisa aleatoreamente que la correspondencia haya sido remitida a la unidad administrativa competente a través de la plataforma PISAMI, donde se realiza la exportación de las peticiones radicadas y se verifica el grado de clasificación, de acuerdo a lo establecido en la resolución del trámite interno del Derecho de Petición de la Alcaldía y normatividad vigente. En caso de encontrar peticiones mal direccionadas, se procede a realizar el cambio en la Plataforma PISAMI y se envia correo electrónico informativo.</t>
  </si>
  <si>
    <t>El Director de Atención al Ciudadano trimestralmente verifica que las respuestas emitidas por las diferentes unidades administrativas de los Reclamos sean respondidas dentro de los términos establecidos por la ley y genera un informe que se exporta de la plataforma PISAMI, donde se puede visualizar el estado de las respuestas a los Reclamos de cada unidad administrativa perteneciente a los procesos misionales. En caso de encontrar Reclamos a los cuales no se les dio respuesta dentro de los términos establecidos por la ley, se remite un informe de lo ocurrido a las Dependencias y se expone en el Comité de Coordinación de Control Interno para que cada Dependencia implemente las acciones correspondientes, se procede a realizar informes de seguimiento con el respectivo seguimiento al indicador.</t>
  </si>
  <si>
    <t>Socializar y difundir información de los canales de atención, trámites, servicios y correos electrónicos de las Dependencias a los ciudadanos.</t>
  </si>
  <si>
    <t xml:space="preserve"> Reportar en el Comité de Coordinación de Control Interno mediante informe el estado de respuestas de los Reclamos con el fin de que cada Dependencia implemente las acciones de mejora correspondientes.</t>
  </si>
  <si>
    <t>Realizar informes consolidados de seguimiento a las ventanillas</t>
  </si>
  <si>
    <t xml:space="preserve">Acciones legales (sanciones disciplinarias, demandas y demás acciones jurídicas) y/o hallazgos de los entes de control </t>
  </si>
  <si>
    <t>Directora de Atención al Ciudadano</t>
  </si>
  <si>
    <t>Seguimiento enero - febrero</t>
  </si>
  <si>
    <t>Seguimiento  marzo - abril</t>
  </si>
  <si>
    <t>Seguimiento  mayo - junio</t>
  </si>
  <si>
    <t>Seguimiento julio - agosto</t>
  </si>
  <si>
    <t>Seguimiento septiembre - octubre</t>
  </si>
  <si>
    <t xml:space="preserve">CONTEXTO ESTRATEGICO </t>
  </si>
  <si>
    <t>PROCESO: GESTIÓN DEL SERVICIO Y ATENCIÓN AL CIUDADANO</t>
  </si>
  <si>
    <t xml:space="preserve">OBJETIVO: ATENDER, ORIENTAR Y EVALUAR CONTINUAMENTE DE MANERA OPORTUNA Y EFICAZ, LAS DIFERENTES SOLICITUDES DE LA CIUDADANÍA, EN EL MARCO DE SUS REQUISITOS Y NECESIDADES, CON EL FIN DE LOGRAR LA SATISFACCIÓN DEL CIUDADANO, FRENTE A LOS SERVICIOS Y LA ATENCIÓN PRESTADA EN LA ADMINISTRACIÓN MUNICIPAL.
</t>
  </si>
  <si>
    <t>FACTORES EXTERNOS</t>
  </si>
  <si>
    <t>CAUSAS</t>
  </si>
  <si>
    <t>FACTORES INTERNOS</t>
  </si>
  <si>
    <t>FACTORES DEL PROCESO</t>
  </si>
  <si>
    <t>LEGALES Y REGLAMENTARIOS</t>
  </si>
  <si>
    <t>Constantes cambios y actualizaciones normativas</t>
  </si>
  <si>
    <t>PERSONAL DE LA ENTIDAD (Capacidad del personal, políticas de manejo del talento humano, idoneidad)</t>
  </si>
  <si>
    <t>Baja competencia del personal frente al manejo de las PQRS, orientación y atención al ciudadano</t>
  </si>
  <si>
    <t>INTERACCIÓN CON LOS PROCESOS</t>
  </si>
  <si>
    <t>Incumplimiento en los términos establecidos por la ley de algunas unidades administrativas para dar respuesta a las PQRS - Derechos de Petición realizadas por los ciudadanos</t>
  </si>
  <si>
    <t>POLÍTICOS</t>
  </si>
  <si>
    <t>Cambio de gobierno</t>
  </si>
  <si>
    <t>Personal insuficiente para realizar las actividades del Proceso</t>
  </si>
  <si>
    <t>TRANSVERSALIDAD</t>
  </si>
  <si>
    <t>Demora en el direcionamiento de las PQRS para su respectivas respuestas</t>
  </si>
  <si>
    <t>SOCIALES Y CULTURALES</t>
  </si>
  <si>
    <t>Baja satisfacción del ciudadano frente a los servicios y atención prestada por la entidad</t>
  </si>
  <si>
    <t>Insuficiente capacitación del personal</t>
  </si>
  <si>
    <t>RESPONSABLES DEL PROCESO</t>
  </si>
  <si>
    <t>Idiosincrasia de los ciudadanos</t>
  </si>
  <si>
    <t>Falta de comportamientos de integridad de lo público del Servidor que recibe la PQRS</t>
  </si>
  <si>
    <t>Errores en la clasificación del tipo de petición - Derechos de Petición.</t>
  </si>
  <si>
    <t>TECNOLÓGICOS</t>
  </si>
  <si>
    <t>Avances Tecnológicos</t>
  </si>
  <si>
    <t>FINANCIEROS</t>
  </si>
  <si>
    <t>Bajo presupuesto de funcionamiento.</t>
  </si>
  <si>
    <t>Errores en el direccionamiento del tipo de petición - Derechos de Petición.</t>
  </si>
  <si>
    <t>OTROS</t>
  </si>
  <si>
    <t xml:space="preserve">Falta de Infraestructura, capacidad instalada </t>
  </si>
  <si>
    <t>AMBIENTALES</t>
  </si>
  <si>
    <t>Declaratoria de emergencias por Pandemias o catastrofes naturales.</t>
  </si>
  <si>
    <t>TECNOLOGÍA (integridad de datos, disponibilidad de datos y sistemas, desarrollo, producción, mantenimiento de sistemas de información)</t>
  </si>
  <si>
    <t>Falta de equipos tecnologicos optimos en algunos de los puntos de atención</t>
  </si>
  <si>
    <t xml:space="preserve">Baja cobertura de acceso de internet en los puntos de atención. </t>
  </si>
  <si>
    <t>COMMUNICACIÓN INTERNA</t>
  </si>
  <si>
    <t>Baja efectividad y fluidez en los canales de información, necesarios para el desarrollo de las operaciones</t>
  </si>
  <si>
    <t>ECONÓMICOS Y FINANCIEROS</t>
  </si>
  <si>
    <t>PROCESOS OPERATIVOS</t>
  </si>
  <si>
    <t>ESTRATÉGICOS</t>
  </si>
  <si>
    <t>FACTORES GEOGRÁFICOS (ubicación, espacio,topografía, clima, recursos naturales, etc.)</t>
  </si>
  <si>
    <t>COMUNICACIÓN ENTRE LOS PROCESOS</t>
  </si>
  <si>
    <t>NORMATIVIDAD</t>
  </si>
  <si>
    <t>ARTICULACIÓN DE LOS PROCESOS</t>
  </si>
  <si>
    <t>PROCEDIMIENTOS DEL PROCESO</t>
  </si>
  <si>
    <t>ACTIVOS DE SEGURIDAD DIGITAL DEL PROCESO</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</si>
  <si>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</si>
  <si>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</si>
  <si>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</si>
  <si>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</si>
  <si>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</si>
  <si>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</si>
  <si>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</si>
  <si>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</si>
  <si>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</si>
  <si>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</si>
  <si>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</si>
  <si>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</si>
  <si>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</si>
  <si>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</si>
  <si>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</si>
  <si>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</si>
  <si>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</si>
  <si>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</si>
  <si>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</si>
  <si>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</si>
  <si>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</si>
  <si>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 xml:space="preserve">
MATRIZ DOFA
IDENTIFICACION DE FACTORES 
Y
DEFINICION DE ESTRATEGIAS
</t>
  </si>
  <si>
    <t>NEGATIVOS</t>
  </si>
  <si>
    <t>POSITIVOS</t>
  </si>
  <si>
    <t>DEBILIDADES (D)</t>
  </si>
  <si>
    <t>FORTALEZAS (F)</t>
  </si>
  <si>
    <t>1) Baja competencia del personal frente al manejo de las PQRS, orientación y atención al ciudadano</t>
  </si>
  <si>
    <t xml:space="preserve">1) Compromiso laboral 
</t>
  </si>
  <si>
    <t>2) Personal insuficiente para realizar las actividades del Proceso</t>
  </si>
  <si>
    <t>2) Toma de decisiones oportunas por parte del nivel directivo</t>
  </si>
  <si>
    <t>3) Insuficientes capacitación del personal</t>
  </si>
  <si>
    <t xml:space="preserve">3) Ampliación en la cobertura de la prestación de servicios en los puntos de Atención al Ciudadano </t>
  </si>
  <si>
    <t>4) Falta de comportamientos de integridad de lo público del Servidor que recibe la PQRS</t>
  </si>
  <si>
    <t>4) Prestación de los servicios que se realizan en las ventanillas y/o puntos de atención al ciudadano</t>
  </si>
  <si>
    <t>5) Bajo presupuesto de funcionamiento.</t>
  </si>
  <si>
    <t>5) Fluidez de la información a través de la plataforma PISAMI</t>
  </si>
  <si>
    <t xml:space="preserve">6) Falta de Infraestructura, capacidad instalada </t>
  </si>
  <si>
    <t xml:space="preserve">6) Compromiso institucional por parte de los servidores públicos de la Administración Municipal. </t>
  </si>
  <si>
    <t>7) Falta de equipos tecnologicos optimos en algunos de los puntos de atención</t>
  </si>
  <si>
    <t>7) Gestión basada en procesos</t>
  </si>
  <si>
    <t xml:space="preserve">8) Baja cobertura de acceso de internet en los puntos de atención. </t>
  </si>
  <si>
    <t>8) Comité Institucional de Coordinación de Control Interno, Comité Institucional de Gestión y Desempeño, Comité SIGAMI</t>
  </si>
  <si>
    <t>9) Baja efectividad y fluidez en los canales de información, necesarios para el desarrollo de las operaciones</t>
  </si>
  <si>
    <t>10) Incumplimiento en los términos establecidos por la ley de algunas unidades administrativas para dar respuesta a las PQRS - Derechos de Petición realizadas por los ciudadanos</t>
  </si>
  <si>
    <t>11) Demora en el direcionamiento de las PQRS para su respectivas respuestas</t>
  </si>
  <si>
    <t>12) Falta de seguimiento a los tiempos de respuestas de las PQRS - Derechos de Petición</t>
  </si>
  <si>
    <t>13) Errores en la clasificación y direccionamiento del tipo de petición - Derechos de Petición.</t>
  </si>
  <si>
    <t>14) Errores de direccionamiento del tipo de petición - Derechos de Petición.</t>
  </si>
  <si>
    <t>15) Falta de socialización de los mecanismos de comunicación para con los ciudadanos</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</si>
  <si>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</si>
  <si>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</si>
  <si>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</si>
  <si>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1) Oferta de personal en el mercado con el perfil y las competencias acordes a las necesidades demandadas</t>
  </si>
  <si>
    <t>D1,3O1; Contratar personal con el perfil y las competencias demandadas para cumplir con las actividades de Atención al Ciudadano</t>
  </si>
  <si>
    <t>F3,4O1,3; Ampliar la cobertura en la prestación de los servicios ofrecidos por la entidad, mediante la apertura de Centros de Atención Municipal "CAM", que cuenten con el personal idoneo y la disponibilidad de equipos y herramientas tecnológicas que permitan dar respuesta de manera eficiente, efectiva y eficaz a las solicitudes formuladas por los ciudadanos.</t>
  </si>
  <si>
    <t>2) Implementación y aplicación de políticas en los procesos de selección de personal</t>
  </si>
  <si>
    <t>D11O3,6; Adquirir equipos, implementar y utilizar herramientas tecnológicas y de comunicación que permitar reducir los tiempos de respuestas de las PQRS</t>
  </si>
  <si>
    <t>F5,O6; Adquirir equipos y herramientas tecnológicas que permitan agilizar la conectividad y fluidez de la información a través de la plataforma PISAMI</t>
  </si>
  <si>
    <t>3) Acceso a tecnologías en sistemas y comunicaciones para
mejorar el proceso, haciéndolo eficiente y oportuno.</t>
  </si>
  <si>
    <t>D13,14O3; Realizar informes donde se evidencien los errores de clasificación y direccionamiento de los Derechos de Petición</t>
  </si>
  <si>
    <t xml:space="preserve">4) Acceso a documentación en temas relacionados a la atención al ciudadano y correspondencia. </t>
  </si>
  <si>
    <t>D11,12O7; Realizar circulares a las Dependencias rezagadas en dar respuesta en los términos establecidos por la ley de las PQRS, formuladas por los ciudadanos a la entidad.</t>
  </si>
  <si>
    <t>5) Requisitos legales favorables</t>
  </si>
  <si>
    <t>D11,12O3,6,7; Realizar informes de seguimiento por unidad administrativa, referente a las respuestas y el estado de seguimiento de las PQRS.</t>
  </si>
  <si>
    <t>6) Disponibilidad de equipos y herramientas tecnológicas que permitan agilizar los procesos de respuesta a las PQRS</t>
  </si>
  <si>
    <t>D13,14O3; Realizar informes consolidados de seguimiento a las ventanillas</t>
  </si>
  <si>
    <t>7) Aplicación e implementación de conceptos enfocados en liderazgo estratégico y orientado a resultados.</t>
  </si>
  <si>
    <t xml:space="preserve">D15O3; Socializar y difundir información de los canales de atención, trámites, servicios y correos electrónicos de las Dependencias a los ciudadanos. </t>
  </si>
  <si>
    <t>8) Oferta de capacitaciones o cursos con diferentes Entidades o con personal con el perfil, conocimiento y competencias en el tema</t>
  </si>
  <si>
    <t>D1O3; Socializar el procedimiento de peticiones, quejas y reclamos con los servidores públicos.</t>
  </si>
  <si>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</si>
  <si>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</si>
  <si>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</si>
  <si>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1) Constantes cambios y actualizaciones normativas</t>
  </si>
  <si>
    <t>D10A3; Enviar informes a la Oficina de Control Disciplinario para que investiguen y tomen las medidas pertinentes con los funcionarios que se demoran en dar respuesta a los ciudadanos.</t>
  </si>
  <si>
    <t>2) Cambio de gobierno</t>
  </si>
  <si>
    <t>D1,3,15O3,4,5,6; Revisar y/o modificar las acciones propuestas en el componente de atención al ciudadano del plan anticorrupcion y de atención al ciudadano con el fin de lograr la mejora continua del proceso.</t>
  </si>
  <si>
    <t>F4,A4; Ampliar el portafolio de servicios que se prestan en los puntos de atención al ciudadano, con el fin de atender y orientar de una mejor manera las solicitudes de los ciudadanos.</t>
  </si>
  <si>
    <t>3) Baja satisfacción del ciudadano frente a los servicios y atención prestada por la entidad</t>
  </si>
  <si>
    <t>F1,2,6,7,8A3,4,5,6; Realizar seguimiento en comité técnico a la ejecución de las actividades relacionadas con la atención al ciudadano y asignar responsabilidades del cumplimiento de las mismas a los funcionarios de la Dependencia.</t>
  </si>
  <si>
    <t>4) Idiosincrasia de los ciudadanos</t>
  </si>
  <si>
    <t>5) Avances Tecnológicos</t>
  </si>
  <si>
    <t>6) Declaratoria de emergencias por Pandemias o catastrofes naturales.</t>
  </si>
  <si>
    <t>Seguimiento noviembre - diciembre</t>
  </si>
  <si>
    <t>El Director (a) de Atención al Ciudadano y su equipo de trabajo mensualmente verifica y revisa las actividades del componente Atención al Ciudadano del Plan Anticorrupción y Atención al Ciudadano y plan de mejoramiento con la Oficina de Control Interno relacionadas con los mecanismos de comunicación para con los ciudadanos y de la instatisfacción de los mismos frente a las respuesta de los PQRSD interpuestos a la Entidad. En caso de no encontrar implementados los mecanismos de comunicación entre la Entidad y los Ciudadanos, se procede a socializar en Comité Institucional de Gestión y Desempeño para que el Secretario comunique a la Alta Dirección las acciones de mejora a realizar, según sea el caso. Esta actividad se reporta mediante una presentación enviada al correo institucional de Fortalecimiento Institucional.</t>
  </si>
  <si>
    <t>Posibilidad de perdida reputacional por insatisfacción de los ciudadanos frente a los servicios y trámites que presta la Entidad debido a la orientación inadecuada en la prestación de los servicios, trámites de la Entidad y PQRSD.</t>
  </si>
  <si>
    <t xml:space="preserve"> Insatisfacción de los  ciudadanos frente a los servicios, trámites que presta la Entidad y PQRSD. </t>
  </si>
  <si>
    <t>Seguimiento a la orientación en la prestación de los servicios, trámites que presta la Entidad y PQRSD.</t>
  </si>
  <si>
    <t>Orientación inadecuada en la prestación de los servicios, trámites que presta la Entidad y PQRSD</t>
  </si>
  <si>
    <t>Realizar seguimiento a las
diferentes Dependencias
de la entidad por medio
de informes de
oportunidad de respuesta
de los traslados por
competencia.</t>
  </si>
  <si>
    <t>El Director (a) de Atención al Ciudadano y Director(a) de Talento Humano cuatrimestralmente verifica y revisa las actividades del componente Atención al Ciudadano del Plan Anticorrupción y Atención al Ciudadano relacionadas con la capacitación al personal que atiende en ventanillas y da respuesta a las PQRSD - Derechos de Petición a través de capacitaciones programadas dentro del Programa de Transparencia y ética pública. En caso de no darsen las capacitaciones se procede a gestionar con otras entidades. Esta actividad se reporta en el avance del Informe del Plan Anticorrupción y de Atención al Ciudadano.</t>
  </si>
  <si>
    <t>Adelantar jornadas de
capacitación en el manejo de correspondencia</t>
  </si>
  <si>
    <t>F1,2,6A3,4,5; Potencializar, empoderar y capacitar a los servidores públicos para que desarrollen sus actividades enfocadas en el mejoramiento de la percepción del ciudadano frente a los servicios, trámites que presta la entidad y PQRSD.</t>
  </si>
  <si>
    <t>Falta de seguimiento a los tiempos de respuestas de las PQRSD - Derechos de Petición formuladas a la entidad</t>
  </si>
  <si>
    <t xml:space="preserve">Baja competencia del personal frente al manejo de las PQRSD, orientación y atención al ciudadano </t>
  </si>
  <si>
    <t xml:space="preserve">Posibilidad de perdida económica y reputacional por acciones legales (sanciones disciplinarias, demandas y demás acciones jurídicas) y/o hallazgos de los entes de control debido al incumplimiento a la oportunidad de respuesta de los PQRSD clasificados como Derechos de Petición a la Entidad. </t>
  </si>
  <si>
    <t>Seguimiento a la gestión de mejoramiento de la reducción de las PQRSD al interior de los Procesos</t>
  </si>
  <si>
    <t>El Profesional Universitario(a) de la Dirección de Atención al Ciudadano quincenalmente  verifica que las respuestas emitidas por las diferentes unidades administrativas de las PQRSD sean respondidas dentro delos términos establecidos por la ley y se genera un informe que se exporta de la plataforma PISAMI, donde se puede visualizar el estado de las respuestas de las PQRSD de cada unidad administrativa. En caso de encontrar PQRSD a las cuales no se les dio respuesta dentro de los términos establecidos por la ley, se remite un informe de lo ocurrido a la oficina de control disciplinario y se proyectan informes de seguimiento con los respectivos memorandos.</t>
  </si>
  <si>
    <t>EL Profesional Universitaro(a) de la Dirección de Atención al Ciudadano y lider de cada unidad administrativa diariamente verifica y revisa aleatoreamente que la clasificación del tipo de petición sea la correcta a través de la consulta en la página web (modulo de radicación de peticiones, quejas y reclamos - clasificación de PQRSD y descripción de los mismos), el procedimiento del proceso y trámite interno del Derecho de petición de la Alcaldía. En caso de encontrar tipos de peticiones mal clasificadas, se procede a realizar el cambio en la plataforma PISAMI y se envia correo electrónico informativo.</t>
  </si>
  <si>
    <t>Realizar visitas a las seis
Dependencias de las
Secretarías de la
Administración Municipal
evidenciando el término
de respuesta dada a las
peticiones, quejas y
reclamos radicadas por los
ciudadanos para cumplir
con los parámetros
establecidos en la ley que
tengan PQRSD vencidos.</t>
  </si>
  <si>
    <r>
      <t xml:space="preserve">Durante el periodo de enero y febrero se realizaron las siguientes piezas gráficas: </t>
    </r>
    <r>
      <rPr>
        <b/>
        <sz val="11"/>
        <color theme="1"/>
        <rFont val="Arial Narrow"/>
        <family val="2"/>
      </rPr>
      <t>1.</t>
    </r>
    <r>
      <rPr>
        <sz val="11"/>
        <color theme="1"/>
        <rFont val="Arial Narrow"/>
        <family val="2"/>
      </rPr>
      <t xml:space="preserve"> banner del horario especial de atención al público, sábado 17 de febrero (se público en la página de la Alcaldía el 16 de febrero); </t>
    </r>
    <r>
      <rPr>
        <b/>
        <sz val="11"/>
        <color theme="1"/>
        <rFont val="Arial Narrow"/>
        <family val="2"/>
      </rPr>
      <t>2.</t>
    </r>
    <r>
      <rPr>
        <sz val="11"/>
        <color theme="1"/>
        <rFont val="Arial Narrow"/>
        <family val="2"/>
      </rPr>
      <t xml:space="preserve"> banner del horario especial de atención al público, sábado 02 de marzo (se público en la página de la Alcaldía el 28 de febrero); </t>
    </r>
    <r>
      <rPr>
        <b/>
        <sz val="11"/>
        <color theme="1"/>
        <rFont val="Arial Narrow"/>
        <family val="2"/>
      </rPr>
      <t>3.</t>
    </r>
    <r>
      <rPr>
        <sz val="11"/>
        <color theme="1"/>
        <rFont val="Arial Narrow"/>
        <family val="2"/>
      </rPr>
      <t xml:space="preserve"> pieza gráfica divulgación de horarios y canales de atención y</t>
    </r>
    <r>
      <rPr>
        <b/>
        <sz val="11"/>
        <color theme="1"/>
        <rFont val="Arial Narrow"/>
        <family val="2"/>
      </rPr>
      <t xml:space="preserve"> 4</t>
    </r>
    <r>
      <rPr>
        <sz val="11"/>
        <color theme="1"/>
        <rFont val="Arial Narrow"/>
        <family val="2"/>
      </rPr>
      <t>. pieza gráfica de puntos de atención presenciales (se públicaron en el instagram de la Alcaldía el 29 de febrero).</t>
    </r>
  </si>
  <si>
    <t>Durante el periodo de enero y febrero se realizaron los siguientes informes consolidados de seguimiento a las ventanillas: (02 al 05 de enero, 09 al 12 de enero, 15 al 19 de enero, 22 al 26 de enero, 29 al 02 de febrero, 05 al 09 de febrero, 12 al 17 de febrero, 19 al 23 de febrero y 26 al 02 de marzo).</t>
  </si>
  <si>
    <t>Se realizaron los siguientes informes de oportunidad de respuesta de los traslados por competencia y se enviaron por correo institucional en los meses comprendidos entre enero y febrero: (Informe del mes de enero enviado el 02 de febrero e informes del mes de febrero enviado el 01 de marzo).</t>
  </si>
  <si>
    <r>
      <t xml:space="preserve">Durante el periodo de enero y febrero se realizaron visitas a las seis Dependencias con más PQRSD vencidos se deja constancias en las siguientes actas: </t>
    </r>
    <r>
      <rPr>
        <b/>
        <sz val="11"/>
        <rFont val="Arial Narrow"/>
        <family val="2"/>
      </rPr>
      <t>mes de enero</t>
    </r>
    <r>
      <rPr>
        <sz val="11"/>
        <rFont val="Arial Narrow"/>
        <family val="2"/>
      </rPr>
      <t xml:space="preserve"> (acta 01 a la acta 06) y </t>
    </r>
    <r>
      <rPr>
        <b/>
        <sz val="11"/>
        <rFont val="Arial Narrow"/>
        <family val="2"/>
      </rPr>
      <t>mes de febrero</t>
    </r>
    <r>
      <rPr>
        <sz val="11"/>
        <rFont val="Arial Narrow"/>
        <family val="2"/>
      </rPr>
      <t xml:space="preserve"> (acta 07 a la acta 12).</t>
    </r>
  </si>
  <si>
    <t xml:space="preserve">En este periodo no se tiene estipulado realizar esta actividad; ya que, se realizará de manera trimestral. </t>
  </si>
  <si>
    <t xml:space="preserve">En este periodo no se tiene estipulado realizar esta actividad; ya que, el comité de Coordinación de Control Interno y el informe de Reclamos se  realiza de manera trimestral. </t>
  </si>
  <si>
    <t xml:space="preserve">Incumplimiento a la oportunidad de respuesta de los PQRSD clasificados como Derechos de Petición a la Entidad. </t>
  </si>
  <si>
    <t>Durante el periodo de marzo y abril se realizaron los siguientes informes consolidados de seguimiento a las ventanillas: (04 al 08 de marzo, 11 al 15 de marzo, 18 al 22 de marzo, 01 al 05 de abril, 08 al 12 de abril, 15 al 19 de abril, 22 al 26 de abril y 29 al 03 de mayo).</t>
  </si>
  <si>
    <r>
      <t xml:space="preserve">Durante el periodo de marzo y abril se realizaron visitas a las seis Dependencias con más PQRSD vencidos se deja constancias en las siguientes actas: </t>
    </r>
    <r>
      <rPr>
        <b/>
        <sz val="11"/>
        <color theme="1"/>
        <rFont val="Arial Narrow"/>
        <family val="2"/>
      </rPr>
      <t>mes de marzo</t>
    </r>
    <r>
      <rPr>
        <sz val="11"/>
        <color theme="1"/>
        <rFont val="Arial Narrow"/>
        <family val="2"/>
      </rPr>
      <t xml:space="preserve"> (acta 13 a la acta 18) y </t>
    </r>
    <r>
      <rPr>
        <b/>
        <sz val="11"/>
        <color theme="1"/>
        <rFont val="Arial Narrow"/>
        <family val="2"/>
      </rPr>
      <t xml:space="preserve">mes de abril </t>
    </r>
    <r>
      <rPr>
        <sz val="11"/>
        <color theme="1"/>
        <rFont val="Arial Narrow"/>
        <family val="2"/>
      </rPr>
      <t>(acta 19 a la acta 24)</t>
    </r>
  </si>
  <si>
    <t>Se solicito mediante memorando #012317 del 02 de abril participación en el Comité de Coordinación de Control Interno. 
Se socializo a la Alcaldesa y Directivos el día 22 de abril informes de PQRSD, informe de Reclamos y acciones de seguimiento.</t>
  </si>
  <si>
    <t xml:space="preserve">Durante este periodo se adelantaron dos jornadas de capacitación en el manejo de correspondencia.
La citación de la capacitación se realizó mediante memorando 010505 del 14 de marzo para la Dirección de Rentas en el manejo adecuado de la correspondencia interna y externa en la plataforma documental PISAMI, traslados por competencia y los formatos de comunicación oficial de la Entidad.
La capacitación se llevo a cabo el día 22 de marzo a las 7:30 am y se dejo como evidencia el acta 06. 
La citación de la capacitación se realizó mediante memorando 013382 del 08 de abril para la Dirección Operativa de Movilidad en el manejo adecuado de la correspondencia interna y externa en la plataforma documental PISAMI, traslados por competencia y los formatos de comunicación oficial de la Entidad.
La capacitación se llevó a cabo el día 15 de abril a partir de las 2:30 pm y se dejó como evidencia el acta 08. </t>
  </si>
  <si>
    <r>
      <t>Durante el periodo de marzo y abril se realizaron las siguientes piezas gráficas:</t>
    </r>
    <r>
      <rPr>
        <b/>
        <sz val="11"/>
        <color theme="1"/>
        <rFont val="Arial Narrow"/>
        <family val="2"/>
      </rPr>
      <t xml:space="preserve"> 5.</t>
    </r>
    <r>
      <rPr>
        <sz val="11"/>
        <color theme="1"/>
        <rFont val="Arial Narrow"/>
        <family val="2"/>
      </rPr>
      <t xml:space="preserve">	Banner y piezas gráficas información semana santa – marzo </t>
    </r>
    <r>
      <rPr>
        <b/>
        <sz val="11"/>
        <color theme="1"/>
        <rFont val="Arial Narrow"/>
        <family val="2"/>
      </rPr>
      <t xml:space="preserve">6.	</t>
    </r>
    <r>
      <rPr>
        <sz val="11"/>
        <color theme="1"/>
        <rFont val="Arial Narrow"/>
        <family val="2"/>
      </rPr>
      <t xml:space="preserve">Piezas gráficas radicación y seguimiento PQRSD – marzo </t>
    </r>
    <r>
      <rPr>
        <b/>
        <sz val="11"/>
        <color theme="1"/>
        <rFont val="Arial Narrow"/>
        <family val="2"/>
      </rPr>
      <t>7.</t>
    </r>
    <r>
      <rPr>
        <sz val="11"/>
        <color theme="1"/>
        <rFont val="Arial Narrow"/>
        <family val="2"/>
      </rPr>
      <t xml:space="preserve"> Pieza gráfica requisitos para radicar tus PQRS en las ventanillas de la Administración Municipal - abril  </t>
    </r>
    <r>
      <rPr>
        <b/>
        <sz val="11"/>
        <color theme="1"/>
        <rFont val="Arial Narrow"/>
        <family val="2"/>
      </rPr>
      <t xml:space="preserve">8.	</t>
    </r>
    <r>
      <rPr>
        <sz val="11"/>
        <color theme="1"/>
        <rFont val="Arial Narrow"/>
        <family val="2"/>
      </rPr>
      <t>Pieza gráfica información de los Centros de Atención Municipal - abril</t>
    </r>
  </si>
  <si>
    <r>
      <t>Se realizaron los siguientes informes de oportunidad de respuesta de los traslados por competencia y se enviaron por correo institucional en los meses comprendidos entre marzo y abril: (Informe del mes de marzo enviado el 02 de abril e informes del mes de abril enviado e</t>
    </r>
    <r>
      <rPr>
        <sz val="11"/>
        <rFont val="Arial Narrow"/>
        <family val="2"/>
      </rPr>
      <t>l 02 de mayo</t>
    </r>
    <r>
      <rPr>
        <sz val="11"/>
        <color theme="1"/>
        <rFont val="Arial Narrow"/>
        <family val="2"/>
      </rPr>
      <t>).</t>
    </r>
  </si>
  <si>
    <t>Durante el periodo de mayo y junio se realizaron los siguientes informes consolidados de seguimiento a las ventanillas: (06 al 10 de mayo, 14 al 17 de mayo, 20 al 24 de mayo, 27 al 31 de mayo, 04 al 07 de junio, 11 al 14 de junio, 17 al 21 de junio y 25 al 28 de junio).</t>
  </si>
  <si>
    <r>
      <t xml:space="preserve">Durante el periodo de mayo y junio se realizaron las siguientes piezas gráficas: </t>
    </r>
    <r>
      <rPr>
        <b/>
        <sz val="11"/>
        <color theme="1"/>
        <rFont val="Arial Narrow"/>
        <family val="2"/>
      </rPr>
      <t xml:space="preserve">9.	</t>
    </r>
    <r>
      <rPr>
        <sz val="11"/>
        <color theme="1"/>
        <rFont val="Arial Narrow"/>
        <family val="2"/>
      </rPr>
      <t xml:space="preserve">Pieza gráfica informativa de la no atención por abastecimiento de agua – mayo </t>
    </r>
    <r>
      <rPr>
        <b/>
        <sz val="11"/>
        <color theme="1"/>
        <rFont val="Arial Narrow"/>
        <family val="2"/>
      </rPr>
      <t>10.</t>
    </r>
    <r>
      <rPr>
        <sz val="11"/>
        <color theme="1"/>
        <rFont val="Arial Narrow"/>
        <family val="2"/>
      </rPr>
      <t>Pieza gráfica de la atención en las ventanillas el día 08 de mayo – mayo</t>
    </r>
    <r>
      <rPr>
        <b/>
        <sz val="11"/>
        <color theme="1"/>
        <rFont val="Arial Narrow"/>
        <family val="2"/>
      </rPr>
      <t xml:space="preserve"> 11.</t>
    </r>
    <r>
      <rPr>
        <sz val="11"/>
        <color theme="1"/>
        <rFont val="Arial Narrow"/>
        <family val="2"/>
      </rPr>
      <t xml:space="preserve"> Pieza gráfica atención especial el día 08 de mayo - mayo </t>
    </r>
    <r>
      <rPr>
        <b/>
        <sz val="11"/>
        <color theme="1"/>
        <rFont val="Arial Narrow"/>
        <family val="2"/>
      </rPr>
      <t>12.</t>
    </r>
    <r>
      <rPr>
        <sz val="11"/>
        <color theme="1"/>
        <rFont val="Arial Narrow"/>
        <family val="2"/>
      </rPr>
      <t xml:space="preserve">Banner y pieza gráfica jornada especial por el día de la salud- junio </t>
    </r>
    <r>
      <rPr>
        <b/>
        <sz val="11"/>
        <color theme="1"/>
        <rFont val="Arial Narrow"/>
        <family val="2"/>
      </rPr>
      <t>13.</t>
    </r>
    <r>
      <rPr>
        <sz val="11"/>
        <color theme="1"/>
        <rFont val="Arial Narrow"/>
        <family val="2"/>
      </rPr>
      <t xml:space="preserve"> Banner y pieza gráfica del horario de atención del día 14 de junio por actividades internas de la Alcaldía - junio  </t>
    </r>
    <r>
      <rPr>
        <b/>
        <sz val="11"/>
        <color theme="1"/>
        <rFont val="Arial Narrow"/>
        <family val="2"/>
      </rPr>
      <t>14.</t>
    </r>
    <r>
      <rPr>
        <sz val="11"/>
        <color theme="1"/>
        <rFont val="Arial Narrow"/>
        <family val="2"/>
      </rPr>
      <t xml:space="preserve">	Banner y pieza gráfica informativa de la no atención por ser día cívico - junio</t>
    </r>
  </si>
  <si>
    <t xml:space="preserve">Durante este periodo se adelanto una jornadas de capacitación en el manejo de correspondencia.
La citación de la capacitación se realizó mediante memorando 020080 del 17 de mayo para la Dirección de Información y Aplicación de la Norma Urbanistica en el manejo adecuado de la correspondencia interna y externa en la plataforma documental PISAMI, traslados por competencia y los formatos de comunicación oficial de la Entidad.
La capacitación se llevo a cabo el día 23 de mayo a las 9:00 am y se dejo como evidencia el acta 14. </t>
  </si>
  <si>
    <r>
      <t>Durante el periodo de mayo y junio se realizaron visitas a las seis Dependencias con más PQRSD vencidos se deja constancias en las siguientes actas:</t>
    </r>
    <r>
      <rPr>
        <b/>
        <sz val="11"/>
        <color theme="1"/>
        <rFont val="Arial Narrow"/>
        <family val="2"/>
      </rPr>
      <t xml:space="preserve"> mes de mayo</t>
    </r>
    <r>
      <rPr>
        <sz val="11"/>
        <color theme="1"/>
        <rFont val="Arial Narrow"/>
        <family val="2"/>
      </rPr>
      <t xml:space="preserve"> (acta 25 a la acta 30) y </t>
    </r>
    <r>
      <rPr>
        <b/>
        <sz val="11"/>
        <color theme="1"/>
        <rFont val="Arial Narrow"/>
        <family val="2"/>
      </rPr>
      <t>mes de junio</t>
    </r>
    <r>
      <rPr>
        <sz val="11"/>
        <color theme="1"/>
        <rFont val="Arial Narrow"/>
        <family val="2"/>
      </rPr>
      <t xml:space="preserve"> (acta 31 a la acta 36)</t>
    </r>
  </si>
  <si>
    <t>Se realizaron los siguientes informes de oportunidad de respuesta de los traslados por competencia y se enviaron por correo institucional en los meses comprendidos entre mayo y junio: (Informe del mes de mayo  enviado el 05 de junio e informe del mes de junio enviado el 02 de julio).</t>
  </si>
  <si>
    <t>Se solicito mediante memorando #027678 del 02 de julio participación en el Comité de Coordinación de Control Interno. 
Se socializo a la Alcaldesa y Directivos el día 25 de julio informes de PQRSD, informe de Reclamos y acciones de seguimiento.</t>
  </si>
  <si>
    <t xml:space="preserve">PROCESO: SISTEMA INTEGRADO DE GESTIÓN </t>
  </si>
  <si>
    <t>Codigo:FOR-029-PRO-SIG-01</t>
  </si>
  <si>
    <t>Versión: 01</t>
  </si>
  <si>
    <t>FORMATO: CONTEXTO ESTRATEGICO</t>
  </si>
  <si>
    <t>Fecha: 21/02/2024</t>
  </si>
  <si>
    <t>Pagina:  1 de 1</t>
  </si>
  <si>
    <t>FORMATO: PRIORIZACION DE CAUSAS (Amenazas y Debilidades)</t>
  </si>
  <si>
    <t>Fecha:21/02/2024</t>
  </si>
  <si>
    <t>Codigo: FOR-029-PRO-SIG-01</t>
  </si>
  <si>
    <t>FORMATO: MATRIZ DOFA</t>
  </si>
  <si>
    <r>
      <t>Se realizaron los siguientes informes de oportunidad de respuesta de los traslados por competencia y se enviaron por correo institucional en los meses comprendidos entre julio y agosto: (Informe del mes de julio  enviado el 02 de agosto e informe del mes de agosto</t>
    </r>
    <r>
      <rPr>
        <sz val="11"/>
        <color rgb="FFFF0000"/>
        <rFont val="Arial Narrow"/>
        <family val="2"/>
      </rPr>
      <t xml:space="preserve"> </t>
    </r>
    <r>
      <rPr>
        <sz val="11"/>
        <rFont val="Arial Narrow"/>
        <family val="2"/>
      </rPr>
      <t>enviado el 02 de septiembre).</t>
    </r>
  </si>
  <si>
    <r>
      <t>Durante el periodo de julio y agosto se realizaron visitas a las seis Dependencias con más PQRSD vencidos se deja constancias en las siguientes actas:</t>
    </r>
    <r>
      <rPr>
        <b/>
        <sz val="11"/>
        <color theme="1"/>
        <rFont val="Arial Narrow"/>
        <family val="2"/>
      </rPr>
      <t xml:space="preserve"> mes de julio</t>
    </r>
    <r>
      <rPr>
        <sz val="11"/>
        <color theme="1"/>
        <rFont val="Arial Narrow"/>
        <family val="2"/>
      </rPr>
      <t xml:space="preserve"> (acta 37 a la acta 42) y </t>
    </r>
    <r>
      <rPr>
        <b/>
        <sz val="11"/>
        <color theme="1"/>
        <rFont val="Arial Narrow"/>
        <family val="2"/>
      </rPr>
      <t>mes de agosto</t>
    </r>
    <r>
      <rPr>
        <sz val="11"/>
        <color theme="1"/>
        <rFont val="Arial Narrow"/>
        <family val="2"/>
      </rPr>
      <t xml:space="preserve"> (acta 43 a la acta 48)</t>
    </r>
  </si>
  <si>
    <t>Durante el periodo de julio y agosto se realizaron los siguientes informes consolidados de seguimiento a las ventanillas: (02 al 05 de julio, 08 al 12 de julio, 16 al 29 de julio, 22 al 26 de julio, 29 de julio al 02 de agosto, 05 al 09 de agosto, 12 al 16 de agosto, 20 al 23 de agosto y del 26 al 30 de agosto).</t>
  </si>
  <si>
    <r>
      <t xml:space="preserve">Durante el periodo de septiembre y octubre se realizaron visitas a las seis Dependencias con más PQRSD vencidos se deja constancias en las siguientes actas: </t>
    </r>
    <r>
      <rPr>
        <b/>
        <sz val="11"/>
        <color theme="1"/>
        <rFont val="Arial Narrow"/>
        <family val="2"/>
      </rPr>
      <t xml:space="preserve">mes de septiembre </t>
    </r>
    <r>
      <rPr>
        <sz val="11"/>
        <color theme="1"/>
        <rFont val="Arial Narrow"/>
        <family val="2"/>
      </rPr>
      <t xml:space="preserve">(acta 49 a la acta 54) y </t>
    </r>
    <r>
      <rPr>
        <b/>
        <sz val="11"/>
        <color theme="1"/>
        <rFont val="Arial Narrow"/>
        <family val="2"/>
      </rPr>
      <t>mes de octubre</t>
    </r>
    <r>
      <rPr>
        <sz val="11"/>
        <color theme="1"/>
        <rFont val="Arial Narrow"/>
        <family val="2"/>
      </rPr>
      <t xml:space="preserve"> (acta 55 a la acta 60)</t>
    </r>
  </si>
  <si>
    <r>
      <t xml:space="preserve">Durante el periodo de septiembre y octubre se realizaron los siguientes informes consolidados de seguimiento a las ventanillas: </t>
    </r>
    <r>
      <rPr>
        <sz val="11"/>
        <rFont val="Arial Narrow"/>
        <family val="2"/>
      </rPr>
      <t>(02 al 06 de septiembre, 09 al 13 de septiembre, 16 al 20 de septiembre, 23 al 27 de septiembre, 30 de septiembre al 04 de octubre, 07 al 11 de octubre, 15 al 18 de octubre, 21 al 25 de octubre y del 28 de octubre al 01 de noviembre</t>
    </r>
    <r>
      <rPr>
        <sz val="11"/>
        <color theme="1"/>
        <rFont val="Arial Narrow"/>
        <family val="2"/>
      </rPr>
      <t>).</t>
    </r>
  </si>
  <si>
    <t>Se realizaron los siguientes informes de oportunidad de respuesta de los traslados por competencia y se enviaron por correo institucional en los meses comprendidos entre septiembre y octubre: (Informe del mes de septiembre  enviado el 01 de octubre e informe del mes de octubre enviado el 06 de noviembre).</t>
  </si>
  <si>
    <t>Se solicito mediante memorando #045512 del 02 de octubre participación en el Comité de Coordinación de Control Interno. 
Se socializo a la Alcaldesa y Directivos el día 24 de octubre informes de PQRSD, informe de Reclamos y acciones de seguimiento.</t>
  </si>
  <si>
    <r>
      <t xml:space="preserve">Durante el periodo de julio y agosto se realizaron las siguientes piezas gráficas: </t>
    </r>
    <r>
      <rPr>
        <b/>
        <sz val="11"/>
        <color theme="1"/>
        <rFont val="Arial Narrow"/>
        <family val="2"/>
      </rPr>
      <t>15.</t>
    </r>
    <r>
      <rPr>
        <sz val="11"/>
        <color theme="1"/>
        <rFont val="Arial Narrow"/>
        <family val="2"/>
      </rPr>
      <t xml:space="preserve">	Comunicación de día cívico para la Alcaldía de Ibagué - julio
</t>
    </r>
    <r>
      <rPr>
        <b/>
        <sz val="11"/>
        <color theme="1"/>
        <rFont val="Arial Narrow"/>
        <family val="2"/>
      </rPr>
      <t>16.</t>
    </r>
    <r>
      <rPr>
        <sz val="11"/>
        <color theme="1"/>
        <rFont val="Arial Narrow"/>
        <family val="2"/>
      </rPr>
      <t xml:space="preserve">	Socialización de los CAMS (Centros de Atención Municipal) - julio
</t>
    </r>
    <r>
      <rPr>
        <b/>
        <sz val="11"/>
        <color theme="1"/>
        <rFont val="Arial Narrow"/>
        <family val="2"/>
      </rPr>
      <t>17.</t>
    </r>
    <r>
      <rPr>
        <sz val="11"/>
        <color theme="1"/>
        <rFont val="Arial Narrow"/>
        <family val="2"/>
      </rPr>
      <t xml:space="preserve">	Requisitos para radicar tus PQRSD en las ventanillas – julio
</t>
    </r>
    <r>
      <rPr>
        <b/>
        <sz val="11"/>
        <color theme="1"/>
        <rFont val="Arial Narrow"/>
        <family val="2"/>
      </rPr>
      <t>18.</t>
    </r>
    <r>
      <rPr>
        <sz val="11"/>
        <color theme="1"/>
        <rFont val="Arial Narrow"/>
        <family val="2"/>
      </rPr>
      <t xml:space="preserve"> Renovación red telefonica </t>
    </r>
  </si>
  <si>
    <r>
      <t>Durante el periodo de septiembre y octubre se realizaron las siguientes piezas gráficas:</t>
    </r>
    <r>
      <rPr>
        <b/>
        <sz val="11"/>
        <color theme="1"/>
        <rFont val="Arial Narrow"/>
        <family val="2"/>
      </rPr>
      <t xml:space="preserve"> 19.</t>
    </r>
    <r>
      <rPr>
        <sz val="11"/>
        <color theme="1"/>
        <rFont val="Arial Narrow"/>
        <family val="2"/>
      </rPr>
      <t xml:space="preserve">	Suspensión temporal de atención al público el día 23 de septiembre - septiembre
</t>
    </r>
    <r>
      <rPr>
        <b/>
        <sz val="11"/>
        <color theme="1"/>
        <rFont val="Arial Narrow"/>
        <family val="2"/>
      </rPr>
      <t>20.</t>
    </r>
    <r>
      <rPr>
        <sz val="11"/>
        <color theme="1"/>
        <rFont val="Arial Narrow"/>
        <family val="2"/>
      </rPr>
      <t xml:space="preserve">	Socialización de las líneas de atención al ciudadano (línea fija y canal antifraude) - octubre
</t>
    </r>
    <r>
      <rPr>
        <b/>
        <sz val="11"/>
        <color theme="1"/>
        <rFont val="Arial Narrow"/>
        <family val="2"/>
      </rPr>
      <t xml:space="preserve">21.	</t>
    </r>
    <r>
      <rPr>
        <sz val="11"/>
        <color theme="1"/>
        <rFont val="Arial Narrow"/>
        <family val="2"/>
      </rPr>
      <t xml:space="preserve">Cambio del correo institucional para realizar cambios internos de PQRSD (traslados) – </t>
    </r>
    <r>
      <rPr>
        <sz val="11"/>
        <rFont val="Arial Narrow"/>
        <family val="2"/>
      </rPr>
      <t>octubre</t>
    </r>
    <r>
      <rPr>
        <sz val="11"/>
        <color theme="1"/>
        <rFont val="Arial Narrow"/>
        <family val="2"/>
      </rPr>
      <t xml:space="preserve">
</t>
    </r>
    <r>
      <rPr>
        <b/>
        <sz val="11"/>
        <color theme="1"/>
        <rFont val="Arial Narrow"/>
        <family val="2"/>
      </rPr>
      <t xml:space="preserve">22. </t>
    </r>
    <r>
      <rPr>
        <sz val="11"/>
        <color theme="1"/>
        <rFont val="Arial Narrow"/>
        <family val="2"/>
      </rPr>
      <t>Atención al público los sábados 19 y 26 de octubre; 23 y 30 de noviembre - octubre</t>
    </r>
  </si>
  <si>
    <t xml:space="preserve">Durante este periodo se adelanto una jornada de capacitación en el manejo de correspondencia.
La Dirección de Ambiente y Gestión del Riesgo solicito capacitación en el manejo adecuado de la correspondencia interna y externa en la plataforma documental PISAMI, traslados por competencia y los formatos de comunicación oficial de la Entidad mediante memorando #046413 del 07 de octubre.
La capacitación se llevo a cabo el día 17 de octubre a las 9:00 am y se dejo como evidencia el acta 22. </t>
  </si>
  <si>
    <t>PROCESO:</t>
  </si>
  <si>
    <t>Tipo de Riesgo</t>
  </si>
  <si>
    <t>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</si>
</sst>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sz val="9"/>
      <color indexed="81"/>
      <name val="Tahoma"/>
      <family val="2"/>
    </font>
    <font>
      <b/>
      <sz val="9"/>
      <color indexed="81"/>
      <name val="Tahoma"/>
      <family val="2"/>
    </font>
    <font>
      <b/>
      <sz val="12"/>
      <color theme="1"/>
      <name val="Arial"/>
      <family val="2"/>
    </font>
    <font>
      <sz val="11"/>
      <color theme="1"/>
      <name val="Arial"/>
      <family val="2"/>
    </font>
    <font>
      <sz val="11"/>
      <color indexed="8"/>
      <name val="Arial"/>
      <family val="2"/>
    </font>
    <font>
      <sz val="1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sz val="10"/>
      <color theme="1"/>
      <name val="Arial"/>
      <family val="2"/>
    </font>
    <font>
      <sz val="11"/>
      <color rgb="FFFF0000"/>
      <name val="Arial Narrow"/>
      <family val="2"/>
    </font>
    <font>
      <b/>
      <sz val="12"/>
      <color indexed="8"/>
      <name val="Arial"/>
      <family val="2"/>
    </font>
    <font>
      <b/>
      <sz val="11"/>
      <color indexed="8"/>
      <name val="Arial"/>
      <family val="2"/>
    </font>
    <font>
      <b/>
      <sz val="11"/>
      <color indexed="17"/>
      <name val="Arial"/>
      <family val="2"/>
    </font>
    <font>
      <sz val="10"/>
      <color theme="0"/>
      <name val="Arial"/>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rgb="FF00B0F0"/>
        <bgColor indexed="64"/>
      </patternFill>
    </fill>
    <fill>
      <patternFill patternType="solid">
        <fgColor theme="6" tint="0.39997558519241921"/>
        <bgColor indexed="64"/>
      </patternFill>
    </fill>
  </fills>
  <borders count="10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64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0" xfId="0" applyFont="1" applyFill="1" applyBorder="1" applyAlignment="1">
      <alignment horizontal="center" vertical="center" wrapText="1" readingOrder="1"/>
    </xf>
    <xf numFmtId="0" fontId="10" fillId="0" borderId="10" xfId="0" applyFont="1" applyBorder="1" applyAlignment="1">
      <alignment horizontal="justify" vertical="center" wrapText="1" readingOrder="1"/>
    </xf>
    <xf numFmtId="9" fontId="10" fillId="0" borderId="10"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1"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2" borderId="13"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4" xfId="0" applyFont="1" applyFill="1" applyBorder="1" applyAlignment="1" applyProtection="1">
      <alignment horizont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2" borderId="15"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2" borderId="16"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22" fillId="13" borderId="18" xfId="0" applyFont="1" applyFill="1" applyBorder="1" applyAlignment="1" applyProtection="1">
      <alignment horizontal="center" wrapText="1" readingOrder="1"/>
      <protection hidden="1"/>
    </xf>
    <xf numFmtId="0" fontId="0" fillId="3" borderId="0" xfId="0" applyFill="1"/>
    <xf numFmtId="0" fontId="40" fillId="3" borderId="49" xfId="2" applyFont="1" applyFill="1" applyBorder="1"/>
    <xf numFmtId="0" fontId="40" fillId="3" borderId="50" xfId="2" applyFont="1" applyFill="1" applyBorder="1"/>
    <xf numFmtId="0" fontId="40" fillId="3" borderId="51"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2" xfId="0" applyFont="1" applyFill="1" applyBorder="1" applyAlignment="1">
      <alignment horizontal="center" vertical="center" wrapText="1" readingOrder="1"/>
    </xf>
    <xf numFmtId="0" fontId="30" fillId="3" borderId="32" xfId="0" applyFont="1" applyFill="1" applyBorder="1" applyAlignment="1">
      <alignment horizontal="justify" vertical="center" wrapText="1" readingOrder="1"/>
    </xf>
    <xf numFmtId="9" fontId="29" fillId="3" borderId="41" xfId="0" applyNumberFormat="1" applyFont="1" applyFill="1" applyBorder="1" applyAlignment="1">
      <alignment horizontal="center" vertical="center" wrapText="1" readingOrder="1"/>
    </xf>
    <xf numFmtId="0" fontId="29" fillId="3" borderId="31" xfId="0" applyFont="1" applyFill="1" applyBorder="1" applyAlignment="1">
      <alignment horizontal="center" vertical="center" wrapText="1" readingOrder="1"/>
    </xf>
    <xf numFmtId="0" fontId="30" fillId="3" borderId="31" xfId="0" applyFont="1" applyFill="1" applyBorder="1" applyAlignment="1">
      <alignment horizontal="justify" vertical="center" wrapText="1" readingOrder="1"/>
    </xf>
    <xf numFmtId="9" fontId="29" fillId="3" borderId="36" xfId="0" applyNumberFormat="1" applyFont="1" applyFill="1" applyBorder="1" applyAlignment="1">
      <alignment horizontal="center" vertical="center" wrapText="1" readingOrder="1"/>
    </xf>
    <xf numFmtId="0" fontId="30" fillId="3" borderId="36" xfId="0" applyFont="1" applyFill="1" applyBorder="1" applyAlignment="1">
      <alignment horizontal="center" vertical="center" wrapText="1" readingOrder="1"/>
    </xf>
    <xf numFmtId="0" fontId="29" fillId="3" borderId="38" xfId="0" applyFont="1" applyFill="1" applyBorder="1" applyAlignment="1">
      <alignment horizontal="center" vertical="center" wrapText="1" readingOrder="1"/>
    </xf>
    <xf numFmtId="0" fontId="30" fillId="3" borderId="38" xfId="0" applyFont="1" applyFill="1" applyBorder="1" applyAlignment="1">
      <alignment horizontal="justify" vertical="center" wrapText="1" readingOrder="1"/>
    </xf>
    <xf numFmtId="0" fontId="30" fillId="3" borderId="39" xfId="0" applyFont="1" applyFill="1" applyBorder="1" applyAlignment="1">
      <alignment horizontal="center" vertical="center" wrapText="1" readingOrder="1"/>
    </xf>
    <xf numFmtId="0" fontId="37" fillId="3" borderId="0" xfId="0" applyFont="1" applyFill="1"/>
    <xf numFmtId="0" fontId="29" fillId="15" borderId="43" xfId="0" applyFont="1" applyFill="1" applyBorder="1" applyAlignment="1">
      <alignment horizontal="center" vertical="center" wrapText="1" readingOrder="1"/>
    </xf>
    <xf numFmtId="0" fontId="29" fillId="15" borderId="44"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3"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4" xfId="2" applyFont="1" applyFill="1" applyBorder="1"/>
    <xf numFmtId="0" fontId="40" fillId="3" borderId="15" xfId="2" applyFont="1" applyFill="1" applyBorder="1"/>
    <xf numFmtId="0" fontId="40" fillId="3" borderId="17" xfId="2" applyFont="1" applyFill="1" applyBorder="1"/>
    <xf numFmtId="0" fontId="40" fillId="3" borderId="16"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3"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4"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0" xfId="0" applyFont="1" applyFill="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0"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7" xfId="0" applyFont="1" applyFill="1" applyBorder="1" applyAlignment="1">
      <alignment horizontal="center" vertical="center"/>
    </xf>
    <xf numFmtId="0" fontId="1" fillId="0" borderId="73" xfId="0" applyFont="1" applyBorder="1" applyAlignment="1" applyProtection="1">
      <alignment horizontal="center" vertical="top" wrapText="1"/>
      <protection locked="0"/>
    </xf>
    <xf numFmtId="0" fontId="2" fillId="0" borderId="73"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27" fillId="0" borderId="73" xfId="0" applyFont="1" applyBorder="1" applyAlignment="1" applyProtection="1">
      <alignment horizontal="left" vertical="top" wrapText="1"/>
      <protection locked="0"/>
    </xf>
    <xf numFmtId="0" fontId="1" fillId="0" borderId="73" xfId="0" applyFont="1" applyBorder="1" applyAlignment="1" applyProtection="1">
      <alignment horizontal="left" vertical="top" wrapText="1"/>
      <protection locked="0"/>
    </xf>
    <xf numFmtId="0" fontId="27" fillId="3" borderId="73" xfId="0" applyFont="1" applyFill="1" applyBorder="1" applyAlignment="1">
      <alignment vertical="center" wrapText="1"/>
    </xf>
    <xf numFmtId="0" fontId="27" fillId="0" borderId="2" xfId="0" applyFont="1" applyBorder="1" applyAlignment="1" applyProtection="1">
      <alignment horizontal="justify" vertical="top" wrapText="1"/>
      <protection locked="0"/>
    </xf>
    <xf numFmtId="0" fontId="27" fillId="0" borderId="2" xfId="0" applyFont="1" applyBorder="1" applyAlignment="1" applyProtection="1">
      <alignment horizontal="justify" vertical="top"/>
      <protection locked="0"/>
    </xf>
    <xf numFmtId="14" fontId="27" fillId="0" borderId="2" xfId="0" applyNumberFormat="1"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27"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14" fontId="27" fillId="0" borderId="4" xfId="0" applyNumberFormat="1" applyFont="1" applyBorder="1" applyAlignment="1" applyProtection="1">
      <alignment horizontal="center" vertical="center"/>
      <protection locked="0"/>
    </xf>
    <xf numFmtId="0" fontId="4" fillId="2" borderId="3" xfId="0" applyFont="1" applyFill="1" applyBorder="1" applyAlignment="1">
      <alignment vertical="center"/>
    </xf>
    <xf numFmtId="0" fontId="4" fillId="2" borderId="29" xfId="0" applyFont="1" applyFill="1" applyBorder="1" applyAlignment="1">
      <alignment vertical="center"/>
    </xf>
    <xf numFmtId="0" fontId="4" fillId="2" borderId="6" xfId="0" applyFont="1" applyFill="1" applyBorder="1" applyAlignment="1">
      <alignment vertical="center"/>
    </xf>
    <xf numFmtId="0" fontId="4" fillId="2" borderId="9" xfId="0" applyFont="1" applyFill="1" applyBorder="1" applyAlignment="1">
      <alignment vertical="center"/>
    </xf>
    <xf numFmtId="0" fontId="4" fillId="2" borderId="30" xfId="0" applyFont="1" applyFill="1" applyBorder="1" applyAlignment="1">
      <alignment vertical="center"/>
    </xf>
    <xf numFmtId="0" fontId="27" fillId="0" borderId="6" xfId="0" applyFont="1" applyBorder="1" applyAlignment="1" applyProtection="1">
      <alignment horizontal="center" vertical="center"/>
      <protection locked="0"/>
    </xf>
    <xf numFmtId="0" fontId="27" fillId="0" borderId="2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4" fillId="3" borderId="31" xfId="0" applyFont="1" applyFill="1" applyBorder="1" applyAlignment="1">
      <alignment horizontal="center" vertical="center"/>
    </xf>
    <xf numFmtId="0" fontId="1" fillId="3" borderId="31" xfId="0" applyFont="1" applyFill="1" applyBorder="1" applyAlignment="1">
      <alignment vertical="center" wrapText="1"/>
    </xf>
    <xf numFmtId="0" fontId="2" fillId="3" borderId="31" xfId="0" applyFont="1" applyFill="1" applyBorder="1" applyAlignment="1">
      <alignment vertical="center" wrapText="1"/>
    </xf>
    <xf numFmtId="0" fontId="1" fillId="0" borderId="31" xfId="0" applyFont="1" applyBorder="1" applyAlignment="1">
      <alignment vertical="center" wrapText="1"/>
    </xf>
    <xf numFmtId="0" fontId="60" fillId="17" borderId="79" xfId="0" applyFont="1" applyFill="1" applyBorder="1" applyAlignment="1">
      <alignment vertical="center"/>
    </xf>
    <xf numFmtId="0" fontId="60" fillId="17" borderId="80" xfId="0" applyFont="1" applyFill="1" applyBorder="1" applyAlignment="1">
      <alignment horizontal="center" vertical="center"/>
    </xf>
    <xf numFmtId="0" fontId="60" fillId="17" borderId="81" xfId="0" applyFont="1" applyFill="1" applyBorder="1" applyAlignment="1">
      <alignment horizontal="center" vertical="center"/>
    </xf>
    <xf numFmtId="0" fontId="61" fillId="18" borderId="82" xfId="0" applyFont="1" applyFill="1" applyBorder="1" applyAlignment="1">
      <alignment vertical="center" wrapText="1"/>
    </xf>
    <xf numFmtId="0" fontId="61" fillId="18" borderId="83" xfId="0" applyFont="1" applyFill="1" applyBorder="1" applyAlignment="1">
      <alignment vertical="center" wrapText="1"/>
    </xf>
    <xf numFmtId="0" fontId="61" fillId="18" borderId="35" xfId="0" applyFont="1" applyFill="1" applyBorder="1" applyAlignment="1">
      <alignment vertical="center" wrapText="1"/>
    </xf>
    <xf numFmtId="0" fontId="61" fillId="18" borderId="31" xfId="0" applyFont="1" applyFill="1" applyBorder="1" applyAlignment="1">
      <alignment vertical="center" wrapText="1"/>
    </xf>
    <xf numFmtId="0" fontId="61" fillId="0" borderId="31" xfId="0" applyFont="1" applyBorder="1" applyAlignment="1">
      <alignment horizontal="left" vertical="center" wrapText="1"/>
    </xf>
    <xf numFmtId="0" fontId="61" fillId="0" borderId="36" xfId="0" applyFont="1" applyBorder="1" applyAlignment="1">
      <alignment horizontal="left" vertical="center" wrapText="1"/>
    </xf>
    <xf numFmtId="0" fontId="63" fillId="0" borderId="31" xfId="0" applyFont="1" applyBorder="1" applyAlignment="1">
      <alignment horizontal="left" vertical="center" wrapText="1"/>
    </xf>
    <xf numFmtId="0" fontId="61" fillId="18" borderId="37" xfId="0" applyFont="1" applyFill="1" applyBorder="1" applyAlignment="1">
      <alignment vertical="center" wrapText="1"/>
    </xf>
    <xf numFmtId="0" fontId="61" fillId="0" borderId="38" xfId="0" applyFont="1" applyBorder="1" applyAlignment="1">
      <alignment horizontal="left" vertical="center" wrapText="1"/>
    </xf>
    <xf numFmtId="0" fontId="61" fillId="18" borderId="38" xfId="0" applyFont="1" applyFill="1" applyBorder="1" applyAlignment="1">
      <alignment vertical="center" wrapText="1"/>
    </xf>
    <xf numFmtId="0" fontId="63" fillId="0" borderId="38" xfId="0" applyFont="1" applyBorder="1" applyAlignment="1">
      <alignment horizontal="left" vertical="center" wrapText="1"/>
    </xf>
    <xf numFmtId="0" fontId="61" fillId="0" borderId="39" xfId="0" applyFont="1" applyBorder="1" applyAlignment="1">
      <alignment horizontal="left" vertical="center" wrapText="1"/>
    </xf>
    <xf numFmtId="0" fontId="0" fillId="0" borderId="0" xfId="0" applyAlignment="1">
      <alignment wrapText="1"/>
    </xf>
    <xf numFmtId="0" fontId="61" fillId="3" borderId="0" xfId="0" applyFont="1" applyFill="1" applyAlignment="1">
      <alignment horizontal="left" vertical="center" wrapText="1"/>
    </xf>
    <xf numFmtId="0" fontId="65" fillId="19" borderId="32" xfId="0" applyFont="1" applyFill="1" applyBorder="1" applyAlignment="1">
      <alignment horizontal="center" vertical="center" wrapText="1"/>
    </xf>
    <xf numFmtId="0" fontId="64" fillId="19" borderId="32" xfId="0" applyFont="1" applyFill="1" applyBorder="1" applyAlignment="1">
      <alignment horizontal="center" vertical="center" wrapText="1"/>
    </xf>
    <xf numFmtId="0" fontId="66" fillId="19" borderId="32" xfId="0" applyFont="1" applyFill="1" applyBorder="1" applyAlignment="1">
      <alignment horizontal="center" vertical="center" wrapText="1"/>
    </xf>
    <xf numFmtId="165" fontId="66" fillId="19" borderId="86" xfId="0" applyNumberFormat="1" applyFont="1" applyFill="1" applyBorder="1" applyAlignment="1">
      <alignment horizontal="center" vertical="center" wrapText="1"/>
    </xf>
    <xf numFmtId="0" fontId="61" fillId="0" borderId="31" xfId="0" applyFont="1" applyBorder="1" applyAlignment="1">
      <alignment horizontal="center" vertical="center"/>
    </xf>
    <xf numFmtId="0" fontId="61" fillId="0" borderId="31" xfId="0" applyFont="1" applyBorder="1" applyAlignment="1" applyProtection="1">
      <alignment horizontal="center" vertical="center"/>
      <protection locked="0"/>
    </xf>
    <xf numFmtId="166" fontId="61" fillId="0" borderId="88" xfId="0" applyNumberFormat="1" applyFont="1" applyBorder="1" applyAlignment="1">
      <alignment horizontal="center" vertical="center"/>
    </xf>
    <xf numFmtId="0" fontId="0" fillId="0" borderId="90" xfId="0" applyBorder="1" applyAlignment="1" applyProtection="1">
      <alignment vertical="top"/>
      <protection locked="0"/>
    </xf>
    <xf numFmtId="165" fontId="61" fillId="0" borderId="88" xfId="0" applyNumberFormat="1" applyFont="1" applyBorder="1" applyAlignment="1">
      <alignment horizontal="center" vertical="center"/>
    </xf>
    <xf numFmtId="0" fontId="61" fillId="0" borderId="78" xfId="0" applyFont="1" applyBorder="1" applyAlignment="1">
      <alignment horizontal="center" vertical="center"/>
    </xf>
    <xf numFmtId="0" fontId="61" fillId="0" borderId="78" xfId="0" applyFont="1" applyBorder="1" applyAlignment="1">
      <alignment horizontal="left" vertical="center" wrapText="1"/>
    </xf>
    <xf numFmtId="0" fontId="61" fillId="0" borderId="78" xfId="0" applyFont="1" applyBorder="1" applyAlignment="1" applyProtection="1">
      <alignment horizontal="center" vertical="center"/>
      <protection locked="0"/>
    </xf>
    <xf numFmtId="165" fontId="61" fillId="0" borderId="91" xfId="0" applyNumberFormat="1" applyFont="1" applyBorder="1" applyAlignment="1">
      <alignment horizontal="center" vertical="center"/>
    </xf>
    <xf numFmtId="165" fontId="61" fillId="20" borderId="84" xfId="0" applyNumberFormat="1" applyFont="1" applyFill="1" applyBorder="1" applyAlignment="1">
      <alignment vertical="center"/>
    </xf>
    <xf numFmtId="165" fontId="61" fillId="8" borderId="39" xfId="0" applyNumberFormat="1" applyFont="1" applyFill="1" applyBorder="1" applyAlignment="1">
      <alignment vertical="center"/>
    </xf>
    <xf numFmtId="0" fontId="61" fillId="3" borderId="85" xfId="0" applyFont="1" applyFill="1" applyBorder="1" applyAlignment="1">
      <alignment vertical="center" wrapText="1"/>
    </xf>
    <xf numFmtId="0" fontId="67" fillId="19" borderId="87" xfId="0" applyFont="1" applyFill="1" applyBorder="1" applyAlignment="1">
      <alignment vertical="center" wrapText="1"/>
    </xf>
    <xf numFmtId="0" fontId="0" fillId="0" borderId="89" xfId="0" applyBorder="1" applyAlignment="1" applyProtection="1">
      <alignment vertical="top"/>
      <protection locked="0"/>
    </xf>
    <xf numFmtId="0" fontId="0" fillId="0" borderId="90" xfId="0" applyBorder="1"/>
    <xf numFmtId="0" fontId="0" fillId="0" borderId="92" xfId="0" applyBorder="1"/>
    <xf numFmtId="0" fontId="1" fillId="3" borderId="31" xfId="0" applyFont="1" applyFill="1" applyBorder="1" applyAlignment="1">
      <alignment vertical="center"/>
    </xf>
    <xf numFmtId="0" fontId="1" fillId="3" borderId="31" xfId="0" applyFont="1" applyFill="1" applyBorder="1"/>
    <xf numFmtId="0" fontId="27" fillId="3" borderId="2" xfId="0" applyFont="1" applyFill="1" applyBorder="1" applyAlignment="1" applyProtection="1">
      <alignment horizontal="center" vertical="center" wrapText="1"/>
      <protection locked="0"/>
    </xf>
    <xf numFmtId="0" fontId="27" fillId="3" borderId="4" xfId="0" applyFont="1" applyFill="1" applyBorder="1" applyAlignment="1" applyProtection="1">
      <alignment horizontal="center" vertical="center" wrapText="1"/>
      <protection locked="0"/>
    </xf>
    <xf numFmtId="0" fontId="27" fillId="3" borderId="73" xfId="0" applyFont="1" applyFill="1" applyBorder="1" applyAlignment="1" applyProtection="1">
      <alignment horizontal="left" vertical="top" wrapText="1"/>
      <protection locked="0"/>
    </xf>
    <xf numFmtId="0" fontId="27" fillId="3" borderId="73" xfId="0" applyFont="1" applyFill="1" applyBorder="1" applyAlignment="1" applyProtection="1">
      <alignment horizontal="center" vertical="top" wrapText="1"/>
      <protection locked="0"/>
    </xf>
    <xf numFmtId="0" fontId="27" fillId="3" borderId="2" xfId="0" applyFont="1" applyFill="1" applyBorder="1" applyAlignment="1" applyProtection="1">
      <alignment horizontal="justify" vertical="top" wrapText="1"/>
      <protection locked="0"/>
    </xf>
    <xf numFmtId="0" fontId="61" fillId="0" borderId="83" xfId="0" applyFont="1" applyBorder="1" applyAlignment="1">
      <alignment vertical="center" wrapText="1"/>
    </xf>
    <xf numFmtId="0" fontId="72" fillId="0" borderId="0" xfId="0" applyFont="1" applyAlignment="1">
      <alignment vertical="center" wrapText="1"/>
    </xf>
    <xf numFmtId="0" fontId="61" fillId="0" borderId="0" xfId="0" applyFont="1"/>
    <xf numFmtId="0" fontId="61" fillId="0" borderId="31" xfId="0" applyFont="1" applyBorder="1" applyAlignment="1">
      <alignment vertical="center" wrapText="1"/>
    </xf>
    <xf numFmtId="0" fontId="72" fillId="0" borderId="0" xfId="0" applyFont="1" applyAlignment="1">
      <alignment horizontal="center" vertical="center" wrapText="1"/>
    </xf>
    <xf numFmtId="0" fontId="61" fillId="0" borderId="100" xfId="0" applyFont="1" applyBorder="1" applyAlignment="1">
      <alignment vertical="center" wrapText="1"/>
    </xf>
    <xf numFmtId="0" fontId="61" fillId="0" borderId="88" xfId="0" applyFont="1" applyBorder="1" applyAlignment="1">
      <alignment vertical="center" wrapText="1"/>
    </xf>
    <xf numFmtId="0" fontId="61" fillId="0" borderId="0" xfId="0" applyFont="1" applyAlignment="1">
      <alignment vertical="center" wrapText="1"/>
    </xf>
    <xf numFmtId="0" fontId="2" fillId="0" borderId="75" xfId="0" applyFont="1" applyBorder="1" applyAlignment="1" applyProtection="1">
      <alignment horizontal="center" vertical="top" wrapText="1"/>
      <protection locked="0"/>
    </xf>
    <xf numFmtId="0" fontId="2" fillId="0" borderId="76" xfId="0" applyFont="1" applyBorder="1" applyAlignment="1" applyProtection="1">
      <alignment horizontal="center" vertical="top" wrapText="1"/>
      <protection locked="0"/>
    </xf>
    <xf numFmtId="0" fontId="2" fillId="0" borderId="77" xfId="0" applyFont="1" applyBorder="1" applyAlignment="1" applyProtection="1">
      <alignment horizontal="center" vertical="top" wrapText="1"/>
      <protection locked="0"/>
    </xf>
    <xf numFmtId="0" fontId="61" fillId="13" borderId="31" xfId="0" applyFont="1" applyFill="1" applyBorder="1" applyAlignment="1">
      <alignment horizontal="center" vertical="center"/>
    </xf>
    <xf numFmtId="0" fontId="61" fillId="13" borderId="83" xfId="0" applyFont="1" applyFill="1" applyBorder="1" applyAlignment="1">
      <alignment horizontal="left" vertical="center" wrapText="1"/>
    </xf>
    <xf numFmtId="0" fontId="61" fillId="13" borderId="31" xfId="0" applyFont="1" applyFill="1" applyBorder="1" applyAlignment="1">
      <alignment horizontal="left" vertical="center"/>
    </xf>
    <xf numFmtId="0" fontId="61" fillId="13" borderId="31" xfId="0" applyFont="1" applyFill="1" applyBorder="1" applyAlignment="1">
      <alignment horizontal="left" vertical="center" wrapText="1"/>
    </xf>
    <xf numFmtId="0" fontId="61" fillId="21" borderId="83" xfId="0" applyFont="1" applyFill="1" applyBorder="1" applyAlignment="1">
      <alignment horizontal="left" vertical="center" wrapText="1"/>
    </xf>
    <xf numFmtId="0" fontId="61" fillId="21" borderId="31" xfId="0" applyFont="1" applyFill="1" applyBorder="1" applyAlignment="1">
      <alignment horizontal="center" vertical="center"/>
    </xf>
    <xf numFmtId="0" fontId="61" fillId="21" borderId="31" xfId="0" applyFont="1" applyFill="1" applyBorder="1" applyAlignment="1">
      <alignment horizontal="left" vertical="center" wrapText="1"/>
    </xf>
    <xf numFmtId="0" fontId="63" fillId="21" borderId="31" xfId="0" applyFont="1" applyFill="1" applyBorder="1" applyAlignment="1">
      <alignment horizontal="left" vertical="center" wrapText="1"/>
    </xf>
    <xf numFmtId="0" fontId="61" fillId="22" borderId="84" xfId="0" applyFont="1" applyFill="1" applyBorder="1" applyAlignment="1">
      <alignment horizontal="left" vertical="center" wrapText="1"/>
    </xf>
    <xf numFmtId="0" fontId="61" fillId="22" borderId="31" xfId="0" applyFont="1" applyFill="1" applyBorder="1" applyAlignment="1">
      <alignment horizontal="center" vertical="center"/>
    </xf>
    <xf numFmtId="0" fontId="61" fillId="22" borderId="36" xfId="0" applyFont="1" applyFill="1" applyBorder="1" applyAlignment="1">
      <alignment horizontal="left" vertical="center" wrapText="1"/>
    </xf>
    <xf numFmtId="0" fontId="41" fillId="14" borderId="46" xfId="2" applyFont="1" applyFill="1" applyBorder="1" applyAlignment="1">
      <alignment horizontal="center" vertical="center" wrapText="1"/>
    </xf>
    <xf numFmtId="0" fontId="41" fillId="14" borderId="47" xfId="2" applyFont="1" applyFill="1" applyBorder="1" applyAlignment="1">
      <alignment horizontal="center" vertical="center" wrapText="1"/>
    </xf>
    <xf numFmtId="0" fontId="41" fillId="14" borderId="48" xfId="2" applyFont="1" applyFill="1" applyBorder="1" applyAlignment="1">
      <alignment horizontal="center" vertical="center" wrapText="1"/>
    </xf>
    <xf numFmtId="0" fontId="40" fillId="0" borderId="13"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4" xfId="2" quotePrefix="1" applyFont="1" applyBorder="1" applyAlignment="1">
      <alignment horizontal="left" vertical="center" wrapText="1"/>
    </xf>
    <xf numFmtId="0" fontId="40" fillId="0" borderId="66" xfId="2" quotePrefix="1" applyFont="1" applyBorder="1" applyAlignment="1">
      <alignment horizontal="left" vertical="center" wrapText="1"/>
    </xf>
    <xf numFmtId="0" fontId="40" fillId="0" borderId="67"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2" fillId="3" borderId="49" xfId="2" quotePrefix="1" applyFont="1" applyFill="1" applyBorder="1" applyAlignment="1">
      <alignment horizontal="left" vertical="top" wrapText="1"/>
    </xf>
    <xf numFmtId="0" fontId="43" fillId="3" borderId="50" xfId="2" quotePrefix="1" applyFont="1" applyFill="1" applyBorder="1" applyAlignment="1">
      <alignment horizontal="left" vertical="top" wrapText="1"/>
    </xf>
    <xf numFmtId="0" fontId="43" fillId="3" borderId="51" xfId="2" quotePrefix="1" applyFont="1" applyFill="1" applyBorder="1" applyAlignment="1">
      <alignment horizontal="left" vertical="top" wrapText="1"/>
    </xf>
    <xf numFmtId="0" fontId="40" fillId="0" borderId="13"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4" xfId="2" quotePrefix="1" applyFont="1" applyBorder="1" applyAlignment="1">
      <alignment horizontal="left" vertical="top" wrapText="1"/>
    </xf>
    <xf numFmtId="0" fontId="45" fillId="14" borderId="52" xfId="3" applyFont="1" applyFill="1" applyBorder="1" applyAlignment="1">
      <alignment horizontal="center" vertical="center" wrapText="1"/>
    </xf>
    <xf numFmtId="0" fontId="45" fillId="14" borderId="53" xfId="3" applyFont="1" applyFill="1" applyBorder="1" applyAlignment="1">
      <alignment horizontal="center" vertical="center" wrapText="1"/>
    </xf>
    <xf numFmtId="0" fontId="45" fillId="14" borderId="54" xfId="2" applyFont="1" applyFill="1" applyBorder="1" applyAlignment="1">
      <alignment horizontal="center" vertical="center"/>
    </xf>
    <xf numFmtId="0" fontId="45" fillId="14" borderId="55" xfId="2" applyFont="1" applyFill="1" applyBorder="1" applyAlignment="1">
      <alignment horizontal="center" vertical="center"/>
    </xf>
    <xf numFmtId="0" fontId="2" fillId="3" borderId="66" xfId="2" quotePrefix="1" applyFont="1" applyFill="1" applyBorder="1" applyAlignment="1">
      <alignment horizontal="justify" vertical="center" wrapText="1"/>
    </xf>
    <xf numFmtId="0" fontId="2" fillId="3" borderId="67" xfId="2" quotePrefix="1" applyFont="1" applyFill="1" applyBorder="1" applyAlignment="1">
      <alignment horizontal="justify" vertical="center" wrapText="1"/>
    </xf>
    <xf numFmtId="0" fontId="2" fillId="3" borderId="68" xfId="2" quotePrefix="1" applyFont="1" applyFill="1" applyBorder="1" applyAlignment="1">
      <alignment horizontal="justify" vertical="center" wrapText="1"/>
    </xf>
    <xf numFmtId="0" fontId="45" fillId="3" borderId="56" xfId="3" applyFont="1" applyFill="1" applyBorder="1" applyAlignment="1">
      <alignment horizontal="left" vertical="top" wrapText="1" readingOrder="1"/>
    </xf>
    <xf numFmtId="0" fontId="45" fillId="3" borderId="57" xfId="3" applyFont="1" applyFill="1" applyBorder="1" applyAlignment="1">
      <alignment horizontal="left" vertical="top" wrapText="1" readingOrder="1"/>
    </xf>
    <xf numFmtId="0" fontId="46" fillId="3" borderId="58" xfId="2" applyFont="1" applyFill="1" applyBorder="1" applyAlignment="1">
      <alignment horizontal="justify" vertical="center" wrapText="1"/>
    </xf>
    <xf numFmtId="0" fontId="46" fillId="3" borderId="59" xfId="2" applyFont="1" applyFill="1" applyBorder="1" applyAlignment="1">
      <alignment horizontal="justify" vertical="center" wrapText="1"/>
    </xf>
    <xf numFmtId="0" fontId="45" fillId="3" borderId="60" xfId="0" applyFont="1" applyFill="1" applyBorder="1" applyAlignment="1">
      <alignment horizontal="left" vertical="center" wrapText="1"/>
    </xf>
    <xf numFmtId="0" fontId="45" fillId="3" borderId="61" xfId="0" applyFont="1" applyFill="1" applyBorder="1" applyAlignment="1">
      <alignment horizontal="left" vertical="center" wrapText="1"/>
    </xf>
    <xf numFmtId="0" fontId="46" fillId="3" borderId="62" xfId="2" applyFont="1" applyFill="1" applyBorder="1" applyAlignment="1">
      <alignment horizontal="justify" vertical="center" wrapText="1"/>
    </xf>
    <xf numFmtId="0" fontId="46" fillId="3" borderId="63" xfId="2" applyFont="1" applyFill="1" applyBorder="1" applyAlignment="1">
      <alignment horizontal="justify" vertical="center" wrapText="1"/>
    </xf>
    <xf numFmtId="0" fontId="40" fillId="3" borderId="13"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4" xfId="2" applyFont="1" applyFill="1" applyBorder="1" applyAlignment="1">
      <alignment horizontal="left" vertical="top" wrapText="1"/>
    </xf>
    <xf numFmtId="0" fontId="45" fillId="3" borderId="69" xfId="0" applyFont="1" applyFill="1" applyBorder="1" applyAlignment="1">
      <alignment horizontal="left" vertical="center" wrapText="1"/>
    </xf>
    <xf numFmtId="0" fontId="45" fillId="3" borderId="70" xfId="0" applyFont="1" applyFill="1" applyBorder="1" applyAlignment="1">
      <alignment horizontal="left"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6" fillId="3" borderId="64" xfId="0" applyFont="1" applyFill="1" applyBorder="1" applyAlignment="1">
      <alignment horizontal="justify" vertical="center" wrapText="1"/>
    </xf>
    <xf numFmtId="0" fontId="46" fillId="3" borderId="65" xfId="0" applyFont="1" applyFill="1" applyBorder="1" applyAlignment="1">
      <alignment horizontal="justify" vertical="center" wrapText="1"/>
    </xf>
    <xf numFmtId="0" fontId="72" fillId="0" borderId="0" xfId="0" applyFont="1" applyAlignment="1">
      <alignment horizontal="center" vertical="center" wrapText="1"/>
    </xf>
    <xf numFmtId="0" fontId="73" fillId="0" borderId="31" xfId="0" applyFont="1" applyBorder="1" applyAlignment="1">
      <alignment horizontal="center" vertical="center" wrapText="1"/>
    </xf>
    <xf numFmtId="0" fontId="72" fillId="0" borderId="97" xfId="0" applyFont="1" applyBorder="1" applyAlignment="1">
      <alignment horizontal="center" vertical="center" wrapText="1"/>
    </xf>
    <xf numFmtId="0" fontId="72" fillId="0" borderId="94" xfId="0" applyFont="1" applyBorder="1" applyAlignment="1">
      <alignment horizontal="center" vertical="center" wrapText="1"/>
    </xf>
    <xf numFmtId="0" fontId="72" fillId="0" borderId="98" xfId="0" applyFont="1" applyBorder="1" applyAlignment="1">
      <alignment horizontal="center" vertical="center" wrapText="1"/>
    </xf>
    <xf numFmtId="0" fontId="60" fillId="16" borderId="35" xfId="0" applyFont="1" applyFill="1" applyBorder="1" applyAlignment="1">
      <alignment horizontal="center" vertical="center" wrapText="1"/>
    </xf>
    <xf numFmtId="0" fontId="60" fillId="16" borderId="31" xfId="0" applyFont="1" applyFill="1" applyBorder="1" applyAlignment="1">
      <alignment horizontal="center" vertical="center" wrapText="1"/>
    </xf>
    <xf numFmtId="0" fontId="60" fillId="16" borderId="36" xfId="0" applyFont="1" applyFill="1" applyBorder="1" applyAlignment="1">
      <alignment horizontal="center" vertical="center" wrapText="1"/>
    </xf>
    <xf numFmtId="0" fontId="61" fillId="16" borderId="35" xfId="0" applyFont="1" applyFill="1" applyBorder="1" applyAlignment="1">
      <alignment horizontal="left" vertical="center"/>
    </xf>
    <xf numFmtId="0" fontId="61" fillId="16" borderId="31" xfId="0" applyFont="1" applyFill="1" applyBorder="1" applyAlignment="1">
      <alignment horizontal="left" vertical="center"/>
    </xf>
    <xf numFmtId="0" fontId="61" fillId="16" borderId="36" xfId="0" applyFont="1" applyFill="1" applyBorder="1" applyAlignment="1">
      <alignment horizontal="left" vertical="center"/>
    </xf>
    <xf numFmtId="0" fontId="62" fillId="16" borderId="37" xfId="0" applyFont="1" applyFill="1" applyBorder="1" applyAlignment="1">
      <alignment horizontal="left" vertical="top" wrapText="1"/>
    </xf>
    <xf numFmtId="0" fontId="62" fillId="16" borderId="38" xfId="0" applyFont="1" applyFill="1" applyBorder="1" applyAlignment="1">
      <alignment horizontal="left" vertical="top" wrapText="1"/>
    </xf>
    <xf numFmtId="0" fontId="62" fillId="16" borderId="39" xfId="0" applyFont="1" applyFill="1" applyBorder="1" applyAlignment="1">
      <alignment horizontal="left" vertical="top" wrapText="1"/>
    </xf>
    <xf numFmtId="0" fontId="62" fillId="3" borderId="0" xfId="0" applyFont="1" applyFill="1" applyAlignment="1">
      <alignment horizontal="center" vertical="center" wrapText="1"/>
    </xf>
    <xf numFmtId="0" fontId="72" fillId="0" borderId="82" xfId="0" applyFont="1" applyBorder="1" applyAlignment="1">
      <alignment vertical="center" wrapText="1"/>
    </xf>
    <xf numFmtId="0" fontId="72" fillId="0" borderId="35" xfId="0" applyFont="1" applyBorder="1" applyAlignment="1">
      <alignment vertical="center" wrapText="1"/>
    </xf>
    <xf numFmtId="0" fontId="73" fillId="0" borderId="83" xfId="0" applyFont="1" applyBorder="1" applyAlignment="1">
      <alignment horizontal="center" vertical="center" wrapText="1"/>
    </xf>
    <xf numFmtId="0" fontId="74" fillId="0" borderId="84" xfId="0" applyFont="1" applyBorder="1" applyAlignment="1">
      <alignment horizontal="center" vertical="center" wrapText="1"/>
    </xf>
    <xf numFmtId="0" fontId="74" fillId="0" borderId="36" xfId="0" applyFont="1" applyBorder="1" applyAlignment="1">
      <alignment horizontal="center" vertical="center" wrapText="1"/>
    </xf>
    <xf numFmtId="0" fontId="64" fillId="19" borderId="34" xfId="0" applyFont="1" applyFill="1" applyBorder="1" applyAlignment="1">
      <alignment horizontal="center" vertical="center" wrapText="1"/>
    </xf>
    <xf numFmtId="0" fontId="64" fillId="19" borderId="45" xfId="0" applyFont="1" applyFill="1" applyBorder="1" applyAlignment="1">
      <alignment horizontal="center" vertical="center" wrapText="1"/>
    </xf>
    <xf numFmtId="0" fontId="64" fillId="20" borderId="11" xfId="0" applyFont="1" applyFill="1" applyBorder="1" applyAlignment="1">
      <alignment horizontal="right" vertical="center"/>
    </xf>
    <xf numFmtId="0" fontId="64" fillId="20" borderId="18" xfId="0" applyFont="1" applyFill="1" applyBorder="1" applyAlignment="1">
      <alignment horizontal="right" vertical="center"/>
    </xf>
    <xf numFmtId="0" fontId="64" fillId="20" borderId="93" xfId="0" applyFont="1" applyFill="1" applyBorder="1" applyAlignment="1">
      <alignment horizontal="right" vertical="center"/>
    </xf>
    <xf numFmtId="0" fontId="64" fillId="20" borderId="37" xfId="0" applyFont="1" applyFill="1" applyBorder="1" applyAlignment="1">
      <alignment horizontal="right" vertical="center"/>
    </xf>
    <xf numFmtId="0" fontId="64" fillId="20" borderId="38" xfId="0" applyFont="1" applyFill="1" applyBorder="1" applyAlignment="1">
      <alignment horizontal="right" vertical="center"/>
    </xf>
    <xf numFmtId="0" fontId="61" fillId="16" borderId="31" xfId="0" applyFont="1" applyFill="1" applyBorder="1" applyAlignment="1">
      <alignment vertical="center" wrapText="1"/>
    </xf>
    <xf numFmtId="0" fontId="73" fillId="0" borderId="0" xfId="0" applyFont="1" applyAlignment="1">
      <alignment horizontal="center" vertical="center" wrapText="1"/>
    </xf>
    <xf numFmtId="0" fontId="73" fillId="0" borderId="67" xfId="0" applyFont="1" applyBorder="1" applyAlignment="1">
      <alignment horizontal="center" vertical="center" wrapText="1"/>
    </xf>
    <xf numFmtId="0" fontId="61" fillId="0" borderId="100" xfId="0" applyFont="1" applyBorder="1" applyAlignment="1">
      <alignment horizontal="left" vertical="center" wrapText="1"/>
    </xf>
    <xf numFmtId="0" fontId="61" fillId="0" borderId="101" xfId="0" applyFont="1" applyBorder="1" applyAlignment="1">
      <alignment horizontal="left" vertical="center" wrapText="1"/>
    </xf>
    <xf numFmtId="0" fontId="61" fillId="0" borderId="81" xfId="0" applyFont="1" applyBorder="1" applyAlignment="1">
      <alignment horizontal="center" vertical="center" wrapText="1"/>
    </xf>
    <xf numFmtId="0" fontId="61" fillId="0" borderId="102" xfId="0" applyFont="1" applyBorder="1" applyAlignment="1">
      <alignment horizontal="center" vertical="center" wrapText="1"/>
    </xf>
    <xf numFmtId="0" fontId="61" fillId="0" borderId="41" xfId="0" applyFont="1" applyBorder="1" applyAlignment="1">
      <alignment horizontal="center" vertical="center" wrapText="1"/>
    </xf>
    <xf numFmtId="0" fontId="61" fillId="0" borderId="88" xfId="0" applyFont="1" applyBorder="1" applyAlignment="1">
      <alignment horizontal="left" vertical="center" wrapText="1"/>
    </xf>
    <xf numFmtId="0" fontId="61" fillId="0" borderId="95" xfId="0" applyFont="1" applyBorder="1" applyAlignment="1">
      <alignment horizontal="left" vertical="center" wrapText="1"/>
    </xf>
    <xf numFmtId="0" fontId="73" fillId="0" borderId="97" xfId="0" applyFont="1" applyBorder="1" applyAlignment="1">
      <alignment horizontal="center" vertical="center" wrapText="1"/>
    </xf>
    <xf numFmtId="0" fontId="73" fillId="0" borderId="94" xfId="0" applyFont="1" applyBorder="1" applyAlignment="1">
      <alignment horizontal="center" vertical="center" wrapText="1"/>
    </xf>
    <xf numFmtId="0" fontId="73" fillId="0" borderId="98" xfId="0" applyFont="1" applyBorder="1" applyAlignment="1">
      <alignment horizontal="center" vertical="center" wrapText="1"/>
    </xf>
    <xf numFmtId="0" fontId="73" fillId="0" borderId="31" xfId="0" applyFont="1" applyBorder="1" applyAlignment="1">
      <alignment horizontal="center" vertical="center"/>
    </xf>
    <xf numFmtId="0" fontId="73" fillId="0" borderId="11" xfId="0" applyFont="1" applyBorder="1" applyAlignment="1">
      <alignment horizontal="center" vertical="center" wrapText="1"/>
    </xf>
    <xf numFmtId="0" fontId="73" fillId="0" borderId="93" xfId="0" applyFont="1" applyBorder="1" applyAlignment="1">
      <alignment horizontal="center" vertical="center" wrapText="1"/>
    </xf>
    <xf numFmtId="0" fontId="73" fillId="0" borderId="13" xfId="0" applyFont="1" applyBorder="1" applyAlignment="1">
      <alignment horizontal="center" vertical="center" wrapText="1"/>
    </xf>
    <xf numFmtId="0" fontId="73" fillId="0" borderId="85" xfId="0" applyFont="1" applyBorder="1" applyAlignment="1">
      <alignment horizontal="center" vertical="center" wrapText="1"/>
    </xf>
    <xf numFmtId="0" fontId="73" fillId="0" borderId="66" xfId="0" applyFont="1" applyBorder="1" applyAlignment="1">
      <alignment horizontal="center" vertical="center" wrapText="1"/>
    </xf>
    <xf numFmtId="0" fontId="73" fillId="0" borderId="99" xfId="0" applyFont="1" applyBorder="1" applyAlignment="1">
      <alignment horizontal="center" vertical="center" wrapText="1"/>
    </xf>
    <xf numFmtId="0" fontId="38" fillId="3" borderId="31" xfId="0" applyFont="1" applyFill="1" applyBorder="1" applyAlignment="1" applyProtection="1">
      <alignment horizontal="left" vertical="center"/>
      <protection locked="0"/>
    </xf>
    <xf numFmtId="0" fontId="38" fillId="3" borderId="88" xfId="0" applyFont="1" applyFill="1" applyBorder="1" applyAlignment="1" applyProtection="1">
      <alignment horizontal="left" vertical="center" wrapText="1"/>
      <protection locked="0"/>
    </xf>
    <xf numFmtId="0" fontId="38" fillId="3" borderId="95" xfId="0" applyFont="1" applyFill="1" applyBorder="1" applyAlignment="1" applyProtection="1">
      <alignment horizontal="left" vertical="center" wrapText="1"/>
      <protection locked="0"/>
    </xf>
    <xf numFmtId="0" fontId="38" fillId="3" borderId="88" xfId="0" applyFont="1" applyFill="1" applyBorder="1" applyAlignment="1" applyProtection="1">
      <alignment horizontal="left" vertical="center"/>
      <protection locked="0"/>
    </xf>
    <xf numFmtId="0" fontId="38" fillId="3" borderId="95" xfId="0" applyFont="1" applyFill="1" applyBorder="1" applyAlignment="1" applyProtection="1">
      <alignment horizontal="left" vertical="center"/>
      <protection locked="0"/>
    </xf>
    <xf numFmtId="0" fontId="38" fillId="3" borderId="94" xfId="0" applyFont="1" applyFill="1" applyBorder="1" applyAlignment="1" applyProtection="1">
      <alignment horizontal="left" vertical="center"/>
      <protection locked="0"/>
    </xf>
    <xf numFmtId="0" fontId="38" fillId="3" borderId="88" xfId="0" applyFont="1" applyFill="1" applyBorder="1" applyAlignment="1" applyProtection="1">
      <alignment horizontal="center" vertical="center"/>
      <protection locked="0"/>
    </xf>
    <xf numFmtId="0" fontId="38" fillId="3" borderId="95" xfId="0" applyFont="1" applyFill="1" applyBorder="1" applyAlignment="1" applyProtection="1">
      <alignment horizontal="center" vertical="center"/>
      <protection locked="0"/>
    </xf>
    <xf numFmtId="0" fontId="38" fillId="3" borderId="94" xfId="0" applyFont="1" applyFill="1" applyBorder="1" applyAlignment="1" applyProtection="1">
      <alignment horizontal="center" vertical="center"/>
      <protection locked="0"/>
    </xf>
    <xf numFmtId="0" fontId="38" fillId="13" borderId="88" xfId="0" applyFont="1" applyFill="1" applyBorder="1" applyAlignment="1" applyProtection="1">
      <alignment horizontal="left" vertical="center" wrapText="1"/>
      <protection locked="0"/>
    </xf>
    <xf numFmtId="0" fontId="38" fillId="13" borderId="95" xfId="0" applyFont="1" applyFill="1" applyBorder="1" applyAlignment="1" applyProtection="1">
      <alignment horizontal="left" vertical="center" wrapText="1"/>
      <protection locked="0"/>
    </xf>
    <xf numFmtId="0" fontId="38" fillId="3" borderId="31" xfId="0" applyFont="1" applyFill="1" applyBorder="1" applyAlignment="1" applyProtection="1">
      <alignment horizontal="left" vertical="center" wrapText="1"/>
      <protection locked="0"/>
    </xf>
    <xf numFmtId="0" fontId="69" fillId="19" borderId="31" xfId="0" applyFont="1" applyFill="1" applyBorder="1" applyAlignment="1">
      <alignment horizontal="center" vertical="center" textRotation="255"/>
    </xf>
    <xf numFmtId="0" fontId="69" fillId="19" borderId="31" xfId="0" applyFont="1" applyFill="1" applyBorder="1" applyAlignment="1">
      <alignment horizontal="center" vertical="center"/>
    </xf>
    <xf numFmtId="0" fontId="69" fillId="19" borderId="31" xfId="0" applyFont="1" applyFill="1" applyBorder="1" applyAlignment="1">
      <alignment horizontal="center" vertical="center" wrapText="1"/>
    </xf>
    <xf numFmtId="0" fontId="69" fillId="19" borderId="88" xfId="0" applyFont="1" applyFill="1" applyBorder="1" applyAlignment="1">
      <alignment horizontal="center" vertical="center" wrapText="1"/>
    </xf>
    <xf numFmtId="0" fontId="69" fillId="19" borderId="94" xfId="0" applyFont="1" applyFill="1" applyBorder="1" applyAlignment="1">
      <alignment horizontal="center" vertical="center"/>
    </xf>
    <xf numFmtId="0" fontId="69" fillId="19" borderId="95" xfId="0" applyFont="1" applyFill="1" applyBorder="1" applyAlignment="1">
      <alignment horizontal="center" vertical="center"/>
    </xf>
    <xf numFmtId="0" fontId="38" fillId="3" borderId="94" xfId="0" applyFont="1" applyFill="1" applyBorder="1" applyAlignment="1" applyProtection="1">
      <alignment horizontal="left" vertical="center" wrapText="1"/>
      <protection locked="0"/>
    </xf>
    <xf numFmtId="0" fontId="70" fillId="3" borderId="31" xfId="0" applyFont="1" applyFill="1" applyBorder="1" applyAlignment="1" applyProtection="1">
      <alignment horizontal="left" vertical="center" wrapText="1"/>
      <protection locked="0"/>
    </xf>
    <xf numFmtId="0" fontId="38" fillId="3" borderId="78" xfId="0" applyFont="1" applyFill="1" applyBorder="1" applyAlignment="1" applyProtection="1">
      <alignment horizontal="left" vertical="center"/>
      <protection locked="0"/>
    </xf>
    <xf numFmtId="0" fontId="75" fillId="9" borderId="88" xfId="0" applyFont="1" applyFill="1" applyBorder="1" applyAlignment="1" applyProtection="1">
      <alignment horizontal="left" vertical="center" wrapText="1"/>
      <protection locked="0"/>
    </xf>
    <xf numFmtId="0" fontId="75" fillId="9" borderId="95" xfId="0" applyFont="1" applyFill="1" applyBorder="1" applyAlignment="1" applyProtection="1">
      <alignment horizontal="left" vertical="center" wrapText="1"/>
      <protection locked="0"/>
    </xf>
    <xf numFmtId="0" fontId="38" fillId="0" borderId="88" xfId="0" applyFont="1" applyBorder="1" applyAlignment="1" applyProtection="1">
      <alignment horizontal="center" vertical="center"/>
      <protection locked="0"/>
    </xf>
    <xf numFmtId="0" fontId="38" fillId="0" borderId="94" xfId="0" applyFont="1" applyBorder="1" applyAlignment="1" applyProtection="1">
      <alignment horizontal="center" vertical="center"/>
      <protection locked="0"/>
    </xf>
    <xf numFmtId="0" fontId="38" fillId="0" borderId="95" xfId="0" applyFont="1" applyBorder="1" applyAlignment="1" applyProtection="1">
      <alignment horizontal="center" vertical="center"/>
      <protection locked="0"/>
    </xf>
    <xf numFmtId="0" fontId="38" fillId="3" borderId="91" xfId="0" applyFont="1" applyFill="1" applyBorder="1" applyAlignment="1" applyProtection="1">
      <alignment horizontal="left" vertical="center" wrapText="1"/>
      <protection locked="0"/>
    </xf>
    <xf numFmtId="0" fontId="38" fillId="3" borderId="96" xfId="0" applyFont="1" applyFill="1" applyBorder="1" applyAlignment="1" applyProtection="1">
      <alignment horizontal="left" vertical="center" wrapText="1"/>
      <protection locked="0"/>
    </xf>
    <xf numFmtId="0" fontId="38" fillId="0" borderId="88" xfId="0" applyFont="1" applyBorder="1" applyAlignment="1" applyProtection="1">
      <alignment vertical="center"/>
      <protection locked="0"/>
    </xf>
    <xf numFmtId="0" fontId="38" fillId="0" borderId="94" xfId="0" applyFont="1" applyBorder="1" applyAlignment="1" applyProtection="1">
      <alignment vertical="center"/>
      <protection locked="0"/>
    </xf>
    <xf numFmtId="0" fontId="38" fillId="0" borderId="95" xfId="0" applyFont="1" applyBorder="1" applyAlignment="1" applyProtection="1">
      <alignment vertical="center"/>
      <protection locked="0"/>
    </xf>
    <xf numFmtId="0" fontId="38" fillId="22" borderId="88" xfId="0" applyFont="1" applyFill="1" applyBorder="1" applyAlignment="1" applyProtection="1">
      <alignment vertical="center" wrapText="1"/>
      <protection locked="0"/>
    </xf>
    <xf numFmtId="0" fontId="38" fillId="22" borderId="95" xfId="0" applyFont="1" applyFill="1" applyBorder="1" applyAlignment="1" applyProtection="1">
      <alignment vertical="center" wrapText="1"/>
      <protection locked="0"/>
    </xf>
    <xf numFmtId="0" fontId="38" fillId="0" borderId="88" xfId="0" applyFont="1" applyBorder="1" applyAlignment="1" applyProtection="1">
      <alignment vertical="center" wrapText="1"/>
      <protection locked="0"/>
    </xf>
    <xf numFmtId="0" fontId="38" fillId="0" borderId="95" xfId="0" applyFont="1" applyBorder="1" applyAlignment="1" applyProtection="1">
      <alignment vertical="center" wrapText="1"/>
      <protection locked="0"/>
    </xf>
    <xf numFmtId="0" fontId="38" fillId="21" borderId="88" xfId="0" applyFont="1" applyFill="1" applyBorder="1" applyAlignment="1" applyProtection="1">
      <alignment vertical="center" wrapText="1"/>
      <protection locked="0"/>
    </xf>
    <xf numFmtId="0" fontId="38" fillId="21" borderId="95" xfId="0" applyFont="1" applyFill="1" applyBorder="1" applyAlignment="1" applyProtection="1">
      <alignment vertical="center" wrapText="1"/>
      <protection locked="0"/>
    </xf>
    <xf numFmtId="0" fontId="38" fillId="0" borderId="31" xfId="0" applyFont="1" applyBorder="1" applyAlignment="1" applyProtection="1">
      <alignment vertical="center"/>
      <protection locked="0"/>
    </xf>
    <xf numFmtId="0" fontId="64" fillId="20" borderId="49" xfId="0" applyFont="1" applyFill="1" applyBorder="1" applyAlignment="1">
      <alignment horizontal="left" vertical="center"/>
    </xf>
    <xf numFmtId="0" fontId="64" fillId="20" borderId="50" xfId="0" applyFont="1" applyFill="1" applyBorder="1" applyAlignment="1">
      <alignment horizontal="left" vertical="center"/>
    </xf>
    <xf numFmtId="0" fontId="64" fillId="20" borderId="51" xfId="0" applyFont="1" applyFill="1" applyBorder="1" applyAlignment="1">
      <alignment horizontal="left" vertical="center"/>
    </xf>
    <xf numFmtId="0" fontId="64" fillId="20" borderId="15" xfId="0" applyFont="1" applyFill="1" applyBorder="1" applyAlignment="1">
      <alignment horizontal="left" vertical="center"/>
    </xf>
    <xf numFmtId="0" fontId="64" fillId="20" borderId="17" xfId="0" applyFont="1" applyFill="1" applyBorder="1" applyAlignment="1">
      <alignment horizontal="left" vertical="center"/>
    </xf>
    <xf numFmtId="0" fontId="64" fillId="20" borderId="16" xfId="0" applyFont="1" applyFill="1" applyBorder="1" applyAlignment="1">
      <alignment horizontal="left" vertical="center"/>
    </xf>
    <xf numFmtId="0" fontId="68" fillId="19" borderId="31" xfId="0" applyFont="1" applyFill="1" applyBorder="1" applyAlignment="1">
      <alignment horizontal="center" vertical="center" wrapText="1"/>
    </xf>
    <xf numFmtId="0" fontId="69" fillId="19" borderId="94" xfId="0" applyFont="1" applyFill="1" applyBorder="1" applyAlignment="1">
      <alignment horizontal="center" vertical="center" wrapText="1"/>
    </xf>
    <xf numFmtId="0" fontId="69" fillId="19" borderId="95" xfId="0" applyFont="1" applyFill="1" applyBorder="1" applyAlignment="1">
      <alignment horizontal="center" vertical="center" wrapText="1"/>
    </xf>
    <xf numFmtId="0" fontId="69" fillId="19" borderId="88" xfId="0" applyFont="1" applyFill="1" applyBorder="1" applyAlignment="1">
      <alignment horizontal="center"/>
    </xf>
    <xf numFmtId="0" fontId="69" fillId="19" borderId="94" xfId="0" applyFont="1" applyFill="1" applyBorder="1" applyAlignment="1">
      <alignment horizontal="center"/>
    </xf>
    <xf numFmtId="0" fontId="69" fillId="19" borderId="95" xfId="0" applyFont="1" applyFill="1" applyBorder="1" applyAlignment="1">
      <alignment horizontal="center"/>
    </xf>
    <xf numFmtId="0" fontId="38" fillId="0" borderId="31" xfId="0" applyFont="1" applyBorder="1" applyAlignment="1" applyProtection="1">
      <alignment vertical="center" wrapText="1"/>
      <protection locked="0"/>
    </xf>
    <xf numFmtId="0" fontId="70" fillId="0" borderId="31" xfId="0" applyFont="1" applyBorder="1" applyAlignment="1" applyProtection="1">
      <alignment vertical="center"/>
      <protection locked="0"/>
    </xf>
    <xf numFmtId="0" fontId="38" fillId="0" borderId="94" xfId="0" applyFont="1" applyBorder="1" applyAlignment="1" applyProtection="1">
      <alignment vertical="center" wrapText="1"/>
      <protection locked="0"/>
    </xf>
    <xf numFmtId="0" fontId="50" fillId="0" borderId="75" xfId="0" applyFont="1" applyBorder="1" applyAlignment="1" applyProtection="1">
      <alignment horizontal="center" vertical="top" wrapText="1"/>
      <protection locked="0"/>
    </xf>
    <xf numFmtId="0" fontId="50" fillId="0" borderId="76" xfId="0" applyFont="1" applyBorder="1" applyAlignment="1" applyProtection="1">
      <alignment horizontal="center" vertical="top" wrapText="1"/>
      <protection locked="0"/>
    </xf>
    <xf numFmtId="0" fontId="50" fillId="0" borderId="77" xfId="0" applyFont="1" applyBorder="1" applyAlignment="1" applyProtection="1">
      <alignment horizontal="center" vertical="top" wrapText="1"/>
      <protection locked="0"/>
    </xf>
    <xf numFmtId="0" fontId="1" fillId="3" borderId="78" xfId="0" applyFont="1" applyFill="1" applyBorder="1" applyAlignment="1">
      <alignment horizontal="left" vertical="center" wrapText="1"/>
    </xf>
    <xf numFmtId="0" fontId="1" fillId="3" borderId="32" xfId="0" applyFont="1" applyFill="1" applyBorder="1" applyAlignment="1">
      <alignment horizontal="left" vertical="center"/>
    </xf>
    <xf numFmtId="0" fontId="2" fillId="3" borderId="78" xfId="0" applyFont="1" applyFill="1" applyBorder="1" applyAlignment="1">
      <alignment horizontal="left" vertical="center" wrapText="1"/>
    </xf>
    <xf numFmtId="0" fontId="2" fillId="3" borderId="32" xfId="0" applyFont="1" applyFill="1" applyBorder="1" applyAlignment="1">
      <alignment horizontal="left" vertical="center" wrapText="1"/>
    </xf>
    <xf numFmtId="0" fontId="1" fillId="3" borderId="32"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 fillId="0" borderId="27"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24" fillId="2" borderId="8" xfId="0" applyFont="1" applyFill="1" applyBorder="1" applyAlignment="1">
      <alignment horizontal="center" vertical="center"/>
    </xf>
    <xf numFmtId="0" fontId="24" fillId="2" borderId="0" xfId="0" applyFont="1" applyFill="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7" xfId="0" applyFont="1" applyBorder="1" applyAlignment="1" applyProtection="1">
      <alignment horizontal="center" vertical="top" wrapText="1"/>
      <protection locked="0"/>
    </xf>
    <xf numFmtId="0" fontId="27" fillId="0" borderId="27"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50" fillId="0" borderId="73" xfId="0" applyFont="1" applyBorder="1" applyAlignment="1" applyProtection="1">
      <alignment horizontal="center" vertical="top" wrapText="1"/>
      <protection locked="0"/>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9"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27"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3" xfId="0" applyFont="1" applyBorder="1" applyAlignment="1" applyProtection="1">
      <alignment horizontal="center" vertical="top" wrapText="1"/>
      <protection locked="0"/>
    </xf>
    <xf numFmtId="0" fontId="27" fillId="3" borderId="27" xfId="0" applyFont="1" applyFill="1" applyBorder="1" applyAlignment="1" applyProtection="1">
      <alignment horizontal="center" vertical="top" wrapText="1"/>
      <protection locked="0"/>
    </xf>
    <xf numFmtId="0" fontId="27" fillId="3" borderId="8" xfId="0" applyFont="1" applyFill="1" applyBorder="1" applyAlignment="1" applyProtection="1">
      <alignment horizontal="center" vertical="top" wrapText="1"/>
      <protection locked="0"/>
    </xf>
    <xf numFmtId="0" fontId="27" fillId="3" borderId="3" xfId="0" applyFont="1" applyFill="1" applyBorder="1" applyAlignment="1" applyProtection="1">
      <alignment horizontal="center" vertical="top" wrapText="1"/>
      <protection locked="0"/>
    </xf>
    <xf numFmtId="0" fontId="4" fillId="2" borderId="2" xfId="0" applyFont="1" applyFill="1" applyBorder="1" applyAlignment="1">
      <alignment horizontal="center" vertical="center"/>
    </xf>
    <xf numFmtId="0" fontId="27" fillId="0" borderId="5" xfId="0" applyFont="1" applyBorder="1" applyAlignment="1" applyProtection="1">
      <alignment horizontal="center" vertical="top" wrapText="1"/>
      <protection locked="0"/>
    </xf>
    <xf numFmtId="0" fontId="27" fillId="3" borderId="75" xfId="0" applyFont="1" applyFill="1" applyBorder="1" applyAlignment="1">
      <alignment horizontal="center" vertical="center" wrapText="1"/>
    </xf>
    <xf numFmtId="0" fontId="27" fillId="3" borderId="77" xfId="0" applyFont="1" applyFill="1" applyBorder="1" applyAlignment="1">
      <alignment horizontal="center" vertical="center" wrapText="1"/>
    </xf>
    <xf numFmtId="0" fontId="50" fillId="3" borderId="75" xfId="0" applyFont="1" applyFill="1" applyBorder="1" applyAlignment="1" applyProtection="1">
      <alignment horizontal="center" vertical="top" wrapText="1"/>
      <protection locked="0"/>
    </xf>
    <xf numFmtId="0" fontId="50" fillId="3" borderId="76" xfId="0" applyFont="1" applyFill="1" applyBorder="1" applyAlignment="1" applyProtection="1">
      <alignment horizontal="center" vertical="top" wrapText="1"/>
      <protection locked="0"/>
    </xf>
    <xf numFmtId="0" fontId="50" fillId="3" borderId="77" xfId="0" applyFont="1" applyFill="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74"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7" xfId="0" applyFont="1" applyBorder="1" applyAlignment="1" applyProtection="1">
      <alignment horizontal="center" vertical="top"/>
      <protection locked="0"/>
    </xf>
    <xf numFmtId="0" fontId="27" fillId="0" borderId="30"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7"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7"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7"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7"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9" fillId="0" borderId="4" xfId="0" applyFont="1" applyBorder="1" applyAlignment="1" applyProtection="1">
      <alignment horizontal="center" vertical="top" wrapText="1"/>
      <protection hidden="1"/>
    </xf>
    <xf numFmtId="0" fontId="49" fillId="0" borderId="7" xfId="0" applyFont="1" applyBorder="1" applyAlignment="1" applyProtection="1">
      <alignment horizontal="center" vertical="top" wrapText="1"/>
      <protection hidden="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27" fillId="3" borderId="4" xfId="0" applyFont="1" applyFill="1" applyBorder="1" applyAlignment="1" applyProtection="1">
      <alignment horizontal="center" vertical="center" wrapText="1"/>
      <protection locked="0"/>
    </xf>
    <xf numFmtId="0" fontId="27" fillId="3" borderId="5" xfId="0" applyFont="1" applyFill="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wrapText="1"/>
      <protection locked="0"/>
    </xf>
    <xf numFmtId="14" fontId="27" fillId="0" borderId="4" xfId="0" applyNumberFormat="1" applyFont="1" applyBorder="1" applyAlignment="1" applyProtection="1">
      <alignment horizontal="center" vertical="center"/>
      <protection locked="0"/>
    </xf>
    <xf numFmtId="14" fontId="27" fillId="0" borderId="5" xfId="0" applyNumberFormat="1" applyFont="1" applyBorder="1" applyAlignment="1" applyProtection="1">
      <alignment horizontal="center" vertical="center"/>
      <protection locked="0"/>
    </xf>
    <xf numFmtId="14" fontId="1" fillId="0" borderId="4" xfId="0" applyNumberFormat="1" applyFont="1" applyBorder="1" applyAlignment="1" applyProtection="1">
      <alignment horizontal="center" vertical="center"/>
      <protection locked="0"/>
    </xf>
    <xf numFmtId="14" fontId="1" fillId="0" borderId="5" xfId="0" applyNumberFormat="1" applyFont="1" applyBorder="1" applyAlignment="1" applyProtection="1">
      <alignment horizontal="center" vertical="center"/>
      <protection locked="0"/>
    </xf>
    <xf numFmtId="0" fontId="27" fillId="0" borderId="4" xfId="0" applyFont="1" applyBorder="1" applyAlignment="1" applyProtection="1">
      <alignment horizontal="center" vertical="top" textRotation="90"/>
      <protection locked="0"/>
    </xf>
    <xf numFmtId="0" fontId="27" fillId="0" borderId="5" xfId="0" applyFont="1" applyBorder="1" applyAlignment="1" applyProtection="1">
      <alignment horizontal="center" vertical="top" textRotation="90"/>
      <protection locked="0"/>
    </xf>
    <xf numFmtId="0" fontId="49" fillId="0" borderId="4" xfId="0" applyFont="1" applyBorder="1" applyAlignment="1" applyProtection="1">
      <alignment horizontal="center" vertical="top" textRotation="90"/>
      <protection hidden="1"/>
    </xf>
    <xf numFmtId="0" fontId="49" fillId="0" borderId="5" xfId="0" applyFont="1" applyBorder="1" applyAlignment="1" applyProtection="1">
      <alignment horizontal="center" vertical="top" textRotation="90"/>
      <protection hidden="1"/>
    </xf>
    <xf numFmtId="9" fontId="27" fillId="0" borderId="4" xfId="0" applyNumberFormat="1" applyFont="1" applyBorder="1" applyAlignment="1" applyProtection="1">
      <alignment horizontal="center" vertical="top"/>
      <protection hidden="1"/>
    </xf>
    <xf numFmtId="9" fontId="27" fillId="0" borderId="5" xfId="0" applyNumberFormat="1" applyFont="1" applyBorder="1" applyAlignment="1" applyProtection="1">
      <alignment horizontal="center" vertical="top"/>
      <protection hidden="1"/>
    </xf>
    <xf numFmtId="0" fontId="49" fillId="0" borderId="4" xfId="0" applyFont="1" applyBorder="1" applyAlignment="1" applyProtection="1">
      <alignment horizontal="center" vertical="top" textRotation="90" wrapText="1"/>
      <protection hidden="1"/>
    </xf>
    <xf numFmtId="0" fontId="49" fillId="0" borderId="5" xfId="0" applyFont="1" applyBorder="1" applyAlignment="1" applyProtection="1">
      <alignment horizontal="center" vertical="top" textRotation="90" wrapText="1"/>
      <protection hidden="1"/>
    </xf>
    <xf numFmtId="0" fontId="4" fillId="0" borderId="4" xfId="0" applyFont="1" applyBorder="1" applyAlignment="1" applyProtection="1">
      <alignment horizontal="center" vertical="top"/>
      <protection hidden="1"/>
    </xf>
    <xf numFmtId="0" fontId="4" fillId="0" borderId="7"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9" fillId="0" borderId="4" xfId="0" applyFont="1" applyBorder="1" applyAlignment="1" applyProtection="1">
      <alignment horizontal="center" vertical="top"/>
      <protection hidden="1"/>
    </xf>
    <xf numFmtId="0" fontId="49" fillId="0" borderId="7"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7"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7" xfId="0" applyNumberFormat="1"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2" fillId="0" borderId="76" xfId="0" applyFont="1" applyBorder="1" applyAlignment="1" applyProtection="1">
      <alignment horizontal="center" vertical="top" wrapText="1"/>
      <protection locked="0"/>
    </xf>
    <xf numFmtId="0" fontId="2" fillId="0" borderId="77" xfId="0"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74"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hidden="1"/>
    </xf>
    <xf numFmtId="0" fontId="1"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5" xfId="0" applyFont="1" applyBorder="1" applyAlignment="1">
      <alignment horizontal="center" vertical="top"/>
    </xf>
    <xf numFmtId="0" fontId="1" fillId="3" borderId="78" xfId="0" applyFont="1" applyFill="1" applyBorder="1" applyAlignment="1">
      <alignment horizontal="center"/>
    </xf>
    <xf numFmtId="0" fontId="1" fillId="3" borderId="32" xfId="0" applyFont="1" applyFill="1" applyBorder="1" applyAlignment="1">
      <alignment horizontal="center"/>
    </xf>
    <xf numFmtId="0" fontId="1" fillId="0" borderId="6" xfId="0" applyFont="1" applyBorder="1" applyAlignment="1">
      <alignment horizontal="left" vertical="center" wrapText="1"/>
    </xf>
    <xf numFmtId="0" fontId="1" fillId="0" borderId="9" xfId="0" applyFont="1" applyBorder="1" applyAlignment="1">
      <alignment horizontal="left" vertical="center" wrapText="1"/>
    </xf>
    <xf numFmtId="164" fontId="1" fillId="0" borderId="4" xfId="1" applyNumberFormat="1" applyFont="1" applyBorder="1" applyAlignment="1">
      <alignment horizontal="center" vertical="top"/>
    </xf>
    <xf numFmtId="164" fontId="1" fillId="0" borderId="5" xfId="1" applyNumberFormat="1" applyFont="1" applyBorder="1" applyAlignment="1">
      <alignment horizontal="center" vertical="top"/>
    </xf>
    <xf numFmtId="0" fontId="24" fillId="0" borderId="0" xfId="0" applyFont="1" applyAlignment="1">
      <alignment horizontal="center" vertical="center" wrapText="1"/>
    </xf>
    <xf numFmtId="0" fontId="19" fillId="5"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1" xfId="0" applyFont="1" applyBorder="1" applyAlignment="1">
      <alignment horizontal="center" vertical="center" wrapText="1"/>
    </xf>
    <xf numFmtId="0" fontId="16" fillId="0" borderId="18"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7"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4" xfId="0" applyFont="1" applyFill="1" applyBorder="1" applyAlignment="1">
      <alignment horizontal="center" vertical="center" textRotation="90" wrapText="1" readingOrder="1"/>
    </xf>
    <xf numFmtId="0" fontId="20" fillId="12" borderId="19" xfId="0" applyFont="1" applyFill="1" applyBorder="1" applyAlignment="1">
      <alignment horizontal="center" vertical="center"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1" borderId="19"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3" borderId="19"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5" borderId="19"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35" fillId="0" borderId="11" xfId="0" applyFont="1" applyBorder="1" applyAlignment="1">
      <alignment horizontal="center" vertical="center" wrapText="1"/>
    </xf>
    <xf numFmtId="0" fontId="35" fillId="0" borderId="18" xfId="0" applyFont="1" applyBorder="1" applyAlignment="1">
      <alignment horizontal="center" vertical="center"/>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wrapText="1"/>
    </xf>
    <xf numFmtId="0" fontId="34" fillId="11" borderId="19" xfId="0" applyFont="1" applyFill="1" applyBorder="1" applyAlignment="1">
      <alignment horizontal="center" vertical="center" wrapText="1" readingOrder="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5" fillId="0" borderId="13" xfId="0" applyFont="1" applyBorder="1" applyAlignment="1">
      <alignment horizontal="center" vertical="center" wrapText="1"/>
    </xf>
    <xf numFmtId="0" fontId="34" fillId="12" borderId="19" xfId="0" applyFont="1" applyFill="1" applyBorder="1" applyAlignment="1">
      <alignment horizontal="center" vertical="center" wrapText="1" readingOrder="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19" xfId="0" applyFont="1" applyFill="1" applyBorder="1" applyAlignment="1">
      <alignment horizontal="center" vertical="center" wrapText="1" readingOrder="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13" borderId="19"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3" xfId="0" applyFont="1" applyFill="1" applyBorder="1" applyAlignment="1">
      <alignment horizontal="center" vertical="center" wrapText="1" readingOrder="1"/>
    </xf>
    <xf numFmtId="0" fontId="32" fillId="15" borderId="34" xfId="0" applyFont="1" applyFill="1" applyBorder="1" applyAlignment="1">
      <alignment horizontal="center" vertical="center" wrapText="1" readingOrder="1"/>
    </xf>
    <xf numFmtId="0" fontId="32" fillId="15" borderId="45"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2" xfId="0" applyFont="1" applyFill="1" applyBorder="1" applyAlignment="1">
      <alignment horizontal="center" vertical="center" wrapText="1" readingOrder="1"/>
    </xf>
    <xf numFmtId="0" fontId="29" fillId="15" borderId="43"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29" fillId="3" borderId="35" xfId="0" applyFont="1" applyFill="1" applyBorder="1" applyAlignment="1">
      <alignment horizontal="center" vertical="center" wrapText="1" readingOrder="1"/>
    </xf>
    <xf numFmtId="0" fontId="29" fillId="3" borderId="32" xfId="0" applyFont="1" applyFill="1" applyBorder="1" applyAlignment="1">
      <alignment horizontal="center" vertical="center" wrapText="1" readingOrder="1"/>
    </xf>
    <xf numFmtId="0" fontId="29" fillId="3" borderId="31"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8" xfId="0" applyFont="1" applyFill="1" applyBorder="1" applyAlignment="1">
      <alignment horizontal="center" vertical="center" wrapText="1" readingOrder="1"/>
    </xf>
    <xf numFmtId="0" fontId="27" fillId="3" borderId="31" xfId="0" applyFont="1" applyFill="1" applyBorder="1" applyAlignment="1" applyProtection="1">
      <alignment horizontal="left" vertical="center"/>
      <protection locked="0"/>
    </xf>
    <xf numFmtId="0" fontId="27" fillId="3" borderId="31" xfId="0" applyFont="1" applyFill="1" applyBorder="1" applyAlignment="1" applyProtection="1">
      <alignment horizontal="left"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63">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5" Type="http://schemas.openxmlformats.org/officeDocument/2006/relationships/image" Target="../media/image2.pn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799726</xdr:colOff>
      <xdr:row>0</xdr:row>
      <xdr:rowOff>35038</xdr:rowOff>
    </xdr:from>
    <xdr:to>
      <xdr:col>5</xdr:col>
      <xdr:colOff>1423686</xdr:colOff>
      <xdr:row>3</xdr:row>
      <xdr:rowOff>238125</xdr:rowOff>
    </xdr:to>
    <xdr:pic>
      <xdr:nvPicPr>
        <xdr:cNvPr id="2" name="Imagen 1">
          <a:extLst>
            <a:ext uri="{FF2B5EF4-FFF2-40B4-BE49-F238E27FC236}">
              <a16:creationId xmlns:a16="http://schemas.microsoft.com/office/drawing/2014/main" id="{91A1A791-08E9-46A2-BF25-4B6C41BA1B6B}"/>
            </a:ext>
          </a:extLst>
        </xdr:cNvPr>
        <xdr:cNvPicPr>
          <a:picLocks noChangeAspect="1"/>
        </xdr:cNvPicPr>
      </xdr:nvPicPr>
      <xdr:blipFill>
        <a:blip xmlns:r="http://schemas.openxmlformats.org/officeDocument/2006/relationships" r:embed="rId1"/>
        <a:stretch>
          <a:fillRect/>
        </a:stretch>
      </xdr:blipFill>
      <xdr:spPr>
        <a:xfrm>
          <a:off x="13100583" y="35038"/>
          <a:ext cx="623960" cy="790916"/>
        </a:xfrm>
        <a:prstGeom prst="rect">
          <a:avLst/>
        </a:prstGeom>
      </xdr:spPr>
    </xdr:pic>
    <xdr:clientData/>
  </xdr:twoCellAnchor>
  <xdr:twoCellAnchor editAs="oneCell">
    <xdr:from>
      <xdr:col>0</xdr:col>
      <xdr:colOff>386443</xdr:colOff>
      <xdr:row>0</xdr:row>
      <xdr:rowOff>93087</xdr:rowOff>
    </xdr:from>
    <xdr:to>
      <xdr:col>0</xdr:col>
      <xdr:colOff>1820129</xdr:colOff>
      <xdr:row>3</xdr:row>
      <xdr:rowOff>123707</xdr:rowOff>
    </xdr:to>
    <xdr:pic>
      <xdr:nvPicPr>
        <xdr:cNvPr id="3" name="Imagen 2">
          <a:extLst>
            <a:ext uri="{FF2B5EF4-FFF2-40B4-BE49-F238E27FC236}">
              <a16:creationId xmlns:a16="http://schemas.microsoft.com/office/drawing/2014/main" id="{5A4F4ACB-92C0-45C6-991C-6625873106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6443" y="93087"/>
          <a:ext cx="1433686" cy="6184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24</xdr:row>
      <xdr:rowOff>288633</xdr:rowOff>
    </xdr:from>
    <xdr:to>
      <xdr:col>0</xdr:col>
      <xdr:colOff>1</xdr:colOff>
      <xdr:row>38</xdr:row>
      <xdr:rowOff>288634</xdr:rowOff>
    </xdr:to>
    <xdr:sp macro="" textlink="">
      <xdr:nvSpPr>
        <xdr:cNvPr id="280" name="CuadroTexto 279">
          <a:extLst>
            <a:ext uri="{FF2B5EF4-FFF2-40B4-BE49-F238E27FC236}">
              <a16:creationId xmlns:a16="http://schemas.microsoft.com/office/drawing/2014/main" id="{FBC8F707-A8A2-4E06-82D3-90B4D3B66A72}"/>
            </a:ext>
          </a:extLst>
        </xdr:cNvPr>
        <xdr:cNvSpPr txBox="1"/>
      </xdr:nvSpPr>
      <xdr:spPr>
        <a:xfrm rot="16200000">
          <a:off x="-3943350" y="15852483"/>
          <a:ext cx="788670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0</xdr:col>
      <xdr:colOff>0</xdr:colOff>
      <xdr:row>39</xdr:row>
      <xdr:rowOff>0</xdr:rowOff>
    </xdr:from>
    <xdr:to>
      <xdr:col>0</xdr:col>
      <xdr:colOff>2</xdr:colOff>
      <xdr:row>39</xdr:row>
      <xdr:rowOff>0</xdr:rowOff>
    </xdr:to>
    <xdr:sp macro="" textlink="">
      <xdr:nvSpPr>
        <xdr:cNvPr id="281" name="CuadroTexto 280">
          <a:extLst>
            <a:ext uri="{FF2B5EF4-FFF2-40B4-BE49-F238E27FC236}">
              <a16:creationId xmlns:a16="http://schemas.microsoft.com/office/drawing/2014/main" id="{8FDFCB09-C604-4895-B43F-75B6E9E4D7E0}"/>
            </a:ext>
          </a:extLst>
        </xdr:cNvPr>
        <xdr:cNvSpPr txBox="1"/>
      </xdr:nvSpPr>
      <xdr:spPr>
        <a:xfrm rot="16200000">
          <a:off x="1" y="20145374"/>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editAs="oneCell">
    <xdr:from>
      <xdr:col>19</xdr:col>
      <xdr:colOff>635000</xdr:colOff>
      <xdr:row>9</xdr:row>
      <xdr:rowOff>63500</xdr:rowOff>
    </xdr:from>
    <xdr:to>
      <xdr:col>19</xdr:col>
      <xdr:colOff>876300</xdr:colOff>
      <xdr:row>11</xdr:row>
      <xdr:rowOff>409575</xdr:rowOff>
    </xdr:to>
    <xdr:sp macro="" textlink="">
      <xdr:nvSpPr>
        <xdr:cNvPr id="282" name="CheckBox1" hidden="1">
          <a:extLst>
            <a:ext uri="{63B3BB69-23CF-44E3-9099-C40C66FF867C}">
              <a14:compatExt xmlns:a14="http://schemas.microsoft.com/office/drawing/2010/main" spid="_x0000_s3073"/>
            </a:ext>
            <a:ext uri="{FF2B5EF4-FFF2-40B4-BE49-F238E27FC236}">
              <a16:creationId xmlns:a16="http://schemas.microsoft.com/office/drawing/2014/main" id="{8B77EF7D-5DA9-4B9E-9CD3-0ADE49D89BEB}"/>
            </a:ext>
          </a:extLst>
        </xdr:cNvPr>
        <xdr:cNvSpPr/>
      </xdr:nvSpPr>
      <xdr:spPr bwMode="auto">
        <a:xfrm>
          <a:off x="11512550" y="3654425"/>
          <a:ext cx="241300" cy="393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10</xdr:row>
      <xdr:rowOff>165100</xdr:rowOff>
    </xdr:from>
    <xdr:to>
      <xdr:col>19</xdr:col>
      <xdr:colOff>901700</xdr:colOff>
      <xdr:row>13</xdr:row>
      <xdr:rowOff>426720</xdr:rowOff>
    </xdr:to>
    <xdr:sp macro="" textlink="">
      <xdr:nvSpPr>
        <xdr:cNvPr id="283" name="CheckBox2" hidden="1">
          <a:extLst>
            <a:ext uri="{63B3BB69-23CF-44E3-9099-C40C66FF867C}">
              <a14:compatExt xmlns:a14="http://schemas.microsoft.com/office/drawing/2010/main" spid="_x0000_s3074"/>
            </a:ext>
            <a:ext uri="{FF2B5EF4-FFF2-40B4-BE49-F238E27FC236}">
              <a16:creationId xmlns:a16="http://schemas.microsoft.com/office/drawing/2014/main" id="{AE808B74-A2E8-4592-807E-3FDF12B5D9A0}"/>
            </a:ext>
          </a:extLst>
        </xdr:cNvPr>
        <xdr:cNvSpPr/>
      </xdr:nvSpPr>
      <xdr:spPr bwMode="auto">
        <a:xfrm>
          <a:off x="11499850" y="42608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11</xdr:row>
      <xdr:rowOff>165100</xdr:rowOff>
    </xdr:from>
    <xdr:to>
      <xdr:col>19</xdr:col>
      <xdr:colOff>901700</xdr:colOff>
      <xdr:row>15</xdr:row>
      <xdr:rowOff>179070</xdr:rowOff>
    </xdr:to>
    <xdr:sp macro="" textlink="">
      <xdr:nvSpPr>
        <xdr:cNvPr id="284" name="CheckBox3" hidden="1">
          <a:extLst>
            <a:ext uri="{63B3BB69-23CF-44E3-9099-C40C66FF867C}">
              <a14:compatExt xmlns:a14="http://schemas.microsoft.com/office/drawing/2010/main" spid="_x0000_s3075"/>
            </a:ext>
            <a:ext uri="{FF2B5EF4-FFF2-40B4-BE49-F238E27FC236}">
              <a16:creationId xmlns:a16="http://schemas.microsoft.com/office/drawing/2014/main" id="{4368ACF5-6E6B-4F24-866F-CEBEF6940951}"/>
            </a:ext>
          </a:extLst>
        </xdr:cNvPr>
        <xdr:cNvSpPr/>
      </xdr:nvSpPr>
      <xdr:spPr bwMode="auto">
        <a:xfrm>
          <a:off x="11499850" y="48418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12</xdr:row>
      <xdr:rowOff>165100</xdr:rowOff>
    </xdr:from>
    <xdr:to>
      <xdr:col>19</xdr:col>
      <xdr:colOff>901700</xdr:colOff>
      <xdr:row>14</xdr:row>
      <xdr:rowOff>238125</xdr:rowOff>
    </xdr:to>
    <xdr:sp macro="" textlink="">
      <xdr:nvSpPr>
        <xdr:cNvPr id="285" name="CheckBox4" hidden="1">
          <a:extLst>
            <a:ext uri="{63B3BB69-23CF-44E3-9099-C40C66FF867C}">
              <a14:compatExt xmlns:a14="http://schemas.microsoft.com/office/drawing/2010/main" spid="_x0000_s3076"/>
            </a:ext>
            <a:ext uri="{FF2B5EF4-FFF2-40B4-BE49-F238E27FC236}">
              <a16:creationId xmlns:a16="http://schemas.microsoft.com/office/drawing/2014/main" id="{5278B39C-CC59-41ED-91C3-10D26D577886}"/>
            </a:ext>
          </a:extLst>
        </xdr:cNvPr>
        <xdr:cNvSpPr/>
      </xdr:nvSpPr>
      <xdr:spPr bwMode="auto">
        <a:xfrm>
          <a:off x="11499850" y="53467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13</xdr:row>
      <xdr:rowOff>177800</xdr:rowOff>
    </xdr:from>
    <xdr:to>
      <xdr:col>19</xdr:col>
      <xdr:colOff>901700</xdr:colOff>
      <xdr:row>16</xdr:row>
      <xdr:rowOff>536575</xdr:rowOff>
    </xdr:to>
    <xdr:sp macro="" textlink="">
      <xdr:nvSpPr>
        <xdr:cNvPr id="286" name="CheckBox5" hidden="1">
          <a:extLst>
            <a:ext uri="{63B3BB69-23CF-44E3-9099-C40C66FF867C}">
              <a14:compatExt xmlns:a14="http://schemas.microsoft.com/office/drawing/2010/main" spid="_x0000_s3077"/>
            </a:ext>
            <a:ext uri="{FF2B5EF4-FFF2-40B4-BE49-F238E27FC236}">
              <a16:creationId xmlns:a16="http://schemas.microsoft.com/office/drawing/2014/main" id="{655C0AB6-DFE4-4BD0-8920-42C29B7229E1}"/>
            </a:ext>
          </a:extLst>
        </xdr:cNvPr>
        <xdr:cNvSpPr/>
      </xdr:nvSpPr>
      <xdr:spPr bwMode="auto">
        <a:xfrm>
          <a:off x="11499850" y="58642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14</xdr:row>
      <xdr:rowOff>165100</xdr:rowOff>
    </xdr:from>
    <xdr:to>
      <xdr:col>19</xdr:col>
      <xdr:colOff>901700</xdr:colOff>
      <xdr:row>17</xdr:row>
      <xdr:rowOff>560070</xdr:rowOff>
    </xdr:to>
    <xdr:sp macro="" textlink="">
      <xdr:nvSpPr>
        <xdr:cNvPr id="287" name="CheckBox6" hidden="1">
          <a:extLst>
            <a:ext uri="{63B3BB69-23CF-44E3-9099-C40C66FF867C}">
              <a14:compatExt xmlns:a14="http://schemas.microsoft.com/office/drawing/2010/main" spid="_x0000_s3078"/>
            </a:ext>
            <a:ext uri="{FF2B5EF4-FFF2-40B4-BE49-F238E27FC236}">
              <a16:creationId xmlns:a16="http://schemas.microsoft.com/office/drawing/2014/main" id="{F3D9B707-41B3-418B-8A02-F644A0914C12}"/>
            </a:ext>
          </a:extLst>
        </xdr:cNvPr>
        <xdr:cNvSpPr/>
      </xdr:nvSpPr>
      <xdr:spPr bwMode="auto">
        <a:xfrm>
          <a:off x="11499850" y="63563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15</xdr:row>
      <xdr:rowOff>165100</xdr:rowOff>
    </xdr:from>
    <xdr:to>
      <xdr:col>19</xdr:col>
      <xdr:colOff>901700</xdr:colOff>
      <xdr:row>19</xdr:row>
      <xdr:rowOff>316230</xdr:rowOff>
    </xdr:to>
    <xdr:sp macro="" textlink="">
      <xdr:nvSpPr>
        <xdr:cNvPr id="288" name="CheckBox7" hidden="1">
          <a:extLst>
            <a:ext uri="{63B3BB69-23CF-44E3-9099-C40C66FF867C}">
              <a14:compatExt xmlns:a14="http://schemas.microsoft.com/office/drawing/2010/main" spid="_x0000_s3079"/>
            </a:ext>
            <a:ext uri="{FF2B5EF4-FFF2-40B4-BE49-F238E27FC236}">
              <a16:creationId xmlns:a16="http://schemas.microsoft.com/office/drawing/2014/main" id="{0DADCD1A-DA82-4635-990C-87C2EBFB9026}"/>
            </a:ext>
          </a:extLst>
        </xdr:cNvPr>
        <xdr:cNvSpPr/>
      </xdr:nvSpPr>
      <xdr:spPr bwMode="auto">
        <a:xfrm>
          <a:off x="11499850" y="68611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16</xdr:row>
      <xdr:rowOff>165100</xdr:rowOff>
    </xdr:from>
    <xdr:to>
      <xdr:col>19</xdr:col>
      <xdr:colOff>901700</xdr:colOff>
      <xdr:row>20</xdr:row>
      <xdr:rowOff>76200</xdr:rowOff>
    </xdr:to>
    <xdr:sp macro="" textlink="">
      <xdr:nvSpPr>
        <xdr:cNvPr id="289" name="CheckBox8" hidden="1">
          <a:extLst>
            <a:ext uri="{63B3BB69-23CF-44E3-9099-C40C66FF867C}">
              <a14:compatExt xmlns:a14="http://schemas.microsoft.com/office/drawing/2010/main" spid="_x0000_s3080"/>
            </a:ext>
            <a:ext uri="{FF2B5EF4-FFF2-40B4-BE49-F238E27FC236}">
              <a16:creationId xmlns:a16="http://schemas.microsoft.com/office/drawing/2014/main" id="{82AE70B9-90B4-4980-B368-B6D71111A1FB}"/>
            </a:ext>
          </a:extLst>
        </xdr:cNvPr>
        <xdr:cNvSpPr/>
      </xdr:nvSpPr>
      <xdr:spPr bwMode="auto">
        <a:xfrm>
          <a:off x="11499850" y="7366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17</xdr:row>
      <xdr:rowOff>165100</xdr:rowOff>
    </xdr:from>
    <xdr:to>
      <xdr:col>19</xdr:col>
      <xdr:colOff>901700</xdr:colOff>
      <xdr:row>19</xdr:row>
      <xdr:rowOff>262890</xdr:rowOff>
    </xdr:to>
    <xdr:sp macro="" textlink="">
      <xdr:nvSpPr>
        <xdr:cNvPr id="290" name="CheckBox9" hidden="1">
          <a:extLst>
            <a:ext uri="{63B3BB69-23CF-44E3-9099-C40C66FF867C}">
              <a14:compatExt xmlns:a14="http://schemas.microsoft.com/office/drawing/2010/main" spid="_x0000_s3081"/>
            </a:ext>
            <a:ext uri="{FF2B5EF4-FFF2-40B4-BE49-F238E27FC236}">
              <a16:creationId xmlns:a16="http://schemas.microsoft.com/office/drawing/2014/main" id="{F74DDE5D-A2B5-490C-973A-31FF828F5E33}"/>
            </a:ext>
          </a:extLst>
        </xdr:cNvPr>
        <xdr:cNvSpPr/>
      </xdr:nvSpPr>
      <xdr:spPr bwMode="auto">
        <a:xfrm>
          <a:off x="11499850" y="7956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18</xdr:row>
      <xdr:rowOff>165100</xdr:rowOff>
    </xdr:from>
    <xdr:to>
      <xdr:col>19</xdr:col>
      <xdr:colOff>901700</xdr:colOff>
      <xdr:row>21</xdr:row>
      <xdr:rowOff>198120</xdr:rowOff>
    </xdr:to>
    <xdr:sp macro="" textlink="">
      <xdr:nvSpPr>
        <xdr:cNvPr id="291" name="CheckBox10" hidden="1">
          <a:extLst>
            <a:ext uri="{63B3BB69-23CF-44E3-9099-C40C66FF867C}">
              <a14:compatExt xmlns:a14="http://schemas.microsoft.com/office/drawing/2010/main" spid="_x0000_s3082"/>
            </a:ext>
            <a:ext uri="{FF2B5EF4-FFF2-40B4-BE49-F238E27FC236}">
              <a16:creationId xmlns:a16="http://schemas.microsoft.com/office/drawing/2014/main" id="{EF927FB6-847E-4DAE-A415-047CC86E04F3}"/>
            </a:ext>
          </a:extLst>
        </xdr:cNvPr>
        <xdr:cNvSpPr/>
      </xdr:nvSpPr>
      <xdr:spPr bwMode="auto">
        <a:xfrm>
          <a:off x="11499850" y="85566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19</xdr:row>
      <xdr:rowOff>165100</xdr:rowOff>
    </xdr:from>
    <xdr:to>
      <xdr:col>19</xdr:col>
      <xdr:colOff>901700</xdr:colOff>
      <xdr:row>23</xdr:row>
      <xdr:rowOff>59055</xdr:rowOff>
    </xdr:to>
    <xdr:sp macro="" textlink="">
      <xdr:nvSpPr>
        <xdr:cNvPr id="292" name="CheckBox11" hidden="1">
          <a:extLst>
            <a:ext uri="{63B3BB69-23CF-44E3-9099-C40C66FF867C}">
              <a14:compatExt xmlns:a14="http://schemas.microsoft.com/office/drawing/2010/main" spid="_x0000_s3083"/>
            </a:ext>
            <a:ext uri="{FF2B5EF4-FFF2-40B4-BE49-F238E27FC236}">
              <a16:creationId xmlns:a16="http://schemas.microsoft.com/office/drawing/2014/main" id="{B68FF659-F5F6-4333-96B3-ED2ED91A7F5F}"/>
            </a:ext>
          </a:extLst>
        </xdr:cNvPr>
        <xdr:cNvSpPr/>
      </xdr:nvSpPr>
      <xdr:spPr bwMode="auto">
        <a:xfrm>
          <a:off x="11499850" y="9061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20</xdr:row>
      <xdr:rowOff>165100</xdr:rowOff>
    </xdr:from>
    <xdr:to>
      <xdr:col>19</xdr:col>
      <xdr:colOff>901700</xdr:colOff>
      <xdr:row>23</xdr:row>
      <xdr:rowOff>188595</xdr:rowOff>
    </xdr:to>
    <xdr:sp macro="" textlink="">
      <xdr:nvSpPr>
        <xdr:cNvPr id="293" name="CheckBox12" hidden="1">
          <a:extLst>
            <a:ext uri="{63B3BB69-23CF-44E3-9099-C40C66FF867C}">
              <a14:compatExt xmlns:a14="http://schemas.microsoft.com/office/drawing/2010/main" spid="_x0000_s3084"/>
            </a:ext>
            <a:ext uri="{FF2B5EF4-FFF2-40B4-BE49-F238E27FC236}">
              <a16:creationId xmlns:a16="http://schemas.microsoft.com/office/drawing/2014/main" id="{F081220F-8909-451D-A660-E4CBBAD3150F}"/>
            </a:ext>
          </a:extLst>
        </xdr:cNvPr>
        <xdr:cNvSpPr/>
      </xdr:nvSpPr>
      <xdr:spPr bwMode="auto">
        <a:xfrm>
          <a:off x="11499850" y="95662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21</xdr:row>
      <xdr:rowOff>165100</xdr:rowOff>
    </xdr:from>
    <xdr:to>
      <xdr:col>19</xdr:col>
      <xdr:colOff>901700</xdr:colOff>
      <xdr:row>24</xdr:row>
      <xdr:rowOff>592455</xdr:rowOff>
    </xdr:to>
    <xdr:sp macro="" textlink="">
      <xdr:nvSpPr>
        <xdr:cNvPr id="294" name="CheckBox13" hidden="1">
          <a:extLst>
            <a:ext uri="{63B3BB69-23CF-44E3-9099-C40C66FF867C}">
              <a14:compatExt xmlns:a14="http://schemas.microsoft.com/office/drawing/2010/main" spid="_x0000_s3085"/>
            </a:ext>
            <a:ext uri="{FF2B5EF4-FFF2-40B4-BE49-F238E27FC236}">
              <a16:creationId xmlns:a16="http://schemas.microsoft.com/office/drawing/2014/main" id="{2E525305-374D-4779-B744-6E7283214896}"/>
            </a:ext>
          </a:extLst>
        </xdr:cNvPr>
        <xdr:cNvSpPr/>
      </xdr:nvSpPr>
      <xdr:spPr bwMode="auto">
        <a:xfrm>
          <a:off x="11499850" y="10147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22</xdr:row>
      <xdr:rowOff>165100</xdr:rowOff>
    </xdr:from>
    <xdr:to>
      <xdr:col>19</xdr:col>
      <xdr:colOff>901700</xdr:colOff>
      <xdr:row>25</xdr:row>
      <xdr:rowOff>891540</xdr:rowOff>
    </xdr:to>
    <xdr:sp macro="" textlink="">
      <xdr:nvSpPr>
        <xdr:cNvPr id="295" name="CheckBox14" hidden="1">
          <a:extLst>
            <a:ext uri="{63B3BB69-23CF-44E3-9099-C40C66FF867C}">
              <a14:compatExt xmlns:a14="http://schemas.microsoft.com/office/drawing/2010/main" spid="_x0000_s3086"/>
            </a:ext>
            <a:ext uri="{FF2B5EF4-FFF2-40B4-BE49-F238E27FC236}">
              <a16:creationId xmlns:a16="http://schemas.microsoft.com/office/drawing/2014/main" id="{AB9F7DB9-4984-4369-ADA0-7906594AB454}"/>
            </a:ext>
          </a:extLst>
        </xdr:cNvPr>
        <xdr:cNvSpPr/>
      </xdr:nvSpPr>
      <xdr:spPr bwMode="auto">
        <a:xfrm>
          <a:off x="11499850" y="107759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23</xdr:row>
      <xdr:rowOff>165100</xdr:rowOff>
    </xdr:from>
    <xdr:to>
      <xdr:col>19</xdr:col>
      <xdr:colOff>901700</xdr:colOff>
      <xdr:row>26</xdr:row>
      <xdr:rowOff>363855</xdr:rowOff>
    </xdr:to>
    <xdr:sp macro="" textlink="">
      <xdr:nvSpPr>
        <xdr:cNvPr id="296" name="CheckBox15" hidden="1">
          <a:extLst>
            <a:ext uri="{63B3BB69-23CF-44E3-9099-C40C66FF867C}">
              <a14:compatExt xmlns:a14="http://schemas.microsoft.com/office/drawing/2010/main" spid="_x0000_s3087"/>
            </a:ext>
            <a:ext uri="{FF2B5EF4-FFF2-40B4-BE49-F238E27FC236}">
              <a16:creationId xmlns:a16="http://schemas.microsoft.com/office/drawing/2014/main" id="{9DC70B2E-7BF9-485E-8661-A1D60334DC80}"/>
            </a:ext>
          </a:extLst>
        </xdr:cNvPr>
        <xdr:cNvSpPr/>
      </xdr:nvSpPr>
      <xdr:spPr bwMode="auto">
        <a:xfrm>
          <a:off x="11499850" y="112807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24</xdr:row>
      <xdr:rowOff>165100</xdr:rowOff>
    </xdr:from>
    <xdr:to>
      <xdr:col>19</xdr:col>
      <xdr:colOff>901700</xdr:colOff>
      <xdr:row>29</xdr:row>
      <xdr:rowOff>116205</xdr:rowOff>
    </xdr:to>
    <xdr:sp macro="" textlink="">
      <xdr:nvSpPr>
        <xdr:cNvPr id="297" name="CheckBox16" hidden="1">
          <a:extLst>
            <a:ext uri="{63B3BB69-23CF-44E3-9099-C40C66FF867C}">
              <a14:compatExt xmlns:a14="http://schemas.microsoft.com/office/drawing/2010/main" spid="_x0000_s3088"/>
            </a:ext>
            <a:ext uri="{FF2B5EF4-FFF2-40B4-BE49-F238E27FC236}">
              <a16:creationId xmlns:a16="http://schemas.microsoft.com/office/drawing/2014/main" id="{F80BA4FD-5404-4DAC-A7E9-18EC805FE8B5}"/>
            </a:ext>
          </a:extLst>
        </xdr:cNvPr>
        <xdr:cNvSpPr/>
      </xdr:nvSpPr>
      <xdr:spPr bwMode="auto">
        <a:xfrm>
          <a:off x="11499850" y="117856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25</xdr:row>
      <xdr:rowOff>165100</xdr:rowOff>
    </xdr:from>
    <xdr:to>
      <xdr:col>19</xdr:col>
      <xdr:colOff>901700</xdr:colOff>
      <xdr:row>29</xdr:row>
      <xdr:rowOff>182880</xdr:rowOff>
    </xdr:to>
    <xdr:sp macro="" textlink="">
      <xdr:nvSpPr>
        <xdr:cNvPr id="298" name="CheckBox17" hidden="1">
          <a:extLst>
            <a:ext uri="{63B3BB69-23CF-44E3-9099-C40C66FF867C}">
              <a14:compatExt xmlns:a14="http://schemas.microsoft.com/office/drawing/2010/main" spid="_x0000_s3089"/>
            </a:ext>
            <a:ext uri="{FF2B5EF4-FFF2-40B4-BE49-F238E27FC236}">
              <a16:creationId xmlns:a16="http://schemas.microsoft.com/office/drawing/2014/main" id="{60DF1308-FF41-47AA-8855-0AA7988A5A8B}"/>
            </a:ext>
          </a:extLst>
        </xdr:cNvPr>
        <xdr:cNvSpPr/>
      </xdr:nvSpPr>
      <xdr:spPr bwMode="auto">
        <a:xfrm>
          <a:off x="11499850" y="124047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26</xdr:row>
      <xdr:rowOff>165100</xdr:rowOff>
    </xdr:from>
    <xdr:to>
      <xdr:col>19</xdr:col>
      <xdr:colOff>901700</xdr:colOff>
      <xdr:row>28</xdr:row>
      <xdr:rowOff>318135</xdr:rowOff>
    </xdr:to>
    <xdr:sp macro="" textlink="">
      <xdr:nvSpPr>
        <xdr:cNvPr id="299" name="CheckBox18" hidden="1">
          <a:extLst>
            <a:ext uri="{63B3BB69-23CF-44E3-9099-C40C66FF867C}">
              <a14:compatExt xmlns:a14="http://schemas.microsoft.com/office/drawing/2010/main" spid="_x0000_s3090"/>
            </a:ext>
            <a:ext uri="{FF2B5EF4-FFF2-40B4-BE49-F238E27FC236}">
              <a16:creationId xmlns:a16="http://schemas.microsoft.com/office/drawing/2014/main" id="{1B709991-84EB-46E9-B8B7-DBF9CE27F9CC}"/>
            </a:ext>
          </a:extLst>
        </xdr:cNvPr>
        <xdr:cNvSpPr/>
      </xdr:nvSpPr>
      <xdr:spPr bwMode="auto">
        <a:xfrm>
          <a:off x="11499850" y="12909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27</xdr:row>
      <xdr:rowOff>165100</xdr:rowOff>
    </xdr:from>
    <xdr:to>
      <xdr:col>19</xdr:col>
      <xdr:colOff>901700</xdr:colOff>
      <xdr:row>30</xdr:row>
      <xdr:rowOff>200025</xdr:rowOff>
    </xdr:to>
    <xdr:sp macro="" textlink="">
      <xdr:nvSpPr>
        <xdr:cNvPr id="300" name="CheckBox19" hidden="1">
          <a:extLst>
            <a:ext uri="{63B3BB69-23CF-44E3-9099-C40C66FF867C}">
              <a14:compatExt xmlns:a14="http://schemas.microsoft.com/office/drawing/2010/main" spid="_x0000_s3091"/>
            </a:ext>
            <a:ext uri="{FF2B5EF4-FFF2-40B4-BE49-F238E27FC236}">
              <a16:creationId xmlns:a16="http://schemas.microsoft.com/office/drawing/2014/main" id="{43398843-613B-4F9B-93FA-C474DA63F359}"/>
            </a:ext>
          </a:extLst>
        </xdr:cNvPr>
        <xdr:cNvSpPr/>
      </xdr:nvSpPr>
      <xdr:spPr bwMode="auto">
        <a:xfrm>
          <a:off x="11499850" y="13414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28</xdr:row>
      <xdr:rowOff>165100</xdr:rowOff>
    </xdr:from>
    <xdr:to>
      <xdr:col>19</xdr:col>
      <xdr:colOff>901700</xdr:colOff>
      <xdr:row>33</xdr:row>
      <xdr:rowOff>9525</xdr:rowOff>
    </xdr:to>
    <xdr:sp macro="" textlink="">
      <xdr:nvSpPr>
        <xdr:cNvPr id="301" name="CheckBox20" hidden="1">
          <a:extLst>
            <a:ext uri="{63B3BB69-23CF-44E3-9099-C40C66FF867C}">
              <a14:compatExt xmlns:a14="http://schemas.microsoft.com/office/drawing/2010/main" spid="_x0000_s3092"/>
            </a:ext>
            <a:ext uri="{FF2B5EF4-FFF2-40B4-BE49-F238E27FC236}">
              <a16:creationId xmlns:a16="http://schemas.microsoft.com/office/drawing/2014/main" id="{23170B15-F1D5-45D4-BE67-87D0394D3459}"/>
            </a:ext>
          </a:extLst>
        </xdr:cNvPr>
        <xdr:cNvSpPr/>
      </xdr:nvSpPr>
      <xdr:spPr bwMode="auto">
        <a:xfrm>
          <a:off x="11499850" y="140239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29</xdr:row>
      <xdr:rowOff>165100</xdr:rowOff>
    </xdr:from>
    <xdr:to>
      <xdr:col>19</xdr:col>
      <xdr:colOff>901700</xdr:colOff>
      <xdr:row>32</xdr:row>
      <xdr:rowOff>156210</xdr:rowOff>
    </xdr:to>
    <xdr:sp macro="" textlink="">
      <xdr:nvSpPr>
        <xdr:cNvPr id="302" name="CheckBox21" hidden="1">
          <a:extLst>
            <a:ext uri="{63B3BB69-23CF-44E3-9099-C40C66FF867C}">
              <a14:compatExt xmlns:a14="http://schemas.microsoft.com/office/drawing/2010/main" spid="_x0000_s3093"/>
            </a:ext>
            <a:ext uri="{FF2B5EF4-FFF2-40B4-BE49-F238E27FC236}">
              <a16:creationId xmlns:a16="http://schemas.microsoft.com/office/drawing/2014/main" id="{16E91283-2FEA-4B4B-A3DB-77101204E243}"/>
            </a:ext>
          </a:extLst>
        </xdr:cNvPr>
        <xdr:cNvSpPr/>
      </xdr:nvSpPr>
      <xdr:spPr bwMode="auto">
        <a:xfrm>
          <a:off x="11499850" y="145288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30</xdr:row>
      <xdr:rowOff>165100</xdr:rowOff>
    </xdr:from>
    <xdr:to>
      <xdr:col>19</xdr:col>
      <xdr:colOff>901700</xdr:colOff>
      <xdr:row>31</xdr:row>
      <xdr:rowOff>133350</xdr:rowOff>
    </xdr:to>
    <xdr:sp macro="" textlink="">
      <xdr:nvSpPr>
        <xdr:cNvPr id="303" name="CheckBox22" hidden="1">
          <a:extLst>
            <a:ext uri="{63B3BB69-23CF-44E3-9099-C40C66FF867C}">
              <a14:compatExt xmlns:a14="http://schemas.microsoft.com/office/drawing/2010/main" spid="_x0000_s3094"/>
            </a:ext>
            <a:ext uri="{FF2B5EF4-FFF2-40B4-BE49-F238E27FC236}">
              <a16:creationId xmlns:a16="http://schemas.microsoft.com/office/drawing/2014/main" id="{2B0F2FC7-2213-4D48-AAF2-FABFE78D64F0}"/>
            </a:ext>
          </a:extLst>
        </xdr:cNvPr>
        <xdr:cNvSpPr/>
      </xdr:nvSpPr>
      <xdr:spPr bwMode="auto">
        <a:xfrm>
          <a:off x="11499850" y="15157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31</xdr:row>
      <xdr:rowOff>165100</xdr:rowOff>
    </xdr:from>
    <xdr:to>
      <xdr:col>19</xdr:col>
      <xdr:colOff>901700</xdr:colOff>
      <xdr:row>32</xdr:row>
      <xdr:rowOff>133350</xdr:rowOff>
    </xdr:to>
    <xdr:sp macro="" textlink="">
      <xdr:nvSpPr>
        <xdr:cNvPr id="304" name="CheckBox23" hidden="1">
          <a:extLst>
            <a:ext uri="{63B3BB69-23CF-44E3-9099-C40C66FF867C}">
              <a14:compatExt xmlns:a14="http://schemas.microsoft.com/office/drawing/2010/main" spid="_x0000_s3095"/>
            </a:ext>
            <a:ext uri="{FF2B5EF4-FFF2-40B4-BE49-F238E27FC236}">
              <a16:creationId xmlns:a16="http://schemas.microsoft.com/office/drawing/2014/main" id="{C61BCA9E-97AC-43F8-87EA-458F36EF9975}"/>
            </a:ext>
          </a:extLst>
        </xdr:cNvPr>
        <xdr:cNvSpPr/>
      </xdr:nvSpPr>
      <xdr:spPr bwMode="auto">
        <a:xfrm>
          <a:off x="11499850" y="156908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32</xdr:row>
      <xdr:rowOff>165100</xdr:rowOff>
    </xdr:from>
    <xdr:to>
      <xdr:col>19</xdr:col>
      <xdr:colOff>901700</xdr:colOff>
      <xdr:row>33</xdr:row>
      <xdr:rowOff>133350</xdr:rowOff>
    </xdr:to>
    <xdr:sp macro="" textlink="">
      <xdr:nvSpPr>
        <xdr:cNvPr id="305" name="CheckBox24" hidden="1">
          <a:extLst>
            <a:ext uri="{63B3BB69-23CF-44E3-9099-C40C66FF867C}">
              <a14:compatExt xmlns:a14="http://schemas.microsoft.com/office/drawing/2010/main" spid="_x0000_s3096"/>
            </a:ext>
            <a:ext uri="{FF2B5EF4-FFF2-40B4-BE49-F238E27FC236}">
              <a16:creationId xmlns:a16="http://schemas.microsoft.com/office/drawing/2014/main" id="{504E4513-40F6-4F5B-B6D2-979A002FC2EE}"/>
            </a:ext>
          </a:extLst>
        </xdr:cNvPr>
        <xdr:cNvSpPr/>
      </xdr:nvSpPr>
      <xdr:spPr bwMode="auto">
        <a:xfrm>
          <a:off x="11499850" y="16300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33</xdr:row>
      <xdr:rowOff>165100</xdr:rowOff>
    </xdr:from>
    <xdr:to>
      <xdr:col>19</xdr:col>
      <xdr:colOff>901700</xdr:colOff>
      <xdr:row>34</xdr:row>
      <xdr:rowOff>133350</xdr:rowOff>
    </xdr:to>
    <xdr:sp macro="" textlink="">
      <xdr:nvSpPr>
        <xdr:cNvPr id="306" name="CheckBox25" hidden="1">
          <a:extLst>
            <a:ext uri="{63B3BB69-23CF-44E3-9099-C40C66FF867C}">
              <a14:compatExt xmlns:a14="http://schemas.microsoft.com/office/drawing/2010/main" spid="_x0000_s3097"/>
            </a:ext>
            <a:ext uri="{FF2B5EF4-FFF2-40B4-BE49-F238E27FC236}">
              <a16:creationId xmlns:a16="http://schemas.microsoft.com/office/drawing/2014/main" id="{3E4DFFD6-E921-4D39-98C8-C1DD19E4A7E0}"/>
            </a:ext>
          </a:extLst>
        </xdr:cNvPr>
        <xdr:cNvSpPr/>
      </xdr:nvSpPr>
      <xdr:spPr bwMode="auto">
        <a:xfrm>
          <a:off x="11499850" y="16891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34</xdr:row>
      <xdr:rowOff>165100</xdr:rowOff>
    </xdr:from>
    <xdr:to>
      <xdr:col>19</xdr:col>
      <xdr:colOff>901700</xdr:colOff>
      <xdr:row>35</xdr:row>
      <xdr:rowOff>133350</xdr:rowOff>
    </xdr:to>
    <xdr:sp macro="" textlink="">
      <xdr:nvSpPr>
        <xdr:cNvPr id="307" name="CheckBox26" hidden="1">
          <a:extLst>
            <a:ext uri="{63B3BB69-23CF-44E3-9099-C40C66FF867C}">
              <a14:compatExt xmlns:a14="http://schemas.microsoft.com/office/drawing/2010/main" spid="_x0000_s3098"/>
            </a:ext>
            <a:ext uri="{FF2B5EF4-FFF2-40B4-BE49-F238E27FC236}">
              <a16:creationId xmlns:a16="http://schemas.microsoft.com/office/drawing/2014/main" id="{4856ACDC-2D1E-4599-AE56-30DB3BE7A444}"/>
            </a:ext>
          </a:extLst>
        </xdr:cNvPr>
        <xdr:cNvSpPr/>
      </xdr:nvSpPr>
      <xdr:spPr bwMode="auto">
        <a:xfrm>
          <a:off x="11499850" y="174529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35</xdr:row>
      <xdr:rowOff>165100</xdr:rowOff>
    </xdr:from>
    <xdr:to>
      <xdr:col>19</xdr:col>
      <xdr:colOff>901700</xdr:colOff>
      <xdr:row>36</xdr:row>
      <xdr:rowOff>133350</xdr:rowOff>
    </xdr:to>
    <xdr:sp macro="" textlink="">
      <xdr:nvSpPr>
        <xdr:cNvPr id="308" name="CheckBox27" hidden="1">
          <a:extLst>
            <a:ext uri="{63B3BB69-23CF-44E3-9099-C40C66FF867C}">
              <a14:compatExt xmlns:a14="http://schemas.microsoft.com/office/drawing/2010/main" spid="_x0000_s3099"/>
            </a:ext>
            <a:ext uri="{FF2B5EF4-FFF2-40B4-BE49-F238E27FC236}">
              <a16:creationId xmlns:a16="http://schemas.microsoft.com/office/drawing/2014/main" id="{2ABDABC5-9168-4C10-9A0B-A3FEFF1235E1}"/>
            </a:ext>
          </a:extLst>
        </xdr:cNvPr>
        <xdr:cNvSpPr/>
      </xdr:nvSpPr>
      <xdr:spPr bwMode="auto">
        <a:xfrm>
          <a:off x="11499850" y="179959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36</xdr:row>
      <xdr:rowOff>165100</xdr:rowOff>
    </xdr:from>
    <xdr:to>
      <xdr:col>19</xdr:col>
      <xdr:colOff>901700</xdr:colOff>
      <xdr:row>37</xdr:row>
      <xdr:rowOff>133350</xdr:rowOff>
    </xdr:to>
    <xdr:sp macro="" textlink="">
      <xdr:nvSpPr>
        <xdr:cNvPr id="309" name="CheckBox28" hidden="1">
          <a:extLst>
            <a:ext uri="{63B3BB69-23CF-44E3-9099-C40C66FF867C}">
              <a14:compatExt xmlns:a14="http://schemas.microsoft.com/office/drawing/2010/main" spid="_x0000_s3100"/>
            </a:ext>
            <a:ext uri="{FF2B5EF4-FFF2-40B4-BE49-F238E27FC236}">
              <a16:creationId xmlns:a16="http://schemas.microsoft.com/office/drawing/2014/main" id="{C2F142D8-163F-440B-9ED1-08B391F201AC}"/>
            </a:ext>
          </a:extLst>
        </xdr:cNvPr>
        <xdr:cNvSpPr/>
      </xdr:nvSpPr>
      <xdr:spPr bwMode="auto">
        <a:xfrm>
          <a:off x="11499850" y="18529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37</xdr:row>
      <xdr:rowOff>165100</xdr:rowOff>
    </xdr:from>
    <xdr:to>
      <xdr:col>19</xdr:col>
      <xdr:colOff>901700</xdr:colOff>
      <xdr:row>38</xdr:row>
      <xdr:rowOff>142875</xdr:rowOff>
    </xdr:to>
    <xdr:sp macro="" textlink="">
      <xdr:nvSpPr>
        <xdr:cNvPr id="310" name="CheckBox29" hidden="1">
          <a:extLst>
            <a:ext uri="{63B3BB69-23CF-44E3-9099-C40C66FF867C}">
              <a14:compatExt xmlns:a14="http://schemas.microsoft.com/office/drawing/2010/main" spid="_x0000_s3101"/>
            </a:ext>
            <a:ext uri="{FF2B5EF4-FFF2-40B4-BE49-F238E27FC236}">
              <a16:creationId xmlns:a16="http://schemas.microsoft.com/office/drawing/2014/main" id="{5B13CBD3-C32D-4936-9184-78B5C2F6C024}"/>
            </a:ext>
          </a:extLst>
        </xdr:cNvPr>
        <xdr:cNvSpPr/>
      </xdr:nvSpPr>
      <xdr:spPr bwMode="auto">
        <a:xfrm>
          <a:off x="11499850" y="190722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38</xdr:row>
      <xdr:rowOff>165100</xdr:rowOff>
    </xdr:from>
    <xdr:to>
      <xdr:col>19</xdr:col>
      <xdr:colOff>901700</xdr:colOff>
      <xdr:row>39</xdr:row>
      <xdr:rowOff>142875</xdr:rowOff>
    </xdr:to>
    <xdr:sp macro="" textlink="">
      <xdr:nvSpPr>
        <xdr:cNvPr id="311" name="CheckBox30" hidden="1">
          <a:extLst>
            <a:ext uri="{63B3BB69-23CF-44E3-9099-C40C66FF867C}">
              <a14:compatExt xmlns:a14="http://schemas.microsoft.com/office/drawing/2010/main" spid="_x0000_s3102"/>
            </a:ext>
            <a:ext uri="{FF2B5EF4-FFF2-40B4-BE49-F238E27FC236}">
              <a16:creationId xmlns:a16="http://schemas.microsoft.com/office/drawing/2014/main" id="{D46B860B-DC88-4568-8959-A2C97B52CEC6}"/>
            </a:ext>
          </a:extLst>
        </xdr:cNvPr>
        <xdr:cNvSpPr/>
      </xdr:nvSpPr>
      <xdr:spPr bwMode="auto">
        <a:xfrm>
          <a:off x="11499850" y="19672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12" name="CheckBox31" hidden="1">
          <a:extLst>
            <a:ext uri="{63B3BB69-23CF-44E3-9099-C40C66FF867C}">
              <a14:compatExt xmlns:a14="http://schemas.microsoft.com/office/drawing/2010/main" spid="_x0000_s3103"/>
            </a:ext>
            <a:ext uri="{FF2B5EF4-FFF2-40B4-BE49-F238E27FC236}">
              <a16:creationId xmlns:a16="http://schemas.microsoft.com/office/drawing/2014/main" id="{15F48345-34EE-428B-9D5F-EA2618D3D2D1}"/>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13" name="CheckBox32" hidden="1">
          <a:extLst>
            <a:ext uri="{63B3BB69-23CF-44E3-9099-C40C66FF867C}">
              <a14:compatExt xmlns:a14="http://schemas.microsoft.com/office/drawing/2010/main" spid="_x0000_s3104"/>
            </a:ext>
            <a:ext uri="{FF2B5EF4-FFF2-40B4-BE49-F238E27FC236}">
              <a16:creationId xmlns:a16="http://schemas.microsoft.com/office/drawing/2014/main" id="{D54422C4-1FD3-4C4F-B35D-AE7763CDAC0A}"/>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14" name="CheckBox33" hidden="1">
          <a:extLst>
            <a:ext uri="{63B3BB69-23CF-44E3-9099-C40C66FF867C}">
              <a14:compatExt xmlns:a14="http://schemas.microsoft.com/office/drawing/2010/main" spid="_x0000_s3105"/>
            </a:ext>
            <a:ext uri="{FF2B5EF4-FFF2-40B4-BE49-F238E27FC236}">
              <a16:creationId xmlns:a16="http://schemas.microsoft.com/office/drawing/2014/main" id="{1B21AFA3-C154-4660-A973-4B1ED880FBD5}"/>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15" name="CheckBox34" hidden="1">
          <a:extLst>
            <a:ext uri="{63B3BB69-23CF-44E3-9099-C40C66FF867C}">
              <a14:compatExt xmlns:a14="http://schemas.microsoft.com/office/drawing/2010/main" spid="_x0000_s3106"/>
            </a:ext>
            <a:ext uri="{FF2B5EF4-FFF2-40B4-BE49-F238E27FC236}">
              <a16:creationId xmlns:a16="http://schemas.microsoft.com/office/drawing/2014/main" id="{A47FFF35-3F26-49B7-AC49-0DFC171B1CF3}"/>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16" name="CheckBox35" hidden="1">
          <a:extLst>
            <a:ext uri="{63B3BB69-23CF-44E3-9099-C40C66FF867C}">
              <a14:compatExt xmlns:a14="http://schemas.microsoft.com/office/drawing/2010/main" spid="_x0000_s3107"/>
            </a:ext>
            <a:ext uri="{FF2B5EF4-FFF2-40B4-BE49-F238E27FC236}">
              <a16:creationId xmlns:a16="http://schemas.microsoft.com/office/drawing/2014/main" id="{CBE679F1-D74F-47AB-ACD9-EF3900A51F00}"/>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17" name="CheckBox36" hidden="1">
          <a:extLst>
            <a:ext uri="{63B3BB69-23CF-44E3-9099-C40C66FF867C}">
              <a14:compatExt xmlns:a14="http://schemas.microsoft.com/office/drawing/2010/main" spid="_x0000_s3108"/>
            </a:ext>
            <a:ext uri="{FF2B5EF4-FFF2-40B4-BE49-F238E27FC236}">
              <a16:creationId xmlns:a16="http://schemas.microsoft.com/office/drawing/2014/main" id="{669B8CD1-F41C-4B64-A5F8-7882781D158B}"/>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18" name="CheckBox38" hidden="1">
          <a:extLst>
            <a:ext uri="{63B3BB69-23CF-44E3-9099-C40C66FF867C}">
              <a14:compatExt xmlns:a14="http://schemas.microsoft.com/office/drawing/2010/main" spid="_x0000_s3110"/>
            </a:ext>
            <a:ext uri="{FF2B5EF4-FFF2-40B4-BE49-F238E27FC236}">
              <a16:creationId xmlns:a16="http://schemas.microsoft.com/office/drawing/2014/main" id="{660525A3-F337-4122-B350-9DC17AEF1F4B}"/>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19" name="CheckBox39" hidden="1">
          <a:extLst>
            <a:ext uri="{63B3BB69-23CF-44E3-9099-C40C66FF867C}">
              <a14:compatExt xmlns:a14="http://schemas.microsoft.com/office/drawing/2010/main" spid="_x0000_s3111"/>
            </a:ext>
            <a:ext uri="{FF2B5EF4-FFF2-40B4-BE49-F238E27FC236}">
              <a16:creationId xmlns:a16="http://schemas.microsoft.com/office/drawing/2014/main" id="{89D2B097-D278-4494-A16F-073EF87FE390}"/>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20" name="CheckBox40" hidden="1">
          <a:extLst>
            <a:ext uri="{63B3BB69-23CF-44E3-9099-C40C66FF867C}">
              <a14:compatExt xmlns:a14="http://schemas.microsoft.com/office/drawing/2010/main" spid="_x0000_s3112"/>
            </a:ext>
            <a:ext uri="{FF2B5EF4-FFF2-40B4-BE49-F238E27FC236}">
              <a16:creationId xmlns:a16="http://schemas.microsoft.com/office/drawing/2014/main" id="{8486B01C-919B-4180-8ABA-C4F53ABEE9B0}"/>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21" name="CheckBox41" hidden="1">
          <a:extLst>
            <a:ext uri="{63B3BB69-23CF-44E3-9099-C40C66FF867C}">
              <a14:compatExt xmlns:a14="http://schemas.microsoft.com/office/drawing/2010/main" spid="_x0000_s3113"/>
            </a:ext>
            <a:ext uri="{FF2B5EF4-FFF2-40B4-BE49-F238E27FC236}">
              <a16:creationId xmlns:a16="http://schemas.microsoft.com/office/drawing/2014/main" id="{6ADFD048-7DC2-4310-95F1-E420A8886159}"/>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22" name="CheckBox42" hidden="1">
          <a:extLst>
            <a:ext uri="{63B3BB69-23CF-44E3-9099-C40C66FF867C}">
              <a14:compatExt xmlns:a14="http://schemas.microsoft.com/office/drawing/2010/main" spid="_x0000_s3114"/>
            </a:ext>
            <a:ext uri="{FF2B5EF4-FFF2-40B4-BE49-F238E27FC236}">
              <a16:creationId xmlns:a16="http://schemas.microsoft.com/office/drawing/2014/main" id="{12F14B44-7825-48E8-8CD5-E345815AC7A5}"/>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23" name="CheckBox43" hidden="1">
          <a:extLst>
            <a:ext uri="{63B3BB69-23CF-44E3-9099-C40C66FF867C}">
              <a14:compatExt xmlns:a14="http://schemas.microsoft.com/office/drawing/2010/main" spid="_x0000_s3115"/>
            </a:ext>
            <a:ext uri="{FF2B5EF4-FFF2-40B4-BE49-F238E27FC236}">
              <a16:creationId xmlns:a16="http://schemas.microsoft.com/office/drawing/2014/main" id="{58316C32-BEC2-4029-BF7C-E2D9AD20C1FF}"/>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24" name="CheckBox44" hidden="1">
          <a:extLst>
            <a:ext uri="{63B3BB69-23CF-44E3-9099-C40C66FF867C}">
              <a14:compatExt xmlns:a14="http://schemas.microsoft.com/office/drawing/2010/main" spid="_x0000_s3116"/>
            </a:ext>
            <a:ext uri="{FF2B5EF4-FFF2-40B4-BE49-F238E27FC236}">
              <a16:creationId xmlns:a16="http://schemas.microsoft.com/office/drawing/2014/main" id="{C0B4E501-9E8A-422A-A4B4-606D6D0EF94E}"/>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25" name="CheckBox45" hidden="1">
          <a:extLst>
            <a:ext uri="{63B3BB69-23CF-44E3-9099-C40C66FF867C}">
              <a14:compatExt xmlns:a14="http://schemas.microsoft.com/office/drawing/2010/main" spid="_x0000_s3117"/>
            </a:ext>
            <a:ext uri="{FF2B5EF4-FFF2-40B4-BE49-F238E27FC236}">
              <a16:creationId xmlns:a16="http://schemas.microsoft.com/office/drawing/2014/main" id="{E7C2D0ED-D75A-4343-9D9C-9A3903BCD0CE}"/>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326" name="CheckBox46" hidden="1">
          <a:extLst>
            <a:ext uri="{63B3BB69-23CF-44E3-9099-C40C66FF867C}">
              <a14:compatExt xmlns:a14="http://schemas.microsoft.com/office/drawing/2010/main" spid="_x0000_s3118"/>
            </a:ext>
            <a:ext uri="{FF2B5EF4-FFF2-40B4-BE49-F238E27FC236}">
              <a16:creationId xmlns:a16="http://schemas.microsoft.com/office/drawing/2014/main" id="{BBCE60C4-20DC-4511-AFAD-21DA0B4FE1B9}"/>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635000</xdr:colOff>
      <xdr:row>9</xdr:row>
      <xdr:rowOff>63500</xdr:rowOff>
    </xdr:from>
    <xdr:to>
      <xdr:col>19</xdr:col>
      <xdr:colOff>876300</xdr:colOff>
      <xdr:row>11</xdr:row>
      <xdr:rowOff>409575</xdr:rowOff>
    </xdr:to>
    <xdr:sp macro="" textlink="">
      <xdr:nvSpPr>
        <xdr:cNvPr id="372" name="CheckBox1" hidden="1">
          <a:extLst>
            <a:ext uri="{63B3BB69-23CF-44E3-9099-C40C66FF867C}">
              <a14:compatExt xmlns:a14="http://schemas.microsoft.com/office/drawing/2010/main" spid="_x0000_s3073"/>
            </a:ext>
            <a:ext uri="{FF2B5EF4-FFF2-40B4-BE49-F238E27FC236}">
              <a16:creationId xmlns:a16="http://schemas.microsoft.com/office/drawing/2014/main" id="{CBA97640-6132-4B40-9F9E-F8375CE054CF}"/>
            </a:ext>
          </a:extLst>
        </xdr:cNvPr>
        <xdr:cNvSpPr/>
      </xdr:nvSpPr>
      <xdr:spPr bwMode="auto">
        <a:xfrm>
          <a:off x="11512550" y="3654425"/>
          <a:ext cx="241300" cy="393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10</xdr:row>
      <xdr:rowOff>165100</xdr:rowOff>
    </xdr:from>
    <xdr:to>
      <xdr:col>19</xdr:col>
      <xdr:colOff>901700</xdr:colOff>
      <xdr:row>13</xdr:row>
      <xdr:rowOff>426720</xdr:rowOff>
    </xdr:to>
    <xdr:sp macro="" textlink="">
      <xdr:nvSpPr>
        <xdr:cNvPr id="373" name="CheckBox2" hidden="1">
          <a:extLst>
            <a:ext uri="{63B3BB69-23CF-44E3-9099-C40C66FF867C}">
              <a14:compatExt xmlns:a14="http://schemas.microsoft.com/office/drawing/2010/main" spid="_x0000_s3074"/>
            </a:ext>
            <a:ext uri="{FF2B5EF4-FFF2-40B4-BE49-F238E27FC236}">
              <a16:creationId xmlns:a16="http://schemas.microsoft.com/office/drawing/2014/main" id="{E2EFD9D5-1E35-41E1-B47D-790DD90561C1}"/>
            </a:ext>
          </a:extLst>
        </xdr:cNvPr>
        <xdr:cNvSpPr/>
      </xdr:nvSpPr>
      <xdr:spPr bwMode="auto">
        <a:xfrm>
          <a:off x="11499850" y="42608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11</xdr:row>
      <xdr:rowOff>165100</xdr:rowOff>
    </xdr:from>
    <xdr:to>
      <xdr:col>19</xdr:col>
      <xdr:colOff>901700</xdr:colOff>
      <xdr:row>15</xdr:row>
      <xdr:rowOff>179070</xdr:rowOff>
    </xdr:to>
    <xdr:sp macro="" textlink="">
      <xdr:nvSpPr>
        <xdr:cNvPr id="374" name="CheckBox3" hidden="1">
          <a:extLst>
            <a:ext uri="{63B3BB69-23CF-44E3-9099-C40C66FF867C}">
              <a14:compatExt xmlns:a14="http://schemas.microsoft.com/office/drawing/2010/main" spid="_x0000_s3075"/>
            </a:ext>
            <a:ext uri="{FF2B5EF4-FFF2-40B4-BE49-F238E27FC236}">
              <a16:creationId xmlns:a16="http://schemas.microsoft.com/office/drawing/2014/main" id="{37FD96EA-A489-4BC6-AC14-2E942888801C}"/>
            </a:ext>
          </a:extLst>
        </xdr:cNvPr>
        <xdr:cNvSpPr/>
      </xdr:nvSpPr>
      <xdr:spPr bwMode="auto">
        <a:xfrm>
          <a:off x="11499850" y="48418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12</xdr:row>
      <xdr:rowOff>165100</xdr:rowOff>
    </xdr:from>
    <xdr:to>
      <xdr:col>19</xdr:col>
      <xdr:colOff>901700</xdr:colOff>
      <xdr:row>14</xdr:row>
      <xdr:rowOff>238125</xdr:rowOff>
    </xdr:to>
    <xdr:sp macro="" textlink="">
      <xdr:nvSpPr>
        <xdr:cNvPr id="375" name="CheckBox4" hidden="1">
          <a:extLst>
            <a:ext uri="{63B3BB69-23CF-44E3-9099-C40C66FF867C}">
              <a14:compatExt xmlns:a14="http://schemas.microsoft.com/office/drawing/2010/main" spid="_x0000_s3076"/>
            </a:ext>
            <a:ext uri="{FF2B5EF4-FFF2-40B4-BE49-F238E27FC236}">
              <a16:creationId xmlns:a16="http://schemas.microsoft.com/office/drawing/2014/main" id="{3A1DBAA8-3030-4A3B-9FD7-BEA191CB5E80}"/>
            </a:ext>
          </a:extLst>
        </xdr:cNvPr>
        <xdr:cNvSpPr/>
      </xdr:nvSpPr>
      <xdr:spPr bwMode="auto">
        <a:xfrm>
          <a:off x="11499850" y="53467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13</xdr:row>
      <xdr:rowOff>177800</xdr:rowOff>
    </xdr:from>
    <xdr:to>
      <xdr:col>19</xdr:col>
      <xdr:colOff>901700</xdr:colOff>
      <xdr:row>16</xdr:row>
      <xdr:rowOff>536575</xdr:rowOff>
    </xdr:to>
    <xdr:sp macro="" textlink="">
      <xdr:nvSpPr>
        <xdr:cNvPr id="376" name="CheckBox5" hidden="1">
          <a:extLst>
            <a:ext uri="{63B3BB69-23CF-44E3-9099-C40C66FF867C}">
              <a14:compatExt xmlns:a14="http://schemas.microsoft.com/office/drawing/2010/main" spid="_x0000_s3077"/>
            </a:ext>
            <a:ext uri="{FF2B5EF4-FFF2-40B4-BE49-F238E27FC236}">
              <a16:creationId xmlns:a16="http://schemas.microsoft.com/office/drawing/2014/main" id="{04139C11-332F-4507-868A-4E4A5358CF3E}"/>
            </a:ext>
          </a:extLst>
        </xdr:cNvPr>
        <xdr:cNvSpPr/>
      </xdr:nvSpPr>
      <xdr:spPr bwMode="auto">
        <a:xfrm>
          <a:off x="11499850" y="58642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14</xdr:row>
      <xdr:rowOff>165100</xdr:rowOff>
    </xdr:from>
    <xdr:to>
      <xdr:col>19</xdr:col>
      <xdr:colOff>901700</xdr:colOff>
      <xdr:row>17</xdr:row>
      <xdr:rowOff>560070</xdr:rowOff>
    </xdr:to>
    <xdr:sp macro="" textlink="">
      <xdr:nvSpPr>
        <xdr:cNvPr id="377" name="CheckBox6" hidden="1">
          <a:extLst>
            <a:ext uri="{63B3BB69-23CF-44E3-9099-C40C66FF867C}">
              <a14:compatExt xmlns:a14="http://schemas.microsoft.com/office/drawing/2010/main" spid="_x0000_s3078"/>
            </a:ext>
            <a:ext uri="{FF2B5EF4-FFF2-40B4-BE49-F238E27FC236}">
              <a16:creationId xmlns:a16="http://schemas.microsoft.com/office/drawing/2014/main" id="{38E470DF-1A0B-460A-88E1-291B07108380}"/>
            </a:ext>
          </a:extLst>
        </xdr:cNvPr>
        <xdr:cNvSpPr/>
      </xdr:nvSpPr>
      <xdr:spPr bwMode="auto">
        <a:xfrm>
          <a:off x="11499850" y="63563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15</xdr:row>
      <xdr:rowOff>165100</xdr:rowOff>
    </xdr:from>
    <xdr:to>
      <xdr:col>19</xdr:col>
      <xdr:colOff>901700</xdr:colOff>
      <xdr:row>19</xdr:row>
      <xdr:rowOff>316230</xdr:rowOff>
    </xdr:to>
    <xdr:sp macro="" textlink="">
      <xdr:nvSpPr>
        <xdr:cNvPr id="378" name="CheckBox7" hidden="1">
          <a:extLst>
            <a:ext uri="{63B3BB69-23CF-44E3-9099-C40C66FF867C}">
              <a14:compatExt xmlns:a14="http://schemas.microsoft.com/office/drawing/2010/main" spid="_x0000_s3079"/>
            </a:ext>
            <a:ext uri="{FF2B5EF4-FFF2-40B4-BE49-F238E27FC236}">
              <a16:creationId xmlns:a16="http://schemas.microsoft.com/office/drawing/2014/main" id="{A7683309-6F9E-467B-839D-30C2F7945DBC}"/>
            </a:ext>
          </a:extLst>
        </xdr:cNvPr>
        <xdr:cNvSpPr/>
      </xdr:nvSpPr>
      <xdr:spPr bwMode="auto">
        <a:xfrm>
          <a:off x="11499850" y="68611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16</xdr:row>
      <xdr:rowOff>165100</xdr:rowOff>
    </xdr:from>
    <xdr:to>
      <xdr:col>19</xdr:col>
      <xdr:colOff>901700</xdr:colOff>
      <xdr:row>20</xdr:row>
      <xdr:rowOff>76200</xdr:rowOff>
    </xdr:to>
    <xdr:sp macro="" textlink="">
      <xdr:nvSpPr>
        <xdr:cNvPr id="379" name="CheckBox8" hidden="1">
          <a:extLst>
            <a:ext uri="{63B3BB69-23CF-44E3-9099-C40C66FF867C}">
              <a14:compatExt xmlns:a14="http://schemas.microsoft.com/office/drawing/2010/main" spid="_x0000_s3080"/>
            </a:ext>
            <a:ext uri="{FF2B5EF4-FFF2-40B4-BE49-F238E27FC236}">
              <a16:creationId xmlns:a16="http://schemas.microsoft.com/office/drawing/2014/main" id="{9BAF71A0-3CE6-425B-96F5-99D0460E0DE9}"/>
            </a:ext>
          </a:extLst>
        </xdr:cNvPr>
        <xdr:cNvSpPr/>
      </xdr:nvSpPr>
      <xdr:spPr bwMode="auto">
        <a:xfrm>
          <a:off x="11499850" y="7366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17</xdr:row>
      <xdr:rowOff>165100</xdr:rowOff>
    </xdr:from>
    <xdr:to>
      <xdr:col>19</xdr:col>
      <xdr:colOff>901700</xdr:colOff>
      <xdr:row>19</xdr:row>
      <xdr:rowOff>262890</xdr:rowOff>
    </xdr:to>
    <xdr:sp macro="" textlink="">
      <xdr:nvSpPr>
        <xdr:cNvPr id="380" name="CheckBox9" hidden="1">
          <a:extLst>
            <a:ext uri="{63B3BB69-23CF-44E3-9099-C40C66FF867C}">
              <a14:compatExt xmlns:a14="http://schemas.microsoft.com/office/drawing/2010/main" spid="_x0000_s3081"/>
            </a:ext>
            <a:ext uri="{FF2B5EF4-FFF2-40B4-BE49-F238E27FC236}">
              <a16:creationId xmlns:a16="http://schemas.microsoft.com/office/drawing/2014/main" id="{0232B77B-BC50-4921-ACF3-6BC7886DE945}"/>
            </a:ext>
          </a:extLst>
        </xdr:cNvPr>
        <xdr:cNvSpPr/>
      </xdr:nvSpPr>
      <xdr:spPr bwMode="auto">
        <a:xfrm>
          <a:off x="11499850" y="7956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18</xdr:row>
      <xdr:rowOff>165100</xdr:rowOff>
    </xdr:from>
    <xdr:to>
      <xdr:col>19</xdr:col>
      <xdr:colOff>901700</xdr:colOff>
      <xdr:row>21</xdr:row>
      <xdr:rowOff>198120</xdr:rowOff>
    </xdr:to>
    <xdr:sp macro="" textlink="">
      <xdr:nvSpPr>
        <xdr:cNvPr id="381" name="CheckBox10" hidden="1">
          <a:extLst>
            <a:ext uri="{63B3BB69-23CF-44E3-9099-C40C66FF867C}">
              <a14:compatExt xmlns:a14="http://schemas.microsoft.com/office/drawing/2010/main" spid="_x0000_s3082"/>
            </a:ext>
            <a:ext uri="{FF2B5EF4-FFF2-40B4-BE49-F238E27FC236}">
              <a16:creationId xmlns:a16="http://schemas.microsoft.com/office/drawing/2014/main" id="{14C8640E-56CB-499A-BD78-6915B382AF42}"/>
            </a:ext>
          </a:extLst>
        </xdr:cNvPr>
        <xdr:cNvSpPr/>
      </xdr:nvSpPr>
      <xdr:spPr bwMode="auto">
        <a:xfrm>
          <a:off x="11499850" y="85566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19</xdr:row>
      <xdr:rowOff>165100</xdr:rowOff>
    </xdr:from>
    <xdr:to>
      <xdr:col>19</xdr:col>
      <xdr:colOff>901700</xdr:colOff>
      <xdr:row>23</xdr:row>
      <xdr:rowOff>59055</xdr:rowOff>
    </xdr:to>
    <xdr:sp macro="" textlink="">
      <xdr:nvSpPr>
        <xdr:cNvPr id="382" name="CheckBox11" hidden="1">
          <a:extLst>
            <a:ext uri="{63B3BB69-23CF-44E3-9099-C40C66FF867C}">
              <a14:compatExt xmlns:a14="http://schemas.microsoft.com/office/drawing/2010/main" spid="_x0000_s3083"/>
            </a:ext>
            <a:ext uri="{FF2B5EF4-FFF2-40B4-BE49-F238E27FC236}">
              <a16:creationId xmlns:a16="http://schemas.microsoft.com/office/drawing/2014/main" id="{C6BF4E5C-8CA9-4240-B2D7-8F26D4524272}"/>
            </a:ext>
          </a:extLst>
        </xdr:cNvPr>
        <xdr:cNvSpPr/>
      </xdr:nvSpPr>
      <xdr:spPr bwMode="auto">
        <a:xfrm>
          <a:off x="11499850" y="9061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20</xdr:row>
      <xdr:rowOff>165100</xdr:rowOff>
    </xdr:from>
    <xdr:to>
      <xdr:col>19</xdr:col>
      <xdr:colOff>901700</xdr:colOff>
      <xdr:row>23</xdr:row>
      <xdr:rowOff>188595</xdr:rowOff>
    </xdr:to>
    <xdr:sp macro="" textlink="">
      <xdr:nvSpPr>
        <xdr:cNvPr id="383" name="CheckBox12" hidden="1">
          <a:extLst>
            <a:ext uri="{63B3BB69-23CF-44E3-9099-C40C66FF867C}">
              <a14:compatExt xmlns:a14="http://schemas.microsoft.com/office/drawing/2010/main" spid="_x0000_s3084"/>
            </a:ext>
            <a:ext uri="{FF2B5EF4-FFF2-40B4-BE49-F238E27FC236}">
              <a16:creationId xmlns:a16="http://schemas.microsoft.com/office/drawing/2014/main" id="{A1C9DF11-0CD1-4F9B-8FE5-31B436E10400}"/>
            </a:ext>
          </a:extLst>
        </xdr:cNvPr>
        <xdr:cNvSpPr/>
      </xdr:nvSpPr>
      <xdr:spPr bwMode="auto">
        <a:xfrm>
          <a:off x="11499850" y="95662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21</xdr:row>
      <xdr:rowOff>165100</xdr:rowOff>
    </xdr:from>
    <xdr:to>
      <xdr:col>19</xdr:col>
      <xdr:colOff>901700</xdr:colOff>
      <xdr:row>24</xdr:row>
      <xdr:rowOff>592455</xdr:rowOff>
    </xdr:to>
    <xdr:sp macro="" textlink="">
      <xdr:nvSpPr>
        <xdr:cNvPr id="384" name="CheckBox13" hidden="1">
          <a:extLst>
            <a:ext uri="{63B3BB69-23CF-44E3-9099-C40C66FF867C}">
              <a14:compatExt xmlns:a14="http://schemas.microsoft.com/office/drawing/2010/main" spid="_x0000_s3085"/>
            </a:ext>
            <a:ext uri="{FF2B5EF4-FFF2-40B4-BE49-F238E27FC236}">
              <a16:creationId xmlns:a16="http://schemas.microsoft.com/office/drawing/2014/main" id="{3F979175-48F9-4DBB-8280-D01A8605A483}"/>
            </a:ext>
          </a:extLst>
        </xdr:cNvPr>
        <xdr:cNvSpPr/>
      </xdr:nvSpPr>
      <xdr:spPr bwMode="auto">
        <a:xfrm>
          <a:off x="11499850" y="10147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22</xdr:row>
      <xdr:rowOff>165100</xdr:rowOff>
    </xdr:from>
    <xdr:to>
      <xdr:col>19</xdr:col>
      <xdr:colOff>901700</xdr:colOff>
      <xdr:row>25</xdr:row>
      <xdr:rowOff>891540</xdr:rowOff>
    </xdr:to>
    <xdr:sp macro="" textlink="">
      <xdr:nvSpPr>
        <xdr:cNvPr id="385" name="CheckBox14" hidden="1">
          <a:extLst>
            <a:ext uri="{63B3BB69-23CF-44E3-9099-C40C66FF867C}">
              <a14:compatExt xmlns:a14="http://schemas.microsoft.com/office/drawing/2010/main" spid="_x0000_s3086"/>
            </a:ext>
            <a:ext uri="{FF2B5EF4-FFF2-40B4-BE49-F238E27FC236}">
              <a16:creationId xmlns:a16="http://schemas.microsoft.com/office/drawing/2014/main" id="{55C5CB72-A35F-4108-AAC3-1816C87C4ED0}"/>
            </a:ext>
          </a:extLst>
        </xdr:cNvPr>
        <xdr:cNvSpPr/>
      </xdr:nvSpPr>
      <xdr:spPr bwMode="auto">
        <a:xfrm>
          <a:off x="11499850" y="107759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23</xdr:row>
      <xdr:rowOff>165100</xdr:rowOff>
    </xdr:from>
    <xdr:to>
      <xdr:col>19</xdr:col>
      <xdr:colOff>901700</xdr:colOff>
      <xdr:row>26</xdr:row>
      <xdr:rowOff>363855</xdr:rowOff>
    </xdr:to>
    <xdr:sp macro="" textlink="">
      <xdr:nvSpPr>
        <xdr:cNvPr id="386" name="CheckBox15" hidden="1">
          <a:extLst>
            <a:ext uri="{63B3BB69-23CF-44E3-9099-C40C66FF867C}">
              <a14:compatExt xmlns:a14="http://schemas.microsoft.com/office/drawing/2010/main" spid="_x0000_s3087"/>
            </a:ext>
            <a:ext uri="{FF2B5EF4-FFF2-40B4-BE49-F238E27FC236}">
              <a16:creationId xmlns:a16="http://schemas.microsoft.com/office/drawing/2014/main" id="{44144B7E-5190-4911-AFF7-ED230591116F}"/>
            </a:ext>
          </a:extLst>
        </xdr:cNvPr>
        <xdr:cNvSpPr/>
      </xdr:nvSpPr>
      <xdr:spPr bwMode="auto">
        <a:xfrm>
          <a:off x="11499850" y="112807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24</xdr:row>
      <xdr:rowOff>165100</xdr:rowOff>
    </xdr:from>
    <xdr:to>
      <xdr:col>19</xdr:col>
      <xdr:colOff>901700</xdr:colOff>
      <xdr:row>29</xdr:row>
      <xdr:rowOff>116205</xdr:rowOff>
    </xdr:to>
    <xdr:sp macro="" textlink="">
      <xdr:nvSpPr>
        <xdr:cNvPr id="387" name="CheckBox16" hidden="1">
          <a:extLst>
            <a:ext uri="{63B3BB69-23CF-44E3-9099-C40C66FF867C}">
              <a14:compatExt xmlns:a14="http://schemas.microsoft.com/office/drawing/2010/main" spid="_x0000_s3088"/>
            </a:ext>
            <a:ext uri="{FF2B5EF4-FFF2-40B4-BE49-F238E27FC236}">
              <a16:creationId xmlns:a16="http://schemas.microsoft.com/office/drawing/2014/main" id="{B8B50166-C58D-4B64-A485-496C57649BA4}"/>
            </a:ext>
          </a:extLst>
        </xdr:cNvPr>
        <xdr:cNvSpPr/>
      </xdr:nvSpPr>
      <xdr:spPr bwMode="auto">
        <a:xfrm>
          <a:off x="11499850" y="117856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25</xdr:row>
      <xdr:rowOff>165100</xdr:rowOff>
    </xdr:from>
    <xdr:to>
      <xdr:col>19</xdr:col>
      <xdr:colOff>901700</xdr:colOff>
      <xdr:row>29</xdr:row>
      <xdr:rowOff>182880</xdr:rowOff>
    </xdr:to>
    <xdr:sp macro="" textlink="">
      <xdr:nvSpPr>
        <xdr:cNvPr id="388" name="CheckBox17" hidden="1">
          <a:extLst>
            <a:ext uri="{63B3BB69-23CF-44E3-9099-C40C66FF867C}">
              <a14:compatExt xmlns:a14="http://schemas.microsoft.com/office/drawing/2010/main" spid="_x0000_s3089"/>
            </a:ext>
            <a:ext uri="{FF2B5EF4-FFF2-40B4-BE49-F238E27FC236}">
              <a16:creationId xmlns:a16="http://schemas.microsoft.com/office/drawing/2014/main" id="{F3ED0549-0252-4034-9417-A7C113AC329A}"/>
            </a:ext>
          </a:extLst>
        </xdr:cNvPr>
        <xdr:cNvSpPr/>
      </xdr:nvSpPr>
      <xdr:spPr bwMode="auto">
        <a:xfrm>
          <a:off x="11499850" y="124047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26</xdr:row>
      <xdr:rowOff>165100</xdr:rowOff>
    </xdr:from>
    <xdr:to>
      <xdr:col>19</xdr:col>
      <xdr:colOff>901700</xdr:colOff>
      <xdr:row>28</xdr:row>
      <xdr:rowOff>318135</xdr:rowOff>
    </xdr:to>
    <xdr:sp macro="" textlink="">
      <xdr:nvSpPr>
        <xdr:cNvPr id="389" name="CheckBox18" hidden="1">
          <a:extLst>
            <a:ext uri="{63B3BB69-23CF-44E3-9099-C40C66FF867C}">
              <a14:compatExt xmlns:a14="http://schemas.microsoft.com/office/drawing/2010/main" spid="_x0000_s3090"/>
            </a:ext>
            <a:ext uri="{FF2B5EF4-FFF2-40B4-BE49-F238E27FC236}">
              <a16:creationId xmlns:a16="http://schemas.microsoft.com/office/drawing/2014/main" id="{35F65DBF-5E03-4CDC-9FE1-613556021AF8}"/>
            </a:ext>
          </a:extLst>
        </xdr:cNvPr>
        <xdr:cNvSpPr/>
      </xdr:nvSpPr>
      <xdr:spPr bwMode="auto">
        <a:xfrm>
          <a:off x="11499850" y="12909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27</xdr:row>
      <xdr:rowOff>165100</xdr:rowOff>
    </xdr:from>
    <xdr:to>
      <xdr:col>19</xdr:col>
      <xdr:colOff>901700</xdr:colOff>
      <xdr:row>30</xdr:row>
      <xdr:rowOff>200025</xdr:rowOff>
    </xdr:to>
    <xdr:sp macro="" textlink="">
      <xdr:nvSpPr>
        <xdr:cNvPr id="390" name="CheckBox19" hidden="1">
          <a:extLst>
            <a:ext uri="{63B3BB69-23CF-44E3-9099-C40C66FF867C}">
              <a14:compatExt xmlns:a14="http://schemas.microsoft.com/office/drawing/2010/main" spid="_x0000_s3091"/>
            </a:ext>
            <a:ext uri="{FF2B5EF4-FFF2-40B4-BE49-F238E27FC236}">
              <a16:creationId xmlns:a16="http://schemas.microsoft.com/office/drawing/2014/main" id="{AE79A1B2-2BA0-431F-B9E6-C94AE197348B}"/>
            </a:ext>
          </a:extLst>
        </xdr:cNvPr>
        <xdr:cNvSpPr/>
      </xdr:nvSpPr>
      <xdr:spPr bwMode="auto">
        <a:xfrm>
          <a:off x="11499850" y="13414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28</xdr:row>
      <xdr:rowOff>165100</xdr:rowOff>
    </xdr:from>
    <xdr:to>
      <xdr:col>19</xdr:col>
      <xdr:colOff>901700</xdr:colOff>
      <xdr:row>33</xdr:row>
      <xdr:rowOff>9525</xdr:rowOff>
    </xdr:to>
    <xdr:sp macro="" textlink="">
      <xdr:nvSpPr>
        <xdr:cNvPr id="391" name="CheckBox20" hidden="1">
          <a:extLst>
            <a:ext uri="{63B3BB69-23CF-44E3-9099-C40C66FF867C}">
              <a14:compatExt xmlns:a14="http://schemas.microsoft.com/office/drawing/2010/main" spid="_x0000_s3092"/>
            </a:ext>
            <a:ext uri="{FF2B5EF4-FFF2-40B4-BE49-F238E27FC236}">
              <a16:creationId xmlns:a16="http://schemas.microsoft.com/office/drawing/2014/main" id="{730C8249-A136-49F9-8710-AFAFC8E85A73}"/>
            </a:ext>
          </a:extLst>
        </xdr:cNvPr>
        <xdr:cNvSpPr/>
      </xdr:nvSpPr>
      <xdr:spPr bwMode="auto">
        <a:xfrm>
          <a:off x="11499850" y="140239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29</xdr:row>
      <xdr:rowOff>165100</xdr:rowOff>
    </xdr:from>
    <xdr:to>
      <xdr:col>19</xdr:col>
      <xdr:colOff>901700</xdr:colOff>
      <xdr:row>32</xdr:row>
      <xdr:rowOff>156210</xdr:rowOff>
    </xdr:to>
    <xdr:sp macro="" textlink="">
      <xdr:nvSpPr>
        <xdr:cNvPr id="392" name="CheckBox21" hidden="1">
          <a:extLst>
            <a:ext uri="{63B3BB69-23CF-44E3-9099-C40C66FF867C}">
              <a14:compatExt xmlns:a14="http://schemas.microsoft.com/office/drawing/2010/main" spid="_x0000_s3093"/>
            </a:ext>
            <a:ext uri="{FF2B5EF4-FFF2-40B4-BE49-F238E27FC236}">
              <a16:creationId xmlns:a16="http://schemas.microsoft.com/office/drawing/2014/main" id="{EBE9EC0F-146C-4D81-83E2-4032577AB872}"/>
            </a:ext>
          </a:extLst>
        </xdr:cNvPr>
        <xdr:cNvSpPr/>
      </xdr:nvSpPr>
      <xdr:spPr bwMode="auto">
        <a:xfrm>
          <a:off x="11499850" y="145288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30</xdr:row>
      <xdr:rowOff>165100</xdr:rowOff>
    </xdr:from>
    <xdr:to>
      <xdr:col>19</xdr:col>
      <xdr:colOff>901700</xdr:colOff>
      <xdr:row>31</xdr:row>
      <xdr:rowOff>133350</xdr:rowOff>
    </xdr:to>
    <xdr:sp macro="" textlink="">
      <xdr:nvSpPr>
        <xdr:cNvPr id="393" name="CheckBox22" hidden="1">
          <a:extLst>
            <a:ext uri="{63B3BB69-23CF-44E3-9099-C40C66FF867C}">
              <a14:compatExt xmlns:a14="http://schemas.microsoft.com/office/drawing/2010/main" spid="_x0000_s3094"/>
            </a:ext>
            <a:ext uri="{FF2B5EF4-FFF2-40B4-BE49-F238E27FC236}">
              <a16:creationId xmlns:a16="http://schemas.microsoft.com/office/drawing/2014/main" id="{CA2B99B8-B807-476B-9335-79DE3668EFA9}"/>
            </a:ext>
          </a:extLst>
        </xdr:cNvPr>
        <xdr:cNvSpPr/>
      </xdr:nvSpPr>
      <xdr:spPr bwMode="auto">
        <a:xfrm>
          <a:off x="11499850" y="15157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31</xdr:row>
      <xdr:rowOff>165100</xdr:rowOff>
    </xdr:from>
    <xdr:to>
      <xdr:col>19</xdr:col>
      <xdr:colOff>901700</xdr:colOff>
      <xdr:row>32</xdr:row>
      <xdr:rowOff>133350</xdr:rowOff>
    </xdr:to>
    <xdr:sp macro="" textlink="">
      <xdr:nvSpPr>
        <xdr:cNvPr id="394" name="CheckBox23" hidden="1">
          <a:extLst>
            <a:ext uri="{63B3BB69-23CF-44E3-9099-C40C66FF867C}">
              <a14:compatExt xmlns:a14="http://schemas.microsoft.com/office/drawing/2010/main" spid="_x0000_s3095"/>
            </a:ext>
            <a:ext uri="{FF2B5EF4-FFF2-40B4-BE49-F238E27FC236}">
              <a16:creationId xmlns:a16="http://schemas.microsoft.com/office/drawing/2014/main" id="{E117FA48-7959-41FB-AAA8-985F777E8BA2}"/>
            </a:ext>
          </a:extLst>
        </xdr:cNvPr>
        <xdr:cNvSpPr/>
      </xdr:nvSpPr>
      <xdr:spPr bwMode="auto">
        <a:xfrm>
          <a:off x="11499850" y="156908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32</xdr:row>
      <xdr:rowOff>165100</xdr:rowOff>
    </xdr:from>
    <xdr:to>
      <xdr:col>19</xdr:col>
      <xdr:colOff>901700</xdr:colOff>
      <xdr:row>33</xdr:row>
      <xdr:rowOff>133350</xdr:rowOff>
    </xdr:to>
    <xdr:sp macro="" textlink="">
      <xdr:nvSpPr>
        <xdr:cNvPr id="395" name="CheckBox24" hidden="1">
          <a:extLst>
            <a:ext uri="{63B3BB69-23CF-44E3-9099-C40C66FF867C}">
              <a14:compatExt xmlns:a14="http://schemas.microsoft.com/office/drawing/2010/main" spid="_x0000_s3096"/>
            </a:ext>
            <a:ext uri="{FF2B5EF4-FFF2-40B4-BE49-F238E27FC236}">
              <a16:creationId xmlns:a16="http://schemas.microsoft.com/office/drawing/2014/main" id="{D7F74AAC-D05A-4350-BD51-1E74A63C2011}"/>
            </a:ext>
          </a:extLst>
        </xdr:cNvPr>
        <xdr:cNvSpPr/>
      </xdr:nvSpPr>
      <xdr:spPr bwMode="auto">
        <a:xfrm>
          <a:off x="11499850" y="16300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33</xdr:row>
      <xdr:rowOff>165100</xdr:rowOff>
    </xdr:from>
    <xdr:to>
      <xdr:col>19</xdr:col>
      <xdr:colOff>901700</xdr:colOff>
      <xdr:row>34</xdr:row>
      <xdr:rowOff>133350</xdr:rowOff>
    </xdr:to>
    <xdr:sp macro="" textlink="">
      <xdr:nvSpPr>
        <xdr:cNvPr id="396" name="CheckBox25" hidden="1">
          <a:extLst>
            <a:ext uri="{63B3BB69-23CF-44E3-9099-C40C66FF867C}">
              <a14:compatExt xmlns:a14="http://schemas.microsoft.com/office/drawing/2010/main" spid="_x0000_s3097"/>
            </a:ext>
            <a:ext uri="{FF2B5EF4-FFF2-40B4-BE49-F238E27FC236}">
              <a16:creationId xmlns:a16="http://schemas.microsoft.com/office/drawing/2014/main" id="{87F2B47E-E6A7-4E98-A0A9-8847F783D38A}"/>
            </a:ext>
          </a:extLst>
        </xdr:cNvPr>
        <xdr:cNvSpPr/>
      </xdr:nvSpPr>
      <xdr:spPr bwMode="auto">
        <a:xfrm>
          <a:off x="11499850" y="16891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34</xdr:row>
      <xdr:rowOff>165100</xdr:rowOff>
    </xdr:from>
    <xdr:to>
      <xdr:col>19</xdr:col>
      <xdr:colOff>901700</xdr:colOff>
      <xdr:row>35</xdr:row>
      <xdr:rowOff>133350</xdr:rowOff>
    </xdr:to>
    <xdr:sp macro="" textlink="">
      <xdr:nvSpPr>
        <xdr:cNvPr id="397" name="CheckBox26" hidden="1">
          <a:extLst>
            <a:ext uri="{63B3BB69-23CF-44E3-9099-C40C66FF867C}">
              <a14:compatExt xmlns:a14="http://schemas.microsoft.com/office/drawing/2010/main" spid="_x0000_s3098"/>
            </a:ext>
            <a:ext uri="{FF2B5EF4-FFF2-40B4-BE49-F238E27FC236}">
              <a16:creationId xmlns:a16="http://schemas.microsoft.com/office/drawing/2014/main" id="{8954A49E-FDED-4E57-B4DC-024A3B86062C}"/>
            </a:ext>
          </a:extLst>
        </xdr:cNvPr>
        <xdr:cNvSpPr/>
      </xdr:nvSpPr>
      <xdr:spPr bwMode="auto">
        <a:xfrm>
          <a:off x="11499850" y="174529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35</xdr:row>
      <xdr:rowOff>165100</xdr:rowOff>
    </xdr:from>
    <xdr:to>
      <xdr:col>19</xdr:col>
      <xdr:colOff>901700</xdr:colOff>
      <xdr:row>36</xdr:row>
      <xdr:rowOff>133350</xdr:rowOff>
    </xdr:to>
    <xdr:sp macro="" textlink="">
      <xdr:nvSpPr>
        <xdr:cNvPr id="398" name="CheckBox27" hidden="1">
          <a:extLst>
            <a:ext uri="{63B3BB69-23CF-44E3-9099-C40C66FF867C}">
              <a14:compatExt xmlns:a14="http://schemas.microsoft.com/office/drawing/2010/main" spid="_x0000_s3099"/>
            </a:ext>
            <a:ext uri="{FF2B5EF4-FFF2-40B4-BE49-F238E27FC236}">
              <a16:creationId xmlns:a16="http://schemas.microsoft.com/office/drawing/2014/main" id="{945A864A-90FE-486F-877A-0D3CD5B950B3}"/>
            </a:ext>
          </a:extLst>
        </xdr:cNvPr>
        <xdr:cNvSpPr/>
      </xdr:nvSpPr>
      <xdr:spPr bwMode="auto">
        <a:xfrm>
          <a:off x="11499850" y="179959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36</xdr:row>
      <xdr:rowOff>165100</xdr:rowOff>
    </xdr:from>
    <xdr:to>
      <xdr:col>19</xdr:col>
      <xdr:colOff>901700</xdr:colOff>
      <xdr:row>37</xdr:row>
      <xdr:rowOff>133350</xdr:rowOff>
    </xdr:to>
    <xdr:sp macro="" textlink="">
      <xdr:nvSpPr>
        <xdr:cNvPr id="399" name="CheckBox28" hidden="1">
          <a:extLst>
            <a:ext uri="{63B3BB69-23CF-44E3-9099-C40C66FF867C}">
              <a14:compatExt xmlns:a14="http://schemas.microsoft.com/office/drawing/2010/main" spid="_x0000_s3100"/>
            </a:ext>
            <a:ext uri="{FF2B5EF4-FFF2-40B4-BE49-F238E27FC236}">
              <a16:creationId xmlns:a16="http://schemas.microsoft.com/office/drawing/2014/main" id="{D7626AF8-2C69-48F3-8B1C-FFE613F68935}"/>
            </a:ext>
          </a:extLst>
        </xdr:cNvPr>
        <xdr:cNvSpPr/>
      </xdr:nvSpPr>
      <xdr:spPr bwMode="auto">
        <a:xfrm>
          <a:off x="11499850" y="18529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37</xdr:row>
      <xdr:rowOff>165100</xdr:rowOff>
    </xdr:from>
    <xdr:to>
      <xdr:col>19</xdr:col>
      <xdr:colOff>901700</xdr:colOff>
      <xdr:row>38</xdr:row>
      <xdr:rowOff>142875</xdr:rowOff>
    </xdr:to>
    <xdr:sp macro="" textlink="">
      <xdr:nvSpPr>
        <xdr:cNvPr id="400" name="CheckBox29" hidden="1">
          <a:extLst>
            <a:ext uri="{63B3BB69-23CF-44E3-9099-C40C66FF867C}">
              <a14:compatExt xmlns:a14="http://schemas.microsoft.com/office/drawing/2010/main" spid="_x0000_s3101"/>
            </a:ext>
            <a:ext uri="{FF2B5EF4-FFF2-40B4-BE49-F238E27FC236}">
              <a16:creationId xmlns:a16="http://schemas.microsoft.com/office/drawing/2014/main" id="{CC7A8AA8-91D3-47A0-BE83-12F58D70316E}"/>
            </a:ext>
          </a:extLst>
        </xdr:cNvPr>
        <xdr:cNvSpPr/>
      </xdr:nvSpPr>
      <xdr:spPr bwMode="auto">
        <a:xfrm>
          <a:off x="11499850" y="190722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38</xdr:row>
      <xdr:rowOff>165100</xdr:rowOff>
    </xdr:from>
    <xdr:to>
      <xdr:col>19</xdr:col>
      <xdr:colOff>901700</xdr:colOff>
      <xdr:row>39</xdr:row>
      <xdr:rowOff>142875</xdr:rowOff>
    </xdr:to>
    <xdr:sp macro="" textlink="">
      <xdr:nvSpPr>
        <xdr:cNvPr id="401" name="CheckBox30" hidden="1">
          <a:extLst>
            <a:ext uri="{63B3BB69-23CF-44E3-9099-C40C66FF867C}">
              <a14:compatExt xmlns:a14="http://schemas.microsoft.com/office/drawing/2010/main" spid="_x0000_s3102"/>
            </a:ext>
            <a:ext uri="{FF2B5EF4-FFF2-40B4-BE49-F238E27FC236}">
              <a16:creationId xmlns:a16="http://schemas.microsoft.com/office/drawing/2014/main" id="{2D3A64A3-20D1-4462-A632-B07B902F02EC}"/>
            </a:ext>
          </a:extLst>
        </xdr:cNvPr>
        <xdr:cNvSpPr/>
      </xdr:nvSpPr>
      <xdr:spPr bwMode="auto">
        <a:xfrm>
          <a:off x="11499850" y="19672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02" name="CheckBox31" hidden="1">
          <a:extLst>
            <a:ext uri="{63B3BB69-23CF-44E3-9099-C40C66FF867C}">
              <a14:compatExt xmlns:a14="http://schemas.microsoft.com/office/drawing/2010/main" spid="_x0000_s3103"/>
            </a:ext>
            <a:ext uri="{FF2B5EF4-FFF2-40B4-BE49-F238E27FC236}">
              <a16:creationId xmlns:a16="http://schemas.microsoft.com/office/drawing/2014/main" id="{293F0CE4-C15D-4FEF-AA83-9B0802362D14}"/>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03" name="CheckBox32" hidden="1">
          <a:extLst>
            <a:ext uri="{63B3BB69-23CF-44E3-9099-C40C66FF867C}">
              <a14:compatExt xmlns:a14="http://schemas.microsoft.com/office/drawing/2010/main" spid="_x0000_s3104"/>
            </a:ext>
            <a:ext uri="{FF2B5EF4-FFF2-40B4-BE49-F238E27FC236}">
              <a16:creationId xmlns:a16="http://schemas.microsoft.com/office/drawing/2014/main" id="{5D17FDFE-6A7D-4B3B-B283-822488BC470E}"/>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04" name="CheckBox33" hidden="1">
          <a:extLst>
            <a:ext uri="{63B3BB69-23CF-44E3-9099-C40C66FF867C}">
              <a14:compatExt xmlns:a14="http://schemas.microsoft.com/office/drawing/2010/main" spid="_x0000_s3105"/>
            </a:ext>
            <a:ext uri="{FF2B5EF4-FFF2-40B4-BE49-F238E27FC236}">
              <a16:creationId xmlns:a16="http://schemas.microsoft.com/office/drawing/2014/main" id="{58E5C39B-C2C1-4294-B198-D9084DE32F95}"/>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05" name="CheckBox34" hidden="1">
          <a:extLst>
            <a:ext uri="{63B3BB69-23CF-44E3-9099-C40C66FF867C}">
              <a14:compatExt xmlns:a14="http://schemas.microsoft.com/office/drawing/2010/main" spid="_x0000_s3106"/>
            </a:ext>
            <a:ext uri="{FF2B5EF4-FFF2-40B4-BE49-F238E27FC236}">
              <a16:creationId xmlns:a16="http://schemas.microsoft.com/office/drawing/2014/main" id="{8BA4DFBB-27DD-4996-92DD-5ABE73DDBEF4}"/>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06" name="CheckBox35" hidden="1">
          <a:extLst>
            <a:ext uri="{63B3BB69-23CF-44E3-9099-C40C66FF867C}">
              <a14:compatExt xmlns:a14="http://schemas.microsoft.com/office/drawing/2010/main" spid="_x0000_s3107"/>
            </a:ext>
            <a:ext uri="{FF2B5EF4-FFF2-40B4-BE49-F238E27FC236}">
              <a16:creationId xmlns:a16="http://schemas.microsoft.com/office/drawing/2014/main" id="{8415775B-22FA-438E-A83A-DA7446D13EDB}"/>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07" name="CheckBox36" hidden="1">
          <a:extLst>
            <a:ext uri="{63B3BB69-23CF-44E3-9099-C40C66FF867C}">
              <a14:compatExt xmlns:a14="http://schemas.microsoft.com/office/drawing/2010/main" spid="_x0000_s3108"/>
            </a:ext>
            <a:ext uri="{FF2B5EF4-FFF2-40B4-BE49-F238E27FC236}">
              <a16:creationId xmlns:a16="http://schemas.microsoft.com/office/drawing/2014/main" id="{8C89DC00-7ABB-4282-A046-D2E1710C1E4D}"/>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08" name="CheckBox38" hidden="1">
          <a:extLst>
            <a:ext uri="{63B3BB69-23CF-44E3-9099-C40C66FF867C}">
              <a14:compatExt xmlns:a14="http://schemas.microsoft.com/office/drawing/2010/main" spid="_x0000_s3109"/>
            </a:ext>
            <a:ext uri="{FF2B5EF4-FFF2-40B4-BE49-F238E27FC236}">
              <a16:creationId xmlns:a16="http://schemas.microsoft.com/office/drawing/2014/main" id="{F579B26F-E6C8-4D90-9479-288108239AE2}"/>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09" name="CheckBox39" hidden="1">
          <a:extLst>
            <a:ext uri="{63B3BB69-23CF-44E3-9099-C40C66FF867C}">
              <a14:compatExt xmlns:a14="http://schemas.microsoft.com/office/drawing/2010/main" spid="_x0000_s3110"/>
            </a:ext>
            <a:ext uri="{FF2B5EF4-FFF2-40B4-BE49-F238E27FC236}">
              <a16:creationId xmlns:a16="http://schemas.microsoft.com/office/drawing/2014/main" id="{ACF446F8-2748-41CB-AAA8-E1D2110DDA2B}"/>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10" name="CheckBox40" hidden="1">
          <a:extLst>
            <a:ext uri="{63B3BB69-23CF-44E3-9099-C40C66FF867C}">
              <a14:compatExt xmlns:a14="http://schemas.microsoft.com/office/drawing/2010/main" spid="_x0000_s3111"/>
            </a:ext>
            <a:ext uri="{FF2B5EF4-FFF2-40B4-BE49-F238E27FC236}">
              <a16:creationId xmlns:a16="http://schemas.microsoft.com/office/drawing/2014/main" id="{73FB1FBB-1DD7-48A5-8D94-1523AA479CD9}"/>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11" name="CheckBox41" hidden="1">
          <a:extLst>
            <a:ext uri="{63B3BB69-23CF-44E3-9099-C40C66FF867C}">
              <a14:compatExt xmlns:a14="http://schemas.microsoft.com/office/drawing/2010/main" spid="_x0000_s3112"/>
            </a:ext>
            <a:ext uri="{FF2B5EF4-FFF2-40B4-BE49-F238E27FC236}">
              <a16:creationId xmlns:a16="http://schemas.microsoft.com/office/drawing/2014/main" id="{60A5BF1C-703F-4CAF-8BF3-60363A703A28}"/>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12" name="CheckBox42" hidden="1">
          <a:extLst>
            <a:ext uri="{63B3BB69-23CF-44E3-9099-C40C66FF867C}">
              <a14:compatExt xmlns:a14="http://schemas.microsoft.com/office/drawing/2010/main" spid="_x0000_s3113"/>
            </a:ext>
            <a:ext uri="{FF2B5EF4-FFF2-40B4-BE49-F238E27FC236}">
              <a16:creationId xmlns:a16="http://schemas.microsoft.com/office/drawing/2014/main" id="{7552E7B5-0777-4E2E-88B6-CA2B52FFD600}"/>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13" name="CheckBox43" hidden="1">
          <a:extLst>
            <a:ext uri="{63B3BB69-23CF-44E3-9099-C40C66FF867C}">
              <a14:compatExt xmlns:a14="http://schemas.microsoft.com/office/drawing/2010/main" spid="_x0000_s3114"/>
            </a:ext>
            <a:ext uri="{FF2B5EF4-FFF2-40B4-BE49-F238E27FC236}">
              <a16:creationId xmlns:a16="http://schemas.microsoft.com/office/drawing/2014/main" id="{5140D173-8DCD-4FFE-B3FC-2E694F95297B}"/>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14" name="CheckBox44" hidden="1">
          <a:extLst>
            <a:ext uri="{63B3BB69-23CF-44E3-9099-C40C66FF867C}">
              <a14:compatExt xmlns:a14="http://schemas.microsoft.com/office/drawing/2010/main" spid="_x0000_s3115"/>
            </a:ext>
            <a:ext uri="{FF2B5EF4-FFF2-40B4-BE49-F238E27FC236}">
              <a16:creationId xmlns:a16="http://schemas.microsoft.com/office/drawing/2014/main" id="{3E8AABFC-B7BD-4FB7-9E3A-370C4D70361C}"/>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15" name="CheckBox45" hidden="1">
          <a:extLst>
            <a:ext uri="{63B3BB69-23CF-44E3-9099-C40C66FF867C}">
              <a14:compatExt xmlns:a14="http://schemas.microsoft.com/office/drawing/2010/main" spid="_x0000_s3116"/>
            </a:ext>
            <a:ext uri="{FF2B5EF4-FFF2-40B4-BE49-F238E27FC236}">
              <a16:creationId xmlns:a16="http://schemas.microsoft.com/office/drawing/2014/main" id="{6341406F-9BE8-4AAE-B7D2-3C049B83F996}"/>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16" name="CheckBox46" hidden="1">
          <a:extLst>
            <a:ext uri="{63B3BB69-23CF-44E3-9099-C40C66FF867C}">
              <a14:compatExt xmlns:a14="http://schemas.microsoft.com/office/drawing/2010/main" spid="_x0000_s3117"/>
            </a:ext>
            <a:ext uri="{FF2B5EF4-FFF2-40B4-BE49-F238E27FC236}">
              <a16:creationId xmlns:a16="http://schemas.microsoft.com/office/drawing/2014/main" id="{FEB90ED3-D323-4BFC-8085-ADC05752B2D0}"/>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635000</xdr:colOff>
      <xdr:row>9</xdr:row>
      <xdr:rowOff>63500</xdr:rowOff>
    </xdr:from>
    <xdr:to>
      <xdr:col>19</xdr:col>
      <xdr:colOff>876300</xdr:colOff>
      <xdr:row>11</xdr:row>
      <xdr:rowOff>409575</xdr:rowOff>
    </xdr:to>
    <xdr:sp macro="" textlink="">
      <xdr:nvSpPr>
        <xdr:cNvPr id="417" name="CheckBox1" hidden="1">
          <a:extLst>
            <a:ext uri="{63B3BB69-23CF-44E3-9099-C40C66FF867C}">
              <a14:compatExt xmlns:a14="http://schemas.microsoft.com/office/drawing/2010/main" spid="_x0000_s3118"/>
            </a:ext>
            <a:ext uri="{FF2B5EF4-FFF2-40B4-BE49-F238E27FC236}">
              <a16:creationId xmlns:a16="http://schemas.microsoft.com/office/drawing/2014/main" id="{EC7DE06D-DEAD-4A82-B73B-0371F3DA7F15}"/>
            </a:ext>
          </a:extLst>
        </xdr:cNvPr>
        <xdr:cNvSpPr/>
      </xdr:nvSpPr>
      <xdr:spPr bwMode="auto">
        <a:xfrm>
          <a:off x="11512550" y="3654425"/>
          <a:ext cx="241300" cy="393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10</xdr:row>
      <xdr:rowOff>165100</xdr:rowOff>
    </xdr:from>
    <xdr:to>
      <xdr:col>19</xdr:col>
      <xdr:colOff>901700</xdr:colOff>
      <xdr:row>13</xdr:row>
      <xdr:rowOff>426720</xdr:rowOff>
    </xdr:to>
    <xdr:sp macro="" textlink="">
      <xdr:nvSpPr>
        <xdr:cNvPr id="418" name="CheckBox2" hidden="1">
          <a:extLst>
            <a:ext uri="{63B3BB69-23CF-44E3-9099-C40C66FF867C}">
              <a14:compatExt xmlns:a14="http://schemas.microsoft.com/office/drawing/2010/main" spid="_x0000_s3119"/>
            </a:ext>
            <a:ext uri="{FF2B5EF4-FFF2-40B4-BE49-F238E27FC236}">
              <a16:creationId xmlns:a16="http://schemas.microsoft.com/office/drawing/2014/main" id="{5F76F041-40C0-433C-946D-552A219D56AF}"/>
            </a:ext>
          </a:extLst>
        </xdr:cNvPr>
        <xdr:cNvSpPr/>
      </xdr:nvSpPr>
      <xdr:spPr bwMode="auto">
        <a:xfrm>
          <a:off x="11499850" y="42608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11</xdr:row>
      <xdr:rowOff>165100</xdr:rowOff>
    </xdr:from>
    <xdr:to>
      <xdr:col>19</xdr:col>
      <xdr:colOff>901700</xdr:colOff>
      <xdr:row>15</xdr:row>
      <xdr:rowOff>179070</xdr:rowOff>
    </xdr:to>
    <xdr:sp macro="" textlink="">
      <xdr:nvSpPr>
        <xdr:cNvPr id="419" name="CheckBox3" hidden="1">
          <a:extLst>
            <a:ext uri="{63B3BB69-23CF-44E3-9099-C40C66FF867C}">
              <a14:compatExt xmlns:a14="http://schemas.microsoft.com/office/drawing/2010/main" spid="_x0000_s3120"/>
            </a:ext>
            <a:ext uri="{FF2B5EF4-FFF2-40B4-BE49-F238E27FC236}">
              <a16:creationId xmlns:a16="http://schemas.microsoft.com/office/drawing/2014/main" id="{77CF0A33-408A-468F-85ED-8C9286FACD89}"/>
            </a:ext>
          </a:extLst>
        </xdr:cNvPr>
        <xdr:cNvSpPr/>
      </xdr:nvSpPr>
      <xdr:spPr bwMode="auto">
        <a:xfrm>
          <a:off x="11499850" y="48418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12</xdr:row>
      <xdr:rowOff>165100</xdr:rowOff>
    </xdr:from>
    <xdr:to>
      <xdr:col>19</xdr:col>
      <xdr:colOff>901700</xdr:colOff>
      <xdr:row>14</xdr:row>
      <xdr:rowOff>238125</xdr:rowOff>
    </xdr:to>
    <xdr:sp macro="" textlink="">
      <xdr:nvSpPr>
        <xdr:cNvPr id="420" name="CheckBox4" hidden="1">
          <a:extLst>
            <a:ext uri="{63B3BB69-23CF-44E3-9099-C40C66FF867C}">
              <a14:compatExt xmlns:a14="http://schemas.microsoft.com/office/drawing/2010/main" spid="_x0000_s3121"/>
            </a:ext>
            <a:ext uri="{FF2B5EF4-FFF2-40B4-BE49-F238E27FC236}">
              <a16:creationId xmlns:a16="http://schemas.microsoft.com/office/drawing/2014/main" id="{2B3D6569-5460-456D-AF83-4B36E533029A}"/>
            </a:ext>
          </a:extLst>
        </xdr:cNvPr>
        <xdr:cNvSpPr/>
      </xdr:nvSpPr>
      <xdr:spPr bwMode="auto">
        <a:xfrm>
          <a:off x="11499850" y="53467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13</xdr:row>
      <xdr:rowOff>177800</xdr:rowOff>
    </xdr:from>
    <xdr:to>
      <xdr:col>19</xdr:col>
      <xdr:colOff>901700</xdr:colOff>
      <xdr:row>16</xdr:row>
      <xdr:rowOff>536575</xdr:rowOff>
    </xdr:to>
    <xdr:sp macro="" textlink="">
      <xdr:nvSpPr>
        <xdr:cNvPr id="421" name="CheckBox5" hidden="1">
          <a:extLst>
            <a:ext uri="{63B3BB69-23CF-44E3-9099-C40C66FF867C}">
              <a14:compatExt xmlns:a14="http://schemas.microsoft.com/office/drawing/2010/main" spid="_x0000_s3122"/>
            </a:ext>
            <a:ext uri="{FF2B5EF4-FFF2-40B4-BE49-F238E27FC236}">
              <a16:creationId xmlns:a16="http://schemas.microsoft.com/office/drawing/2014/main" id="{B78E4C61-6F57-4749-B25A-12BE71F5104C}"/>
            </a:ext>
          </a:extLst>
        </xdr:cNvPr>
        <xdr:cNvSpPr/>
      </xdr:nvSpPr>
      <xdr:spPr bwMode="auto">
        <a:xfrm>
          <a:off x="11499850" y="58642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14</xdr:row>
      <xdr:rowOff>165100</xdr:rowOff>
    </xdr:from>
    <xdr:to>
      <xdr:col>19</xdr:col>
      <xdr:colOff>901700</xdr:colOff>
      <xdr:row>17</xdr:row>
      <xdr:rowOff>560070</xdr:rowOff>
    </xdr:to>
    <xdr:sp macro="" textlink="">
      <xdr:nvSpPr>
        <xdr:cNvPr id="422" name="CheckBox6" hidden="1">
          <a:extLst>
            <a:ext uri="{63B3BB69-23CF-44E3-9099-C40C66FF867C}">
              <a14:compatExt xmlns:a14="http://schemas.microsoft.com/office/drawing/2010/main" spid="_x0000_s3123"/>
            </a:ext>
            <a:ext uri="{FF2B5EF4-FFF2-40B4-BE49-F238E27FC236}">
              <a16:creationId xmlns:a16="http://schemas.microsoft.com/office/drawing/2014/main" id="{F93FD4B3-80DE-4101-B4C6-152DAFFD01C4}"/>
            </a:ext>
          </a:extLst>
        </xdr:cNvPr>
        <xdr:cNvSpPr/>
      </xdr:nvSpPr>
      <xdr:spPr bwMode="auto">
        <a:xfrm>
          <a:off x="11499850" y="63563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15</xdr:row>
      <xdr:rowOff>165100</xdr:rowOff>
    </xdr:from>
    <xdr:to>
      <xdr:col>19</xdr:col>
      <xdr:colOff>901700</xdr:colOff>
      <xdr:row>19</xdr:row>
      <xdr:rowOff>316230</xdr:rowOff>
    </xdr:to>
    <xdr:sp macro="" textlink="">
      <xdr:nvSpPr>
        <xdr:cNvPr id="423" name="CheckBox7" hidden="1">
          <a:extLst>
            <a:ext uri="{63B3BB69-23CF-44E3-9099-C40C66FF867C}">
              <a14:compatExt xmlns:a14="http://schemas.microsoft.com/office/drawing/2010/main" spid="_x0000_s3124"/>
            </a:ext>
            <a:ext uri="{FF2B5EF4-FFF2-40B4-BE49-F238E27FC236}">
              <a16:creationId xmlns:a16="http://schemas.microsoft.com/office/drawing/2014/main" id="{5B29652A-DB14-4369-BD9B-4010E2D5234D}"/>
            </a:ext>
          </a:extLst>
        </xdr:cNvPr>
        <xdr:cNvSpPr/>
      </xdr:nvSpPr>
      <xdr:spPr bwMode="auto">
        <a:xfrm>
          <a:off x="11499850" y="68611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16</xdr:row>
      <xdr:rowOff>165100</xdr:rowOff>
    </xdr:from>
    <xdr:to>
      <xdr:col>19</xdr:col>
      <xdr:colOff>901700</xdr:colOff>
      <xdr:row>20</xdr:row>
      <xdr:rowOff>76200</xdr:rowOff>
    </xdr:to>
    <xdr:sp macro="" textlink="">
      <xdr:nvSpPr>
        <xdr:cNvPr id="424" name="CheckBox8" hidden="1">
          <a:extLst>
            <a:ext uri="{63B3BB69-23CF-44E3-9099-C40C66FF867C}">
              <a14:compatExt xmlns:a14="http://schemas.microsoft.com/office/drawing/2010/main" spid="_x0000_s3125"/>
            </a:ext>
            <a:ext uri="{FF2B5EF4-FFF2-40B4-BE49-F238E27FC236}">
              <a16:creationId xmlns:a16="http://schemas.microsoft.com/office/drawing/2014/main" id="{3C286B16-5B58-4586-B096-0482D740535D}"/>
            </a:ext>
          </a:extLst>
        </xdr:cNvPr>
        <xdr:cNvSpPr/>
      </xdr:nvSpPr>
      <xdr:spPr bwMode="auto">
        <a:xfrm>
          <a:off x="11499850" y="7366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17</xdr:row>
      <xdr:rowOff>165100</xdr:rowOff>
    </xdr:from>
    <xdr:to>
      <xdr:col>19</xdr:col>
      <xdr:colOff>901700</xdr:colOff>
      <xdr:row>19</xdr:row>
      <xdr:rowOff>262890</xdr:rowOff>
    </xdr:to>
    <xdr:sp macro="" textlink="">
      <xdr:nvSpPr>
        <xdr:cNvPr id="425" name="CheckBox9" hidden="1">
          <a:extLst>
            <a:ext uri="{63B3BB69-23CF-44E3-9099-C40C66FF867C}">
              <a14:compatExt xmlns:a14="http://schemas.microsoft.com/office/drawing/2010/main" spid="_x0000_s3126"/>
            </a:ext>
            <a:ext uri="{FF2B5EF4-FFF2-40B4-BE49-F238E27FC236}">
              <a16:creationId xmlns:a16="http://schemas.microsoft.com/office/drawing/2014/main" id="{9A3DA8EC-B217-492D-B367-14F03EA5B38E}"/>
            </a:ext>
          </a:extLst>
        </xdr:cNvPr>
        <xdr:cNvSpPr/>
      </xdr:nvSpPr>
      <xdr:spPr bwMode="auto">
        <a:xfrm>
          <a:off x="11499850" y="7956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18</xdr:row>
      <xdr:rowOff>165100</xdr:rowOff>
    </xdr:from>
    <xdr:to>
      <xdr:col>19</xdr:col>
      <xdr:colOff>901700</xdr:colOff>
      <xdr:row>21</xdr:row>
      <xdr:rowOff>198120</xdr:rowOff>
    </xdr:to>
    <xdr:sp macro="" textlink="">
      <xdr:nvSpPr>
        <xdr:cNvPr id="426" name="CheckBox10" hidden="1">
          <a:extLst>
            <a:ext uri="{63B3BB69-23CF-44E3-9099-C40C66FF867C}">
              <a14:compatExt xmlns:a14="http://schemas.microsoft.com/office/drawing/2010/main" spid="_x0000_s3127"/>
            </a:ext>
            <a:ext uri="{FF2B5EF4-FFF2-40B4-BE49-F238E27FC236}">
              <a16:creationId xmlns:a16="http://schemas.microsoft.com/office/drawing/2014/main" id="{7763FF0B-F74C-4318-B69A-B6C30566E955}"/>
            </a:ext>
          </a:extLst>
        </xdr:cNvPr>
        <xdr:cNvSpPr/>
      </xdr:nvSpPr>
      <xdr:spPr bwMode="auto">
        <a:xfrm>
          <a:off x="11499850" y="85566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19</xdr:row>
      <xdr:rowOff>165100</xdr:rowOff>
    </xdr:from>
    <xdr:to>
      <xdr:col>19</xdr:col>
      <xdr:colOff>901700</xdr:colOff>
      <xdr:row>23</xdr:row>
      <xdr:rowOff>59055</xdr:rowOff>
    </xdr:to>
    <xdr:sp macro="" textlink="">
      <xdr:nvSpPr>
        <xdr:cNvPr id="427" name="CheckBox11" hidden="1">
          <a:extLst>
            <a:ext uri="{63B3BB69-23CF-44E3-9099-C40C66FF867C}">
              <a14:compatExt xmlns:a14="http://schemas.microsoft.com/office/drawing/2010/main" spid="_x0000_s3128"/>
            </a:ext>
            <a:ext uri="{FF2B5EF4-FFF2-40B4-BE49-F238E27FC236}">
              <a16:creationId xmlns:a16="http://schemas.microsoft.com/office/drawing/2014/main" id="{CC6DCE25-6841-4550-9B4B-A76FEE4E8CA4}"/>
            </a:ext>
          </a:extLst>
        </xdr:cNvPr>
        <xdr:cNvSpPr/>
      </xdr:nvSpPr>
      <xdr:spPr bwMode="auto">
        <a:xfrm>
          <a:off x="11499850" y="9061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20</xdr:row>
      <xdr:rowOff>165100</xdr:rowOff>
    </xdr:from>
    <xdr:to>
      <xdr:col>19</xdr:col>
      <xdr:colOff>901700</xdr:colOff>
      <xdr:row>23</xdr:row>
      <xdr:rowOff>188595</xdr:rowOff>
    </xdr:to>
    <xdr:sp macro="" textlink="">
      <xdr:nvSpPr>
        <xdr:cNvPr id="428" name="CheckBox12" hidden="1">
          <a:extLst>
            <a:ext uri="{63B3BB69-23CF-44E3-9099-C40C66FF867C}">
              <a14:compatExt xmlns:a14="http://schemas.microsoft.com/office/drawing/2010/main" spid="_x0000_s3129"/>
            </a:ext>
            <a:ext uri="{FF2B5EF4-FFF2-40B4-BE49-F238E27FC236}">
              <a16:creationId xmlns:a16="http://schemas.microsoft.com/office/drawing/2014/main" id="{BBBDBFAA-C061-472A-9E29-CD4D8F4661E8}"/>
            </a:ext>
          </a:extLst>
        </xdr:cNvPr>
        <xdr:cNvSpPr/>
      </xdr:nvSpPr>
      <xdr:spPr bwMode="auto">
        <a:xfrm>
          <a:off x="11499850" y="95662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21</xdr:row>
      <xdr:rowOff>165100</xdr:rowOff>
    </xdr:from>
    <xdr:to>
      <xdr:col>19</xdr:col>
      <xdr:colOff>901700</xdr:colOff>
      <xdr:row>24</xdr:row>
      <xdr:rowOff>592455</xdr:rowOff>
    </xdr:to>
    <xdr:sp macro="" textlink="">
      <xdr:nvSpPr>
        <xdr:cNvPr id="429" name="CheckBox13" hidden="1">
          <a:extLst>
            <a:ext uri="{63B3BB69-23CF-44E3-9099-C40C66FF867C}">
              <a14:compatExt xmlns:a14="http://schemas.microsoft.com/office/drawing/2010/main" spid="_x0000_s3130"/>
            </a:ext>
            <a:ext uri="{FF2B5EF4-FFF2-40B4-BE49-F238E27FC236}">
              <a16:creationId xmlns:a16="http://schemas.microsoft.com/office/drawing/2014/main" id="{60FCBCF5-9172-4AC0-B38C-514D2AE29297}"/>
            </a:ext>
          </a:extLst>
        </xdr:cNvPr>
        <xdr:cNvSpPr/>
      </xdr:nvSpPr>
      <xdr:spPr bwMode="auto">
        <a:xfrm>
          <a:off x="11499850" y="10147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22</xdr:row>
      <xdr:rowOff>165100</xdr:rowOff>
    </xdr:from>
    <xdr:to>
      <xdr:col>19</xdr:col>
      <xdr:colOff>901700</xdr:colOff>
      <xdr:row>25</xdr:row>
      <xdr:rowOff>891540</xdr:rowOff>
    </xdr:to>
    <xdr:sp macro="" textlink="">
      <xdr:nvSpPr>
        <xdr:cNvPr id="430" name="CheckBox14" hidden="1">
          <a:extLst>
            <a:ext uri="{63B3BB69-23CF-44E3-9099-C40C66FF867C}">
              <a14:compatExt xmlns:a14="http://schemas.microsoft.com/office/drawing/2010/main" spid="_x0000_s3131"/>
            </a:ext>
            <a:ext uri="{FF2B5EF4-FFF2-40B4-BE49-F238E27FC236}">
              <a16:creationId xmlns:a16="http://schemas.microsoft.com/office/drawing/2014/main" id="{9326A939-0925-4407-A4B4-C1C88D7185AD}"/>
            </a:ext>
          </a:extLst>
        </xdr:cNvPr>
        <xdr:cNvSpPr/>
      </xdr:nvSpPr>
      <xdr:spPr bwMode="auto">
        <a:xfrm>
          <a:off x="11499850" y="107759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23</xdr:row>
      <xdr:rowOff>165100</xdr:rowOff>
    </xdr:from>
    <xdr:to>
      <xdr:col>19</xdr:col>
      <xdr:colOff>901700</xdr:colOff>
      <xdr:row>26</xdr:row>
      <xdr:rowOff>363855</xdr:rowOff>
    </xdr:to>
    <xdr:sp macro="" textlink="">
      <xdr:nvSpPr>
        <xdr:cNvPr id="431" name="CheckBox15" hidden="1">
          <a:extLst>
            <a:ext uri="{63B3BB69-23CF-44E3-9099-C40C66FF867C}">
              <a14:compatExt xmlns:a14="http://schemas.microsoft.com/office/drawing/2010/main" spid="_x0000_s3132"/>
            </a:ext>
            <a:ext uri="{FF2B5EF4-FFF2-40B4-BE49-F238E27FC236}">
              <a16:creationId xmlns:a16="http://schemas.microsoft.com/office/drawing/2014/main" id="{895B1709-A5E6-472A-AC38-B1E45247E2A6}"/>
            </a:ext>
          </a:extLst>
        </xdr:cNvPr>
        <xdr:cNvSpPr/>
      </xdr:nvSpPr>
      <xdr:spPr bwMode="auto">
        <a:xfrm>
          <a:off x="11499850" y="112807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24</xdr:row>
      <xdr:rowOff>165100</xdr:rowOff>
    </xdr:from>
    <xdr:to>
      <xdr:col>19</xdr:col>
      <xdr:colOff>901700</xdr:colOff>
      <xdr:row>29</xdr:row>
      <xdr:rowOff>116205</xdr:rowOff>
    </xdr:to>
    <xdr:sp macro="" textlink="">
      <xdr:nvSpPr>
        <xdr:cNvPr id="432" name="CheckBox16" hidden="1">
          <a:extLst>
            <a:ext uri="{63B3BB69-23CF-44E3-9099-C40C66FF867C}">
              <a14:compatExt xmlns:a14="http://schemas.microsoft.com/office/drawing/2010/main" spid="_x0000_s3133"/>
            </a:ext>
            <a:ext uri="{FF2B5EF4-FFF2-40B4-BE49-F238E27FC236}">
              <a16:creationId xmlns:a16="http://schemas.microsoft.com/office/drawing/2014/main" id="{C721FFF6-8D8A-4A1E-8450-455E39BB5B3B}"/>
            </a:ext>
          </a:extLst>
        </xdr:cNvPr>
        <xdr:cNvSpPr/>
      </xdr:nvSpPr>
      <xdr:spPr bwMode="auto">
        <a:xfrm>
          <a:off x="11499850" y="117856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25</xdr:row>
      <xdr:rowOff>165100</xdr:rowOff>
    </xdr:from>
    <xdr:to>
      <xdr:col>19</xdr:col>
      <xdr:colOff>901700</xdr:colOff>
      <xdr:row>29</xdr:row>
      <xdr:rowOff>182880</xdr:rowOff>
    </xdr:to>
    <xdr:sp macro="" textlink="">
      <xdr:nvSpPr>
        <xdr:cNvPr id="433" name="CheckBox17" hidden="1">
          <a:extLst>
            <a:ext uri="{63B3BB69-23CF-44E3-9099-C40C66FF867C}">
              <a14:compatExt xmlns:a14="http://schemas.microsoft.com/office/drawing/2010/main" spid="_x0000_s3134"/>
            </a:ext>
            <a:ext uri="{FF2B5EF4-FFF2-40B4-BE49-F238E27FC236}">
              <a16:creationId xmlns:a16="http://schemas.microsoft.com/office/drawing/2014/main" id="{2AC065DD-1D09-41DF-AB24-384680C6A6E1}"/>
            </a:ext>
          </a:extLst>
        </xdr:cNvPr>
        <xdr:cNvSpPr/>
      </xdr:nvSpPr>
      <xdr:spPr bwMode="auto">
        <a:xfrm>
          <a:off x="11499850" y="124047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26</xdr:row>
      <xdr:rowOff>165100</xdr:rowOff>
    </xdr:from>
    <xdr:to>
      <xdr:col>19</xdr:col>
      <xdr:colOff>901700</xdr:colOff>
      <xdr:row>28</xdr:row>
      <xdr:rowOff>318135</xdr:rowOff>
    </xdr:to>
    <xdr:sp macro="" textlink="">
      <xdr:nvSpPr>
        <xdr:cNvPr id="434" name="CheckBox18" hidden="1">
          <a:extLst>
            <a:ext uri="{63B3BB69-23CF-44E3-9099-C40C66FF867C}">
              <a14:compatExt xmlns:a14="http://schemas.microsoft.com/office/drawing/2010/main" spid="_x0000_s3135"/>
            </a:ext>
            <a:ext uri="{FF2B5EF4-FFF2-40B4-BE49-F238E27FC236}">
              <a16:creationId xmlns:a16="http://schemas.microsoft.com/office/drawing/2014/main" id="{13DDBDA4-0833-482A-97FA-69B2108E1461}"/>
            </a:ext>
          </a:extLst>
        </xdr:cNvPr>
        <xdr:cNvSpPr/>
      </xdr:nvSpPr>
      <xdr:spPr bwMode="auto">
        <a:xfrm>
          <a:off x="11499850" y="12909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27</xdr:row>
      <xdr:rowOff>165100</xdr:rowOff>
    </xdr:from>
    <xdr:to>
      <xdr:col>19</xdr:col>
      <xdr:colOff>901700</xdr:colOff>
      <xdr:row>30</xdr:row>
      <xdr:rowOff>200025</xdr:rowOff>
    </xdr:to>
    <xdr:sp macro="" textlink="">
      <xdr:nvSpPr>
        <xdr:cNvPr id="435" name="CheckBox19" hidden="1">
          <a:extLst>
            <a:ext uri="{63B3BB69-23CF-44E3-9099-C40C66FF867C}">
              <a14:compatExt xmlns:a14="http://schemas.microsoft.com/office/drawing/2010/main" spid="_x0000_s3136"/>
            </a:ext>
            <a:ext uri="{FF2B5EF4-FFF2-40B4-BE49-F238E27FC236}">
              <a16:creationId xmlns:a16="http://schemas.microsoft.com/office/drawing/2014/main" id="{95FDD432-098E-43AD-BEE6-2228FC26366F}"/>
            </a:ext>
          </a:extLst>
        </xdr:cNvPr>
        <xdr:cNvSpPr/>
      </xdr:nvSpPr>
      <xdr:spPr bwMode="auto">
        <a:xfrm>
          <a:off x="11499850" y="13414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28</xdr:row>
      <xdr:rowOff>165100</xdr:rowOff>
    </xdr:from>
    <xdr:to>
      <xdr:col>19</xdr:col>
      <xdr:colOff>901700</xdr:colOff>
      <xdr:row>33</xdr:row>
      <xdr:rowOff>9525</xdr:rowOff>
    </xdr:to>
    <xdr:sp macro="" textlink="">
      <xdr:nvSpPr>
        <xdr:cNvPr id="436" name="CheckBox20" hidden="1">
          <a:extLst>
            <a:ext uri="{63B3BB69-23CF-44E3-9099-C40C66FF867C}">
              <a14:compatExt xmlns:a14="http://schemas.microsoft.com/office/drawing/2010/main" spid="_x0000_s3137"/>
            </a:ext>
            <a:ext uri="{FF2B5EF4-FFF2-40B4-BE49-F238E27FC236}">
              <a16:creationId xmlns:a16="http://schemas.microsoft.com/office/drawing/2014/main" id="{77934586-B8C7-4DED-BDF5-DD3CC669AC8A}"/>
            </a:ext>
          </a:extLst>
        </xdr:cNvPr>
        <xdr:cNvSpPr/>
      </xdr:nvSpPr>
      <xdr:spPr bwMode="auto">
        <a:xfrm>
          <a:off x="11499850" y="140239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29</xdr:row>
      <xdr:rowOff>165100</xdr:rowOff>
    </xdr:from>
    <xdr:to>
      <xdr:col>19</xdr:col>
      <xdr:colOff>901700</xdr:colOff>
      <xdr:row>32</xdr:row>
      <xdr:rowOff>156210</xdr:rowOff>
    </xdr:to>
    <xdr:sp macro="" textlink="">
      <xdr:nvSpPr>
        <xdr:cNvPr id="437" name="CheckBox21" hidden="1">
          <a:extLst>
            <a:ext uri="{63B3BB69-23CF-44E3-9099-C40C66FF867C}">
              <a14:compatExt xmlns:a14="http://schemas.microsoft.com/office/drawing/2010/main" spid="_x0000_s3138"/>
            </a:ext>
            <a:ext uri="{FF2B5EF4-FFF2-40B4-BE49-F238E27FC236}">
              <a16:creationId xmlns:a16="http://schemas.microsoft.com/office/drawing/2014/main" id="{FC1F516B-1FDD-4AD7-95FA-C1CB6A2E231F}"/>
            </a:ext>
          </a:extLst>
        </xdr:cNvPr>
        <xdr:cNvSpPr/>
      </xdr:nvSpPr>
      <xdr:spPr bwMode="auto">
        <a:xfrm>
          <a:off x="11499850" y="145288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30</xdr:row>
      <xdr:rowOff>165100</xdr:rowOff>
    </xdr:from>
    <xdr:to>
      <xdr:col>19</xdr:col>
      <xdr:colOff>901700</xdr:colOff>
      <xdr:row>31</xdr:row>
      <xdr:rowOff>133350</xdr:rowOff>
    </xdr:to>
    <xdr:sp macro="" textlink="">
      <xdr:nvSpPr>
        <xdr:cNvPr id="438" name="CheckBox22" hidden="1">
          <a:extLst>
            <a:ext uri="{63B3BB69-23CF-44E3-9099-C40C66FF867C}">
              <a14:compatExt xmlns:a14="http://schemas.microsoft.com/office/drawing/2010/main" spid="_x0000_s3139"/>
            </a:ext>
            <a:ext uri="{FF2B5EF4-FFF2-40B4-BE49-F238E27FC236}">
              <a16:creationId xmlns:a16="http://schemas.microsoft.com/office/drawing/2014/main" id="{2BC947B0-CA07-4EEB-A887-7154C689E0E3}"/>
            </a:ext>
          </a:extLst>
        </xdr:cNvPr>
        <xdr:cNvSpPr/>
      </xdr:nvSpPr>
      <xdr:spPr bwMode="auto">
        <a:xfrm>
          <a:off x="11499850" y="15157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31</xdr:row>
      <xdr:rowOff>165100</xdr:rowOff>
    </xdr:from>
    <xdr:to>
      <xdr:col>19</xdr:col>
      <xdr:colOff>901700</xdr:colOff>
      <xdr:row>32</xdr:row>
      <xdr:rowOff>133350</xdr:rowOff>
    </xdr:to>
    <xdr:sp macro="" textlink="">
      <xdr:nvSpPr>
        <xdr:cNvPr id="439" name="CheckBox23" hidden="1">
          <a:extLst>
            <a:ext uri="{63B3BB69-23CF-44E3-9099-C40C66FF867C}">
              <a14:compatExt xmlns:a14="http://schemas.microsoft.com/office/drawing/2010/main" spid="_x0000_s3140"/>
            </a:ext>
            <a:ext uri="{FF2B5EF4-FFF2-40B4-BE49-F238E27FC236}">
              <a16:creationId xmlns:a16="http://schemas.microsoft.com/office/drawing/2014/main" id="{79B1B5D9-2582-4F13-AF87-85FD5CA56AE5}"/>
            </a:ext>
          </a:extLst>
        </xdr:cNvPr>
        <xdr:cNvSpPr/>
      </xdr:nvSpPr>
      <xdr:spPr bwMode="auto">
        <a:xfrm>
          <a:off x="11499850" y="156908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32</xdr:row>
      <xdr:rowOff>165100</xdr:rowOff>
    </xdr:from>
    <xdr:to>
      <xdr:col>19</xdr:col>
      <xdr:colOff>901700</xdr:colOff>
      <xdr:row>33</xdr:row>
      <xdr:rowOff>133350</xdr:rowOff>
    </xdr:to>
    <xdr:sp macro="" textlink="">
      <xdr:nvSpPr>
        <xdr:cNvPr id="440" name="CheckBox24" hidden="1">
          <a:extLst>
            <a:ext uri="{63B3BB69-23CF-44E3-9099-C40C66FF867C}">
              <a14:compatExt xmlns:a14="http://schemas.microsoft.com/office/drawing/2010/main" spid="_x0000_s3141"/>
            </a:ext>
            <a:ext uri="{FF2B5EF4-FFF2-40B4-BE49-F238E27FC236}">
              <a16:creationId xmlns:a16="http://schemas.microsoft.com/office/drawing/2014/main" id="{5CED10F1-3574-45DB-9E69-E690F8630B75}"/>
            </a:ext>
          </a:extLst>
        </xdr:cNvPr>
        <xdr:cNvSpPr/>
      </xdr:nvSpPr>
      <xdr:spPr bwMode="auto">
        <a:xfrm>
          <a:off x="11499850" y="16300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33</xdr:row>
      <xdr:rowOff>165100</xdr:rowOff>
    </xdr:from>
    <xdr:to>
      <xdr:col>19</xdr:col>
      <xdr:colOff>901700</xdr:colOff>
      <xdr:row>34</xdr:row>
      <xdr:rowOff>133350</xdr:rowOff>
    </xdr:to>
    <xdr:sp macro="" textlink="">
      <xdr:nvSpPr>
        <xdr:cNvPr id="441" name="CheckBox25" hidden="1">
          <a:extLst>
            <a:ext uri="{63B3BB69-23CF-44E3-9099-C40C66FF867C}">
              <a14:compatExt xmlns:a14="http://schemas.microsoft.com/office/drawing/2010/main" spid="_x0000_s3142"/>
            </a:ext>
            <a:ext uri="{FF2B5EF4-FFF2-40B4-BE49-F238E27FC236}">
              <a16:creationId xmlns:a16="http://schemas.microsoft.com/office/drawing/2014/main" id="{86A3113B-A1A8-4B32-894F-110115034C1E}"/>
            </a:ext>
          </a:extLst>
        </xdr:cNvPr>
        <xdr:cNvSpPr/>
      </xdr:nvSpPr>
      <xdr:spPr bwMode="auto">
        <a:xfrm>
          <a:off x="11499850" y="16891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34</xdr:row>
      <xdr:rowOff>165100</xdr:rowOff>
    </xdr:from>
    <xdr:to>
      <xdr:col>19</xdr:col>
      <xdr:colOff>901700</xdr:colOff>
      <xdr:row>35</xdr:row>
      <xdr:rowOff>133350</xdr:rowOff>
    </xdr:to>
    <xdr:sp macro="" textlink="">
      <xdr:nvSpPr>
        <xdr:cNvPr id="442" name="CheckBox26" hidden="1">
          <a:extLst>
            <a:ext uri="{63B3BB69-23CF-44E3-9099-C40C66FF867C}">
              <a14:compatExt xmlns:a14="http://schemas.microsoft.com/office/drawing/2010/main" spid="_x0000_s3143"/>
            </a:ext>
            <a:ext uri="{FF2B5EF4-FFF2-40B4-BE49-F238E27FC236}">
              <a16:creationId xmlns:a16="http://schemas.microsoft.com/office/drawing/2014/main" id="{5C77580B-AD2E-491E-8FB2-F8CBC9C72C3E}"/>
            </a:ext>
          </a:extLst>
        </xdr:cNvPr>
        <xdr:cNvSpPr/>
      </xdr:nvSpPr>
      <xdr:spPr bwMode="auto">
        <a:xfrm>
          <a:off x="11499850" y="174529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35</xdr:row>
      <xdr:rowOff>165100</xdr:rowOff>
    </xdr:from>
    <xdr:to>
      <xdr:col>19</xdr:col>
      <xdr:colOff>901700</xdr:colOff>
      <xdr:row>36</xdr:row>
      <xdr:rowOff>133350</xdr:rowOff>
    </xdr:to>
    <xdr:sp macro="" textlink="">
      <xdr:nvSpPr>
        <xdr:cNvPr id="443" name="CheckBox27" hidden="1">
          <a:extLst>
            <a:ext uri="{63B3BB69-23CF-44E3-9099-C40C66FF867C}">
              <a14:compatExt xmlns:a14="http://schemas.microsoft.com/office/drawing/2010/main" spid="_x0000_s3144"/>
            </a:ext>
            <a:ext uri="{FF2B5EF4-FFF2-40B4-BE49-F238E27FC236}">
              <a16:creationId xmlns:a16="http://schemas.microsoft.com/office/drawing/2014/main" id="{9C7C2173-D108-4D39-8070-2F2A12DD14CD}"/>
            </a:ext>
          </a:extLst>
        </xdr:cNvPr>
        <xdr:cNvSpPr/>
      </xdr:nvSpPr>
      <xdr:spPr bwMode="auto">
        <a:xfrm>
          <a:off x="11499850" y="179959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36</xdr:row>
      <xdr:rowOff>165100</xdr:rowOff>
    </xdr:from>
    <xdr:to>
      <xdr:col>19</xdr:col>
      <xdr:colOff>901700</xdr:colOff>
      <xdr:row>37</xdr:row>
      <xdr:rowOff>133350</xdr:rowOff>
    </xdr:to>
    <xdr:sp macro="" textlink="">
      <xdr:nvSpPr>
        <xdr:cNvPr id="444" name="CheckBox28" hidden="1">
          <a:extLst>
            <a:ext uri="{63B3BB69-23CF-44E3-9099-C40C66FF867C}">
              <a14:compatExt xmlns:a14="http://schemas.microsoft.com/office/drawing/2010/main" spid="_x0000_s3145"/>
            </a:ext>
            <a:ext uri="{FF2B5EF4-FFF2-40B4-BE49-F238E27FC236}">
              <a16:creationId xmlns:a16="http://schemas.microsoft.com/office/drawing/2014/main" id="{33C49FD7-0E0F-44FA-BD15-C64C21914E7E}"/>
            </a:ext>
          </a:extLst>
        </xdr:cNvPr>
        <xdr:cNvSpPr/>
      </xdr:nvSpPr>
      <xdr:spPr bwMode="auto">
        <a:xfrm>
          <a:off x="11499850" y="18529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37</xdr:row>
      <xdr:rowOff>165100</xdr:rowOff>
    </xdr:from>
    <xdr:to>
      <xdr:col>19</xdr:col>
      <xdr:colOff>901700</xdr:colOff>
      <xdr:row>38</xdr:row>
      <xdr:rowOff>142875</xdr:rowOff>
    </xdr:to>
    <xdr:sp macro="" textlink="">
      <xdr:nvSpPr>
        <xdr:cNvPr id="445" name="CheckBox29" hidden="1">
          <a:extLst>
            <a:ext uri="{63B3BB69-23CF-44E3-9099-C40C66FF867C}">
              <a14:compatExt xmlns:a14="http://schemas.microsoft.com/office/drawing/2010/main" spid="_x0000_s3146"/>
            </a:ext>
            <a:ext uri="{FF2B5EF4-FFF2-40B4-BE49-F238E27FC236}">
              <a16:creationId xmlns:a16="http://schemas.microsoft.com/office/drawing/2014/main" id="{635C3DEF-B882-47B7-B2F6-9FBE81DFD0D8}"/>
            </a:ext>
          </a:extLst>
        </xdr:cNvPr>
        <xdr:cNvSpPr/>
      </xdr:nvSpPr>
      <xdr:spPr bwMode="auto">
        <a:xfrm>
          <a:off x="11499850" y="190722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38</xdr:row>
      <xdr:rowOff>165100</xdr:rowOff>
    </xdr:from>
    <xdr:to>
      <xdr:col>19</xdr:col>
      <xdr:colOff>901700</xdr:colOff>
      <xdr:row>39</xdr:row>
      <xdr:rowOff>142875</xdr:rowOff>
    </xdr:to>
    <xdr:sp macro="" textlink="">
      <xdr:nvSpPr>
        <xdr:cNvPr id="446" name="CheckBox30" hidden="1">
          <a:extLst>
            <a:ext uri="{63B3BB69-23CF-44E3-9099-C40C66FF867C}">
              <a14:compatExt xmlns:a14="http://schemas.microsoft.com/office/drawing/2010/main" spid="_x0000_s3147"/>
            </a:ext>
            <a:ext uri="{FF2B5EF4-FFF2-40B4-BE49-F238E27FC236}">
              <a16:creationId xmlns:a16="http://schemas.microsoft.com/office/drawing/2014/main" id="{FDB41C7E-DDB7-48FA-96D8-A640C6FF676F}"/>
            </a:ext>
          </a:extLst>
        </xdr:cNvPr>
        <xdr:cNvSpPr/>
      </xdr:nvSpPr>
      <xdr:spPr bwMode="auto">
        <a:xfrm>
          <a:off x="11499850" y="19672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47" name="CheckBox31" hidden="1">
          <a:extLst>
            <a:ext uri="{63B3BB69-23CF-44E3-9099-C40C66FF867C}">
              <a14:compatExt xmlns:a14="http://schemas.microsoft.com/office/drawing/2010/main" spid="_x0000_s3148"/>
            </a:ext>
            <a:ext uri="{FF2B5EF4-FFF2-40B4-BE49-F238E27FC236}">
              <a16:creationId xmlns:a16="http://schemas.microsoft.com/office/drawing/2014/main" id="{FE719674-3949-49E1-81AD-6CC7C5F51FC2}"/>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48" name="CheckBox32" hidden="1">
          <a:extLst>
            <a:ext uri="{63B3BB69-23CF-44E3-9099-C40C66FF867C}">
              <a14:compatExt xmlns:a14="http://schemas.microsoft.com/office/drawing/2010/main" spid="_x0000_s3149"/>
            </a:ext>
            <a:ext uri="{FF2B5EF4-FFF2-40B4-BE49-F238E27FC236}">
              <a16:creationId xmlns:a16="http://schemas.microsoft.com/office/drawing/2014/main" id="{9DCEBE1F-5980-4AC0-96C8-7DFA545DF506}"/>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49" name="CheckBox33" hidden="1">
          <a:extLst>
            <a:ext uri="{63B3BB69-23CF-44E3-9099-C40C66FF867C}">
              <a14:compatExt xmlns:a14="http://schemas.microsoft.com/office/drawing/2010/main" spid="_x0000_s3150"/>
            </a:ext>
            <a:ext uri="{FF2B5EF4-FFF2-40B4-BE49-F238E27FC236}">
              <a16:creationId xmlns:a16="http://schemas.microsoft.com/office/drawing/2014/main" id="{1F972791-2768-442F-A3E3-CAB7083A8CA5}"/>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50" name="CheckBox34" hidden="1">
          <a:extLst>
            <a:ext uri="{63B3BB69-23CF-44E3-9099-C40C66FF867C}">
              <a14:compatExt xmlns:a14="http://schemas.microsoft.com/office/drawing/2010/main" spid="_x0000_s3151"/>
            </a:ext>
            <a:ext uri="{FF2B5EF4-FFF2-40B4-BE49-F238E27FC236}">
              <a16:creationId xmlns:a16="http://schemas.microsoft.com/office/drawing/2014/main" id="{E40BECCB-26C2-4A2D-A059-1D202FDFA19F}"/>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51" name="CheckBox35" hidden="1">
          <a:extLst>
            <a:ext uri="{63B3BB69-23CF-44E3-9099-C40C66FF867C}">
              <a14:compatExt xmlns:a14="http://schemas.microsoft.com/office/drawing/2010/main" spid="_x0000_s3152"/>
            </a:ext>
            <a:ext uri="{FF2B5EF4-FFF2-40B4-BE49-F238E27FC236}">
              <a16:creationId xmlns:a16="http://schemas.microsoft.com/office/drawing/2014/main" id="{27A356F8-3F94-4243-84F4-8F20792CFF94}"/>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52" name="CheckBox36" hidden="1">
          <a:extLst>
            <a:ext uri="{63B3BB69-23CF-44E3-9099-C40C66FF867C}">
              <a14:compatExt xmlns:a14="http://schemas.microsoft.com/office/drawing/2010/main" spid="_x0000_s3153"/>
            </a:ext>
            <a:ext uri="{FF2B5EF4-FFF2-40B4-BE49-F238E27FC236}">
              <a16:creationId xmlns:a16="http://schemas.microsoft.com/office/drawing/2014/main" id="{17A450B0-3BC0-4756-B80F-9ED3187D5750}"/>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53" name="CheckBox38" hidden="1">
          <a:extLst>
            <a:ext uri="{63B3BB69-23CF-44E3-9099-C40C66FF867C}">
              <a14:compatExt xmlns:a14="http://schemas.microsoft.com/office/drawing/2010/main" spid="_x0000_s3154"/>
            </a:ext>
            <a:ext uri="{FF2B5EF4-FFF2-40B4-BE49-F238E27FC236}">
              <a16:creationId xmlns:a16="http://schemas.microsoft.com/office/drawing/2014/main" id="{B624B9B6-1FBB-4D3E-AF24-85706A568A78}"/>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54" name="CheckBox39" hidden="1">
          <a:extLst>
            <a:ext uri="{63B3BB69-23CF-44E3-9099-C40C66FF867C}">
              <a14:compatExt xmlns:a14="http://schemas.microsoft.com/office/drawing/2010/main" spid="_x0000_s3155"/>
            </a:ext>
            <a:ext uri="{FF2B5EF4-FFF2-40B4-BE49-F238E27FC236}">
              <a16:creationId xmlns:a16="http://schemas.microsoft.com/office/drawing/2014/main" id="{06B78F90-DF3B-42F8-A214-63687FBDFA1C}"/>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55" name="CheckBox40" hidden="1">
          <a:extLst>
            <a:ext uri="{63B3BB69-23CF-44E3-9099-C40C66FF867C}">
              <a14:compatExt xmlns:a14="http://schemas.microsoft.com/office/drawing/2010/main" spid="_x0000_s3156"/>
            </a:ext>
            <a:ext uri="{FF2B5EF4-FFF2-40B4-BE49-F238E27FC236}">
              <a16:creationId xmlns:a16="http://schemas.microsoft.com/office/drawing/2014/main" id="{9D313F32-BB8C-4357-8458-210FD6C69E23}"/>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56" name="CheckBox41" hidden="1">
          <a:extLst>
            <a:ext uri="{63B3BB69-23CF-44E3-9099-C40C66FF867C}">
              <a14:compatExt xmlns:a14="http://schemas.microsoft.com/office/drawing/2010/main" spid="_x0000_s3157"/>
            </a:ext>
            <a:ext uri="{FF2B5EF4-FFF2-40B4-BE49-F238E27FC236}">
              <a16:creationId xmlns:a16="http://schemas.microsoft.com/office/drawing/2014/main" id="{C1079E8D-3E1B-4EE6-90DB-059C7BB8F9B1}"/>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57" name="CheckBox42" hidden="1">
          <a:extLst>
            <a:ext uri="{63B3BB69-23CF-44E3-9099-C40C66FF867C}">
              <a14:compatExt xmlns:a14="http://schemas.microsoft.com/office/drawing/2010/main" spid="_x0000_s3158"/>
            </a:ext>
            <a:ext uri="{FF2B5EF4-FFF2-40B4-BE49-F238E27FC236}">
              <a16:creationId xmlns:a16="http://schemas.microsoft.com/office/drawing/2014/main" id="{E2ADD7FC-AF2B-47B0-B7EE-C3BB34648847}"/>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58" name="CheckBox43" hidden="1">
          <a:extLst>
            <a:ext uri="{63B3BB69-23CF-44E3-9099-C40C66FF867C}">
              <a14:compatExt xmlns:a14="http://schemas.microsoft.com/office/drawing/2010/main" spid="_x0000_s3159"/>
            </a:ext>
            <a:ext uri="{FF2B5EF4-FFF2-40B4-BE49-F238E27FC236}">
              <a16:creationId xmlns:a16="http://schemas.microsoft.com/office/drawing/2014/main" id="{760720F8-A03A-43CF-9646-C1CA7E32D0D2}"/>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59" name="CheckBox44" hidden="1">
          <a:extLst>
            <a:ext uri="{63B3BB69-23CF-44E3-9099-C40C66FF867C}">
              <a14:compatExt xmlns:a14="http://schemas.microsoft.com/office/drawing/2010/main" spid="_x0000_s3160"/>
            </a:ext>
            <a:ext uri="{FF2B5EF4-FFF2-40B4-BE49-F238E27FC236}">
              <a16:creationId xmlns:a16="http://schemas.microsoft.com/office/drawing/2014/main" id="{250D6732-5B8F-4F38-ABD7-5729F6FD5E49}"/>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60" name="CheckBox45" hidden="1">
          <a:extLst>
            <a:ext uri="{63B3BB69-23CF-44E3-9099-C40C66FF867C}">
              <a14:compatExt xmlns:a14="http://schemas.microsoft.com/office/drawing/2010/main" spid="_x0000_s3161"/>
            </a:ext>
            <a:ext uri="{FF2B5EF4-FFF2-40B4-BE49-F238E27FC236}">
              <a16:creationId xmlns:a16="http://schemas.microsoft.com/office/drawing/2014/main" id="{5DBDD01A-CFF3-4440-9977-BA2A8BA836CC}"/>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39</xdr:row>
      <xdr:rowOff>0</xdr:rowOff>
    </xdr:from>
    <xdr:to>
      <xdr:col>19</xdr:col>
      <xdr:colOff>901700</xdr:colOff>
      <xdr:row>40</xdr:row>
      <xdr:rowOff>63500</xdr:rowOff>
    </xdr:to>
    <xdr:sp macro="" textlink="">
      <xdr:nvSpPr>
        <xdr:cNvPr id="461" name="CheckBox46" hidden="1">
          <a:extLst>
            <a:ext uri="{63B3BB69-23CF-44E3-9099-C40C66FF867C}">
              <a14:compatExt xmlns:a14="http://schemas.microsoft.com/office/drawing/2010/main" spid="_x0000_s3162"/>
            </a:ext>
            <a:ext uri="{FF2B5EF4-FFF2-40B4-BE49-F238E27FC236}">
              <a16:creationId xmlns:a16="http://schemas.microsoft.com/office/drawing/2014/main" id="{13DCBD77-9C7C-4F25-A3F3-349A8CD36DB8}"/>
            </a:ext>
          </a:extLst>
        </xdr:cNvPr>
        <xdr:cNvSpPr/>
      </xdr:nvSpPr>
      <xdr:spPr bwMode="auto">
        <a:xfrm>
          <a:off x="11499850" y="201453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390525</xdr:colOff>
      <xdr:row>9</xdr:row>
      <xdr:rowOff>506730</xdr:rowOff>
    </xdr:from>
    <xdr:to>
      <xdr:col>19</xdr:col>
      <xdr:colOff>495300</xdr:colOff>
      <xdr:row>9</xdr:row>
      <xdr:rowOff>552449</xdr:rowOff>
    </xdr:to>
    <xdr:pic>
      <xdr:nvPicPr>
        <xdr:cNvPr id="507" name="Picture 46">
          <a:extLst>
            <a:ext uri="{FF2B5EF4-FFF2-40B4-BE49-F238E27FC236}">
              <a16:creationId xmlns:a16="http://schemas.microsoft.com/office/drawing/2014/main" id="{707E1A7B-A2EB-411A-86B1-75F275C71D23}"/>
            </a:ext>
          </a:extLst>
        </xdr:cNvPr>
        <xdr:cNvPicPr preferRelativeResize="0">
          <a:picLocks noChangeArrowheads="1" noChangeShapeType="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96650" y="2059305"/>
          <a:ext cx="104775" cy="45719"/>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oneCellAnchor>
    <xdr:from>
      <xdr:col>19</xdr:col>
      <xdr:colOff>622300</xdr:colOff>
      <xdr:row>16</xdr:row>
      <xdr:rowOff>165100</xdr:rowOff>
    </xdr:from>
    <xdr:ext cx="279400" cy="254000"/>
    <xdr:sp macro="" textlink="">
      <xdr:nvSpPr>
        <xdr:cNvPr id="552" name="CheckBox6" hidden="1">
          <a:extLst>
            <a:ext uri="{63B3BB69-23CF-44E3-9099-C40C66FF867C}">
              <a14:compatExt xmlns:a14="http://schemas.microsoft.com/office/drawing/2010/main" spid="_x0000_s3078"/>
            </a:ext>
            <a:ext uri="{FF2B5EF4-FFF2-40B4-BE49-F238E27FC236}">
              <a16:creationId xmlns:a16="http://schemas.microsoft.com/office/drawing/2014/main" id="{7A11E428-ED3E-4354-B691-E9A6AA838C4F}"/>
            </a:ext>
          </a:extLst>
        </xdr:cNvPr>
        <xdr:cNvSpPr/>
      </xdr:nvSpPr>
      <xdr:spPr bwMode="auto">
        <a:xfrm>
          <a:off x="11499850" y="7366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622300</xdr:colOff>
      <xdr:row>16</xdr:row>
      <xdr:rowOff>165100</xdr:rowOff>
    </xdr:from>
    <xdr:ext cx="279400" cy="254000"/>
    <xdr:sp macro="" textlink="">
      <xdr:nvSpPr>
        <xdr:cNvPr id="554" name="CheckBox6" hidden="1">
          <a:extLst>
            <a:ext uri="{63B3BB69-23CF-44E3-9099-C40C66FF867C}">
              <a14:compatExt xmlns:a14="http://schemas.microsoft.com/office/drawing/2010/main" spid="_x0000_s3078"/>
            </a:ext>
            <a:ext uri="{FF2B5EF4-FFF2-40B4-BE49-F238E27FC236}">
              <a16:creationId xmlns:a16="http://schemas.microsoft.com/office/drawing/2014/main" id="{AB958071-B261-44DB-99C2-42EEEF658468}"/>
            </a:ext>
          </a:extLst>
        </xdr:cNvPr>
        <xdr:cNvSpPr/>
      </xdr:nvSpPr>
      <xdr:spPr bwMode="auto">
        <a:xfrm>
          <a:off x="11499850" y="7366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622300</xdr:colOff>
      <xdr:row>16</xdr:row>
      <xdr:rowOff>165100</xdr:rowOff>
    </xdr:from>
    <xdr:ext cx="279400" cy="254000"/>
    <xdr:sp macro="" textlink="">
      <xdr:nvSpPr>
        <xdr:cNvPr id="555" name="CheckBox6" hidden="1">
          <a:extLst>
            <a:ext uri="{63B3BB69-23CF-44E3-9099-C40C66FF867C}">
              <a14:compatExt xmlns:a14="http://schemas.microsoft.com/office/drawing/2010/main" spid="_x0000_s3123"/>
            </a:ext>
            <a:ext uri="{FF2B5EF4-FFF2-40B4-BE49-F238E27FC236}">
              <a16:creationId xmlns:a16="http://schemas.microsoft.com/office/drawing/2014/main" id="{1B1039C3-B9BF-402A-81C1-1E410BC50BE7}"/>
            </a:ext>
          </a:extLst>
        </xdr:cNvPr>
        <xdr:cNvSpPr/>
      </xdr:nvSpPr>
      <xdr:spPr bwMode="auto">
        <a:xfrm>
          <a:off x="11499850" y="73660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editAs="oneCell">
    <xdr:from>
      <xdr:col>19</xdr:col>
      <xdr:colOff>0</xdr:colOff>
      <xdr:row>10</xdr:row>
      <xdr:rowOff>0</xdr:rowOff>
    </xdr:from>
    <xdr:to>
      <xdr:col>19</xdr:col>
      <xdr:colOff>241300</xdr:colOff>
      <xdr:row>10</xdr:row>
      <xdr:rowOff>393700</xdr:rowOff>
    </xdr:to>
    <xdr:pic>
      <xdr:nvPicPr>
        <xdr:cNvPr id="560" name="Picture 46">
          <a:extLst>
            <a:ext uri="{FF2B5EF4-FFF2-40B4-BE49-F238E27FC236}">
              <a16:creationId xmlns:a16="http://schemas.microsoft.com/office/drawing/2014/main" id="{6B497557-C36F-4474-B66D-C2625819C956}"/>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06125" y="2638425"/>
          <a:ext cx="241300" cy="393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11</xdr:row>
      <xdr:rowOff>0</xdr:rowOff>
    </xdr:from>
    <xdr:to>
      <xdr:col>19</xdr:col>
      <xdr:colOff>241300</xdr:colOff>
      <xdr:row>11</xdr:row>
      <xdr:rowOff>393700</xdr:rowOff>
    </xdr:to>
    <xdr:pic>
      <xdr:nvPicPr>
        <xdr:cNvPr id="561" name="Picture 46">
          <a:extLst>
            <a:ext uri="{FF2B5EF4-FFF2-40B4-BE49-F238E27FC236}">
              <a16:creationId xmlns:a16="http://schemas.microsoft.com/office/drawing/2014/main" id="{50D68F9B-7A4A-49A5-A783-9FC29CD919E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06125" y="3000375"/>
          <a:ext cx="241300" cy="393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9</xdr:row>
      <xdr:rowOff>0</xdr:rowOff>
    </xdr:from>
    <xdr:to>
      <xdr:col>19</xdr:col>
      <xdr:colOff>241300</xdr:colOff>
      <xdr:row>9</xdr:row>
      <xdr:rowOff>393700</xdr:rowOff>
    </xdr:to>
    <xdr:pic>
      <xdr:nvPicPr>
        <xdr:cNvPr id="562" name="Picture 46">
          <a:extLst>
            <a:ext uri="{FF2B5EF4-FFF2-40B4-BE49-F238E27FC236}">
              <a16:creationId xmlns:a16="http://schemas.microsoft.com/office/drawing/2014/main" id="{08D3C275-0AC4-4194-BEE1-0C61996D18B7}"/>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06125" y="1552575"/>
          <a:ext cx="241300" cy="393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12</xdr:row>
      <xdr:rowOff>0</xdr:rowOff>
    </xdr:from>
    <xdr:to>
      <xdr:col>19</xdr:col>
      <xdr:colOff>241300</xdr:colOff>
      <xdr:row>12</xdr:row>
      <xdr:rowOff>393700</xdr:rowOff>
    </xdr:to>
    <xdr:pic>
      <xdr:nvPicPr>
        <xdr:cNvPr id="563" name="Picture 46">
          <a:extLst>
            <a:ext uri="{FF2B5EF4-FFF2-40B4-BE49-F238E27FC236}">
              <a16:creationId xmlns:a16="http://schemas.microsoft.com/office/drawing/2014/main" id="{6A44A461-A77E-49D8-93D8-1E36782ABF08}"/>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06125" y="3362325"/>
          <a:ext cx="241300" cy="393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13</xdr:row>
      <xdr:rowOff>0</xdr:rowOff>
    </xdr:from>
    <xdr:to>
      <xdr:col>19</xdr:col>
      <xdr:colOff>241300</xdr:colOff>
      <xdr:row>13</xdr:row>
      <xdr:rowOff>393700</xdr:rowOff>
    </xdr:to>
    <xdr:pic>
      <xdr:nvPicPr>
        <xdr:cNvPr id="564" name="Picture 46">
          <a:extLst>
            <a:ext uri="{FF2B5EF4-FFF2-40B4-BE49-F238E27FC236}">
              <a16:creationId xmlns:a16="http://schemas.microsoft.com/office/drawing/2014/main" id="{804E3406-F8A6-4594-A456-D03F3F30D4C1}"/>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06125" y="3724275"/>
          <a:ext cx="241300" cy="393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9525</xdr:colOff>
      <xdr:row>14</xdr:row>
      <xdr:rowOff>66675</xdr:rowOff>
    </xdr:from>
    <xdr:to>
      <xdr:col>19</xdr:col>
      <xdr:colOff>288925</xdr:colOff>
      <xdr:row>14</xdr:row>
      <xdr:rowOff>320675</xdr:rowOff>
    </xdr:to>
    <xdr:pic>
      <xdr:nvPicPr>
        <xdr:cNvPr id="565" name="Picture 51">
          <a:extLst>
            <a:ext uri="{FF2B5EF4-FFF2-40B4-BE49-F238E27FC236}">
              <a16:creationId xmlns:a16="http://schemas.microsoft.com/office/drawing/2014/main" id="{138329D8-1CE6-4FB7-9904-F3434A604CA6}"/>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15650" y="43338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15</xdr:row>
      <xdr:rowOff>0</xdr:rowOff>
    </xdr:from>
    <xdr:to>
      <xdr:col>19</xdr:col>
      <xdr:colOff>241300</xdr:colOff>
      <xdr:row>15</xdr:row>
      <xdr:rowOff>382270</xdr:rowOff>
    </xdr:to>
    <xdr:pic>
      <xdr:nvPicPr>
        <xdr:cNvPr id="566" name="Picture 46">
          <a:extLst>
            <a:ext uri="{FF2B5EF4-FFF2-40B4-BE49-F238E27FC236}">
              <a16:creationId xmlns:a16="http://schemas.microsoft.com/office/drawing/2014/main" id="{F2FB008E-C1DF-4FA2-9789-98CE38CD3F52}"/>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06125" y="4629150"/>
          <a:ext cx="241300" cy="393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oneCellAnchor>
    <xdr:from>
      <xdr:col>19</xdr:col>
      <xdr:colOff>19050</xdr:colOff>
      <xdr:row>16</xdr:row>
      <xdr:rowOff>228600</xdr:rowOff>
    </xdr:from>
    <xdr:ext cx="279400" cy="254000"/>
    <xdr:pic>
      <xdr:nvPicPr>
        <xdr:cNvPr id="567" name="Picture 51">
          <a:extLst>
            <a:ext uri="{FF2B5EF4-FFF2-40B4-BE49-F238E27FC236}">
              <a16:creationId xmlns:a16="http://schemas.microsoft.com/office/drawing/2014/main" id="{8CA91ADC-D122-4497-AC46-E7E33F378C74}"/>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25175" y="52197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twoCellAnchor editAs="oneCell">
    <xdr:from>
      <xdr:col>19</xdr:col>
      <xdr:colOff>0</xdr:colOff>
      <xdr:row>17</xdr:row>
      <xdr:rowOff>0</xdr:rowOff>
    </xdr:from>
    <xdr:to>
      <xdr:col>19</xdr:col>
      <xdr:colOff>279400</xdr:colOff>
      <xdr:row>17</xdr:row>
      <xdr:rowOff>254000</xdr:rowOff>
    </xdr:to>
    <xdr:pic>
      <xdr:nvPicPr>
        <xdr:cNvPr id="569" name="Picture 54">
          <a:extLst>
            <a:ext uri="{FF2B5EF4-FFF2-40B4-BE49-F238E27FC236}">
              <a16:creationId xmlns:a16="http://schemas.microsoft.com/office/drawing/2014/main" id="{082CE944-8365-4FFF-A5E6-D985ADAE3095}"/>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56483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18</xdr:row>
      <xdr:rowOff>0</xdr:rowOff>
    </xdr:from>
    <xdr:to>
      <xdr:col>19</xdr:col>
      <xdr:colOff>279400</xdr:colOff>
      <xdr:row>18</xdr:row>
      <xdr:rowOff>179705</xdr:rowOff>
    </xdr:to>
    <xdr:pic>
      <xdr:nvPicPr>
        <xdr:cNvPr id="570" name="Picture 54">
          <a:extLst>
            <a:ext uri="{FF2B5EF4-FFF2-40B4-BE49-F238E27FC236}">
              <a16:creationId xmlns:a16="http://schemas.microsoft.com/office/drawing/2014/main" id="{BE8B5C40-8BFC-443D-81F6-0436145275B5}"/>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61912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19</xdr:row>
      <xdr:rowOff>0</xdr:rowOff>
    </xdr:from>
    <xdr:to>
      <xdr:col>19</xdr:col>
      <xdr:colOff>279400</xdr:colOff>
      <xdr:row>19</xdr:row>
      <xdr:rowOff>254000</xdr:rowOff>
    </xdr:to>
    <xdr:pic>
      <xdr:nvPicPr>
        <xdr:cNvPr id="571" name="Picture 54">
          <a:extLst>
            <a:ext uri="{FF2B5EF4-FFF2-40B4-BE49-F238E27FC236}">
              <a16:creationId xmlns:a16="http://schemas.microsoft.com/office/drawing/2014/main" id="{A3FDB03C-BECE-441C-A629-4558A8F79304}"/>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67341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20</xdr:row>
      <xdr:rowOff>0</xdr:rowOff>
    </xdr:from>
    <xdr:to>
      <xdr:col>19</xdr:col>
      <xdr:colOff>279400</xdr:colOff>
      <xdr:row>20</xdr:row>
      <xdr:rowOff>254000</xdr:rowOff>
    </xdr:to>
    <xdr:pic>
      <xdr:nvPicPr>
        <xdr:cNvPr id="572" name="Picture 57">
          <a:extLst>
            <a:ext uri="{FF2B5EF4-FFF2-40B4-BE49-F238E27FC236}">
              <a16:creationId xmlns:a16="http://schemas.microsoft.com/office/drawing/2014/main" id="{AD7D8855-B184-46D9-A80B-F623B71A03B8}"/>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72771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21</xdr:row>
      <xdr:rowOff>0</xdr:rowOff>
    </xdr:from>
    <xdr:to>
      <xdr:col>19</xdr:col>
      <xdr:colOff>279400</xdr:colOff>
      <xdr:row>21</xdr:row>
      <xdr:rowOff>254000</xdr:rowOff>
    </xdr:to>
    <xdr:pic>
      <xdr:nvPicPr>
        <xdr:cNvPr id="574" name="Picture 58">
          <a:extLst>
            <a:ext uri="{FF2B5EF4-FFF2-40B4-BE49-F238E27FC236}">
              <a16:creationId xmlns:a16="http://schemas.microsoft.com/office/drawing/2014/main" id="{B33BDD21-CD3C-4BC2-BCE9-3C51CFEEC2B6}"/>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77057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22</xdr:row>
      <xdr:rowOff>0</xdr:rowOff>
    </xdr:from>
    <xdr:to>
      <xdr:col>19</xdr:col>
      <xdr:colOff>279400</xdr:colOff>
      <xdr:row>22</xdr:row>
      <xdr:rowOff>254000</xdr:rowOff>
    </xdr:to>
    <xdr:pic>
      <xdr:nvPicPr>
        <xdr:cNvPr id="576" name="Picture 57">
          <a:extLst>
            <a:ext uri="{FF2B5EF4-FFF2-40B4-BE49-F238E27FC236}">
              <a16:creationId xmlns:a16="http://schemas.microsoft.com/office/drawing/2014/main" id="{DA0A4F48-7D28-4197-85D1-DFBF9BE69207}"/>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81343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23</xdr:row>
      <xdr:rowOff>0</xdr:rowOff>
    </xdr:from>
    <xdr:to>
      <xdr:col>19</xdr:col>
      <xdr:colOff>279400</xdr:colOff>
      <xdr:row>23</xdr:row>
      <xdr:rowOff>254000</xdr:rowOff>
    </xdr:to>
    <xdr:pic>
      <xdr:nvPicPr>
        <xdr:cNvPr id="579" name="Picture 58">
          <a:extLst>
            <a:ext uri="{FF2B5EF4-FFF2-40B4-BE49-F238E27FC236}">
              <a16:creationId xmlns:a16="http://schemas.microsoft.com/office/drawing/2014/main" id="{20678487-8088-445B-A190-1C236DE12201}"/>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86772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24</xdr:row>
      <xdr:rowOff>0</xdr:rowOff>
    </xdr:from>
    <xdr:to>
      <xdr:col>19</xdr:col>
      <xdr:colOff>279400</xdr:colOff>
      <xdr:row>24</xdr:row>
      <xdr:rowOff>254000</xdr:rowOff>
    </xdr:to>
    <xdr:pic>
      <xdr:nvPicPr>
        <xdr:cNvPr id="580" name="Picture 58">
          <a:extLst>
            <a:ext uri="{FF2B5EF4-FFF2-40B4-BE49-F238E27FC236}">
              <a16:creationId xmlns:a16="http://schemas.microsoft.com/office/drawing/2014/main" id="{C29C6A8C-19A7-4A7C-9377-5C5458538AB5}"/>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91630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25</xdr:row>
      <xdr:rowOff>0</xdr:rowOff>
    </xdr:from>
    <xdr:to>
      <xdr:col>19</xdr:col>
      <xdr:colOff>279400</xdr:colOff>
      <xdr:row>25</xdr:row>
      <xdr:rowOff>254000</xdr:rowOff>
    </xdr:to>
    <xdr:pic>
      <xdr:nvPicPr>
        <xdr:cNvPr id="582" name="Picture 62">
          <a:extLst>
            <a:ext uri="{FF2B5EF4-FFF2-40B4-BE49-F238E27FC236}">
              <a16:creationId xmlns:a16="http://schemas.microsoft.com/office/drawing/2014/main" id="{00E95812-B03B-43C7-86EB-D72501269C84}"/>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99536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26</xdr:row>
      <xdr:rowOff>0</xdr:rowOff>
    </xdr:from>
    <xdr:to>
      <xdr:col>19</xdr:col>
      <xdr:colOff>279400</xdr:colOff>
      <xdr:row>26</xdr:row>
      <xdr:rowOff>254000</xdr:rowOff>
    </xdr:to>
    <xdr:pic>
      <xdr:nvPicPr>
        <xdr:cNvPr id="583" name="Picture 63">
          <a:extLst>
            <a:ext uri="{FF2B5EF4-FFF2-40B4-BE49-F238E27FC236}">
              <a16:creationId xmlns:a16="http://schemas.microsoft.com/office/drawing/2014/main" id="{3ECD011F-2153-4885-8F2A-58B82C4F0DBF}"/>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10496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27</xdr:row>
      <xdr:rowOff>0</xdr:rowOff>
    </xdr:from>
    <xdr:to>
      <xdr:col>19</xdr:col>
      <xdr:colOff>279400</xdr:colOff>
      <xdr:row>27</xdr:row>
      <xdr:rowOff>254000</xdr:rowOff>
    </xdr:to>
    <xdr:pic>
      <xdr:nvPicPr>
        <xdr:cNvPr id="584" name="Picture 64">
          <a:extLst>
            <a:ext uri="{FF2B5EF4-FFF2-40B4-BE49-F238E27FC236}">
              <a16:creationId xmlns:a16="http://schemas.microsoft.com/office/drawing/2014/main" id="{54C97F96-3812-40C8-8DB1-BC2090C71C91}"/>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114014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28</xdr:row>
      <xdr:rowOff>0</xdr:rowOff>
    </xdr:from>
    <xdr:to>
      <xdr:col>19</xdr:col>
      <xdr:colOff>279400</xdr:colOff>
      <xdr:row>28</xdr:row>
      <xdr:rowOff>254000</xdr:rowOff>
    </xdr:to>
    <xdr:pic>
      <xdr:nvPicPr>
        <xdr:cNvPr id="585" name="Picture 64">
          <a:extLst>
            <a:ext uri="{FF2B5EF4-FFF2-40B4-BE49-F238E27FC236}">
              <a16:creationId xmlns:a16="http://schemas.microsoft.com/office/drawing/2014/main" id="{A84B2B18-9C22-4F68-A223-E97A972D970B}"/>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12306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29</xdr:row>
      <xdr:rowOff>0</xdr:rowOff>
    </xdr:from>
    <xdr:to>
      <xdr:col>19</xdr:col>
      <xdr:colOff>279400</xdr:colOff>
      <xdr:row>29</xdr:row>
      <xdr:rowOff>254000</xdr:rowOff>
    </xdr:to>
    <xdr:pic>
      <xdr:nvPicPr>
        <xdr:cNvPr id="587" name="Picture 64">
          <a:extLst>
            <a:ext uri="{FF2B5EF4-FFF2-40B4-BE49-F238E27FC236}">
              <a16:creationId xmlns:a16="http://schemas.microsoft.com/office/drawing/2014/main" id="{A21C8DB2-3851-4BB1-9A39-7DE285F1DFDF}"/>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25" y="132111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30</xdr:row>
      <xdr:rowOff>0</xdr:rowOff>
    </xdr:from>
    <xdr:to>
      <xdr:col>19</xdr:col>
      <xdr:colOff>279400</xdr:colOff>
      <xdr:row>30</xdr:row>
      <xdr:rowOff>254000</xdr:rowOff>
    </xdr:to>
    <xdr:pic>
      <xdr:nvPicPr>
        <xdr:cNvPr id="588" name="Picture 63">
          <a:extLst>
            <a:ext uri="{FF2B5EF4-FFF2-40B4-BE49-F238E27FC236}">
              <a16:creationId xmlns:a16="http://schemas.microsoft.com/office/drawing/2014/main" id="{D122F87C-5DDB-4B93-A180-531A3398230C}"/>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141160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31</xdr:row>
      <xdr:rowOff>0</xdr:rowOff>
    </xdr:from>
    <xdr:to>
      <xdr:col>19</xdr:col>
      <xdr:colOff>279400</xdr:colOff>
      <xdr:row>31</xdr:row>
      <xdr:rowOff>254000</xdr:rowOff>
    </xdr:to>
    <xdr:pic>
      <xdr:nvPicPr>
        <xdr:cNvPr id="590" name="Picture 63">
          <a:extLst>
            <a:ext uri="{FF2B5EF4-FFF2-40B4-BE49-F238E27FC236}">
              <a16:creationId xmlns:a16="http://schemas.microsoft.com/office/drawing/2014/main" id="{A2F26CFA-C780-4C91-9DD2-2EC30D871144}"/>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144018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32</xdr:row>
      <xdr:rowOff>0</xdr:rowOff>
    </xdr:from>
    <xdr:to>
      <xdr:col>19</xdr:col>
      <xdr:colOff>279400</xdr:colOff>
      <xdr:row>32</xdr:row>
      <xdr:rowOff>254000</xdr:rowOff>
    </xdr:to>
    <xdr:pic>
      <xdr:nvPicPr>
        <xdr:cNvPr id="591" name="Picture 63">
          <a:extLst>
            <a:ext uri="{FF2B5EF4-FFF2-40B4-BE49-F238E27FC236}">
              <a16:creationId xmlns:a16="http://schemas.microsoft.com/office/drawing/2014/main" id="{D2D69161-A8DF-45C5-B44A-19F2D410796E}"/>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14687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33</xdr:row>
      <xdr:rowOff>0</xdr:rowOff>
    </xdr:from>
    <xdr:to>
      <xdr:col>19</xdr:col>
      <xdr:colOff>279400</xdr:colOff>
      <xdr:row>33</xdr:row>
      <xdr:rowOff>254000</xdr:rowOff>
    </xdr:to>
    <xdr:pic>
      <xdr:nvPicPr>
        <xdr:cNvPr id="594" name="Picture 63">
          <a:extLst>
            <a:ext uri="{FF2B5EF4-FFF2-40B4-BE49-F238E27FC236}">
              <a16:creationId xmlns:a16="http://schemas.microsoft.com/office/drawing/2014/main" id="{35988D7A-C832-459A-A889-E662E2C6BA4D}"/>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14973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34</xdr:row>
      <xdr:rowOff>0</xdr:rowOff>
    </xdr:from>
    <xdr:to>
      <xdr:col>19</xdr:col>
      <xdr:colOff>279400</xdr:colOff>
      <xdr:row>34</xdr:row>
      <xdr:rowOff>254000</xdr:rowOff>
    </xdr:to>
    <xdr:pic>
      <xdr:nvPicPr>
        <xdr:cNvPr id="595" name="Picture 63">
          <a:extLst>
            <a:ext uri="{FF2B5EF4-FFF2-40B4-BE49-F238E27FC236}">
              <a16:creationId xmlns:a16="http://schemas.microsoft.com/office/drawing/2014/main" id="{212604CD-BC26-434D-81E3-F32CC42F0A1A}"/>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152590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35</xdr:row>
      <xdr:rowOff>0</xdr:rowOff>
    </xdr:from>
    <xdr:to>
      <xdr:col>19</xdr:col>
      <xdr:colOff>279400</xdr:colOff>
      <xdr:row>35</xdr:row>
      <xdr:rowOff>254000</xdr:rowOff>
    </xdr:to>
    <xdr:pic>
      <xdr:nvPicPr>
        <xdr:cNvPr id="596" name="Picture 63">
          <a:extLst>
            <a:ext uri="{FF2B5EF4-FFF2-40B4-BE49-F238E27FC236}">
              <a16:creationId xmlns:a16="http://schemas.microsoft.com/office/drawing/2014/main" id="{93F68094-EA64-4FAF-933B-65A71FE661F3}"/>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155448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36</xdr:row>
      <xdr:rowOff>0</xdr:rowOff>
    </xdr:from>
    <xdr:to>
      <xdr:col>19</xdr:col>
      <xdr:colOff>279400</xdr:colOff>
      <xdr:row>36</xdr:row>
      <xdr:rowOff>254000</xdr:rowOff>
    </xdr:to>
    <xdr:pic>
      <xdr:nvPicPr>
        <xdr:cNvPr id="597" name="Picture 63">
          <a:extLst>
            <a:ext uri="{FF2B5EF4-FFF2-40B4-BE49-F238E27FC236}">
              <a16:creationId xmlns:a16="http://schemas.microsoft.com/office/drawing/2014/main" id="{32CAD0CE-A8E0-4BC1-8ABE-C8B753A7A2C6}"/>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15830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37</xdr:row>
      <xdr:rowOff>0</xdr:rowOff>
    </xdr:from>
    <xdr:to>
      <xdr:col>19</xdr:col>
      <xdr:colOff>279400</xdr:colOff>
      <xdr:row>37</xdr:row>
      <xdr:rowOff>254000</xdr:rowOff>
    </xdr:to>
    <xdr:pic>
      <xdr:nvPicPr>
        <xdr:cNvPr id="599" name="Picture 63">
          <a:extLst>
            <a:ext uri="{FF2B5EF4-FFF2-40B4-BE49-F238E27FC236}">
              <a16:creationId xmlns:a16="http://schemas.microsoft.com/office/drawing/2014/main" id="{07D62F23-C5C8-479A-A0C6-F585FAB7940D}"/>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16116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0</xdr:colOff>
      <xdr:row>38</xdr:row>
      <xdr:rowOff>0</xdr:rowOff>
    </xdr:from>
    <xdr:to>
      <xdr:col>19</xdr:col>
      <xdr:colOff>279400</xdr:colOff>
      <xdr:row>38</xdr:row>
      <xdr:rowOff>254000</xdr:rowOff>
    </xdr:to>
    <xdr:pic>
      <xdr:nvPicPr>
        <xdr:cNvPr id="600" name="Picture 63">
          <a:extLst>
            <a:ext uri="{FF2B5EF4-FFF2-40B4-BE49-F238E27FC236}">
              <a16:creationId xmlns:a16="http://schemas.microsoft.com/office/drawing/2014/main" id="{0EE4E21E-7871-4BD6-A26F-484AB81AFED9}"/>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25" y="164020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2222499</xdr:colOff>
      <xdr:row>0</xdr:row>
      <xdr:rowOff>0</xdr:rowOff>
    </xdr:from>
    <xdr:to>
      <xdr:col>19</xdr:col>
      <xdr:colOff>3030680</xdr:colOff>
      <xdr:row>3</xdr:row>
      <xdr:rowOff>187614</xdr:rowOff>
    </xdr:to>
    <xdr:sp macro="" textlink="">
      <xdr:nvSpPr>
        <xdr:cNvPr id="173" name="CuadroTexto 172">
          <a:extLst>
            <a:ext uri="{FF2B5EF4-FFF2-40B4-BE49-F238E27FC236}">
              <a16:creationId xmlns:a16="http://schemas.microsoft.com/office/drawing/2014/main" id="{EE668749-59F0-4B2B-9123-CEBCB39A6BF9}"/>
            </a:ext>
          </a:extLst>
        </xdr:cNvPr>
        <xdr:cNvSpPr txBox="1"/>
      </xdr:nvSpPr>
      <xdr:spPr>
        <a:xfrm>
          <a:off x="12195174" y="0"/>
          <a:ext cx="0" cy="109248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17</xdr:col>
      <xdr:colOff>310141</xdr:colOff>
      <xdr:row>0</xdr:row>
      <xdr:rowOff>47625</xdr:rowOff>
    </xdr:from>
    <xdr:to>
      <xdr:col>18</xdr:col>
      <xdr:colOff>434340</xdr:colOff>
      <xdr:row>3</xdr:row>
      <xdr:rowOff>148423</xdr:rowOff>
    </xdr:to>
    <xdr:pic>
      <xdr:nvPicPr>
        <xdr:cNvPr id="174" name="Imagen 173">
          <a:extLst>
            <a:ext uri="{FF2B5EF4-FFF2-40B4-BE49-F238E27FC236}">
              <a16:creationId xmlns:a16="http://schemas.microsoft.com/office/drawing/2014/main" id="{0B55E106-34E0-44AF-874B-86AFFD1DBFB9}"/>
            </a:ext>
          </a:extLst>
        </xdr:cNvPr>
        <xdr:cNvPicPr>
          <a:picLocks noChangeAspect="1"/>
        </xdr:cNvPicPr>
      </xdr:nvPicPr>
      <xdr:blipFill>
        <a:blip xmlns:r="http://schemas.openxmlformats.org/officeDocument/2006/relationships" r:embed="rId4"/>
        <a:stretch>
          <a:fillRect/>
        </a:stretch>
      </xdr:blipFill>
      <xdr:spPr>
        <a:xfrm>
          <a:off x="9385561" y="47625"/>
          <a:ext cx="573779" cy="999958"/>
        </a:xfrm>
        <a:prstGeom prst="rect">
          <a:avLst/>
        </a:prstGeom>
      </xdr:spPr>
    </xdr:pic>
    <xdr:clientData/>
  </xdr:twoCellAnchor>
  <xdr:twoCellAnchor editAs="oneCell">
    <xdr:from>
      <xdr:col>1</xdr:col>
      <xdr:colOff>146685</xdr:colOff>
      <xdr:row>0</xdr:row>
      <xdr:rowOff>78105</xdr:rowOff>
    </xdr:from>
    <xdr:to>
      <xdr:col>1</xdr:col>
      <xdr:colOff>1610851</xdr:colOff>
      <xdr:row>3</xdr:row>
      <xdr:rowOff>114440</xdr:rowOff>
    </xdr:to>
    <xdr:pic>
      <xdr:nvPicPr>
        <xdr:cNvPr id="175" name="Imagen 174">
          <a:extLst>
            <a:ext uri="{FF2B5EF4-FFF2-40B4-BE49-F238E27FC236}">
              <a16:creationId xmlns:a16="http://schemas.microsoft.com/office/drawing/2014/main" id="{1440F894-9021-4A4F-9A8D-80A16508431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21005" y="78105"/>
          <a:ext cx="1464166" cy="9354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197746</xdr:colOff>
      <xdr:row>0</xdr:row>
      <xdr:rowOff>0</xdr:rowOff>
    </xdr:from>
    <xdr:to>
      <xdr:col>9</xdr:col>
      <xdr:colOff>821706</xdr:colOff>
      <xdr:row>4</xdr:row>
      <xdr:rowOff>5240</xdr:rowOff>
    </xdr:to>
    <xdr:pic>
      <xdr:nvPicPr>
        <xdr:cNvPr id="2" name="Imagen 1">
          <a:extLst>
            <a:ext uri="{FF2B5EF4-FFF2-40B4-BE49-F238E27FC236}">
              <a16:creationId xmlns:a16="http://schemas.microsoft.com/office/drawing/2014/main" id="{7A45F3B7-5C15-480C-BE6C-397CF9758329}"/>
            </a:ext>
          </a:extLst>
        </xdr:cNvPr>
        <xdr:cNvPicPr>
          <a:picLocks noChangeAspect="1"/>
        </xdr:cNvPicPr>
      </xdr:nvPicPr>
      <xdr:blipFill>
        <a:blip xmlns:r="http://schemas.openxmlformats.org/officeDocument/2006/relationships" r:embed="rId1"/>
        <a:stretch>
          <a:fillRect/>
        </a:stretch>
      </xdr:blipFill>
      <xdr:spPr>
        <a:xfrm>
          <a:off x="13189846" y="0"/>
          <a:ext cx="623960" cy="767240"/>
        </a:xfrm>
        <a:prstGeom prst="rect">
          <a:avLst/>
        </a:prstGeom>
      </xdr:spPr>
    </xdr:pic>
    <xdr:clientData/>
  </xdr:twoCellAnchor>
  <xdr:twoCellAnchor editAs="oneCell">
    <xdr:from>
      <xdr:col>0</xdr:col>
      <xdr:colOff>83820</xdr:colOff>
      <xdr:row>0</xdr:row>
      <xdr:rowOff>87442</xdr:rowOff>
    </xdr:from>
    <xdr:to>
      <xdr:col>1</xdr:col>
      <xdr:colOff>732646</xdr:colOff>
      <xdr:row>3</xdr:row>
      <xdr:rowOff>118062</xdr:rowOff>
    </xdr:to>
    <xdr:pic>
      <xdr:nvPicPr>
        <xdr:cNvPr id="3" name="Imagen 2">
          <a:extLst>
            <a:ext uri="{FF2B5EF4-FFF2-40B4-BE49-F238E27FC236}">
              <a16:creationId xmlns:a16="http://schemas.microsoft.com/office/drawing/2014/main" id="{25AA1768-F817-4A67-8517-CA8569632E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820" y="87442"/>
          <a:ext cx="1441306" cy="6021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TENCION%20CIUDADANO\Desktop\Mapa%20para%20ajust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CONTEX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62">
      <pivotArea type="all" dataOnly="0" outline="0" fieldPosition="0"/>
    </format>
    <format dxfId="61">
      <pivotArea field="0" type="button" dataOnly="0" labelOnly="1" outline="0" axis="axisRow" fieldPosition="0"/>
    </format>
    <format dxfId="60">
      <pivotArea field="1" type="button" dataOnly="0" labelOnly="1" outline="0" axis="axisRow" fieldPosition="1"/>
    </format>
    <format dxfId="59">
      <pivotArea dataOnly="0" labelOnly="1" outline="0" fieldPosition="0">
        <references count="1">
          <reference field="0" count="0"/>
        </references>
      </pivotArea>
    </format>
    <format dxfId="58">
      <pivotArea dataOnly="0" labelOnly="1" outline="0" fieldPosition="0">
        <references count="2">
          <reference field="0" count="1" selected="0">
            <x v="0"/>
          </reference>
          <reference field="1" count="5">
            <x v="0"/>
            <x v="6"/>
            <x v="7"/>
            <x v="8"/>
            <x v="9"/>
          </reference>
        </references>
      </pivotArea>
    </format>
    <format dxfId="57">
      <pivotArea dataOnly="0" labelOnly="1" outline="0" fieldPosition="0">
        <references count="2">
          <reference field="0" count="1" selected="0">
            <x v="1"/>
          </reference>
          <reference field="1" count="5">
            <x v="1"/>
            <x v="2"/>
            <x v="3"/>
            <x v="4"/>
            <x v="5"/>
          </reference>
        </references>
      </pivotArea>
    </format>
    <format dxfId="56">
      <pivotArea type="all" dataOnly="0" outline="0" fieldPosition="0"/>
    </format>
    <format dxfId="55">
      <pivotArea field="0" type="button" dataOnly="0" labelOnly="1" outline="0" axis="axisRow" fieldPosition="0"/>
    </format>
    <format dxfId="54">
      <pivotArea field="1" type="button" dataOnly="0" labelOnly="1" outline="0" axis="axisRow" fieldPosition="1"/>
    </format>
    <format dxfId="53">
      <pivotArea dataOnly="0" labelOnly="1" outline="0" fieldPosition="0">
        <references count="1">
          <reference field="0" count="0"/>
        </references>
      </pivotArea>
    </format>
    <format dxfId="52">
      <pivotArea dataOnly="0" labelOnly="1" outline="0" fieldPosition="0">
        <references count="2">
          <reference field="0" count="1" selected="0">
            <x v="0"/>
          </reference>
          <reference field="1" count="5">
            <x v="10"/>
            <x v="11"/>
            <x v="12"/>
            <x v="13"/>
            <x v="14"/>
          </reference>
        </references>
      </pivotArea>
    </format>
    <format dxfId="51">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50" dataDxfId="49">
  <autoFilter ref="B209:C219" xr:uid="{00000000-0009-0000-0100-000001000000}"/>
  <tableColumns count="2">
    <tableColumn id="1" xr3:uid="{00000000-0010-0000-0000-000001000000}" name="Criterios" dataDxfId="48"/>
    <tableColumn id="2" xr3:uid="{00000000-0010-0000-0000-000002000000}" name="Subcriterios" dataDxfId="47"/>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H45"/>
  <sheetViews>
    <sheetView zoomScaleNormal="100" workbookViewId="0">
      <selection activeCell="B7" sqref="B7:H7"/>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241" t="s">
        <v>154</v>
      </c>
      <c r="C2" s="242"/>
      <c r="D2" s="242"/>
      <c r="E2" s="242"/>
      <c r="F2" s="242"/>
      <c r="G2" s="242"/>
      <c r="H2" s="243"/>
    </row>
    <row r="3" spans="2:8" x14ac:dyDescent="0.3">
      <c r="B3" s="68"/>
      <c r="C3" s="69"/>
      <c r="D3" s="69"/>
      <c r="E3" s="69"/>
      <c r="F3" s="69"/>
      <c r="G3" s="69"/>
      <c r="H3" s="70"/>
    </row>
    <row r="4" spans="2:8" ht="63" customHeight="1" x14ac:dyDescent="0.3">
      <c r="B4" s="244" t="s">
        <v>197</v>
      </c>
      <c r="C4" s="245"/>
      <c r="D4" s="245"/>
      <c r="E4" s="245"/>
      <c r="F4" s="245"/>
      <c r="G4" s="245"/>
      <c r="H4" s="246"/>
    </row>
    <row r="5" spans="2:8" ht="63" customHeight="1" x14ac:dyDescent="0.3">
      <c r="B5" s="247"/>
      <c r="C5" s="248"/>
      <c r="D5" s="248"/>
      <c r="E5" s="248"/>
      <c r="F5" s="248"/>
      <c r="G5" s="248"/>
      <c r="H5" s="249"/>
    </row>
    <row r="6" spans="2:8" x14ac:dyDescent="0.3">
      <c r="B6" s="250" t="s">
        <v>152</v>
      </c>
      <c r="C6" s="251"/>
      <c r="D6" s="251"/>
      <c r="E6" s="251"/>
      <c r="F6" s="251"/>
      <c r="G6" s="251"/>
      <c r="H6" s="252"/>
    </row>
    <row r="7" spans="2:8" ht="95.25" customHeight="1" x14ac:dyDescent="0.3">
      <c r="B7" s="260" t="s">
        <v>157</v>
      </c>
      <c r="C7" s="261"/>
      <c r="D7" s="261"/>
      <c r="E7" s="261"/>
      <c r="F7" s="261"/>
      <c r="G7" s="261"/>
      <c r="H7" s="262"/>
    </row>
    <row r="8" spans="2:8" x14ac:dyDescent="0.3">
      <c r="B8" s="102"/>
      <c r="C8" s="103"/>
      <c r="D8" s="103"/>
      <c r="E8" s="103"/>
      <c r="F8" s="103"/>
      <c r="G8" s="103"/>
      <c r="H8" s="104"/>
    </row>
    <row r="9" spans="2:8" ht="16.5" customHeight="1" x14ac:dyDescent="0.3">
      <c r="B9" s="253" t="s">
        <v>190</v>
      </c>
      <c r="C9" s="254"/>
      <c r="D9" s="254"/>
      <c r="E9" s="254"/>
      <c r="F9" s="254"/>
      <c r="G9" s="254"/>
      <c r="H9" s="255"/>
    </row>
    <row r="10" spans="2:8" ht="44.25" customHeight="1" x14ac:dyDescent="0.3">
      <c r="B10" s="253"/>
      <c r="C10" s="254"/>
      <c r="D10" s="254"/>
      <c r="E10" s="254"/>
      <c r="F10" s="254"/>
      <c r="G10" s="254"/>
      <c r="H10" s="255"/>
    </row>
    <row r="11" spans="2:8" ht="15" thickBot="1" x14ac:dyDescent="0.35">
      <c r="B11" s="91"/>
      <c r="C11" s="94"/>
      <c r="D11" s="99"/>
      <c r="E11" s="100"/>
      <c r="F11" s="100"/>
      <c r="G11" s="101"/>
      <c r="H11" s="95"/>
    </row>
    <row r="12" spans="2:8" ht="15" thickTop="1" x14ac:dyDescent="0.3">
      <c r="B12" s="91"/>
      <c r="C12" s="256" t="s">
        <v>153</v>
      </c>
      <c r="D12" s="257"/>
      <c r="E12" s="258" t="s">
        <v>191</v>
      </c>
      <c r="F12" s="259"/>
      <c r="G12" s="94"/>
      <c r="H12" s="95"/>
    </row>
    <row r="13" spans="2:8" ht="35.25" customHeight="1" x14ac:dyDescent="0.3">
      <c r="B13" s="91"/>
      <c r="C13" s="263" t="s">
        <v>184</v>
      </c>
      <c r="D13" s="264"/>
      <c r="E13" s="265" t="s">
        <v>189</v>
      </c>
      <c r="F13" s="266"/>
      <c r="G13" s="94"/>
      <c r="H13" s="95"/>
    </row>
    <row r="14" spans="2:8" ht="17.25" customHeight="1" x14ac:dyDescent="0.3">
      <c r="B14" s="91"/>
      <c r="C14" s="263" t="s">
        <v>185</v>
      </c>
      <c r="D14" s="264"/>
      <c r="E14" s="265" t="s">
        <v>187</v>
      </c>
      <c r="F14" s="266"/>
      <c r="G14" s="94"/>
      <c r="H14" s="95"/>
    </row>
    <row r="15" spans="2:8" ht="19.5" customHeight="1" x14ac:dyDescent="0.3">
      <c r="B15" s="91"/>
      <c r="C15" s="263" t="s">
        <v>186</v>
      </c>
      <c r="D15" s="264"/>
      <c r="E15" s="265" t="s">
        <v>188</v>
      </c>
      <c r="F15" s="266"/>
      <c r="G15" s="94"/>
      <c r="H15" s="95"/>
    </row>
    <row r="16" spans="2:8" ht="69.75" customHeight="1" x14ac:dyDescent="0.3">
      <c r="B16" s="91"/>
      <c r="C16" s="263" t="s">
        <v>155</v>
      </c>
      <c r="D16" s="264"/>
      <c r="E16" s="265" t="s">
        <v>156</v>
      </c>
      <c r="F16" s="266"/>
      <c r="G16" s="94"/>
      <c r="H16" s="95"/>
    </row>
    <row r="17" spans="2:8" ht="34.5" customHeight="1" x14ac:dyDescent="0.3">
      <c r="B17" s="91"/>
      <c r="C17" s="267" t="s">
        <v>2</v>
      </c>
      <c r="D17" s="268"/>
      <c r="E17" s="269" t="s">
        <v>198</v>
      </c>
      <c r="F17" s="270"/>
      <c r="G17" s="94"/>
      <c r="H17" s="95"/>
    </row>
    <row r="18" spans="2:8" ht="27.75" customHeight="1" x14ac:dyDescent="0.3">
      <c r="B18" s="91"/>
      <c r="C18" s="267" t="s">
        <v>3</v>
      </c>
      <c r="D18" s="268"/>
      <c r="E18" s="269" t="s">
        <v>199</v>
      </c>
      <c r="F18" s="270"/>
      <c r="G18" s="94"/>
      <c r="H18" s="95"/>
    </row>
    <row r="19" spans="2:8" ht="28.5" customHeight="1" x14ac:dyDescent="0.3">
      <c r="B19" s="91"/>
      <c r="C19" s="267" t="s">
        <v>41</v>
      </c>
      <c r="D19" s="268"/>
      <c r="E19" s="269" t="s">
        <v>200</v>
      </c>
      <c r="F19" s="270"/>
      <c r="G19" s="94"/>
      <c r="H19" s="95"/>
    </row>
    <row r="20" spans="2:8" ht="72.75" customHeight="1" x14ac:dyDescent="0.3">
      <c r="B20" s="91"/>
      <c r="C20" s="267" t="s">
        <v>1</v>
      </c>
      <c r="D20" s="268"/>
      <c r="E20" s="269" t="s">
        <v>201</v>
      </c>
      <c r="F20" s="270"/>
      <c r="G20" s="94"/>
      <c r="H20" s="95"/>
    </row>
    <row r="21" spans="2:8" ht="64.5" customHeight="1" x14ac:dyDescent="0.3">
      <c r="B21" s="91"/>
      <c r="C21" s="267" t="s">
        <v>49</v>
      </c>
      <c r="D21" s="268"/>
      <c r="E21" s="269" t="s">
        <v>159</v>
      </c>
      <c r="F21" s="270"/>
      <c r="G21" s="94"/>
      <c r="H21" s="95"/>
    </row>
    <row r="22" spans="2:8" ht="71.25" customHeight="1" x14ac:dyDescent="0.3">
      <c r="B22" s="91"/>
      <c r="C22" s="267" t="s">
        <v>158</v>
      </c>
      <c r="D22" s="268"/>
      <c r="E22" s="269" t="s">
        <v>160</v>
      </c>
      <c r="F22" s="270"/>
      <c r="G22" s="94"/>
      <c r="H22" s="95"/>
    </row>
    <row r="23" spans="2:8" ht="55.5" customHeight="1" x14ac:dyDescent="0.3">
      <c r="B23" s="91"/>
      <c r="C23" s="274" t="s">
        <v>161</v>
      </c>
      <c r="D23" s="275"/>
      <c r="E23" s="269" t="s">
        <v>162</v>
      </c>
      <c r="F23" s="270"/>
      <c r="G23" s="94"/>
      <c r="H23" s="95"/>
    </row>
    <row r="24" spans="2:8" ht="42" customHeight="1" x14ac:dyDescent="0.3">
      <c r="B24" s="91"/>
      <c r="C24" s="274" t="s">
        <v>47</v>
      </c>
      <c r="D24" s="275"/>
      <c r="E24" s="269" t="s">
        <v>163</v>
      </c>
      <c r="F24" s="270"/>
      <c r="G24" s="94"/>
      <c r="H24" s="95"/>
    </row>
    <row r="25" spans="2:8" ht="59.25" customHeight="1" x14ac:dyDescent="0.3">
      <c r="B25" s="91"/>
      <c r="C25" s="274" t="s">
        <v>151</v>
      </c>
      <c r="D25" s="275"/>
      <c r="E25" s="269" t="s">
        <v>164</v>
      </c>
      <c r="F25" s="270"/>
      <c r="G25" s="94"/>
      <c r="H25" s="95"/>
    </row>
    <row r="26" spans="2:8" ht="23.25" customHeight="1" x14ac:dyDescent="0.3">
      <c r="B26" s="91"/>
      <c r="C26" s="274" t="s">
        <v>12</v>
      </c>
      <c r="D26" s="275"/>
      <c r="E26" s="269" t="s">
        <v>165</v>
      </c>
      <c r="F26" s="270"/>
      <c r="G26" s="94"/>
      <c r="H26" s="95"/>
    </row>
    <row r="27" spans="2:8" ht="30.75" customHeight="1" x14ac:dyDescent="0.3">
      <c r="B27" s="91"/>
      <c r="C27" s="274" t="s">
        <v>169</v>
      </c>
      <c r="D27" s="275"/>
      <c r="E27" s="269" t="s">
        <v>166</v>
      </c>
      <c r="F27" s="270"/>
      <c r="G27" s="94"/>
      <c r="H27" s="95"/>
    </row>
    <row r="28" spans="2:8" ht="35.25" customHeight="1" x14ac:dyDescent="0.3">
      <c r="B28" s="91"/>
      <c r="C28" s="274" t="s">
        <v>170</v>
      </c>
      <c r="D28" s="275"/>
      <c r="E28" s="269" t="s">
        <v>167</v>
      </c>
      <c r="F28" s="270"/>
      <c r="G28" s="94"/>
      <c r="H28" s="95"/>
    </row>
    <row r="29" spans="2:8" ht="33" customHeight="1" x14ac:dyDescent="0.3">
      <c r="B29" s="91"/>
      <c r="C29" s="274" t="s">
        <v>170</v>
      </c>
      <c r="D29" s="275"/>
      <c r="E29" s="269" t="s">
        <v>167</v>
      </c>
      <c r="F29" s="270"/>
      <c r="G29" s="94"/>
      <c r="H29" s="95"/>
    </row>
    <row r="30" spans="2:8" ht="30" customHeight="1" x14ac:dyDescent="0.3">
      <c r="B30" s="91"/>
      <c r="C30" s="274" t="s">
        <v>171</v>
      </c>
      <c r="D30" s="275"/>
      <c r="E30" s="269" t="s">
        <v>168</v>
      </c>
      <c r="F30" s="270"/>
      <c r="G30" s="94"/>
      <c r="H30" s="95"/>
    </row>
    <row r="31" spans="2:8" ht="35.25" customHeight="1" x14ac:dyDescent="0.3">
      <c r="B31" s="91"/>
      <c r="C31" s="274" t="s">
        <v>172</v>
      </c>
      <c r="D31" s="275"/>
      <c r="E31" s="269" t="s">
        <v>173</v>
      </c>
      <c r="F31" s="270"/>
      <c r="G31" s="94"/>
      <c r="H31" s="95"/>
    </row>
    <row r="32" spans="2:8" ht="31.5" customHeight="1" x14ac:dyDescent="0.3">
      <c r="B32" s="91"/>
      <c r="C32" s="274" t="s">
        <v>174</v>
      </c>
      <c r="D32" s="275"/>
      <c r="E32" s="269" t="s">
        <v>175</v>
      </c>
      <c r="F32" s="270"/>
      <c r="G32" s="94"/>
      <c r="H32" s="95"/>
    </row>
    <row r="33" spans="2:8" ht="35.25" customHeight="1" x14ac:dyDescent="0.3">
      <c r="B33" s="91"/>
      <c r="C33" s="274" t="s">
        <v>176</v>
      </c>
      <c r="D33" s="275"/>
      <c r="E33" s="269" t="s">
        <v>177</v>
      </c>
      <c r="F33" s="270"/>
      <c r="G33" s="94"/>
      <c r="H33" s="95"/>
    </row>
    <row r="34" spans="2:8" ht="59.25" customHeight="1" x14ac:dyDescent="0.3">
      <c r="B34" s="91"/>
      <c r="C34" s="274" t="s">
        <v>178</v>
      </c>
      <c r="D34" s="275"/>
      <c r="E34" s="269" t="s">
        <v>179</v>
      </c>
      <c r="F34" s="270"/>
      <c r="G34" s="94"/>
      <c r="H34" s="95"/>
    </row>
    <row r="35" spans="2:8" ht="29.25" customHeight="1" x14ac:dyDescent="0.3">
      <c r="B35" s="91"/>
      <c r="C35" s="274" t="s">
        <v>29</v>
      </c>
      <c r="D35" s="275"/>
      <c r="E35" s="269" t="s">
        <v>180</v>
      </c>
      <c r="F35" s="270"/>
      <c r="G35" s="94"/>
      <c r="H35" s="95"/>
    </row>
    <row r="36" spans="2:8" ht="82.5" customHeight="1" x14ac:dyDescent="0.3">
      <c r="B36" s="91"/>
      <c r="C36" s="274" t="s">
        <v>182</v>
      </c>
      <c r="D36" s="275"/>
      <c r="E36" s="269" t="s">
        <v>181</v>
      </c>
      <c r="F36" s="270"/>
      <c r="G36" s="94"/>
      <c r="H36" s="95"/>
    </row>
    <row r="37" spans="2:8" ht="46.5" customHeight="1" x14ac:dyDescent="0.3">
      <c r="B37" s="91"/>
      <c r="C37" s="274" t="s">
        <v>38</v>
      </c>
      <c r="D37" s="275"/>
      <c r="E37" s="269" t="s">
        <v>183</v>
      </c>
      <c r="F37" s="270"/>
      <c r="G37" s="94"/>
      <c r="H37" s="95"/>
    </row>
    <row r="38" spans="2:8" ht="6.75" customHeight="1" thickBot="1" x14ac:dyDescent="0.35">
      <c r="B38" s="91"/>
      <c r="C38" s="276"/>
      <c r="D38" s="277"/>
      <c r="E38" s="278"/>
      <c r="F38" s="279"/>
      <c r="G38" s="94"/>
      <c r="H38" s="95"/>
    </row>
    <row r="39" spans="2:8" ht="15" thickTop="1" x14ac:dyDescent="0.3">
      <c r="B39" s="91"/>
      <c r="C39" s="92"/>
      <c r="D39" s="92"/>
      <c r="E39" s="93"/>
      <c r="F39" s="93"/>
      <c r="G39" s="94"/>
      <c r="H39" s="95"/>
    </row>
    <row r="40" spans="2:8" ht="21" customHeight="1" x14ac:dyDescent="0.3">
      <c r="B40" s="271" t="s">
        <v>192</v>
      </c>
      <c r="C40" s="272"/>
      <c r="D40" s="272"/>
      <c r="E40" s="272"/>
      <c r="F40" s="272"/>
      <c r="G40" s="272"/>
      <c r="H40" s="273"/>
    </row>
    <row r="41" spans="2:8" ht="20.25" customHeight="1" x14ac:dyDescent="0.3">
      <c r="B41" s="271" t="s">
        <v>193</v>
      </c>
      <c r="C41" s="272"/>
      <c r="D41" s="272"/>
      <c r="E41" s="272"/>
      <c r="F41" s="272"/>
      <c r="G41" s="272"/>
      <c r="H41" s="273"/>
    </row>
    <row r="42" spans="2:8" ht="20.25" customHeight="1" x14ac:dyDescent="0.3">
      <c r="B42" s="271" t="s">
        <v>194</v>
      </c>
      <c r="C42" s="272"/>
      <c r="D42" s="272"/>
      <c r="E42" s="272"/>
      <c r="F42" s="272"/>
      <c r="G42" s="272"/>
      <c r="H42" s="273"/>
    </row>
    <row r="43" spans="2:8" ht="20.25" customHeight="1" x14ac:dyDescent="0.3">
      <c r="B43" s="271" t="s">
        <v>195</v>
      </c>
      <c r="C43" s="272"/>
      <c r="D43" s="272"/>
      <c r="E43" s="272"/>
      <c r="F43" s="272"/>
      <c r="G43" s="272"/>
      <c r="H43" s="273"/>
    </row>
    <row r="44" spans="2:8" x14ac:dyDescent="0.3">
      <c r="B44" s="271" t="s">
        <v>196</v>
      </c>
      <c r="C44" s="272"/>
      <c r="D44" s="272"/>
      <c r="E44" s="272"/>
      <c r="F44" s="272"/>
      <c r="G44" s="272"/>
      <c r="H44" s="273"/>
    </row>
    <row r="45" spans="2:8" ht="15" thickBot="1" x14ac:dyDescent="0.35">
      <c r="B45" s="96"/>
      <c r="C45" s="97"/>
      <c r="D45" s="97"/>
      <c r="E45" s="97"/>
      <c r="F45" s="97"/>
      <c r="G45" s="97"/>
      <c r="H45" s="9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tabColor theme="7" tint="-0.249977111117893"/>
  </sheetPr>
  <dimension ref="B1:F16"/>
  <sheetViews>
    <sheetView zoomScale="85" zoomScaleNormal="85" workbookViewId="0">
      <selection activeCell="H7" sqref="H7"/>
    </sheetView>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634" t="s">
        <v>76</v>
      </c>
      <c r="C1" s="635"/>
      <c r="D1" s="635"/>
      <c r="E1" s="635"/>
      <c r="F1" s="636"/>
    </row>
    <row r="2" spans="2:6" ht="16.2" thickBot="1" x14ac:dyDescent="0.35">
      <c r="B2" s="73"/>
      <c r="C2" s="73"/>
      <c r="D2" s="73"/>
      <c r="E2" s="73"/>
      <c r="F2" s="73"/>
    </row>
    <row r="3" spans="2:6" ht="16.2" thickBot="1" x14ac:dyDescent="0.35">
      <c r="B3" s="638" t="s">
        <v>62</v>
      </c>
      <c r="C3" s="639"/>
      <c r="D3" s="639"/>
      <c r="E3" s="85" t="s">
        <v>63</v>
      </c>
      <c r="F3" s="86" t="s">
        <v>64</v>
      </c>
    </row>
    <row r="4" spans="2:6" ht="31.2" x14ac:dyDescent="0.3">
      <c r="B4" s="640" t="s">
        <v>65</v>
      </c>
      <c r="C4" s="642" t="s">
        <v>13</v>
      </c>
      <c r="D4" s="74" t="s">
        <v>14</v>
      </c>
      <c r="E4" s="75" t="s">
        <v>66</v>
      </c>
      <c r="F4" s="76">
        <v>0.25</v>
      </c>
    </row>
    <row r="5" spans="2:6" ht="46.8" x14ac:dyDescent="0.3">
      <c r="B5" s="641"/>
      <c r="C5" s="643"/>
      <c r="D5" s="77" t="s">
        <v>15</v>
      </c>
      <c r="E5" s="78" t="s">
        <v>67</v>
      </c>
      <c r="F5" s="79">
        <v>0.15</v>
      </c>
    </row>
    <row r="6" spans="2:6" ht="46.8" x14ac:dyDescent="0.3">
      <c r="B6" s="641"/>
      <c r="C6" s="643"/>
      <c r="D6" s="77" t="s">
        <v>16</v>
      </c>
      <c r="E6" s="78" t="s">
        <v>68</v>
      </c>
      <c r="F6" s="79">
        <v>0.1</v>
      </c>
    </row>
    <row r="7" spans="2:6" ht="62.4" x14ac:dyDescent="0.3">
      <c r="B7" s="641"/>
      <c r="C7" s="643" t="s">
        <v>17</v>
      </c>
      <c r="D7" s="77" t="s">
        <v>10</v>
      </c>
      <c r="E7" s="78" t="s">
        <v>69</v>
      </c>
      <c r="F7" s="79">
        <v>0.25</v>
      </c>
    </row>
    <row r="8" spans="2:6" ht="31.2" x14ac:dyDescent="0.3">
      <c r="B8" s="641"/>
      <c r="C8" s="643"/>
      <c r="D8" s="77" t="s">
        <v>9</v>
      </c>
      <c r="E8" s="78" t="s">
        <v>70</v>
      </c>
      <c r="F8" s="79">
        <v>0.15</v>
      </c>
    </row>
    <row r="9" spans="2:6" ht="46.8" x14ac:dyDescent="0.3">
      <c r="B9" s="641" t="s">
        <v>150</v>
      </c>
      <c r="C9" s="643" t="s">
        <v>18</v>
      </c>
      <c r="D9" s="77" t="s">
        <v>19</v>
      </c>
      <c r="E9" s="78" t="s">
        <v>71</v>
      </c>
      <c r="F9" s="80" t="s">
        <v>72</v>
      </c>
    </row>
    <row r="10" spans="2:6" ht="46.8" x14ac:dyDescent="0.3">
      <c r="B10" s="641"/>
      <c r="C10" s="643"/>
      <c r="D10" s="77" t="s">
        <v>20</v>
      </c>
      <c r="E10" s="78" t="s">
        <v>73</v>
      </c>
      <c r="F10" s="80" t="s">
        <v>72</v>
      </c>
    </row>
    <row r="11" spans="2:6" ht="46.8" x14ac:dyDescent="0.3">
      <c r="B11" s="641"/>
      <c r="C11" s="643" t="s">
        <v>21</v>
      </c>
      <c r="D11" s="77" t="s">
        <v>22</v>
      </c>
      <c r="E11" s="78" t="s">
        <v>74</v>
      </c>
      <c r="F11" s="80" t="s">
        <v>72</v>
      </c>
    </row>
    <row r="12" spans="2:6" ht="46.8" x14ac:dyDescent="0.3">
      <c r="B12" s="641"/>
      <c r="C12" s="643"/>
      <c r="D12" s="77" t="s">
        <v>23</v>
      </c>
      <c r="E12" s="78" t="s">
        <v>75</v>
      </c>
      <c r="F12" s="80" t="s">
        <v>72</v>
      </c>
    </row>
    <row r="13" spans="2:6" ht="31.2" x14ac:dyDescent="0.3">
      <c r="B13" s="641"/>
      <c r="C13" s="643" t="s">
        <v>24</v>
      </c>
      <c r="D13" s="77" t="s">
        <v>113</v>
      </c>
      <c r="E13" s="78" t="s">
        <v>116</v>
      </c>
      <c r="F13" s="80" t="s">
        <v>72</v>
      </c>
    </row>
    <row r="14" spans="2:6" ht="16.2" thickBot="1" x14ac:dyDescent="0.35">
      <c r="B14" s="644"/>
      <c r="C14" s="645"/>
      <c r="D14" s="81" t="s">
        <v>114</v>
      </c>
      <c r="E14" s="82" t="s">
        <v>115</v>
      </c>
      <c r="F14" s="83" t="s">
        <v>72</v>
      </c>
    </row>
    <row r="15" spans="2:6" ht="49.5" customHeight="1" x14ac:dyDescent="0.3">
      <c r="B15" s="637" t="s">
        <v>147</v>
      </c>
      <c r="C15" s="637"/>
      <c r="D15" s="637"/>
      <c r="E15" s="637"/>
      <c r="F15" s="637"/>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B2:E19"/>
  <sheetViews>
    <sheetView workbookViewId="0"/>
  </sheetViews>
  <sheetFormatPr baseColWidth="10" defaultRowHeight="14.4" x14ac:dyDescent="0.3"/>
  <sheetData>
    <row r="2" spans="2:5" x14ac:dyDescent="0.3">
      <c r="B2" t="s">
        <v>31</v>
      </c>
      <c r="E2" t="s">
        <v>127</v>
      </c>
    </row>
    <row r="3" spans="2:5" x14ac:dyDescent="0.3">
      <c r="B3" t="s">
        <v>32</v>
      </c>
      <c r="E3" t="s">
        <v>126</v>
      </c>
    </row>
    <row r="4" spans="2:5" x14ac:dyDescent="0.3">
      <c r="B4" t="s">
        <v>131</v>
      </c>
      <c r="E4" t="s">
        <v>128</v>
      </c>
    </row>
    <row r="5" spans="2:5" x14ac:dyDescent="0.3">
      <c r="B5" t="s">
        <v>130</v>
      </c>
    </row>
    <row r="8" spans="2:5" x14ac:dyDescent="0.3">
      <c r="B8" t="s">
        <v>84</v>
      </c>
    </row>
    <row r="9" spans="2:5" x14ac:dyDescent="0.3">
      <c r="B9" t="s">
        <v>39</v>
      </c>
    </row>
    <row r="10" spans="2:5" x14ac:dyDescent="0.3">
      <c r="B10" t="s">
        <v>40</v>
      </c>
    </row>
    <row r="13" spans="2:5" x14ac:dyDescent="0.3">
      <c r="B13" t="s">
        <v>123</v>
      </c>
    </row>
    <row r="14" spans="2:5" x14ac:dyDescent="0.3">
      <c r="B14" t="s">
        <v>117</v>
      </c>
    </row>
    <row r="15" spans="2:5" x14ac:dyDescent="0.3">
      <c r="B15" t="s">
        <v>120</v>
      </c>
    </row>
    <row r="16" spans="2:5" x14ac:dyDescent="0.3">
      <c r="B16" t="s">
        <v>118</v>
      </c>
    </row>
    <row r="17" spans="2:2" x14ac:dyDescent="0.3">
      <c r="B17" t="s">
        <v>119</v>
      </c>
    </row>
    <row r="18" spans="2:2" x14ac:dyDescent="0.3">
      <c r="B18" t="s">
        <v>121</v>
      </c>
    </row>
    <row r="19" spans="2:2" x14ac:dyDescent="0.3">
      <c r="B19" t="s">
        <v>122</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39</v>
      </c>
    </row>
    <row r="21" spans="1:1" x14ac:dyDescent="0.3">
      <c r="A21" s="10"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AF9E6-1A9F-49F8-99F7-2909AD21D4F0}">
  <sheetPr codeName="Hoja3"/>
  <dimension ref="A1:AB26"/>
  <sheetViews>
    <sheetView zoomScale="70" zoomScaleNormal="70" workbookViewId="0">
      <selection activeCell="J16" sqref="J16"/>
    </sheetView>
  </sheetViews>
  <sheetFormatPr baseColWidth="10" defaultRowHeight="14.4" x14ac:dyDescent="0.3"/>
  <cols>
    <col min="1" max="6" width="35.88671875" customWidth="1"/>
    <col min="26" max="26" width="37.109375" customWidth="1"/>
    <col min="27" max="27" width="40.5546875" customWidth="1"/>
    <col min="28" max="28" width="39.6640625" customWidth="1"/>
  </cols>
  <sheetData>
    <row r="1" spans="1:28" s="221" customFormat="1" ht="15" customHeight="1" x14ac:dyDescent="0.25">
      <c r="A1" s="295"/>
      <c r="B1" s="297" t="s">
        <v>401</v>
      </c>
      <c r="C1" s="297"/>
      <c r="D1" s="297"/>
      <c r="E1" s="219" t="s">
        <v>402</v>
      </c>
      <c r="F1" s="298"/>
      <c r="G1" s="220"/>
      <c r="J1" s="280"/>
    </row>
    <row r="2" spans="1:28" s="221" customFormat="1" ht="15" customHeight="1" x14ac:dyDescent="0.25">
      <c r="A2" s="296"/>
      <c r="B2" s="281"/>
      <c r="C2" s="281"/>
      <c r="D2" s="281"/>
      <c r="E2" s="222" t="s">
        <v>403</v>
      </c>
      <c r="F2" s="299"/>
      <c r="G2" s="220"/>
      <c r="J2" s="280"/>
    </row>
    <row r="3" spans="1:28" s="221" customFormat="1" ht="15" customHeight="1" x14ac:dyDescent="0.25">
      <c r="A3" s="296"/>
      <c r="B3" s="281" t="s">
        <v>404</v>
      </c>
      <c r="C3" s="281"/>
      <c r="D3" s="281"/>
      <c r="E3" s="222" t="s">
        <v>405</v>
      </c>
      <c r="F3" s="299"/>
      <c r="G3" s="220"/>
      <c r="J3" s="280"/>
    </row>
    <row r="4" spans="1:28" s="221" customFormat="1" ht="21" customHeight="1" x14ac:dyDescent="0.25">
      <c r="A4" s="296"/>
      <c r="B4" s="281"/>
      <c r="C4" s="281"/>
      <c r="D4" s="281"/>
      <c r="E4" s="222" t="s">
        <v>406</v>
      </c>
      <c r="F4" s="299"/>
      <c r="G4" s="220"/>
      <c r="J4" s="280"/>
    </row>
    <row r="5" spans="1:28" s="221" customFormat="1" ht="15.75" customHeight="1" x14ac:dyDescent="0.25">
      <c r="A5" s="282"/>
      <c r="B5" s="283"/>
      <c r="C5" s="283"/>
      <c r="D5" s="283"/>
      <c r="E5" s="283"/>
      <c r="F5" s="284"/>
      <c r="G5" s="220"/>
      <c r="J5" s="223"/>
    </row>
    <row r="6" spans="1:28" x14ac:dyDescent="0.3">
      <c r="A6" s="285" t="s">
        <v>234</v>
      </c>
      <c r="B6" s="286"/>
      <c r="C6" s="286"/>
      <c r="D6" s="286"/>
      <c r="E6" s="286"/>
      <c r="F6" s="287"/>
    </row>
    <row r="7" spans="1:28" x14ac:dyDescent="0.3">
      <c r="A7" s="285"/>
      <c r="B7" s="286"/>
      <c r="C7" s="286"/>
      <c r="D7" s="286"/>
      <c r="E7" s="286"/>
      <c r="F7" s="287"/>
    </row>
    <row r="8" spans="1:28" ht="24" customHeight="1" x14ac:dyDescent="0.3">
      <c r="A8" s="288" t="s">
        <v>235</v>
      </c>
      <c r="B8" s="289"/>
      <c r="C8" s="289"/>
      <c r="D8" s="289"/>
      <c r="E8" s="289"/>
      <c r="F8" s="290"/>
    </row>
    <row r="9" spans="1:28" ht="37.200000000000003" customHeight="1" thickBot="1" x14ac:dyDescent="0.35">
      <c r="A9" s="291" t="s">
        <v>236</v>
      </c>
      <c r="B9" s="292"/>
      <c r="C9" s="292"/>
      <c r="D9" s="292"/>
      <c r="E9" s="292"/>
      <c r="F9" s="293"/>
    </row>
    <row r="10" spans="1:28" ht="15" thickBot="1" x14ac:dyDescent="0.35">
      <c r="A10" s="294"/>
      <c r="B10" s="294"/>
      <c r="C10" s="294"/>
      <c r="D10" s="294"/>
      <c r="E10" s="294"/>
      <c r="F10" s="294"/>
    </row>
    <row r="11" spans="1:28" ht="16.2" thickBot="1" x14ac:dyDescent="0.35">
      <c r="A11" s="175" t="s">
        <v>237</v>
      </c>
      <c r="B11" s="176" t="s">
        <v>238</v>
      </c>
      <c r="C11" s="176" t="s">
        <v>239</v>
      </c>
      <c r="D11" s="176" t="s">
        <v>238</v>
      </c>
      <c r="E11" s="176" t="s">
        <v>240</v>
      </c>
      <c r="F11" s="177" t="s">
        <v>238</v>
      </c>
    </row>
    <row r="12" spans="1:28" ht="87.6" customHeight="1" thickBot="1" x14ac:dyDescent="0.35">
      <c r="A12" s="178" t="s">
        <v>241</v>
      </c>
      <c r="B12" s="231" t="s">
        <v>242</v>
      </c>
      <c r="C12" s="179" t="s">
        <v>243</v>
      </c>
      <c r="D12" s="234" t="s">
        <v>244</v>
      </c>
      <c r="E12" s="179" t="s">
        <v>245</v>
      </c>
      <c r="F12" s="238" t="s">
        <v>246</v>
      </c>
      <c r="Z12" t="s">
        <v>241</v>
      </c>
      <c r="AA12" t="s">
        <v>261</v>
      </c>
      <c r="AB12" t="s">
        <v>245</v>
      </c>
    </row>
    <row r="13" spans="1:28" ht="71.400000000000006" customHeight="1" thickBot="1" x14ac:dyDescent="0.35">
      <c r="A13" s="178" t="s">
        <v>247</v>
      </c>
      <c r="B13" s="232" t="s">
        <v>248</v>
      </c>
      <c r="C13" s="179" t="s">
        <v>243</v>
      </c>
      <c r="D13" s="236" t="s">
        <v>249</v>
      </c>
      <c r="E13" s="179" t="s">
        <v>250</v>
      </c>
      <c r="F13" s="240" t="s">
        <v>251</v>
      </c>
      <c r="Z13" t="s">
        <v>252</v>
      </c>
      <c r="AA13" s="190" t="s">
        <v>243</v>
      </c>
      <c r="AB13" t="s">
        <v>250</v>
      </c>
    </row>
    <row r="14" spans="1:28" ht="71.400000000000006" customHeight="1" thickBot="1" x14ac:dyDescent="0.35">
      <c r="A14" s="178" t="s">
        <v>252</v>
      </c>
      <c r="B14" s="233" t="s">
        <v>253</v>
      </c>
      <c r="C14" s="179" t="s">
        <v>243</v>
      </c>
      <c r="D14" s="236" t="s">
        <v>254</v>
      </c>
      <c r="E14" s="179" t="s">
        <v>255</v>
      </c>
      <c r="F14" s="240" t="s">
        <v>217</v>
      </c>
      <c r="Z14" t="s">
        <v>247</v>
      </c>
      <c r="AA14" t="s">
        <v>274</v>
      </c>
      <c r="AB14" t="s">
        <v>255</v>
      </c>
    </row>
    <row r="15" spans="1:28" ht="73.8" customHeight="1" thickBot="1" x14ac:dyDescent="0.35">
      <c r="A15" s="178" t="s">
        <v>252</v>
      </c>
      <c r="B15" s="232" t="s">
        <v>256</v>
      </c>
      <c r="C15" s="179" t="s">
        <v>243</v>
      </c>
      <c r="D15" s="236" t="s">
        <v>257</v>
      </c>
      <c r="E15" s="179" t="s">
        <v>250</v>
      </c>
      <c r="F15" s="240" t="s">
        <v>258</v>
      </c>
      <c r="Z15" t="s">
        <v>266</v>
      </c>
      <c r="AA15" s="190" t="s">
        <v>268</v>
      </c>
      <c r="AB15" t="s">
        <v>277</v>
      </c>
    </row>
    <row r="16" spans="1:28" ht="60" customHeight="1" thickBot="1" x14ac:dyDescent="0.35">
      <c r="A16" s="178" t="s">
        <v>259</v>
      </c>
      <c r="B16" s="232" t="s">
        <v>260</v>
      </c>
      <c r="C16" s="179" t="s">
        <v>261</v>
      </c>
      <c r="D16" s="236" t="s">
        <v>262</v>
      </c>
      <c r="E16" s="179" t="s">
        <v>250</v>
      </c>
      <c r="F16" s="240" t="s">
        <v>263</v>
      </c>
      <c r="Z16" t="s">
        <v>273</v>
      </c>
      <c r="AA16" t="s">
        <v>271</v>
      </c>
      <c r="AB16" t="s">
        <v>264</v>
      </c>
    </row>
    <row r="17" spans="1:28" ht="60.6" customHeight="1" thickBot="1" x14ac:dyDescent="0.35">
      <c r="A17" s="178" t="s">
        <v>264</v>
      </c>
      <c r="B17" s="233" t="s">
        <v>220</v>
      </c>
      <c r="C17" s="179" t="s">
        <v>261</v>
      </c>
      <c r="D17" s="236" t="s">
        <v>265</v>
      </c>
      <c r="E17" s="181"/>
      <c r="F17" s="183"/>
      <c r="Z17" t="s">
        <v>264</v>
      </c>
      <c r="AA17" s="190" t="s">
        <v>264</v>
      </c>
      <c r="AB17" t="s">
        <v>278</v>
      </c>
    </row>
    <row r="18" spans="1:28" ht="80.400000000000006" customHeight="1" thickBot="1" x14ac:dyDescent="0.35">
      <c r="A18" s="178" t="s">
        <v>266</v>
      </c>
      <c r="B18" s="233" t="s">
        <v>267</v>
      </c>
      <c r="C18" s="179" t="s">
        <v>268</v>
      </c>
      <c r="D18" s="236" t="s">
        <v>269</v>
      </c>
      <c r="E18" s="181"/>
      <c r="F18" s="183"/>
      <c r="Z18" t="s">
        <v>259</v>
      </c>
      <c r="AA18" t="s">
        <v>275</v>
      </c>
      <c r="AB18" t="s">
        <v>279</v>
      </c>
    </row>
    <row r="19" spans="1:28" ht="77.400000000000006" customHeight="1" thickBot="1" x14ac:dyDescent="0.35">
      <c r="A19" s="180"/>
      <c r="B19" s="182"/>
      <c r="C19" s="179" t="s">
        <v>268</v>
      </c>
      <c r="D19" s="236" t="s">
        <v>270</v>
      </c>
      <c r="E19" s="181"/>
      <c r="F19" s="183"/>
      <c r="AA19" s="190" t="s">
        <v>276</v>
      </c>
      <c r="AB19" t="s">
        <v>280</v>
      </c>
    </row>
    <row r="20" spans="1:28" ht="55.2" customHeight="1" x14ac:dyDescent="0.3">
      <c r="A20" s="180"/>
      <c r="B20" s="182"/>
      <c r="C20" s="179" t="s">
        <v>271</v>
      </c>
      <c r="D20" s="237" t="s">
        <v>272</v>
      </c>
      <c r="E20" s="181"/>
      <c r="F20" s="183"/>
      <c r="AB20" s="190" t="s">
        <v>281</v>
      </c>
    </row>
    <row r="21" spans="1:28" x14ac:dyDescent="0.3">
      <c r="A21" s="180"/>
      <c r="B21" s="182"/>
      <c r="C21" s="181"/>
      <c r="D21" s="184"/>
      <c r="E21" s="181"/>
      <c r="F21" s="183"/>
    </row>
    <row r="22" spans="1:28" x14ac:dyDescent="0.3">
      <c r="A22" s="180"/>
      <c r="B22" s="182"/>
      <c r="C22" s="181"/>
      <c r="D22" s="184"/>
      <c r="E22" s="181"/>
      <c r="F22" s="183"/>
    </row>
    <row r="23" spans="1:28" x14ac:dyDescent="0.3">
      <c r="A23" s="180"/>
      <c r="B23" s="182"/>
      <c r="C23" s="181"/>
      <c r="D23" s="184"/>
      <c r="E23" s="181"/>
      <c r="F23" s="183"/>
    </row>
    <row r="24" spans="1:28" x14ac:dyDescent="0.3">
      <c r="A24" s="180"/>
      <c r="B24" s="182"/>
      <c r="C24" s="181"/>
      <c r="D24" s="184"/>
      <c r="E24" s="181"/>
      <c r="F24" s="183"/>
    </row>
    <row r="25" spans="1:28" x14ac:dyDescent="0.3">
      <c r="A25" s="180"/>
      <c r="B25" s="182"/>
      <c r="C25" s="181"/>
      <c r="D25" s="184"/>
      <c r="E25" s="181"/>
      <c r="F25" s="183"/>
    </row>
    <row r="26" spans="1:28" ht="15" thickBot="1" x14ac:dyDescent="0.35">
      <c r="A26" s="185"/>
      <c r="B26" s="186"/>
      <c r="C26" s="187"/>
      <c r="D26" s="188"/>
      <c r="E26" s="187"/>
      <c r="F26" s="189"/>
    </row>
  </sheetData>
  <mergeCells count="10">
    <mergeCell ref="A9:F9"/>
    <mergeCell ref="A10:F10"/>
    <mergeCell ref="A1:A4"/>
    <mergeCell ref="B1:D2"/>
    <mergeCell ref="F1:F4"/>
    <mergeCell ref="J1:J4"/>
    <mergeCell ref="B3:D4"/>
    <mergeCell ref="A5:F5"/>
    <mergeCell ref="A6:F7"/>
    <mergeCell ref="A8:F8"/>
  </mergeCells>
  <dataValidations count="3">
    <dataValidation type="list" allowBlank="1" showInputMessage="1" showErrorMessage="1" sqref="A12:A18" xr:uid="{B1D350D6-38D7-4FA2-8379-2E190F68B8EC}">
      <formula1>$Z$12:$Z$18</formula1>
    </dataValidation>
    <dataValidation type="list" allowBlank="1" showInputMessage="1" showErrorMessage="1" sqref="C12:C20" xr:uid="{53C22A0E-7066-4766-9450-B6CE70FBF787}">
      <formula1>$AA$12:$AA$19</formula1>
    </dataValidation>
    <dataValidation type="list" allowBlank="1" showInputMessage="1" showErrorMessage="1" sqref="E12:E16" xr:uid="{4AA56EC4-406C-4407-B283-7A488F9B4DA4}">
      <formula1>$AB$12:$AB$20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5FD1DDA-8D82-4032-A2D5-A90AA0096CC4}">
          <x14:formula1>
            <xm:f>'C:\Users\ATENCION CIUDADANO\Desktop\[Mapa para ajustar.xlsx]LISTAS CONTEXTO'!#REF!</xm:f>
          </x14:formula1>
          <xm:sqref>E17:E26 A19:A26 C21:C26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15290-7608-4B1D-9F81-27E167BC01A4}">
  <sheetPr codeName="Hoja4"/>
  <dimension ref="A1:W41"/>
  <sheetViews>
    <sheetView zoomScale="70" zoomScaleNormal="70" workbookViewId="0">
      <selection activeCell="B16" sqref="B16"/>
    </sheetView>
  </sheetViews>
  <sheetFormatPr baseColWidth="10" defaultRowHeight="14.4" x14ac:dyDescent="0.3"/>
  <cols>
    <col min="1" max="1" width="4" bestFit="1" customWidth="1"/>
    <col min="2" max="2" width="30" customWidth="1"/>
    <col min="3" max="18" width="6.5546875" customWidth="1"/>
    <col min="19" max="19" width="9.88671875" customWidth="1"/>
    <col min="20" max="20" width="19.6640625" customWidth="1"/>
    <col min="21" max="21" width="1.44140625" customWidth="1"/>
    <col min="22" max="22" width="2" customWidth="1"/>
    <col min="23" max="23" width="1" customWidth="1"/>
  </cols>
  <sheetData>
    <row r="1" spans="1:23" ht="30.75" customHeight="1" x14ac:dyDescent="0.3">
      <c r="A1" s="281"/>
      <c r="B1" s="281"/>
      <c r="C1" s="281" t="s">
        <v>421</v>
      </c>
      <c r="D1" s="281"/>
      <c r="E1" s="281"/>
      <c r="F1" s="281"/>
      <c r="G1" s="281"/>
      <c r="H1" s="281"/>
      <c r="I1" s="281"/>
      <c r="J1" s="281"/>
      <c r="K1" s="281"/>
      <c r="L1" s="281"/>
      <c r="M1" s="281"/>
      <c r="N1" s="281"/>
      <c r="O1" s="281"/>
      <c r="P1" s="281"/>
      <c r="Q1" s="281"/>
      <c r="R1" s="281"/>
      <c r="S1" s="281"/>
      <c r="T1" s="224" t="s">
        <v>402</v>
      </c>
      <c r="U1" s="226"/>
      <c r="V1" s="226"/>
      <c r="W1" s="226"/>
    </row>
    <row r="2" spans="1:23" ht="25.5" customHeight="1" x14ac:dyDescent="0.3">
      <c r="A2" s="281"/>
      <c r="B2" s="281"/>
      <c r="C2" s="281"/>
      <c r="D2" s="281"/>
      <c r="E2" s="281"/>
      <c r="F2" s="281"/>
      <c r="G2" s="281"/>
      <c r="H2" s="281"/>
      <c r="I2" s="281"/>
      <c r="J2" s="281"/>
      <c r="K2" s="281"/>
      <c r="L2" s="281"/>
      <c r="M2" s="281"/>
      <c r="N2" s="281"/>
      <c r="O2" s="281"/>
      <c r="P2" s="281"/>
      <c r="Q2" s="281"/>
      <c r="R2" s="281"/>
      <c r="S2" s="281"/>
      <c r="T2" s="225" t="s">
        <v>403</v>
      </c>
      <c r="U2" s="226"/>
      <c r="V2" s="226"/>
      <c r="W2" s="226"/>
    </row>
    <row r="3" spans="1:23" ht="15" customHeight="1" x14ac:dyDescent="0.3">
      <c r="A3" s="281"/>
      <c r="B3" s="281"/>
      <c r="C3" s="308" t="s">
        <v>407</v>
      </c>
      <c r="D3" s="308"/>
      <c r="E3" s="308"/>
      <c r="F3" s="308"/>
      <c r="G3" s="308"/>
      <c r="H3" s="308"/>
      <c r="I3" s="308"/>
      <c r="J3" s="308"/>
      <c r="K3" s="308"/>
      <c r="L3" s="308"/>
      <c r="M3" s="308"/>
      <c r="N3" s="308"/>
      <c r="O3" s="308"/>
      <c r="P3" s="308"/>
      <c r="Q3" s="308"/>
      <c r="R3" s="281"/>
      <c r="S3" s="281"/>
      <c r="T3" s="225" t="s">
        <v>408</v>
      </c>
      <c r="U3" s="226"/>
      <c r="V3" s="226"/>
      <c r="W3" s="226"/>
    </row>
    <row r="4" spans="1:23" ht="15.75" customHeight="1" x14ac:dyDescent="0.3">
      <c r="A4" s="281"/>
      <c r="B4" s="281"/>
      <c r="C4" s="309"/>
      <c r="D4" s="309"/>
      <c r="E4" s="309"/>
      <c r="F4" s="309"/>
      <c r="G4" s="309"/>
      <c r="H4" s="309"/>
      <c r="I4" s="309"/>
      <c r="J4" s="309"/>
      <c r="K4" s="309"/>
      <c r="L4" s="309"/>
      <c r="M4" s="309"/>
      <c r="N4" s="309"/>
      <c r="O4" s="309"/>
      <c r="P4" s="309"/>
      <c r="Q4" s="309"/>
      <c r="R4" s="281"/>
      <c r="S4" s="281"/>
      <c r="T4" s="225" t="s">
        <v>406</v>
      </c>
      <c r="U4" s="226"/>
      <c r="V4" s="226"/>
      <c r="W4" s="226"/>
    </row>
    <row r="5" spans="1:23" ht="21" customHeight="1" x14ac:dyDescent="0.3">
      <c r="A5" s="307" t="str">
        <f>Contexto!A8</f>
        <v>PROCESO: GESTIÓN DEL SERVICIO Y ATENCIÓN AL CIUDADANO</v>
      </c>
      <c r="B5" s="307"/>
      <c r="C5" s="307"/>
      <c r="D5" s="307"/>
      <c r="E5" s="307"/>
      <c r="F5" s="307"/>
      <c r="G5" s="307"/>
      <c r="H5" s="307"/>
      <c r="I5" s="307"/>
      <c r="J5" s="307"/>
      <c r="K5" s="307"/>
      <c r="L5" s="307"/>
      <c r="M5" s="307"/>
      <c r="N5" s="307"/>
      <c r="O5" s="307"/>
      <c r="P5" s="307"/>
      <c r="Q5" s="307"/>
      <c r="R5" s="307"/>
      <c r="S5" s="307"/>
      <c r="T5" s="307"/>
    </row>
    <row r="6" spans="1:23" ht="30" customHeight="1" x14ac:dyDescent="0.3">
      <c r="A6" s="307" t="str">
        <f>Contexto!A9</f>
        <v xml:space="preserve">OBJETIVO: ATENDER, ORIENTAR Y EVALUAR CONTINUAMENTE DE MANERA OPORTUNA Y EFICAZ, LAS DIFERENTES SOLICITUDES DE LA CIUDADANÍA, EN EL MARCO DE SUS REQUISITOS Y NECESIDADES, CON EL FIN DE LOGRAR LA SATISFACCIÓN DEL CIUDADANO, FRENTE A LOS SERVICIOS Y LA ATENCIÓN PRESTADA EN LA ADMINISTRACIÓN MUNICIPAL.
</v>
      </c>
      <c r="B6" s="307"/>
      <c r="C6" s="307"/>
      <c r="D6" s="307"/>
      <c r="E6" s="307"/>
      <c r="F6" s="307"/>
      <c r="G6" s="307"/>
      <c r="H6" s="307"/>
      <c r="I6" s="307"/>
      <c r="J6" s="307"/>
      <c r="K6" s="307"/>
      <c r="L6" s="307"/>
      <c r="M6" s="307"/>
      <c r="N6" s="307"/>
      <c r="O6" s="307"/>
      <c r="P6" s="307"/>
      <c r="Q6" s="307"/>
      <c r="R6" s="307"/>
      <c r="S6" s="307"/>
      <c r="T6" s="307"/>
    </row>
    <row r="7" spans="1:23" ht="15" thickBot="1" x14ac:dyDescent="0.35">
      <c r="A7" s="191"/>
      <c r="B7" s="191"/>
      <c r="C7" s="191"/>
      <c r="D7" s="191"/>
      <c r="E7" s="191"/>
      <c r="F7" s="191"/>
      <c r="G7" s="191"/>
      <c r="H7" s="191"/>
      <c r="I7" s="191"/>
      <c r="J7" s="191"/>
      <c r="K7" s="191"/>
      <c r="L7" s="191"/>
      <c r="M7" s="191"/>
      <c r="N7" s="191"/>
      <c r="O7" s="191"/>
      <c r="P7" s="191"/>
      <c r="Q7" s="191"/>
      <c r="R7" s="191"/>
      <c r="S7" s="191"/>
      <c r="T7" s="207"/>
    </row>
    <row r="8" spans="1:23" ht="15" thickBot="1" x14ac:dyDescent="0.35">
      <c r="A8" s="300"/>
      <c r="B8" s="300"/>
      <c r="C8" s="300" t="b">
        <v>0</v>
      </c>
      <c r="D8" s="300"/>
      <c r="E8" s="300"/>
      <c r="F8" s="300"/>
      <c r="G8" s="300"/>
      <c r="H8" s="300"/>
      <c r="I8" s="300"/>
      <c r="J8" s="300"/>
      <c r="K8" s="300"/>
      <c r="L8" s="300"/>
      <c r="M8" s="300"/>
      <c r="N8" s="300"/>
      <c r="O8" s="300"/>
      <c r="P8" s="300"/>
      <c r="Q8" s="300"/>
      <c r="R8" s="300"/>
      <c r="S8" s="300"/>
      <c r="T8" s="301"/>
    </row>
    <row r="9" spans="1:23" ht="24.6" thickBot="1" x14ac:dyDescent="0.35">
      <c r="A9" s="192" t="s">
        <v>282</v>
      </c>
      <c r="B9" s="193" t="s">
        <v>283</v>
      </c>
      <c r="C9" s="193" t="s">
        <v>284</v>
      </c>
      <c r="D9" s="193" t="s">
        <v>285</v>
      </c>
      <c r="E9" s="193" t="s">
        <v>286</v>
      </c>
      <c r="F9" s="193" t="s">
        <v>287</v>
      </c>
      <c r="G9" s="193" t="s">
        <v>288</v>
      </c>
      <c r="H9" s="193" t="s">
        <v>289</v>
      </c>
      <c r="I9" s="193" t="s">
        <v>290</v>
      </c>
      <c r="J9" s="193" t="s">
        <v>291</v>
      </c>
      <c r="K9" s="193" t="s">
        <v>292</v>
      </c>
      <c r="L9" s="193" t="s">
        <v>293</v>
      </c>
      <c r="M9" s="193" t="s">
        <v>294</v>
      </c>
      <c r="N9" s="193" t="s">
        <v>295</v>
      </c>
      <c r="O9" s="193" t="s">
        <v>296</v>
      </c>
      <c r="P9" s="193" t="s">
        <v>297</v>
      </c>
      <c r="Q9" s="193" t="s">
        <v>298</v>
      </c>
      <c r="R9" s="194" t="s">
        <v>299</v>
      </c>
      <c r="S9" s="195" t="s">
        <v>300</v>
      </c>
      <c r="T9" s="208" t="s">
        <v>301</v>
      </c>
    </row>
    <row r="10" spans="1:23" ht="45.75" customHeight="1" x14ac:dyDescent="0.3">
      <c r="A10" s="230">
        <v>1</v>
      </c>
      <c r="B10" s="182" t="str">
        <f>Contexto!B12</f>
        <v>Constantes cambios y actualizaciones normativas</v>
      </c>
      <c r="C10" s="197">
        <v>2</v>
      </c>
      <c r="D10" s="197">
        <v>2</v>
      </c>
      <c r="E10" s="197">
        <v>2</v>
      </c>
      <c r="F10" s="197"/>
      <c r="G10" s="197"/>
      <c r="H10" s="197"/>
      <c r="I10" s="197"/>
      <c r="J10" s="197"/>
      <c r="K10" s="197"/>
      <c r="L10" s="197"/>
      <c r="M10" s="197"/>
      <c r="N10" s="197"/>
      <c r="O10" s="197"/>
      <c r="P10" s="197"/>
      <c r="Q10" s="197"/>
      <c r="R10" s="196">
        <f>SUM(C10:Q10)</f>
        <v>6</v>
      </c>
      <c r="S10" s="198">
        <f>IF(ISERROR(AVERAGE(C10:Q10)),0,AVERAGE(C10:Q10))</f>
        <v>2</v>
      </c>
      <c r="T10" s="209"/>
    </row>
    <row r="11" spans="1:23" ht="42" customHeight="1" x14ac:dyDescent="0.3">
      <c r="A11" s="230">
        <v>2</v>
      </c>
      <c r="B11" s="182" t="str">
        <f>Contexto!B13</f>
        <v>Cambio de gobierno</v>
      </c>
      <c r="C11" s="197">
        <v>2</v>
      </c>
      <c r="D11" s="197">
        <v>1</v>
      </c>
      <c r="E11" s="197">
        <v>3</v>
      </c>
      <c r="F11" s="197"/>
      <c r="G11" s="197"/>
      <c r="H11" s="197"/>
      <c r="I11" s="197"/>
      <c r="J11" s="197"/>
      <c r="K11" s="197"/>
      <c r="L11" s="197"/>
      <c r="M11" s="197"/>
      <c r="N11" s="197"/>
      <c r="O11" s="197"/>
      <c r="P11" s="197"/>
      <c r="Q11" s="197"/>
      <c r="R11" s="196">
        <f>SUM(C11:Q11)</f>
        <v>6</v>
      </c>
      <c r="S11" s="198">
        <f t="shared" ref="S11:S30" si="0">IF(ISERROR(AVERAGE(C11:Q11)),0,AVERAGE(C11:Q11))</f>
        <v>2</v>
      </c>
      <c r="T11" s="199"/>
    </row>
    <row r="12" spans="1:23" ht="56.4" customHeight="1" x14ac:dyDescent="0.3">
      <c r="A12" s="230">
        <v>3</v>
      </c>
      <c r="B12" s="182" t="str">
        <f>Contexto!B14</f>
        <v>Baja satisfacción del ciudadano frente a los servicios y atención prestada por la entidad</v>
      </c>
      <c r="C12" s="197">
        <v>3</v>
      </c>
      <c r="D12" s="197">
        <v>2</v>
      </c>
      <c r="E12" s="197">
        <v>2</v>
      </c>
      <c r="F12" s="197"/>
      <c r="G12" s="197"/>
      <c r="H12" s="197"/>
      <c r="I12" s="197"/>
      <c r="J12" s="197"/>
      <c r="K12" s="197"/>
      <c r="L12" s="197"/>
      <c r="M12" s="197"/>
      <c r="N12" s="197"/>
      <c r="O12" s="197"/>
      <c r="P12" s="197"/>
      <c r="Q12" s="197"/>
      <c r="R12" s="196">
        <f t="shared" ref="R12:R30" si="1">SUM(C12:Q12)</f>
        <v>7</v>
      </c>
      <c r="S12" s="198">
        <f t="shared" si="0"/>
        <v>2.3333333333333335</v>
      </c>
      <c r="T12" s="210"/>
    </row>
    <row r="13" spans="1:23" ht="42" customHeight="1" x14ac:dyDescent="0.3">
      <c r="A13" s="230">
        <v>4</v>
      </c>
      <c r="B13" s="182" t="str">
        <f>Contexto!B15</f>
        <v>Idiosincrasia de los ciudadanos</v>
      </c>
      <c r="C13" s="197">
        <v>1</v>
      </c>
      <c r="D13" s="197">
        <v>2</v>
      </c>
      <c r="E13" s="197">
        <v>1</v>
      </c>
      <c r="F13" s="197"/>
      <c r="G13" s="197"/>
      <c r="H13" s="197"/>
      <c r="I13" s="197"/>
      <c r="J13" s="197"/>
      <c r="K13" s="197"/>
      <c r="L13" s="197"/>
      <c r="M13" s="197"/>
      <c r="N13" s="197"/>
      <c r="O13" s="197"/>
      <c r="P13" s="197"/>
      <c r="Q13" s="197"/>
      <c r="R13" s="196">
        <f t="shared" si="1"/>
        <v>4</v>
      </c>
      <c r="S13" s="198">
        <f t="shared" si="0"/>
        <v>1.3333333333333333</v>
      </c>
      <c r="T13" s="210"/>
    </row>
    <row r="14" spans="1:23" ht="42" customHeight="1" x14ac:dyDescent="0.3">
      <c r="A14" s="230">
        <v>5</v>
      </c>
      <c r="B14" s="182" t="str">
        <f>Contexto!B16</f>
        <v>Avances Tecnológicos</v>
      </c>
      <c r="C14" s="197">
        <v>2</v>
      </c>
      <c r="D14" s="197">
        <v>1</v>
      </c>
      <c r="E14" s="197">
        <v>1</v>
      </c>
      <c r="F14" s="197"/>
      <c r="G14" s="197"/>
      <c r="H14" s="197"/>
      <c r="I14" s="197"/>
      <c r="J14" s="197"/>
      <c r="K14" s="197"/>
      <c r="L14" s="197"/>
      <c r="M14" s="197"/>
      <c r="N14" s="197"/>
      <c r="O14" s="197"/>
      <c r="P14" s="197"/>
      <c r="Q14" s="197"/>
      <c r="R14" s="196">
        <f t="shared" si="1"/>
        <v>4</v>
      </c>
      <c r="S14" s="198">
        <f t="shared" si="0"/>
        <v>1.3333333333333333</v>
      </c>
      <c r="T14" s="210"/>
    </row>
    <row r="15" spans="1:23" ht="46.2" customHeight="1" x14ac:dyDescent="0.3">
      <c r="A15" s="230">
        <v>6</v>
      </c>
      <c r="B15" s="182" t="str">
        <f>Contexto!B17</f>
        <v>Falta de socialización de los mecanismos de comunicación para con los ciudadanos</v>
      </c>
      <c r="C15" s="197">
        <v>3</v>
      </c>
      <c r="D15" s="197">
        <v>3</v>
      </c>
      <c r="E15" s="197">
        <v>3</v>
      </c>
      <c r="F15" s="197"/>
      <c r="G15" s="197"/>
      <c r="H15" s="197"/>
      <c r="I15" s="197"/>
      <c r="J15" s="197"/>
      <c r="K15" s="197"/>
      <c r="L15" s="197"/>
      <c r="M15" s="197"/>
      <c r="N15" s="197"/>
      <c r="O15" s="197"/>
      <c r="P15" s="197"/>
      <c r="Q15" s="197"/>
      <c r="R15" s="196">
        <f t="shared" si="1"/>
        <v>9</v>
      </c>
      <c r="S15" s="198">
        <f t="shared" si="0"/>
        <v>3</v>
      </c>
      <c r="T15" s="210"/>
    </row>
    <row r="16" spans="1:23" ht="46.2" customHeight="1" x14ac:dyDescent="0.3">
      <c r="A16" s="230">
        <v>7</v>
      </c>
      <c r="B16" s="182" t="str">
        <f>Contexto!B18</f>
        <v>Declaratoria de emergencias por Pandemias o catastrofes naturales.</v>
      </c>
      <c r="C16" s="197">
        <v>2</v>
      </c>
      <c r="D16" s="197">
        <v>2</v>
      </c>
      <c r="E16" s="197">
        <v>2</v>
      </c>
      <c r="F16" s="197"/>
      <c r="G16" s="197"/>
      <c r="H16" s="197"/>
      <c r="I16" s="197"/>
      <c r="J16" s="197"/>
      <c r="K16" s="197"/>
      <c r="L16" s="197"/>
      <c r="M16" s="197"/>
      <c r="N16" s="197"/>
      <c r="O16" s="197"/>
      <c r="P16" s="197"/>
      <c r="Q16" s="197"/>
      <c r="R16" s="196">
        <f t="shared" si="1"/>
        <v>6</v>
      </c>
      <c r="S16" s="198">
        <f t="shared" si="0"/>
        <v>2</v>
      </c>
      <c r="T16" s="210"/>
    </row>
    <row r="17" spans="1:20" ht="62.4" customHeight="1" x14ac:dyDescent="0.3">
      <c r="A17" s="235">
        <v>8</v>
      </c>
      <c r="B17" s="182" t="str">
        <f>Contexto!D12</f>
        <v>Baja competencia del personal frente al manejo de las PQRS, orientación y atención al ciudadano</v>
      </c>
      <c r="C17" s="197">
        <v>4</v>
      </c>
      <c r="D17" s="197">
        <v>3</v>
      </c>
      <c r="E17" s="197">
        <v>4</v>
      </c>
      <c r="F17" s="197"/>
      <c r="G17" s="197"/>
      <c r="H17" s="197"/>
      <c r="I17" s="197"/>
      <c r="J17" s="197"/>
      <c r="K17" s="197"/>
      <c r="L17" s="197"/>
      <c r="M17" s="197"/>
      <c r="N17" s="197"/>
      <c r="O17" s="197"/>
      <c r="P17" s="197"/>
      <c r="Q17" s="197"/>
      <c r="R17" s="196">
        <f t="shared" si="1"/>
        <v>11</v>
      </c>
      <c r="S17" s="198">
        <f t="shared" si="0"/>
        <v>3.6666666666666665</v>
      </c>
      <c r="T17" s="210"/>
    </row>
    <row r="18" spans="1:20" ht="44.4" customHeight="1" x14ac:dyDescent="0.3">
      <c r="A18" s="235">
        <v>9</v>
      </c>
      <c r="B18" s="182" t="str">
        <f>Contexto!D13</f>
        <v>Personal insuficiente para realizar las actividades del Proceso</v>
      </c>
      <c r="C18" s="197">
        <v>3</v>
      </c>
      <c r="D18" s="197">
        <v>2</v>
      </c>
      <c r="E18" s="197">
        <v>3</v>
      </c>
      <c r="F18" s="197"/>
      <c r="G18" s="197"/>
      <c r="H18" s="197"/>
      <c r="I18" s="197"/>
      <c r="J18" s="197"/>
      <c r="K18" s="197"/>
      <c r="L18" s="197"/>
      <c r="M18" s="197"/>
      <c r="N18" s="197"/>
      <c r="O18" s="197"/>
      <c r="P18" s="197"/>
      <c r="Q18" s="197"/>
      <c r="R18" s="196">
        <f t="shared" si="1"/>
        <v>8</v>
      </c>
      <c r="S18" s="198">
        <f t="shared" si="0"/>
        <v>2.6666666666666665</v>
      </c>
      <c r="T18" s="210"/>
    </row>
    <row r="19" spans="1:20" ht="36" customHeight="1" x14ac:dyDescent="0.3">
      <c r="A19" s="235">
        <v>10</v>
      </c>
      <c r="B19" s="182" t="str">
        <f>Contexto!D14</f>
        <v>Insuficiente capacitación del personal</v>
      </c>
      <c r="C19" s="197">
        <v>2</v>
      </c>
      <c r="D19" s="197">
        <v>2</v>
      </c>
      <c r="E19" s="197">
        <v>2</v>
      </c>
      <c r="F19" s="197"/>
      <c r="G19" s="197"/>
      <c r="H19" s="197"/>
      <c r="I19" s="197"/>
      <c r="J19" s="197"/>
      <c r="K19" s="197"/>
      <c r="L19" s="197"/>
      <c r="M19" s="197"/>
      <c r="N19" s="197"/>
      <c r="O19" s="197"/>
      <c r="P19" s="197"/>
      <c r="Q19" s="197"/>
      <c r="R19" s="196">
        <f t="shared" si="1"/>
        <v>6</v>
      </c>
      <c r="S19" s="198">
        <f t="shared" si="0"/>
        <v>2</v>
      </c>
      <c r="T19" s="210"/>
    </row>
    <row r="20" spans="1:20" ht="51.6" customHeight="1" x14ac:dyDescent="0.3">
      <c r="A20" s="235">
        <v>11</v>
      </c>
      <c r="B20" s="182" t="str">
        <f>Contexto!D15</f>
        <v>Falta de comportamientos de integridad de lo público del Servidor que recibe la PQRS</v>
      </c>
      <c r="C20" s="197">
        <v>1</v>
      </c>
      <c r="D20" s="197">
        <v>1</v>
      </c>
      <c r="E20" s="197">
        <v>1</v>
      </c>
      <c r="F20" s="197"/>
      <c r="G20" s="197"/>
      <c r="H20" s="197"/>
      <c r="I20" s="197"/>
      <c r="J20" s="197"/>
      <c r="K20" s="197"/>
      <c r="L20" s="197"/>
      <c r="M20" s="197"/>
      <c r="N20" s="197"/>
      <c r="O20" s="197"/>
      <c r="P20" s="197"/>
      <c r="Q20" s="197"/>
      <c r="R20" s="196">
        <f t="shared" si="1"/>
        <v>3</v>
      </c>
      <c r="S20" s="198">
        <f t="shared" si="0"/>
        <v>1</v>
      </c>
      <c r="T20" s="210"/>
    </row>
    <row r="21" spans="1:20" ht="33.75" customHeight="1" x14ac:dyDescent="0.3">
      <c r="A21" s="235">
        <v>12</v>
      </c>
      <c r="B21" s="182" t="str">
        <f>Contexto!D16</f>
        <v>Bajo presupuesto de funcionamiento.</v>
      </c>
      <c r="C21" s="197">
        <v>4</v>
      </c>
      <c r="D21" s="197">
        <v>3</v>
      </c>
      <c r="E21" s="197">
        <v>3</v>
      </c>
      <c r="F21" s="197"/>
      <c r="G21" s="197"/>
      <c r="H21" s="197"/>
      <c r="I21" s="197"/>
      <c r="J21" s="197"/>
      <c r="K21" s="197"/>
      <c r="L21" s="197"/>
      <c r="M21" s="197"/>
      <c r="N21" s="197"/>
      <c r="O21" s="197"/>
      <c r="P21" s="197"/>
      <c r="Q21" s="197"/>
      <c r="R21" s="196">
        <f t="shared" si="1"/>
        <v>10</v>
      </c>
      <c r="S21" s="198">
        <f t="shared" si="0"/>
        <v>3.3333333333333335</v>
      </c>
      <c r="T21" s="210"/>
    </row>
    <row r="22" spans="1:20" ht="33.75" customHeight="1" x14ac:dyDescent="0.3">
      <c r="A22" s="235">
        <v>13</v>
      </c>
      <c r="B22" s="182" t="str">
        <f>Contexto!D17</f>
        <v xml:space="preserve">Falta de Infraestructura, capacidad instalada </v>
      </c>
      <c r="C22" s="197">
        <v>3</v>
      </c>
      <c r="D22" s="197">
        <v>3</v>
      </c>
      <c r="E22" s="197">
        <v>3</v>
      </c>
      <c r="F22" s="197"/>
      <c r="G22" s="197"/>
      <c r="H22" s="197"/>
      <c r="I22" s="197"/>
      <c r="J22" s="197"/>
      <c r="K22" s="197"/>
      <c r="L22" s="197"/>
      <c r="M22" s="197"/>
      <c r="N22" s="197"/>
      <c r="O22" s="197"/>
      <c r="P22" s="197"/>
      <c r="Q22" s="197"/>
      <c r="R22" s="196">
        <f t="shared" si="1"/>
        <v>9</v>
      </c>
      <c r="S22" s="198">
        <f t="shared" si="0"/>
        <v>3</v>
      </c>
      <c r="T22" s="210"/>
    </row>
    <row r="23" spans="1:20" ht="48" customHeight="1" x14ac:dyDescent="0.3">
      <c r="A23" s="235">
        <v>14</v>
      </c>
      <c r="B23" s="182" t="str">
        <f>Contexto!D18</f>
        <v>Falta de equipos tecnologicos optimos en algunos de los puntos de atención</v>
      </c>
      <c r="C23" s="197">
        <v>4</v>
      </c>
      <c r="D23" s="197">
        <v>3</v>
      </c>
      <c r="E23" s="197">
        <v>3</v>
      </c>
      <c r="F23" s="197"/>
      <c r="G23" s="197"/>
      <c r="H23" s="197"/>
      <c r="I23" s="197"/>
      <c r="J23" s="197"/>
      <c r="K23" s="197"/>
      <c r="L23" s="197"/>
      <c r="M23" s="197"/>
      <c r="N23" s="197"/>
      <c r="O23" s="197"/>
      <c r="P23" s="197"/>
      <c r="Q23" s="197"/>
      <c r="R23" s="196">
        <f t="shared" si="1"/>
        <v>10</v>
      </c>
      <c r="S23" s="198">
        <f t="shared" si="0"/>
        <v>3.3333333333333335</v>
      </c>
      <c r="T23" s="210"/>
    </row>
    <row r="24" spans="1:20" ht="43.8" customHeight="1" x14ac:dyDescent="0.3">
      <c r="A24" s="235">
        <v>15</v>
      </c>
      <c r="B24" s="182" t="str">
        <f>Contexto!D19</f>
        <v xml:space="preserve">Baja cobertura de acceso de internet en los puntos de atención. </v>
      </c>
      <c r="C24" s="197">
        <v>3</v>
      </c>
      <c r="D24" s="197">
        <v>2</v>
      </c>
      <c r="E24" s="197">
        <v>2</v>
      </c>
      <c r="F24" s="197"/>
      <c r="G24" s="197"/>
      <c r="H24" s="197"/>
      <c r="I24" s="197"/>
      <c r="J24" s="197"/>
      <c r="K24" s="197"/>
      <c r="L24" s="197"/>
      <c r="M24" s="197"/>
      <c r="N24" s="197"/>
      <c r="O24" s="197"/>
      <c r="P24" s="197"/>
      <c r="Q24" s="197"/>
      <c r="R24" s="196">
        <f t="shared" si="1"/>
        <v>7</v>
      </c>
      <c r="S24" s="198">
        <f t="shared" si="0"/>
        <v>2.3333333333333335</v>
      </c>
      <c r="T24" s="210"/>
    </row>
    <row r="25" spans="1:20" ht="62.25" customHeight="1" x14ac:dyDescent="0.3">
      <c r="A25" s="235">
        <v>16</v>
      </c>
      <c r="B25" s="182" t="str">
        <f>Contexto!D20</f>
        <v>Baja efectividad y fluidez en los canales de información, necesarios para el desarrollo de las operaciones</v>
      </c>
      <c r="C25" s="197">
        <v>1</v>
      </c>
      <c r="D25" s="197">
        <v>1</v>
      </c>
      <c r="E25" s="197">
        <v>1</v>
      </c>
      <c r="F25" s="197"/>
      <c r="G25" s="197"/>
      <c r="H25" s="197"/>
      <c r="I25" s="197"/>
      <c r="J25" s="197"/>
      <c r="K25" s="197"/>
      <c r="L25" s="197"/>
      <c r="M25" s="197"/>
      <c r="N25" s="197"/>
      <c r="O25" s="197"/>
      <c r="P25" s="197"/>
      <c r="Q25" s="197"/>
      <c r="R25" s="196">
        <f t="shared" si="1"/>
        <v>3</v>
      </c>
      <c r="S25" s="198">
        <f t="shared" si="0"/>
        <v>1</v>
      </c>
      <c r="T25" s="210"/>
    </row>
    <row r="26" spans="1:20" ht="105.6" customHeight="1" x14ac:dyDescent="0.3">
      <c r="A26" s="239">
        <v>17</v>
      </c>
      <c r="B26" s="182" t="str">
        <f>Contexto!F12</f>
        <v>Incumplimiento en los términos establecidos por la ley de algunas unidades administrativas para dar respuesta a las PQRS - Derechos de Petición realizadas por los ciudadanos</v>
      </c>
      <c r="C26" s="197">
        <v>4</v>
      </c>
      <c r="D26" s="197">
        <v>5</v>
      </c>
      <c r="E26" s="197">
        <v>4</v>
      </c>
      <c r="F26" s="197"/>
      <c r="G26" s="197"/>
      <c r="H26" s="197"/>
      <c r="I26" s="197"/>
      <c r="J26" s="197"/>
      <c r="K26" s="197"/>
      <c r="L26" s="197"/>
      <c r="M26" s="197"/>
      <c r="N26" s="197"/>
      <c r="O26" s="197"/>
      <c r="P26" s="197"/>
      <c r="Q26" s="197"/>
      <c r="R26" s="196">
        <f t="shared" si="1"/>
        <v>13</v>
      </c>
      <c r="S26" s="198">
        <f t="shared" si="0"/>
        <v>4.333333333333333</v>
      </c>
      <c r="T26" s="210"/>
    </row>
    <row r="27" spans="1:20" ht="51.6" customHeight="1" x14ac:dyDescent="0.3">
      <c r="A27" s="239">
        <v>18</v>
      </c>
      <c r="B27" s="182" t="str">
        <f>Contexto!F13</f>
        <v>Demora en el direcionamiento de las PQRS para su respectivas respuestas</v>
      </c>
      <c r="C27" s="197">
        <v>2</v>
      </c>
      <c r="D27" s="197">
        <v>1</v>
      </c>
      <c r="E27" s="197">
        <v>2</v>
      </c>
      <c r="F27" s="197"/>
      <c r="G27" s="197"/>
      <c r="H27" s="197"/>
      <c r="I27" s="197"/>
      <c r="J27" s="197"/>
      <c r="K27" s="197"/>
      <c r="L27" s="197"/>
      <c r="M27" s="197"/>
      <c r="N27" s="197"/>
      <c r="O27" s="197"/>
      <c r="P27" s="197"/>
      <c r="Q27" s="197"/>
      <c r="R27" s="196">
        <f t="shared" si="1"/>
        <v>5</v>
      </c>
      <c r="S27" s="198">
        <f t="shared" si="0"/>
        <v>1.6666666666666667</v>
      </c>
      <c r="T27" s="210"/>
    </row>
    <row r="28" spans="1:20" ht="64.8" customHeight="1" x14ac:dyDescent="0.3">
      <c r="A28" s="239">
        <v>19</v>
      </c>
      <c r="B28" s="182" t="str">
        <f>Contexto!F14</f>
        <v>Falta de seguimiento a los tiempos de respuestas de las PQRS - Derechos de Petición formuladas a la entidad</v>
      </c>
      <c r="C28" s="197">
        <v>5</v>
      </c>
      <c r="D28" s="197">
        <v>5</v>
      </c>
      <c r="E28" s="197">
        <v>5</v>
      </c>
      <c r="F28" s="197"/>
      <c r="G28" s="197"/>
      <c r="H28" s="197"/>
      <c r="I28" s="197"/>
      <c r="J28" s="197"/>
      <c r="K28" s="197"/>
      <c r="L28" s="197"/>
      <c r="M28" s="197"/>
      <c r="N28" s="197"/>
      <c r="O28" s="197"/>
      <c r="P28" s="197"/>
      <c r="Q28" s="197"/>
      <c r="R28" s="196">
        <f t="shared" si="1"/>
        <v>15</v>
      </c>
      <c r="S28" s="198">
        <f t="shared" si="0"/>
        <v>5</v>
      </c>
      <c r="T28" s="210"/>
    </row>
    <row r="29" spans="1:20" ht="44.4" customHeight="1" x14ac:dyDescent="0.3">
      <c r="A29" s="239">
        <v>20</v>
      </c>
      <c r="B29" s="182" t="str">
        <f>Contexto!F15</f>
        <v>Errores en la clasificación del tipo de petición - Derechos de Petición.</v>
      </c>
      <c r="C29" s="197">
        <v>4</v>
      </c>
      <c r="D29" s="197">
        <v>5</v>
      </c>
      <c r="E29" s="197">
        <v>5</v>
      </c>
      <c r="F29" s="197"/>
      <c r="G29" s="197"/>
      <c r="H29" s="197"/>
      <c r="I29" s="197"/>
      <c r="J29" s="197"/>
      <c r="K29" s="197"/>
      <c r="L29" s="197"/>
      <c r="M29" s="197"/>
      <c r="N29" s="197"/>
      <c r="O29" s="197"/>
      <c r="P29" s="197"/>
      <c r="Q29" s="197"/>
      <c r="R29" s="196">
        <f t="shared" si="1"/>
        <v>14</v>
      </c>
      <c r="S29" s="198">
        <f t="shared" si="0"/>
        <v>4.666666666666667</v>
      </c>
      <c r="T29" s="210"/>
    </row>
    <row r="30" spans="1:20" ht="45" customHeight="1" x14ac:dyDescent="0.3">
      <c r="A30" s="239">
        <v>21</v>
      </c>
      <c r="B30" s="182" t="str">
        <f>Contexto!F16</f>
        <v>Errores en el direccionamiento del tipo de petición - Derechos de Petición.</v>
      </c>
      <c r="C30" s="197">
        <v>4</v>
      </c>
      <c r="D30" s="197">
        <v>5</v>
      </c>
      <c r="E30" s="197">
        <v>5</v>
      </c>
      <c r="F30" s="197"/>
      <c r="G30" s="197"/>
      <c r="H30" s="197"/>
      <c r="I30" s="197"/>
      <c r="J30" s="197"/>
      <c r="K30" s="197"/>
      <c r="L30" s="197"/>
      <c r="M30" s="197"/>
      <c r="N30" s="197"/>
      <c r="O30" s="197"/>
      <c r="P30" s="197"/>
      <c r="Q30" s="197"/>
      <c r="R30" s="196">
        <f t="shared" si="1"/>
        <v>14</v>
      </c>
      <c r="S30" s="198">
        <f t="shared" si="0"/>
        <v>4.666666666666667</v>
      </c>
      <c r="T30" s="210"/>
    </row>
    <row r="31" spans="1:20" ht="22.5" customHeight="1" x14ac:dyDescent="0.3">
      <c r="A31" s="196">
        <v>22</v>
      </c>
      <c r="B31" s="182"/>
      <c r="C31" s="197"/>
      <c r="D31" s="197"/>
      <c r="E31" s="197"/>
      <c r="F31" s="197"/>
      <c r="G31" s="197"/>
      <c r="H31" s="197"/>
      <c r="I31" s="197"/>
      <c r="J31" s="197"/>
      <c r="K31" s="197"/>
      <c r="L31" s="197"/>
      <c r="M31" s="197"/>
      <c r="N31" s="197"/>
      <c r="O31" s="197"/>
      <c r="P31" s="197"/>
      <c r="Q31" s="197"/>
      <c r="R31" s="196"/>
      <c r="S31" s="200"/>
      <c r="T31" s="210"/>
    </row>
    <row r="32" spans="1:20" ht="22.5" customHeight="1" x14ac:dyDescent="0.3">
      <c r="A32" s="196">
        <v>23</v>
      </c>
      <c r="B32" s="182"/>
      <c r="C32" s="197"/>
      <c r="D32" s="197"/>
      <c r="E32" s="197"/>
      <c r="F32" s="197"/>
      <c r="G32" s="197"/>
      <c r="H32" s="197"/>
      <c r="I32" s="197"/>
      <c r="J32" s="197"/>
      <c r="K32" s="197"/>
      <c r="L32" s="197"/>
      <c r="M32" s="197"/>
      <c r="N32" s="197"/>
      <c r="O32" s="197"/>
      <c r="P32" s="197"/>
      <c r="Q32" s="197"/>
      <c r="R32" s="196"/>
      <c r="S32" s="200"/>
      <c r="T32" s="210"/>
    </row>
    <row r="33" spans="1:20" ht="22.5" customHeight="1" x14ac:dyDescent="0.3">
      <c r="A33" s="196">
        <v>24</v>
      </c>
      <c r="B33" s="182"/>
      <c r="C33" s="197"/>
      <c r="D33" s="197"/>
      <c r="E33" s="197"/>
      <c r="F33" s="197"/>
      <c r="G33" s="197"/>
      <c r="H33" s="197"/>
      <c r="I33" s="197"/>
      <c r="J33" s="197"/>
      <c r="K33" s="197"/>
      <c r="L33" s="197"/>
      <c r="M33" s="197"/>
      <c r="N33" s="197"/>
      <c r="O33" s="197"/>
      <c r="P33" s="197"/>
      <c r="Q33" s="197"/>
      <c r="R33" s="196"/>
      <c r="S33" s="200"/>
      <c r="T33" s="210"/>
    </row>
    <row r="34" spans="1:20" ht="22.5" customHeight="1" x14ac:dyDescent="0.3">
      <c r="A34" s="196">
        <v>25</v>
      </c>
      <c r="B34" s="182"/>
      <c r="C34" s="197"/>
      <c r="D34" s="197"/>
      <c r="E34" s="197"/>
      <c r="F34" s="197"/>
      <c r="G34" s="197"/>
      <c r="H34" s="197"/>
      <c r="I34" s="197"/>
      <c r="J34" s="197"/>
      <c r="K34" s="197"/>
      <c r="L34" s="197"/>
      <c r="M34" s="197"/>
      <c r="N34" s="197"/>
      <c r="O34" s="197"/>
      <c r="P34" s="197"/>
      <c r="Q34" s="197"/>
      <c r="R34" s="196"/>
      <c r="S34" s="200"/>
      <c r="T34" s="210"/>
    </row>
    <row r="35" spans="1:20" ht="22.5" customHeight="1" x14ac:dyDescent="0.3">
      <c r="A35" s="196">
        <v>26</v>
      </c>
      <c r="B35" s="182"/>
      <c r="C35" s="197"/>
      <c r="D35" s="197"/>
      <c r="E35" s="197"/>
      <c r="F35" s="197"/>
      <c r="G35" s="197"/>
      <c r="H35" s="197"/>
      <c r="I35" s="197"/>
      <c r="J35" s="197"/>
      <c r="K35" s="197"/>
      <c r="L35" s="197"/>
      <c r="M35" s="197"/>
      <c r="N35" s="197"/>
      <c r="O35" s="197"/>
      <c r="P35" s="197"/>
      <c r="Q35" s="197"/>
      <c r="R35" s="196"/>
      <c r="S35" s="200"/>
      <c r="T35" s="210"/>
    </row>
    <row r="36" spans="1:20" ht="22.5" customHeight="1" x14ac:dyDescent="0.3">
      <c r="A36" s="196">
        <v>27</v>
      </c>
      <c r="B36" s="182"/>
      <c r="C36" s="197"/>
      <c r="D36" s="197"/>
      <c r="E36" s="197"/>
      <c r="F36" s="197"/>
      <c r="G36" s="197"/>
      <c r="H36" s="197"/>
      <c r="I36" s="197"/>
      <c r="J36" s="197"/>
      <c r="K36" s="197"/>
      <c r="L36" s="197"/>
      <c r="M36" s="197"/>
      <c r="N36" s="197"/>
      <c r="O36" s="197"/>
      <c r="P36" s="197"/>
      <c r="Q36" s="197"/>
      <c r="R36" s="196"/>
      <c r="S36" s="200"/>
      <c r="T36" s="210"/>
    </row>
    <row r="37" spans="1:20" ht="22.5" customHeight="1" x14ac:dyDescent="0.3">
      <c r="A37" s="196">
        <v>28</v>
      </c>
      <c r="B37" s="182"/>
      <c r="C37" s="197"/>
      <c r="D37" s="197"/>
      <c r="E37" s="197"/>
      <c r="F37" s="197"/>
      <c r="G37" s="197"/>
      <c r="H37" s="197"/>
      <c r="I37" s="197"/>
      <c r="J37" s="197"/>
      <c r="K37" s="197"/>
      <c r="L37" s="197"/>
      <c r="M37" s="197"/>
      <c r="N37" s="197"/>
      <c r="O37" s="197"/>
      <c r="P37" s="197"/>
      <c r="Q37" s="197"/>
      <c r="R37" s="196"/>
      <c r="S37" s="200"/>
      <c r="T37" s="210"/>
    </row>
    <row r="38" spans="1:20" ht="22.5" customHeight="1" x14ac:dyDescent="0.3">
      <c r="A38" s="196">
        <v>29</v>
      </c>
      <c r="B38" s="182"/>
      <c r="C38" s="197"/>
      <c r="D38" s="197"/>
      <c r="E38" s="197"/>
      <c r="F38" s="197"/>
      <c r="G38" s="197"/>
      <c r="H38" s="197"/>
      <c r="I38" s="197"/>
      <c r="J38" s="197"/>
      <c r="K38" s="197"/>
      <c r="L38" s="197"/>
      <c r="M38" s="197"/>
      <c r="N38" s="197"/>
      <c r="O38" s="197"/>
      <c r="P38" s="197"/>
      <c r="Q38" s="197"/>
      <c r="R38" s="196"/>
      <c r="S38" s="200"/>
      <c r="T38" s="210"/>
    </row>
    <row r="39" spans="1:20" ht="22.5" customHeight="1" thickBot="1" x14ac:dyDescent="0.35">
      <c r="A39" s="201">
        <v>30</v>
      </c>
      <c r="B39" s="202"/>
      <c r="C39" s="203"/>
      <c r="D39" s="203"/>
      <c r="E39" s="203"/>
      <c r="F39" s="203"/>
      <c r="G39" s="203"/>
      <c r="H39" s="203"/>
      <c r="I39" s="203"/>
      <c r="J39" s="203"/>
      <c r="K39" s="203"/>
      <c r="L39" s="203"/>
      <c r="M39" s="203"/>
      <c r="N39" s="203"/>
      <c r="O39" s="203"/>
      <c r="P39" s="203"/>
      <c r="Q39" s="203"/>
      <c r="R39" s="201"/>
      <c r="S39" s="204"/>
      <c r="T39" s="211"/>
    </row>
    <row r="40" spans="1:20" x14ac:dyDescent="0.3">
      <c r="A40" s="302" t="s">
        <v>302</v>
      </c>
      <c r="B40" s="303"/>
      <c r="C40" s="303"/>
      <c r="D40" s="303"/>
      <c r="E40" s="303"/>
      <c r="F40" s="303"/>
      <c r="G40" s="303"/>
      <c r="H40" s="303"/>
      <c r="I40" s="303"/>
      <c r="J40" s="303"/>
      <c r="K40" s="303"/>
      <c r="L40" s="303"/>
      <c r="M40" s="303"/>
      <c r="N40" s="303"/>
      <c r="O40" s="303"/>
      <c r="P40" s="303"/>
      <c r="Q40" s="303"/>
      <c r="R40" s="304"/>
      <c r="S40" s="205">
        <f>SUM(S10:S39)</f>
        <v>56.666666666666664</v>
      </c>
    </row>
    <row r="41" spans="1:20" ht="15" thickBot="1" x14ac:dyDescent="0.35">
      <c r="A41" s="305" t="s">
        <v>300</v>
      </c>
      <c r="B41" s="306"/>
      <c r="C41" s="306"/>
      <c r="D41" s="306"/>
      <c r="E41" s="306"/>
      <c r="F41" s="306"/>
      <c r="G41" s="306"/>
      <c r="H41" s="306"/>
      <c r="I41" s="306"/>
      <c r="J41" s="306"/>
      <c r="K41" s="306"/>
      <c r="L41" s="306"/>
      <c r="M41" s="306"/>
      <c r="N41" s="306"/>
      <c r="O41" s="306"/>
      <c r="P41" s="306"/>
      <c r="Q41" s="306"/>
      <c r="R41" s="306"/>
      <c r="S41" s="206">
        <f>S40/A39</f>
        <v>1.8888888888888888</v>
      </c>
    </row>
  </sheetData>
  <mergeCells count="9">
    <mergeCell ref="C1:Q2"/>
    <mergeCell ref="C3:Q4"/>
    <mergeCell ref="A1:B4"/>
    <mergeCell ref="R1:S4"/>
    <mergeCell ref="A8:T8"/>
    <mergeCell ref="A40:R40"/>
    <mergeCell ref="A41:R41"/>
    <mergeCell ref="A5:T5"/>
    <mergeCell ref="A6:T6"/>
  </mergeCells>
  <dataValidations count="1">
    <dataValidation type="whole" showErrorMessage="1" error="DATO INVÁLIDO_x000a_Tenga en cuenta que la escala de calificación va de 1 a 5" sqref="C10:Q39" xr:uid="{1C4DBD56-1C65-4BA1-B76B-45B6ECFCA380}">
      <formula1>1</formula1>
      <formula2>5</formula2>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A7540-0A57-4934-A4E4-60C022905C37}">
  <sheetPr codeName="Hoja5"/>
  <dimension ref="A1:N54"/>
  <sheetViews>
    <sheetView workbookViewId="0">
      <selection activeCell="C45" sqref="C45:D45"/>
    </sheetView>
  </sheetViews>
  <sheetFormatPr baseColWidth="10" defaultRowHeight="14.4" x14ac:dyDescent="0.3"/>
  <cols>
    <col min="4" max="4" width="22.33203125" customWidth="1"/>
    <col min="5" max="6" width="27.109375" customWidth="1"/>
    <col min="7" max="8" width="13.5546875" customWidth="1"/>
    <col min="9" max="9" width="15.109375" customWidth="1"/>
    <col min="10" max="10" width="13.5546875" customWidth="1"/>
  </cols>
  <sheetData>
    <row r="1" spans="1:14" s="221" customFormat="1" ht="15" customHeight="1" x14ac:dyDescent="0.25">
      <c r="A1" s="321"/>
      <c r="B1" s="322"/>
      <c r="C1" s="281" t="s">
        <v>421</v>
      </c>
      <c r="D1" s="281"/>
      <c r="E1" s="281"/>
      <c r="F1" s="281"/>
      <c r="G1" s="281"/>
      <c r="H1" s="310" t="s">
        <v>409</v>
      </c>
      <c r="I1" s="311"/>
      <c r="J1" s="312"/>
      <c r="K1" s="220"/>
      <c r="N1" s="280"/>
    </row>
    <row r="2" spans="1:14" s="221" customFormat="1" ht="15" customHeight="1" x14ac:dyDescent="0.25">
      <c r="A2" s="323"/>
      <c r="B2" s="324"/>
      <c r="C2" s="281"/>
      <c r="D2" s="281"/>
      <c r="E2" s="281"/>
      <c r="F2" s="281"/>
      <c r="G2" s="281"/>
      <c r="H2" s="315" t="s">
        <v>403</v>
      </c>
      <c r="I2" s="316"/>
      <c r="J2" s="313"/>
      <c r="K2" s="220"/>
      <c r="N2" s="280"/>
    </row>
    <row r="3" spans="1:14" s="221" customFormat="1" ht="15" customHeight="1" x14ac:dyDescent="0.25">
      <c r="A3" s="323"/>
      <c r="B3" s="324"/>
      <c r="C3" s="320" t="s">
        <v>410</v>
      </c>
      <c r="D3" s="320"/>
      <c r="E3" s="320"/>
      <c r="F3" s="320"/>
      <c r="G3" s="320"/>
      <c r="H3" s="315" t="s">
        <v>405</v>
      </c>
      <c r="I3" s="316"/>
      <c r="J3" s="313"/>
      <c r="K3" s="220"/>
      <c r="N3" s="280"/>
    </row>
    <row r="4" spans="1:14" s="221" customFormat="1" ht="15.75" customHeight="1" x14ac:dyDescent="0.25">
      <c r="A4" s="325"/>
      <c r="B4" s="326"/>
      <c r="C4" s="320"/>
      <c r="D4" s="320"/>
      <c r="E4" s="320"/>
      <c r="F4" s="320"/>
      <c r="G4" s="320"/>
      <c r="H4" s="315" t="s">
        <v>406</v>
      </c>
      <c r="I4" s="316"/>
      <c r="J4" s="314"/>
      <c r="K4" s="220"/>
      <c r="N4" s="280"/>
    </row>
    <row r="5" spans="1:14" s="221" customFormat="1" ht="15.75" customHeight="1" x14ac:dyDescent="0.25">
      <c r="A5" s="317"/>
      <c r="B5" s="318"/>
      <c r="C5" s="318"/>
      <c r="D5" s="318"/>
      <c r="E5" s="318"/>
      <c r="F5" s="318"/>
      <c r="G5" s="318"/>
      <c r="H5" s="318"/>
      <c r="I5" s="318"/>
      <c r="J5" s="319"/>
      <c r="K5" s="220"/>
      <c r="N5" s="223"/>
    </row>
    <row r="6" spans="1:14" x14ac:dyDescent="0.3">
      <c r="A6" s="365" t="str">
        <f>Contexto!A8</f>
        <v>PROCESO: GESTIÓN DEL SERVICIO Y ATENCIÓN AL CIUDADANO</v>
      </c>
      <c r="B6" s="366"/>
      <c r="C6" s="366"/>
      <c r="D6" s="366"/>
      <c r="E6" s="366"/>
      <c r="F6" s="366"/>
      <c r="G6" s="366"/>
      <c r="H6" s="366"/>
      <c r="I6" s="366"/>
      <c r="J6" s="367"/>
    </row>
    <row r="7" spans="1:14" ht="15" thickBot="1" x14ac:dyDescent="0.35">
      <c r="A7" s="368"/>
      <c r="B7" s="369"/>
      <c r="C7" s="369"/>
      <c r="D7" s="369"/>
      <c r="E7" s="369"/>
      <c r="F7" s="369"/>
      <c r="G7" s="369"/>
      <c r="H7" s="369"/>
      <c r="I7" s="369"/>
      <c r="J7" s="370"/>
    </row>
    <row r="8" spans="1:14" ht="17.399999999999999" x14ac:dyDescent="0.3">
      <c r="A8" s="371" t="s">
        <v>303</v>
      </c>
      <c r="B8" s="371"/>
      <c r="C8" s="371"/>
      <c r="D8" s="371"/>
      <c r="E8" s="342" t="s">
        <v>239</v>
      </c>
      <c r="F8" s="372"/>
      <c r="G8" s="372"/>
      <c r="H8" s="372"/>
      <c r="I8" s="372"/>
      <c r="J8" s="373"/>
    </row>
    <row r="9" spans="1:14" ht="17.399999999999999" x14ac:dyDescent="0.3">
      <c r="A9" s="371"/>
      <c r="B9" s="371"/>
      <c r="C9" s="371"/>
      <c r="D9" s="371"/>
      <c r="E9" s="341" t="s">
        <v>304</v>
      </c>
      <c r="F9" s="341"/>
      <c r="G9" s="341" t="s">
        <v>305</v>
      </c>
      <c r="H9" s="341"/>
      <c r="I9" s="341"/>
      <c r="J9" s="341"/>
    </row>
    <row r="10" spans="1:14" ht="17.399999999999999" x14ac:dyDescent="0.3">
      <c r="A10" s="371"/>
      <c r="B10" s="371"/>
      <c r="C10" s="371"/>
      <c r="D10" s="371"/>
      <c r="E10" s="340" t="s">
        <v>306</v>
      </c>
      <c r="F10" s="340"/>
      <c r="G10" s="374" t="s">
        <v>307</v>
      </c>
      <c r="H10" s="375"/>
      <c r="I10" s="375"/>
      <c r="J10" s="376"/>
    </row>
    <row r="11" spans="1:14" ht="57" customHeight="1" x14ac:dyDescent="0.3">
      <c r="A11" s="371"/>
      <c r="B11" s="371"/>
      <c r="C11" s="371"/>
      <c r="D11" s="371"/>
      <c r="E11" s="362" t="s">
        <v>308</v>
      </c>
      <c r="F11" s="363"/>
      <c r="G11" s="355" t="s">
        <v>309</v>
      </c>
      <c r="H11" s="356"/>
      <c r="I11" s="356"/>
      <c r="J11" s="357"/>
    </row>
    <row r="12" spans="1:14" ht="57" customHeight="1" x14ac:dyDescent="0.3">
      <c r="A12" s="371"/>
      <c r="B12" s="371"/>
      <c r="C12" s="371"/>
      <c r="D12" s="371"/>
      <c r="E12" s="362" t="s">
        <v>310</v>
      </c>
      <c r="F12" s="363"/>
      <c r="G12" s="377" t="s">
        <v>311</v>
      </c>
      <c r="H12" s="377"/>
      <c r="I12" s="377"/>
      <c r="J12" s="377"/>
    </row>
    <row r="13" spans="1:14" ht="57" customHeight="1" x14ac:dyDescent="0.3">
      <c r="A13" s="371"/>
      <c r="B13" s="371"/>
      <c r="C13" s="371"/>
      <c r="D13" s="371"/>
      <c r="E13" s="362" t="s">
        <v>312</v>
      </c>
      <c r="F13" s="363"/>
      <c r="G13" s="377" t="s">
        <v>313</v>
      </c>
      <c r="H13" s="377"/>
      <c r="I13" s="377"/>
      <c r="J13" s="377"/>
    </row>
    <row r="14" spans="1:14" ht="57" customHeight="1" x14ac:dyDescent="0.3">
      <c r="A14" s="371"/>
      <c r="B14" s="371"/>
      <c r="C14" s="371"/>
      <c r="D14" s="371"/>
      <c r="E14" s="362" t="s">
        <v>314</v>
      </c>
      <c r="F14" s="363"/>
      <c r="G14" s="377" t="s">
        <v>315</v>
      </c>
      <c r="H14" s="377"/>
      <c r="I14" s="377"/>
      <c r="J14" s="377"/>
    </row>
    <row r="15" spans="1:14" ht="57" customHeight="1" x14ac:dyDescent="0.3">
      <c r="A15" s="371"/>
      <c r="B15" s="371"/>
      <c r="C15" s="371"/>
      <c r="D15" s="371"/>
      <c r="E15" s="362" t="s">
        <v>316</v>
      </c>
      <c r="F15" s="363"/>
      <c r="G15" s="360" t="s">
        <v>317</v>
      </c>
      <c r="H15" s="379"/>
      <c r="I15" s="379"/>
      <c r="J15" s="361"/>
    </row>
    <row r="16" spans="1:14" ht="57" customHeight="1" x14ac:dyDescent="0.3">
      <c r="A16" s="371"/>
      <c r="B16" s="371"/>
      <c r="C16" s="371"/>
      <c r="D16" s="371"/>
      <c r="E16" s="362" t="s">
        <v>318</v>
      </c>
      <c r="F16" s="363"/>
      <c r="G16" s="377" t="s">
        <v>319</v>
      </c>
      <c r="H16" s="377"/>
      <c r="I16" s="377"/>
      <c r="J16" s="377"/>
    </row>
    <row r="17" spans="1:10" ht="57" customHeight="1" x14ac:dyDescent="0.3">
      <c r="A17" s="371"/>
      <c r="B17" s="371"/>
      <c r="C17" s="371"/>
      <c r="D17" s="371"/>
      <c r="E17" s="362" t="s">
        <v>320</v>
      </c>
      <c r="F17" s="363"/>
      <c r="G17" s="378" t="s">
        <v>321</v>
      </c>
      <c r="H17" s="378"/>
      <c r="I17" s="378"/>
      <c r="J17" s="378"/>
    </row>
    <row r="18" spans="1:10" ht="57" customHeight="1" x14ac:dyDescent="0.3">
      <c r="A18" s="371"/>
      <c r="B18" s="371"/>
      <c r="C18" s="371"/>
      <c r="D18" s="371"/>
      <c r="E18" s="362" t="s">
        <v>322</v>
      </c>
      <c r="F18" s="363"/>
      <c r="G18" s="377" t="s">
        <v>323</v>
      </c>
      <c r="H18" s="377"/>
      <c r="I18" s="377"/>
      <c r="J18" s="377"/>
    </row>
    <row r="19" spans="1:10" ht="57" customHeight="1" x14ac:dyDescent="0.3">
      <c r="A19" s="371"/>
      <c r="B19" s="371"/>
      <c r="C19" s="371"/>
      <c r="D19" s="371"/>
      <c r="E19" s="362" t="s">
        <v>324</v>
      </c>
      <c r="F19" s="363"/>
      <c r="G19" s="364"/>
      <c r="H19" s="364"/>
      <c r="I19" s="364"/>
      <c r="J19" s="364"/>
    </row>
    <row r="20" spans="1:10" ht="57" customHeight="1" x14ac:dyDescent="0.3">
      <c r="A20" s="371"/>
      <c r="B20" s="371"/>
      <c r="C20" s="371"/>
      <c r="D20" s="371"/>
      <c r="E20" s="358" t="s">
        <v>325</v>
      </c>
      <c r="F20" s="359"/>
      <c r="G20" s="364"/>
      <c r="H20" s="364"/>
      <c r="I20" s="364"/>
      <c r="J20" s="364"/>
    </row>
    <row r="21" spans="1:10" ht="57" customHeight="1" x14ac:dyDescent="0.3">
      <c r="A21" s="371"/>
      <c r="B21" s="371"/>
      <c r="C21" s="371"/>
      <c r="D21" s="371"/>
      <c r="E21" s="358" t="s">
        <v>326</v>
      </c>
      <c r="F21" s="359"/>
      <c r="G21" s="355"/>
      <c r="H21" s="356"/>
      <c r="I21" s="356"/>
      <c r="J21" s="357"/>
    </row>
    <row r="22" spans="1:10" ht="57" customHeight="1" x14ac:dyDescent="0.3">
      <c r="A22" s="371"/>
      <c r="B22" s="371"/>
      <c r="C22" s="371"/>
      <c r="D22" s="371"/>
      <c r="E22" s="358" t="s">
        <v>327</v>
      </c>
      <c r="F22" s="359"/>
      <c r="G22" s="355"/>
      <c r="H22" s="356"/>
      <c r="I22" s="356"/>
      <c r="J22" s="357"/>
    </row>
    <row r="23" spans="1:10" ht="57" customHeight="1" x14ac:dyDescent="0.3">
      <c r="A23" s="371"/>
      <c r="B23" s="371"/>
      <c r="C23" s="371"/>
      <c r="D23" s="371"/>
      <c r="E23" s="358" t="s">
        <v>328</v>
      </c>
      <c r="F23" s="359"/>
      <c r="G23" s="355"/>
      <c r="H23" s="356"/>
      <c r="I23" s="356"/>
      <c r="J23" s="357"/>
    </row>
    <row r="24" spans="1:10" ht="57" customHeight="1" x14ac:dyDescent="0.3">
      <c r="A24" s="371"/>
      <c r="B24" s="371"/>
      <c r="C24" s="371"/>
      <c r="D24" s="371"/>
      <c r="E24" s="360" t="s">
        <v>329</v>
      </c>
      <c r="F24" s="361"/>
      <c r="G24" s="355"/>
      <c r="H24" s="356"/>
      <c r="I24" s="356"/>
      <c r="J24" s="357"/>
    </row>
    <row r="25" spans="1:10" ht="57" customHeight="1" x14ac:dyDescent="0.3">
      <c r="A25" s="371"/>
      <c r="B25" s="371"/>
      <c r="C25" s="371"/>
      <c r="D25" s="371"/>
      <c r="E25" s="348" t="s">
        <v>330</v>
      </c>
      <c r="F25" s="349"/>
      <c r="G25" s="350"/>
      <c r="H25" s="351"/>
      <c r="I25" s="351"/>
      <c r="J25" s="352"/>
    </row>
    <row r="26" spans="1:10" ht="57" customHeight="1" x14ac:dyDescent="0.3">
      <c r="A26" s="339" t="s">
        <v>237</v>
      </c>
      <c r="B26" s="339" t="s">
        <v>305</v>
      </c>
      <c r="C26" s="340" t="s">
        <v>331</v>
      </c>
      <c r="D26" s="340"/>
      <c r="E26" s="341" t="s">
        <v>332</v>
      </c>
      <c r="F26" s="340"/>
      <c r="G26" s="342" t="s">
        <v>333</v>
      </c>
      <c r="H26" s="343"/>
      <c r="I26" s="343"/>
      <c r="J26" s="344"/>
    </row>
    <row r="27" spans="1:10" ht="81.75" customHeight="1" x14ac:dyDescent="0.3">
      <c r="A27" s="339"/>
      <c r="B27" s="339"/>
      <c r="C27" s="328" t="s">
        <v>334</v>
      </c>
      <c r="D27" s="329"/>
      <c r="E27" s="328" t="s">
        <v>335</v>
      </c>
      <c r="F27" s="329"/>
      <c r="G27" s="328" t="s">
        <v>336</v>
      </c>
      <c r="H27" s="345"/>
      <c r="I27" s="345"/>
      <c r="J27" s="329"/>
    </row>
    <row r="28" spans="1:10" ht="57" customHeight="1" x14ac:dyDescent="0.3">
      <c r="A28" s="339"/>
      <c r="B28" s="339"/>
      <c r="C28" s="328" t="s">
        <v>337</v>
      </c>
      <c r="D28" s="329"/>
      <c r="E28" s="328" t="s">
        <v>338</v>
      </c>
      <c r="F28" s="329"/>
      <c r="G28" s="328" t="s">
        <v>339</v>
      </c>
      <c r="H28" s="345"/>
      <c r="I28" s="345"/>
      <c r="J28" s="329"/>
    </row>
    <row r="29" spans="1:10" ht="57" customHeight="1" x14ac:dyDescent="0.3">
      <c r="A29" s="339"/>
      <c r="B29" s="339"/>
      <c r="C29" s="328" t="s">
        <v>340</v>
      </c>
      <c r="D29" s="329"/>
      <c r="E29" s="328" t="s">
        <v>341</v>
      </c>
      <c r="F29" s="329"/>
      <c r="G29" s="328"/>
      <c r="H29" s="345"/>
      <c r="I29" s="345"/>
      <c r="J29" s="329"/>
    </row>
    <row r="30" spans="1:10" ht="57" customHeight="1" x14ac:dyDescent="0.3">
      <c r="A30" s="339"/>
      <c r="B30" s="339"/>
      <c r="C30" s="353" t="s">
        <v>342</v>
      </c>
      <c r="D30" s="354"/>
      <c r="E30" s="328" t="s">
        <v>343</v>
      </c>
      <c r="F30" s="329"/>
      <c r="G30" s="328"/>
      <c r="H30" s="345"/>
      <c r="I30" s="345"/>
      <c r="J30" s="329"/>
    </row>
    <row r="31" spans="1:10" ht="57" customHeight="1" x14ac:dyDescent="0.3">
      <c r="A31" s="339"/>
      <c r="B31" s="339"/>
      <c r="C31" s="328" t="s">
        <v>344</v>
      </c>
      <c r="D31" s="329"/>
      <c r="E31" s="328" t="s">
        <v>345</v>
      </c>
      <c r="F31" s="329"/>
      <c r="G31" s="327"/>
      <c r="H31" s="332"/>
      <c r="I31" s="332"/>
      <c r="J31" s="331"/>
    </row>
    <row r="32" spans="1:10" ht="57" customHeight="1" x14ac:dyDescent="0.3">
      <c r="A32" s="339"/>
      <c r="B32" s="339"/>
      <c r="C32" s="328" t="s">
        <v>346</v>
      </c>
      <c r="D32" s="329"/>
      <c r="E32" s="328" t="s">
        <v>347</v>
      </c>
      <c r="F32" s="329"/>
      <c r="G32" s="327"/>
      <c r="H32" s="327"/>
      <c r="I32" s="327"/>
      <c r="J32" s="327"/>
    </row>
    <row r="33" spans="1:10" ht="57" customHeight="1" x14ac:dyDescent="0.3">
      <c r="A33" s="339"/>
      <c r="B33" s="339"/>
      <c r="C33" s="328" t="s">
        <v>348</v>
      </c>
      <c r="D33" s="329"/>
      <c r="E33" s="328" t="s">
        <v>349</v>
      </c>
      <c r="F33" s="329"/>
      <c r="G33" s="330"/>
      <c r="H33" s="332"/>
      <c r="I33" s="332"/>
      <c r="J33" s="331"/>
    </row>
    <row r="34" spans="1:10" ht="57" customHeight="1" x14ac:dyDescent="0.3">
      <c r="A34" s="339"/>
      <c r="B34" s="339"/>
      <c r="C34" s="328" t="s">
        <v>350</v>
      </c>
      <c r="D34" s="329"/>
      <c r="E34" s="338" t="s">
        <v>351</v>
      </c>
      <c r="F34" s="338"/>
      <c r="G34" s="327"/>
      <c r="H34" s="327"/>
      <c r="I34" s="327"/>
      <c r="J34" s="327"/>
    </row>
    <row r="35" spans="1:10" ht="57" customHeight="1" x14ac:dyDescent="0.3">
      <c r="A35" s="339"/>
      <c r="B35" s="339"/>
      <c r="C35" s="346"/>
      <c r="D35" s="346"/>
      <c r="E35" s="327"/>
      <c r="F35" s="327"/>
      <c r="G35" s="327"/>
      <c r="H35" s="327"/>
      <c r="I35" s="327"/>
      <c r="J35" s="327"/>
    </row>
    <row r="36" spans="1:10" ht="57" customHeight="1" x14ac:dyDescent="0.3">
      <c r="A36" s="339"/>
      <c r="B36" s="339"/>
      <c r="C36" s="346"/>
      <c r="D36" s="346"/>
      <c r="E36" s="330"/>
      <c r="F36" s="331"/>
      <c r="G36" s="330"/>
      <c r="H36" s="332"/>
      <c r="I36" s="332"/>
      <c r="J36" s="331"/>
    </row>
    <row r="37" spans="1:10" ht="57" customHeight="1" x14ac:dyDescent="0.3">
      <c r="A37" s="339"/>
      <c r="B37" s="339"/>
      <c r="C37" s="328"/>
      <c r="D37" s="329"/>
      <c r="E37" s="330"/>
      <c r="F37" s="331"/>
      <c r="G37" s="330"/>
      <c r="H37" s="332"/>
      <c r="I37" s="332"/>
      <c r="J37" s="331"/>
    </row>
    <row r="38" spans="1:10" ht="57" customHeight="1" x14ac:dyDescent="0.3">
      <c r="A38" s="339"/>
      <c r="B38" s="339"/>
      <c r="C38" s="327"/>
      <c r="D38" s="327"/>
      <c r="E38" s="347"/>
      <c r="F38" s="347"/>
      <c r="G38" s="347"/>
      <c r="H38" s="347"/>
      <c r="I38" s="347"/>
      <c r="J38" s="347"/>
    </row>
    <row r="39" spans="1:10" ht="90.75" customHeight="1" x14ac:dyDescent="0.3">
      <c r="A39" s="339"/>
      <c r="B39" s="339" t="s">
        <v>304</v>
      </c>
      <c r="C39" s="340" t="s">
        <v>352</v>
      </c>
      <c r="D39" s="340"/>
      <c r="E39" s="341" t="s">
        <v>353</v>
      </c>
      <c r="F39" s="340"/>
      <c r="G39" s="342" t="s">
        <v>354</v>
      </c>
      <c r="H39" s="343"/>
      <c r="I39" s="343"/>
      <c r="J39" s="344"/>
    </row>
    <row r="40" spans="1:10" ht="57" customHeight="1" x14ac:dyDescent="0.3">
      <c r="A40" s="339"/>
      <c r="B40" s="339"/>
      <c r="C40" s="336" t="s">
        <v>355</v>
      </c>
      <c r="D40" s="337"/>
      <c r="E40" s="328" t="s">
        <v>356</v>
      </c>
      <c r="F40" s="329"/>
      <c r="G40" s="328" t="s">
        <v>374</v>
      </c>
      <c r="H40" s="345"/>
      <c r="I40" s="345"/>
      <c r="J40" s="329"/>
    </row>
    <row r="41" spans="1:10" ht="57" customHeight="1" x14ac:dyDescent="0.3">
      <c r="A41" s="339"/>
      <c r="B41" s="339"/>
      <c r="C41" s="336" t="s">
        <v>357</v>
      </c>
      <c r="D41" s="337"/>
      <c r="E41" s="328" t="s">
        <v>358</v>
      </c>
      <c r="F41" s="329"/>
      <c r="G41" s="328" t="s">
        <v>359</v>
      </c>
      <c r="H41" s="345"/>
      <c r="I41" s="345"/>
      <c r="J41" s="329"/>
    </row>
    <row r="42" spans="1:10" ht="57" customHeight="1" x14ac:dyDescent="0.3">
      <c r="A42" s="339"/>
      <c r="B42" s="339"/>
      <c r="C42" s="336" t="s">
        <v>360</v>
      </c>
      <c r="D42" s="337"/>
      <c r="E42" s="338"/>
      <c r="F42" s="338"/>
      <c r="G42" s="328" t="s">
        <v>361</v>
      </c>
      <c r="H42" s="345"/>
      <c r="I42" s="345"/>
      <c r="J42" s="329"/>
    </row>
    <row r="43" spans="1:10" ht="57" customHeight="1" x14ac:dyDescent="0.3">
      <c r="A43" s="339"/>
      <c r="B43" s="339"/>
      <c r="C43" s="336" t="s">
        <v>362</v>
      </c>
      <c r="D43" s="337"/>
      <c r="E43" s="338"/>
      <c r="F43" s="338"/>
      <c r="G43" s="327"/>
      <c r="H43" s="327"/>
      <c r="I43" s="327"/>
      <c r="J43" s="327"/>
    </row>
    <row r="44" spans="1:10" ht="57" customHeight="1" x14ac:dyDescent="0.3">
      <c r="A44" s="339"/>
      <c r="B44" s="339"/>
      <c r="C44" s="336" t="s">
        <v>363</v>
      </c>
      <c r="D44" s="337"/>
      <c r="E44" s="327"/>
      <c r="F44" s="327"/>
      <c r="G44" s="327"/>
      <c r="H44" s="327"/>
      <c r="I44" s="327"/>
      <c r="J44" s="327"/>
    </row>
    <row r="45" spans="1:10" ht="57" customHeight="1" x14ac:dyDescent="0.3">
      <c r="A45" s="339"/>
      <c r="B45" s="339"/>
      <c r="C45" s="336" t="s">
        <v>364</v>
      </c>
      <c r="D45" s="337"/>
      <c r="E45" s="327"/>
      <c r="F45" s="327"/>
      <c r="G45" s="327"/>
      <c r="H45" s="327"/>
      <c r="I45" s="327"/>
      <c r="J45" s="327"/>
    </row>
    <row r="46" spans="1:10" x14ac:dyDescent="0.3">
      <c r="A46" s="339"/>
      <c r="B46" s="339"/>
      <c r="C46" s="328"/>
      <c r="D46" s="329"/>
      <c r="E46" s="330"/>
      <c r="F46" s="331"/>
      <c r="G46" s="330"/>
      <c r="H46" s="332"/>
      <c r="I46" s="332"/>
      <c r="J46" s="331"/>
    </row>
    <row r="47" spans="1:10" x14ac:dyDescent="0.3">
      <c r="A47" s="339"/>
      <c r="B47" s="339"/>
      <c r="C47" s="328"/>
      <c r="D47" s="329"/>
      <c r="E47" s="330"/>
      <c r="F47" s="331"/>
      <c r="G47" s="330"/>
      <c r="H47" s="332"/>
      <c r="I47" s="332"/>
      <c r="J47" s="331"/>
    </row>
    <row r="48" spans="1:10" x14ac:dyDescent="0.3">
      <c r="A48" s="339"/>
      <c r="B48" s="339"/>
      <c r="C48" s="328"/>
      <c r="D48" s="329"/>
      <c r="E48" s="333"/>
      <c r="F48" s="334"/>
      <c r="G48" s="333"/>
      <c r="H48" s="335"/>
      <c r="I48" s="335"/>
      <c r="J48" s="334"/>
    </row>
    <row r="49" spans="1:10" x14ac:dyDescent="0.3">
      <c r="A49" s="339"/>
      <c r="B49" s="339"/>
      <c r="C49" s="328"/>
      <c r="D49" s="329"/>
      <c r="E49" s="330"/>
      <c r="F49" s="331"/>
      <c r="G49" s="330"/>
      <c r="H49" s="332"/>
      <c r="I49" s="332"/>
      <c r="J49" s="331"/>
    </row>
    <row r="50" spans="1:10" x14ac:dyDescent="0.3">
      <c r="A50" s="339"/>
      <c r="B50" s="339"/>
      <c r="C50" s="328"/>
      <c r="D50" s="329"/>
      <c r="E50" s="333"/>
      <c r="F50" s="334"/>
      <c r="G50" s="333"/>
      <c r="H50" s="335"/>
      <c r="I50" s="335"/>
      <c r="J50" s="334"/>
    </row>
    <row r="51" spans="1:10" x14ac:dyDescent="0.3">
      <c r="A51" s="339"/>
      <c r="B51" s="339"/>
      <c r="C51" s="328"/>
      <c r="D51" s="329"/>
      <c r="E51" s="330"/>
      <c r="F51" s="331"/>
      <c r="G51" s="330"/>
      <c r="H51" s="332"/>
      <c r="I51" s="332"/>
      <c r="J51" s="331"/>
    </row>
    <row r="52" spans="1:10" x14ac:dyDescent="0.3">
      <c r="A52" s="339"/>
      <c r="B52" s="339"/>
      <c r="C52" s="328"/>
      <c r="D52" s="329"/>
      <c r="E52" s="330"/>
      <c r="F52" s="331"/>
      <c r="G52" s="330"/>
      <c r="H52" s="332"/>
      <c r="I52" s="332"/>
      <c r="J52" s="331"/>
    </row>
    <row r="53" spans="1:10" x14ac:dyDescent="0.3">
      <c r="A53" s="339"/>
      <c r="B53" s="339"/>
      <c r="C53" s="327"/>
      <c r="D53" s="327"/>
      <c r="E53" s="327"/>
      <c r="F53" s="327"/>
      <c r="G53" s="327"/>
      <c r="H53" s="327"/>
      <c r="I53" s="327"/>
      <c r="J53" s="327"/>
    </row>
    <row r="54" spans="1:10" x14ac:dyDescent="0.3">
      <c r="A54" s="339"/>
      <c r="B54" s="339"/>
      <c r="C54" s="327"/>
      <c r="D54" s="327"/>
      <c r="E54" s="327"/>
      <c r="F54" s="327"/>
      <c r="G54" s="327"/>
      <c r="H54" s="327"/>
      <c r="I54" s="327"/>
      <c r="J54" s="327"/>
    </row>
  </sheetData>
  <mergeCells count="137">
    <mergeCell ref="A6:J7"/>
    <mergeCell ref="A8:D25"/>
    <mergeCell ref="E8:J8"/>
    <mergeCell ref="E9:F9"/>
    <mergeCell ref="G9:J9"/>
    <mergeCell ref="E10:F10"/>
    <mergeCell ref="G10:J10"/>
    <mergeCell ref="E11:F11"/>
    <mergeCell ref="G11:J11"/>
    <mergeCell ref="E12:F12"/>
    <mergeCell ref="E16:F16"/>
    <mergeCell ref="G16:J16"/>
    <mergeCell ref="E17:F17"/>
    <mergeCell ref="G17:J17"/>
    <mergeCell ref="E18:F18"/>
    <mergeCell ref="G18:J18"/>
    <mergeCell ref="G12:J12"/>
    <mergeCell ref="E13:F13"/>
    <mergeCell ref="G13:J13"/>
    <mergeCell ref="E14:F14"/>
    <mergeCell ref="G14:J14"/>
    <mergeCell ref="E15:F15"/>
    <mergeCell ref="G15:J15"/>
    <mergeCell ref="E22:F22"/>
    <mergeCell ref="G22:J22"/>
    <mergeCell ref="E23:F23"/>
    <mergeCell ref="G23:J23"/>
    <mergeCell ref="E24:F24"/>
    <mergeCell ref="G24:J24"/>
    <mergeCell ref="E19:F19"/>
    <mergeCell ref="G19:J19"/>
    <mergeCell ref="E20:F20"/>
    <mergeCell ref="G20:J20"/>
    <mergeCell ref="E21:F21"/>
    <mergeCell ref="G21:J21"/>
    <mergeCell ref="E25:F25"/>
    <mergeCell ref="G25:J25"/>
    <mergeCell ref="A26:A54"/>
    <mergeCell ref="B26:B38"/>
    <mergeCell ref="C26:D26"/>
    <mergeCell ref="E26:F26"/>
    <mergeCell ref="G26:J26"/>
    <mergeCell ref="C27:D27"/>
    <mergeCell ref="E27:F27"/>
    <mergeCell ref="G27:J27"/>
    <mergeCell ref="C30:D30"/>
    <mergeCell ref="E30:F30"/>
    <mergeCell ref="G30:J30"/>
    <mergeCell ref="C31:D31"/>
    <mergeCell ref="E31:F31"/>
    <mergeCell ref="G31:J31"/>
    <mergeCell ref="C28:D28"/>
    <mergeCell ref="E28:F28"/>
    <mergeCell ref="G28:J28"/>
    <mergeCell ref="C29:D29"/>
    <mergeCell ref="E29:F29"/>
    <mergeCell ref="G29:J29"/>
    <mergeCell ref="C34:D34"/>
    <mergeCell ref="E34:F34"/>
    <mergeCell ref="G34:J34"/>
    <mergeCell ref="C35:D35"/>
    <mergeCell ref="E35:F35"/>
    <mergeCell ref="G35:J35"/>
    <mergeCell ref="C32:D32"/>
    <mergeCell ref="E32:F32"/>
    <mergeCell ref="G32:J32"/>
    <mergeCell ref="C33:D33"/>
    <mergeCell ref="E33:F33"/>
    <mergeCell ref="G33:J33"/>
    <mergeCell ref="B39:B54"/>
    <mergeCell ref="C39:D39"/>
    <mergeCell ref="E39:F39"/>
    <mergeCell ref="G39:J39"/>
    <mergeCell ref="C40:D40"/>
    <mergeCell ref="E40:F40"/>
    <mergeCell ref="G40:J40"/>
    <mergeCell ref="C36:D36"/>
    <mergeCell ref="E36:F36"/>
    <mergeCell ref="G36:J36"/>
    <mergeCell ref="C37:D37"/>
    <mergeCell ref="E37:F37"/>
    <mergeCell ref="G37:J37"/>
    <mergeCell ref="C41:D41"/>
    <mergeCell ref="E41:F41"/>
    <mergeCell ref="G41:J41"/>
    <mergeCell ref="C42:D42"/>
    <mergeCell ref="E42:F42"/>
    <mergeCell ref="G42:J42"/>
    <mergeCell ref="C38:D38"/>
    <mergeCell ref="E38:F38"/>
    <mergeCell ref="G38:J38"/>
    <mergeCell ref="C45:D45"/>
    <mergeCell ref="E45:F45"/>
    <mergeCell ref="G45:J45"/>
    <mergeCell ref="C46:D46"/>
    <mergeCell ref="E46:F46"/>
    <mergeCell ref="G46:J46"/>
    <mergeCell ref="C43:D43"/>
    <mergeCell ref="E43:F43"/>
    <mergeCell ref="G43:J43"/>
    <mergeCell ref="C44:D44"/>
    <mergeCell ref="E44:F44"/>
    <mergeCell ref="G44:J44"/>
    <mergeCell ref="C49:D49"/>
    <mergeCell ref="E49:F49"/>
    <mergeCell ref="G49:J49"/>
    <mergeCell ref="C50:D50"/>
    <mergeCell ref="E50:F50"/>
    <mergeCell ref="G50:J50"/>
    <mergeCell ref="C47:D47"/>
    <mergeCell ref="E47:F47"/>
    <mergeCell ref="G47:J47"/>
    <mergeCell ref="C48:D48"/>
    <mergeCell ref="E48:F48"/>
    <mergeCell ref="G48:J48"/>
    <mergeCell ref="C53:D53"/>
    <mergeCell ref="E53:F53"/>
    <mergeCell ref="G53:J53"/>
    <mergeCell ref="C54:D54"/>
    <mergeCell ref="E54:F54"/>
    <mergeCell ref="G54:J54"/>
    <mergeCell ref="C51:D51"/>
    <mergeCell ref="E51:F51"/>
    <mergeCell ref="G51:J51"/>
    <mergeCell ref="C52:D52"/>
    <mergeCell ref="E52:F52"/>
    <mergeCell ref="G52:J52"/>
    <mergeCell ref="H1:I1"/>
    <mergeCell ref="J1:J4"/>
    <mergeCell ref="N1:N4"/>
    <mergeCell ref="H2:I2"/>
    <mergeCell ref="H3:I3"/>
    <mergeCell ref="H4:I4"/>
    <mergeCell ref="A5:J5"/>
    <mergeCell ref="C3:G4"/>
    <mergeCell ref="C1:G2"/>
    <mergeCell ref="A1:B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rgb="FF002060"/>
    <pageSetUpPr fitToPage="1"/>
  </sheetPr>
  <dimension ref="A1:BM71"/>
  <sheetViews>
    <sheetView topLeftCell="A3" zoomScale="70" zoomScaleNormal="70" workbookViewId="0">
      <selection activeCell="G9" sqref="G9"/>
    </sheetView>
  </sheetViews>
  <sheetFormatPr baseColWidth="10" defaultColWidth="11.44140625" defaultRowHeight="13.8" x14ac:dyDescent="0.25"/>
  <cols>
    <col min="1" max="1" width="4" style="2" bestFit="1" customWidth="1"/>
    <col min="2" max="2" width="14.109375" style="2" customWidth="1"/>
    <col min="3" max="3" width="13.109375" style="2" customWidth="1"/>
    <col min="4" max="4" width="16.109375" style="2" customWidth="1"/>
    <col min="5" max="5" width="30.33203125" style="2" customWidth="1"/>
    <col min="6" max="8" width="35" style="1" customWidth="1"/>
    <col min="9" max="9" width="18.109375" style="5" customWidth="1"/>
    <col min="10" max="10" width="14.33203125" style="1" customWidth="1"/>
    <col min="11" max="11" width="12" style="1" customWidth="1"/>
    <col min="12" max="12" width="15.109375" style="1" customWidth="1"/>
    <col min="13" max="13" width="24.44140625" style="1" bestFit="1" customWidth="1"/>
    <col min="14" max="14" width="28.33203125" style="1" hidden="1" customWidth="1"/>
    <col min="15" max="15" width="17.44140625" style="1" customWidth="1"/>
    <col min="16" max="16" width="9.109375" style="1" customWidth="1"/>
    <col min="17" max="17" width="16" style="1" customWidth="1"/>
    <col min="18" max="18" width="5.88671875" style="1" customWidth="1"/>
    <col min="19" max="19" width="55" style="1" customWidth="1"/>
    <col min="20" max="20" width="15.109375" style="1" bestFit="1" customWidth="1"/>
    <col min="21" max="21" width="6.88671875" style="1" customWidth="1"/>
    <col min="22" max="22" width="5" style="1" customWidth="1"/>
    <col min="23" max="23" width="5.44140625" style="1" customWidth="1"/>
    <col min="24" max="24" width="7.109375" style="1" customWidth="1"/>
    <col min="25" max="25" width="6.6640625" style="1" customWidth="1"/>
    <col min="26" max="26" width="4.6640625" style="1" bestFit="1" customWidth="1"/>
    <col min="27" max="27" width="38.44140625" style="1" bestFit="1" customWidth="1"/>
    <col min="28" max="28" width="8.6640625" style="1" customWidth="1"/>
    <col min="29" max="29" width="10.44140625" style="1" customWidth="1"/>
    <col min="30" max="30" width="9.33203125" style="1" customWidth="1"/>
    <col min="31" max="31" width="9.109375" style="1" customWidth="1"/>
    <col min="32" max="32" width="8.44140625" style="1" customWidth="1"/>
    <col min="33" max="33" width="7.33203125" style="1" customWidth="1"/>
    <col min="34" max="34" width="29.33203125" style="1" customWidth="1"/>
    <col min="35" max="35" width="18.88671875" style="1" customWidth="1"/>
    <col min="36" max="36" width="16.88671875" style="1" customWidth="1"/>
    <col min="37" max="37" width="14.88671875" style="1" customWidth="1"/>
    <col min="38" max="38" width="21" style="1" customWidth="1"/>
    <col min="39" max="39" width="57.33203125" style="1" customWidth="1"/>
    <col min="40" max="44" width="56.109375" style="1" customWidth="1"/>
    <col min="45" max="16384" width="11.44140625" style="1"/>
  </cols>
  <sheetData>
    <row r="1" spans="1:65" ht="16.5" customHeight="1" x14ac:dyDescent="0.25">
      <c r="A1" s="392" t="s">
        <v>138</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8"/>
      <c r="AN1" s="8"/>
      <c r="AO1" s="8"/>
      <c r="AP1" s="8"/>
      <c r="AQ1" s="8"/>
      <c r="AR1" s="8"/>
      <c r="AS1" s="8"/>
      <c r="AT1" s="8"/>
      <c r="AU1" s="8"/>
      <c r="AV1" s="8"/>
      <c r="AW1" s="8"/>
      <c r="AX1" s="8"/>
      <c r="AY1" s="8"/>
      <c r="AZ1" s="8"/>
      <c r="BA1" s="8"/>
      <c r="BB1" s="8"/>
      <c r="BC1" s="8"/>
      <c r="BD1" s="8"/>
      <c r="BE1" s="8"/>
      <c r="BF1" s="8"/>
      <c r="BG1" s="8"/>
      <c r="BH1" s="8"/>
      <c r="BI1" s="8"/>
      <c r="BJ1" s="8"/>
      <c r="BK1" s="8"/>
      <c r="BL1" s="8"/>
      <c r="BM1" s="8"/>
    </row>
    <row r="2" spans="1:65" ht="24" customHeight="1" x14ac:dyDescent="0.25">
      <c r="A2" s="392"/>
      <c r="B2" s="393"/>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8"/>
      <c r="AN2" s="8"/>
      <c r="AO2" s="8"/>
      <c r="AP2" s="8"/>
      <c r="AQ2" s="8"/>
      <c r="AR2" s="8"/>
      <c r="AS2" s="8"/>
      <c r="AT2" s="8"/>
      <c r="AU2" s="8"/>
      <c r="AV2" s="8"/>
      <c r="AW2" s="8"/>
      <c r="AX2" s="8"/>
      <c r="AY2" s="8"/>
      <c r="AZ2" s="8"/>
      <c r="BA2" s="8"/>
      <c r="BB2" s="8"/>
      <c r="BC2" s="8"/>
      <c r="BD2" s="8"/>
      <c r="BE2" s="8"/>
      <c r="BF2" s="8"/>
      <c r="BG2" s="8"/>
      <c r="BH2" s="8"/>
      <c r="BI2" s="8"/>
      <c r="BJ2" s="8"/>
      <c r="BK2" s="8"/>
      <c r="BL2" s="8"/>
      <c r="BM2" s="8"/>
    </row>
    <row r="3" spans="1:65"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row>
    <row r="4" spans="1:65" ht="26.25" customHeight="1" x14ac:dyDescent="0.25">
      <c r="A4" s="407" t="s">
        <v>42</v>
      </c>
      <c r="B4" s="408"/>
      <c r="C4" s="646" t="s">
        <v>214</v>
      </c>
      <c r="D4" s="646"/>
      <c r="E4" s="646"/>
      <c r="F4" s="646"/>
      <c r="G4" s="646"/>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646"/>
      <c r="AK4" s="646"/>
      <c r="AL4" s="646"/>
      <c r="AM4" s="8"/>
      <c r="AN4" s="8"/>
      <c r="AO4" s="8"/>
      <c r="AP4" s="8"/>
      <c r="AQ4" s="8"/>
      <c r="AR4" s="8"/>
      <c r="AS4" s="8"/>
      <c r="AT4" s="8"/>
      <c r="AU4" s="8"/>
      <c r="AV4" s="8"/>
      <c r="AW4" s="8"/>
      <c r="AX4" s="8"/>
      <c r="AY4" s="8"/>
      <c r="AZ4" s="8"/>
      <c r="BA4" s="8"/>
      <c r="BB4" s="8"/>
      <c r="BC4" s="8"/>
      <c r="BD4" s="8"/>
      <c r="BE4" s="8"/>
      <c r="BF4" s="8"/>
      <c r="BG4" s="8"/>
      <c r="BH4" s="8"/>
      <c r="BI4" s="8"/>
      <c r="BJ4" s="8"/>
      <c r="BK4" s="8"/>
      <c r="BL4" s="8"/>
      <c r="BM4" s="8"/>
    </row>
    <row r="5" spans="1:65" ht="30" customHeight="1" x14ac:dyDescent="0.25">
      <c r="A5" s="407" t="s">
        <v>124</v>
      </c>
      <c r="B5" s="408"/>
      <c r="C5" s="647" t="s">
        <v>215</v>
      </c>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c r="AF5" s="647"/>
      <c r="AG5" s="647"/>
      <c r="AH5" s="647"/>
      <c r="AI5" s="647"/>
      <c r="AJ5" s="647"/>
      <c r="AK5" s="647"/>
      <c r="AL5" s="647"/>
      <c r="AM5" s="8"/>
      <c r="AN5" s="8"/>
      <c r="AO5" s="8"/>
      <c r="AP5" s="8"/>
      <c r="AQ5" s="8"/>
      <c r="AR5" s="8"/>
      <c r="AS5" s="8"/>
      <c r="AT5" s="8"/>
      <c r="AU5" s="8"/>
      <c r="AV5" s="8"/>
      <c r="AW5" s="8"/>
      <c r="AX5" s="8"/>
      <c r="AY5" s="8"/>
      <c r="AZ5" s="8"/>
      <c r="BA5" s="8"/>
      <c r="BB5" s="8"/>
      <c r="BC5" s="8"/>
      <c r="BD5" s="8"/>
      <c r="BE5" s="8"/>
      <c r="BF5" s="8"/>
      <c r="BG5" s="8"/>
      <c r="BH5" s="8"/>
      <c r="BI5" s="8"/>
      <c r="BJ5" s="8"/>
      <c r="BK5" s="8"/>
      <c r="BL5" s="8"/>
      <c r="BM5" s="8"/>
    </row>
    <row r="6" spans="1:65" ht="49.5" customHeight="1" x14ac:dyDescent="0.25">
      <c r="A6" s="407" t="s">
        <v>43</v>
      </c>
      <c r="B6" s="408"/>
      <c r="C6" s="647" t="s">
        <v>216</v>
      </c>
      <c r="D6" s="647"/>
      <c r="E6" s="647"/>
      <c r="F6" s="647"/>
      <c r="G6" s="647"/>
      <c r="H6" s="647"/>
      <c r="I6" s="647"/>
      <c r="J6" s="647"/>
      <c r="K6" s="647"/>
      <c r="L6" s="647"/>
      <c r="M6" s="647"/>
      <c r="N6" s="647"/>
      <c r="O6" s="647"/>
      <c r="P6" s="647"/>
      <c r="Q6" s="647"/>
      <c r="R6" s="647"/>
      <c r="S6" s="647"/>
      <c r="T6" s="647"/>
      <c r="U6" s="647"/>
      <c r="V6" s="647"/>
      <c r="W6" s="647"/>
      <c r="X6" s="647"/>
      <c r="Y6" s="647"/>
      <c r="Z6" s="647"/>
      <c r="AA6" s="647"/>
      <c r="AB6" s="647"/>
      <c r="AC6" s="647"/>
      <c r="AD6" s="647"/>
      <c r="AE6" s="647"/>
      <c r="AF6" s="647"/>
      <c r="AG6" s="647"/>
      <c r="AH6" s="647"/>
      <c r="AI6" s="647"/>
      <c r="AJ6" s="647"/>
      <c r="AK6" s="647"/>
      <c r="AL6" s="647"/>
      <c r="AM6" s="8"/>
      <c r="AN6" s="8"/>
      <c r="AO6" s="8"/>
      <c r="AP6" s="8"/>
      <c r="AQ6" s="8"/>
      <c r="AR6" s="8"/>
      <c r="AS6" s="8"/>
      <c r="AT6" s="8"/>
      <c r="AU6" s="8"/>
      <c r="AV6" s="8"/>
      <c r="AW6" s="8"/>
      <c r="AX6" s="8"/>
      <c r="AY6" s="8"/>
      <c r="AZ6" s="8"/>
      <c r="BA6" s="8"/>
      <c r="BB6" s="8"/>
      <c r="BC6" s="8"/>
      <c r="BD6" s="8"/>
      <c r="BE6" s="8"/>
      <c r="BF6" s="8"/>
      <c r="BG6" s="8"/>
      <c r="BH6" s="8"/>
      <c r="BI6" s="8"/>
      <c r="BJ6" s="8"/>
      <c r="BK6" s="8"/>
      <c r="BL6" s="8"/>
      <c r="BM6" s="8"/>
    </row>
    <row r="7" spans="1:65" x14ac:dyDescent="0.25">
      <c r="A7" s="165" t="s">
        <v>133</v>
      </c>
      <c r="B7" s="166"/>
      <c r="C7" s="164"/>
      <c r="D7" s="164"/>
      <c r="E7" s="164"/>
      <c r="F7" s="164"/>
      <c r="G7" s="164"/>
      <c r="H7" s="164"/>
      <c r="I7" s="164"/>
      <c r="J7" s="167"/>
      <c r="K7" s="163" t="s">
        <v>134</v>
      </c>
      <c r="L7" s="164"/>
      <c r="M7" s="164"/>
      <c r="N7" s="164"/>
      <c r="O7" s="164"/>
      <c r="P7" s="164"/>
      <c r="Q7" s="167"/>
      <c r="R7" s="163" t="s">
        <v>135</v>
      </c>
      <c r="S7" s="164"/>
      <c r="T7" s="164"/>
      <c r="U7" s="164"/>
      <c r="V7" s="164"/>
      <c r="W7" s="164"/>
      <c r="X7" s="164"/>
      <c r="Y7" s="164"/>
      <c r="Z7" s="167"/>
      <c r="AA7" s="163" t="s">
        <v>136</v>
      </c>
      <c r="AB7" s="164"/>
      <c r="AC7" s="164"/>
      <c r="AD7" s="164"/>
      <c r="AE7" s="164"/>
      <c r="AF7" s="164"/>
      <c r="AG7" s="167"/>
      <c r="AH7" s="163" t="s">
        <v>34</v>
      </c>
      <c r="AI7" s="164"/>
      <c r="AJ7" s="164"/>
      <c r="AK7" s="164"/>
      <c r="AL7" s="164"/>
      <c r="AM7" s="8"/>
      <c r="AN7" s="8"/>
      <c r="AO7" s="8"/>
      <c r="AP7" s="8"/>
      <c r="AQ7" s="8"/>
      <c r="AR7" s="8"/>
      <c r="AS7" s="8"/>
      <c r="AT7" s="8"/>
      <c r="AU7" s="8"/>
      <c r="AV7" s="8"/>
      <c r="AW7" s="8"/>
      <c r="AX7" s="8"/>
      <c r="AY7" s="8"/>
      <c r="AZ7" s="8"/>
      <c r="BA7" s="8"/>
      <c r="BB7" s="8"/>
      <c r="BC7" s="8"/>
      <c r="BD7" s="8"/>
      <c r="BE7" s="8"/>
      <c r="BF7" s="8"/>
      <c r="BG7" s="8"/>
      <c r="BH7" s="8"/>
      <c r="BI7" s="8"/>
      <c r="BJ7" s="8"/>
      <c r="BK7" s="8"/>
      <c r="BL7" s="8"/>
      <c r="BM7" s="8"/>
    </row>
    <row r="8" spans="1:65" ht="16.5" customHeight="1" x14ac:dyDescent="0.25">
      <c r="A8" s="409" t="s">
        <v>0</v>
      </c>
      <c r="B8" s="424" t="s">
        <v>2</v>
      </c>
      <c r="C8" s="401" t="s">
        <v>3</v>
      </c>
      <c r="D8" s="401" t="s">
        <v>41</v>
      </c>
      <c r="E8" s="388" t="s">
        <v>202</v>
      </c>
      <c r="F8" s="411" t="s">
        <v>1</v>
      </c>
      <c r="G8" s="142"/>
      <c r="H8" s="142"/>
      <c r="I8" s="388" t="s">
        <v>49</v>
      </c>
      <c r="J8" s="401" t="s">
        <v>129</v>
      </c>
      <c r="K8" s="403" t="s">
        <v>33</v>
      </c>
      <c r="L8" s="404" t="s">
        <v>5</v>
      </c>
      <c r="M8" s="388" t="s">
        <v>85</v>
      </c>
      <c r="N8" s="388" t="s">
        <v>90</v>
      </c>
      <c r="O8" s="406" t="s">
        <v>44</v>
      </c>
      <c r="P8" s="404" t="s">
        <v>5</v>
      </c>
      <c r="Q8" s="401" t="s">
        <v>47</v>
      </c>
      <c r="R8" s="450" t="s">
        <v>11</v>
      </c>
      <c r="S8" s="402" t="s">
        <v>151</v>
      </c>
      <c r="T8" s="388" t="s">
        <v>12</v>
      </c>
      <c r="U8" s="402" t="s">
        <v>8</v>
      </c>
      <c r="V8" s="402"/>
      <c r="W8" s="402"/>
      <c r="X8" s="402"/>
      <c r="Y8" s="402"/>
      <c r="Z8" s="402"/>
      <c r="AA8" s="452" t="s">
        <v>132</v>
      </c>
      <c r="AB8" s="452" t="s">
        <v>45</v>
      </c>
      <c r="AC8" s="452" t="s">
        <v>5</v>
      </c>
      <c r="AD8" s="452" t="s">
        <v>46</v>
      </c>
      <c r="AE8" s="452" t="s">
        <v>5</v>
      </c>
      <c r="AF8" s="452" t="s">
        <v>48</v>
      </c>
      <c r="AG8" s="450" t="s">
        <v>29</v>
      </c>
      <c r="AH8" s="402" t="s">
        <v>34</v>
      </c>
      <c r="AI8" s="402" t="s">
        <v>35</v>
      </c>
      <c r="AJ8" s="402" t="s">
        <v>36</v>
      </c>
      <c r="AK8" s="402" t="s">
        <v>37</v>
      </c>
      <c r="AL8" s="388" t="s">
        <v>38</v>
      </c>
      <c r="AM8" s="8"/>
      <c r="AN8" s="8"/>
      <c r="AO8" s="8"/>
      <c r="AP8" s="8"/>
      <c r="AQ8" s="8"/>
      <c r="AR8" s="8"/>
      <c r="AS8" s="8"/>
      <c r="AT8" s="8"/>
      <c r="AU8" s="8"/>
      <c r="AV8" s="8"/>
      <c r="AW8" s="8"/>
      <c r="AX8" s="8"/>
      <c r="AY8" s="8"/>
      <c r="AZ8" s="8"/>
      <c r="BA8" s="8"/>
      <c r="BB8" s="8"/>
      <c r="BC8" s="8"/>
      <c r="BD8" s="8"/>
      <c r="BE8" s="8"/>
      <c r="BF8" s="8"/>
      <c r="BG8" s="8"/>
      <c r="BH8" s="8"/>
      <c r="BI8" s="8"/>
      <c r="BJ8" s="8"/>
      <c r="BK8" s="8"/>
      <c r="BL8" s="8"/>
      <c r="BM8" s="8"/>
    </row>
    <row r="9" spans="1:65" s="4" customFormat="1" ht="94.5" customHeight="1" x14ac:dyDescent="0.3">
      <c r="A9" s="410"/>
      <c r="B9" s="424"/>
      <c r="C9" s="402"/>
      <c r="D9" s="402"/>
      <c r="E9" s="403"/>
      <c r="F9" s="412"/>
      <c r="G9" s="142" t="s">
        <v>422</v>
      </c>
      <c r="H9" s="142" t="s">
        <v>203</v>
      </c>
      <c r="I9" s="401"/>
      <c r="J9" s="402"/>
      <c r="K9" s="401"/>
      <c r="L9" s="405"/>
      <c r="M9" s="401"/>
      <c r="N9" s="401"/>
      <c r="O9" s="405"/>
      <c r="P9" s="405"/>
      <c r="Q9" s="402"/>
      <c r="R9" s="451"/>
      <c r="S9" s="402"/>
      <c r="T9" s="401"/>
      <c r="U9" s="7" t="s">
        <v>13</v>
      </c>
      <c r="V9" s="7" t="s">
        <v>17</v>
      </c>
      <c r="W9" s="7" t="s">
        <v>28</v>
      </c>
      <c r="X9" s="7" t="s">
        <v>18</v>
      </c>
      <c r="Y9" s="7" t="s">
        <v>21</v>
      </c>
      <c r="Z9" s="7" t="s">
        <v>24</v>
      </c>
      <c r="AA9" s="452"/>
      <c r="AB9" s="452"/>
      <c r="AC9" s="452"/>
      <c r="AD9" s="452"/>
      <c r="AE9" s="452"/>
      <c r="AF9" s="452"/>
      <c r="AG9" s="451"/>
      <c r="AH9" s="402"/>
      <c r="AI9" s="402"/>
      <c r="AJ9" s="402"/>
      <c r="AK9" s="402"/>
      <c r="AL9" s="389"/>
      <c r="AM9" s="171" t="s">
        <v>229</v>
      </c>
      <c r="AN9" s="171" t="s">
        <v>230</v>
      </c>
      <c r="AO9" s="171" t="s">
        <v>231</v>
      </c>
      <c r="AP9" s="171" t="s">
        <v>232</v>
      </c>
      <c r="AQ9" s="171" t="s">
        <v>233</v>
      </c>
      <c r="AR9" s="171" t="s">
        <v>365</v>
      </c>
      <c r="AS9" s="25"/>
      <c r="AT9" s="25"/>
      <c r="AU9" s="25"/>
      <c r="AV9" s="25"/>
      <c r="AW9" s="25"/>
      <c r="AX9" s="25"/>
      <c r="AY9" s="25"/>
      <c r="AZ9" s="25"/>
      <c r="BA9" s="25"/>
      <c r="BB9" s="25"/>
      <c r="BC9" s="25"/>
      <c r="BD9" s="25"/>
      <c r="BE9" s="25"/>
      <c r="BF9" s="25"/>
      <c r="BG9" s="25"/>
      <c r="BH9" s="25"/>
      <c r="BI9" s="25"/>
      <c r="BJ9" s="25"/>
      <c r="BK9" s="25"/>
      <c r="BL9" s="25"/>
      <c r="BM9" s="25"/>
    </row>
    <row r="10" spans="1:65" s="3" customFormat="1" ht="279.75" customHeight="1" x14ac:dyDescent="0.3">
      <c r="A10" s="394">
        <v>1</v>
      </c>
      <c r="B10" s="396" t="s">
        <v>128</v>
      </c>
      <c r="C10" s="396" t="s">
        <v>227</v>
      </c>
      <c r="D10" s="398" t="s">
        <v>388</v>
      </c>
      <c r="E10" s="154" t="s">
        <v>375</v>
      </c>
      <c r="F10" s="400" t="s">
        <v>377</v>
      </c>
      <c r="G10" s="380" t="s">
        <v>423</v>
      </c>
      <c r="H10" s="400" t="s">
        <v>378</v>
      </c>
      <c r="I10" s="431" t="s">
        <v>117</v>
      </c>
      <c r="J10" s="433">
        <v>7162</v>
      </c>
      <c r="K10" s="448" t="str">
        <f>IF(J10&lt;=0,"",IF(J10&lt;=2,"Muy Baja",IF(J10&lt;=24,"Baja",IF(J10&lt;=500,"Media",IF(J10&lt;=5000,"Alta","Muy Alta")))))</f>
        <v>Muy Alta</v>
      </c>
      <c r="L10" s="474">
        <f>IF(K10="","",IF(K10="Muy Baja",0.2,IF(K10="Baja",0.4,IF(K10="Media",0.6,IF(K10="Alta",0.8,IF(K10="Muy Alta",1,))))))</f>
        <v>1</v>
      </c>
      <c r="M10" s="476" t="s">
        <v>145</v>
      </c>
      <c r="N10" s="474" t="str">
        <f>IF(NOT(ISERROR(MATCH(M10,'Tabla Impacto'!$B$221:$B$223,0))),'Tabla Impacto'!$F$223&amp;"Por favor no seleccionar los criterios de impacto(Afectación Económica o presupuestal y Pérdida Reputacional)",M10)</f>
        <v xml:space="preserve">     El riesgo afecta la imagen de de la entidad con efecto publicitario sostenido a nivel de sector administrativo, nivel departamental o municipal</v>
      </c>
      <c r="O10" s="448" t="str">
        <f>IF(OR(N10='Tabla Impacto'!$C$11,N10='Tabla Impacto'!$D$11),"Leve",IF(OR(N10='Tabla Impacto'!$C$12,N10='Tabla Impacto'!$D$12),"Menor",IF(OR(N10='Tabla Impacto'!$C$13,N10='Tabla Impacto'!$D$13),"Moderado",IF(OR(N10='Tabla Impacto'!$C$14,N10='Tabla Impacto'!$D$14),"Mayor",IF(OR(N10='Tabla Impacto'!$C$15,N10='Tabla Impacto'!$D$15),"Catastrófico","")))))</f>
        <v>Mayor</v>
      </c>
      <c r="P10" s="474">
        <f>IF(O10="","",IF(O10="Leve",0.2,IF(O10="Menor",0.4,IF(O10="Moderado",0.6,IF(O10="Mayor",0.8,IF(O10="Catastrófico",1,))))))</f>
        <v>0.8</v>
      </c>
      <c r="Q10" s="472"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Alto</v>
      </c>
      <c r="R10" s="105">
        <v>1</v>
      </c>
      <c r="S10" s="155" t="s">
        <v>379</v>
      </c>
      <c r="T10" s="107" t="str">
        <f>IF(OR(U10="Preventivo",U10="Detectivo"),"Probabilidad",IF(U10="Correctivo","Impacto",""))</f>
        <v>Impacto</v>
      </c>
      <c r="U10" s="119" t="s">
        <v>16</v>
      </c>
      <c r="V10" s="119" t="s">
        <v>9</v>
      </c>
      <c r="W10" s="120" t="str">
        <f>IF(AND(U10="Preventivo",V10="Automático"),"50%",IF(AND(U10="Preventivo",V10="Manual"),"40%",IF(AND(U10="Detectivo",V10="Automático"),"40%",IF(AND(U10="Detectivo",V10="Manual"),"30%",IF(AND(U10="Correctivo",V10="Automático"),"35%",IF(AND(U10="Correctivo",V10="Manual"),"25%",""))))))</f>
        <v>25%</v>
      </c>
      <c r="X10" s="119" t="s">
        <v>19</v>
      </c>
      <c r="Y10" s="119" t="s">
        <v>22</v>
      </c>
      <c r="Z10" s="119" t="s">
        <v>113</v>
      </c>
      <c r="AA10" s="110">
        <f>IFERROR(IF(T10="Probabilidad",(L10-(+L10*W10)),IF(T10="Impacto",L10,"")),"")</f>
        <v>1</v>
      </c>
      <c r="AB10" s="122" t="str">
        <f>IFERROR(IF(AA10="","",IF(AA10&lt;=0.2,"Muy Baja",IF(AA10&lt;=0.4,"Baja",IF(AA10&lt;=0.6,"Media",IF(AA10&lt;=0.8,"Alta","Muy Alta"))))),"")</f>
        <v>Muy Alta</v>
      </c>
      <c r="AC10" s="123">
        <f>+AA10</f>
        <v>1</v>
      </c>
      <c r="AD10" s="122" t="str">
        <f>IFERROR(IF(AE10="","",IF(AE10&lt;=0.2,"Leve",IF(AE10&lt;=0.4,"Menor",IF(AE10&lt;=0.6,"Moderado",IF(AE10&lt;=0.8,"Mayor","Catastrófico"))))),"")</f>
        <v>Moderado</v>
      </c>
      <c r="AE10" s="123">
        <f>IFERROR(IF(T10="Impacto",(P10-(+P10*W10)),IF(T10="Probabilidad",P10,"")),"")</f>
        <v>0.60000000000000009</v>
      </c>
      <c r="AF10" s="124"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Alto</v>
      </c>
      <c r="AG10" s="125" t="s">
        <v>130</v>
      </c>
      <c r="AH10" s="214" t="s">
        <v>381</v>
      </c>
      <c r="AI10" s="159" t="s">
        <v>228</v>
      </c>
      <c r="AJ10" s="157">
        <v>45292</v>
      </c>
      <c r="AK10" s="157">
        <v>45657</v>
      </c>
      <c r="AL10" s="168" t="s">
        <v>40</v>
      </c>
      <c r="AM10" s="173" t="s">
        <v>385</v>
      </c>
      <c r="AN10" s="172" t="s">
        <v>390</v>
      </c>
      <c r="AO10" s="172" t="s">
        <v>398</v>
      </c>
      <c r="AP10" s="172" t="s">
        <v>412</v>
      </c>
      <c r="AQ10" s="172" t="s">
        <v>414</v>
      </c>
      <c r="AR10" s="212"/>
      <c r="AS10" s="26"/>
      <c r="AT10" s="26"/>
      <c r="AU10" s="26"/>
      <c r="AV10" s="26"/>
      <c r="AW10" s="26"/>
      <c r="AX10" s="26"/>
      <c r="AY10" s="26"/>
      <c r="AZ10" s="26"/>
      <c r="BA10" s="26"/>
      <c r="BB10" s="26"/>
      <c r="BC10" s="26"/>
      <c r="BD10" s="26"/>
      <c r="BE10" s="26"/>
      <c r="BF10" s="26"/>
      <c r="BG10" s="26"/>
      <c r="BH10" s="26"/>
      <c r="BI10" s="26"/>
      <c r="BJ10" s="26"/>
      <c r="BK10" s="26"/>
      <c r="BL10" s="26"/>
      <c r="BM10" s="26"/>
    </row>
    <row r="11" spans="1:65" s="3" customFormat="1" ht="279.75" customHeight="1" x14ac:dyDescent="0.3">
      <c r="A11" s="395"/>
      <c r="B11" s="397"/>
      <c r="C11" s="397"/>
      <c r="D11" s="399"/>
      <c r="E11" s="426" t="s">
        <v>218</v>
      </c>
      <c r="F11" s="400"/>
      <c r="G11" s="381"/>
      <c r="H11" s="400"/>
      <c r="I11" s="432"/>
      <c r="J11" s="434"/>
      <c r="K11" s="449"/>
      <c r="L11" s="475"/>
      <c r="M11" s="477"/>
      <c r="N11" s="475"/>
      <c r="O11" s="449"/>
      <c r="P11" s="475"/>
      <c r="Q11" s="473"/>
      <c r="R11" s="489">
        <v>2</v>
      </c>
      <c r="S11" s="396" t="s">
        <v>380</v>
      </c>
      <c r="T11" s="487" t="str">
        <f>IF(OR(U11="Preventivo",U11="Detectivo"),"Probabilidad",IF(U11="Correctivo","Impacto",""))</f>
        <v>Impacto</v>
      </c>
      <c r="U11" s="461" t="s">
        <v>16</v>
      </c>
      <c r="V11" s="461" t="s">
        <v>9</v>
      </c>
      <c r="W11" s="465" t="str">
        <f>IF(AND(U11="Preventivo",V11="Automático"),"50%",IF(AND(U11="Preventivo",V11="Manual"),"40%",IF(AND(U11="Detectivo",V11="Automático"),"40%",IF(AND(U11="Detectivo",V11="Manual"),"30%",IF(AND(U11="Correctivo",V11="Automático"),"35%",IF(AND(U11="Correctivo",V11="Manual"),"25%",""))))))</f>
        <v>25%</v>
      </c>
      <c r="X11" s="461" t="s">
        <v>19</v>
      </c>
      <c r="Y11" s="461" t="s">
        <v>22</v>
      </c>
      <c r="Z11" s="461" t="s">
        <v>113</v>
      </c>
      <c r="AA11" s="495">
        <f>IFERROR(IF(AND(T10="Probabilidad",T11="Probabilidad"),(AC10-(+AC10*W11)),IF(AND(T10="Impacto",T11="Probabilidad"),(AC9-(+AC9*W11)),IF(T11="Impacto",AC10,""))),"")</f>
        <v>1</v>
      </c>
      <c r="AB11" s="467" t="str">
        <f>IFERROR(IF(AA11="","",IF(AA11&lt;=0.2,"Muy Baja",IF(AA11&lt;=0.4,"Baja",IF(AA11&lt;=0.6,"Media",IF(AA11&lt;=0.8,"Alta","Muy Alta"))))),"")</f>
        <v>Muy Alta</v>
      </c>
      <c r="AC11" s="465">
        <f>+AA11</f>
        <v>1</v>
      </c>
      <c r="AD11" s="467" t="str">
        <f>IFERROR(IF(AE11="","",IF(AE11&lt;=0.2,"Leve",IF(AE11&lt;=0.4,"Menor",IF(AE11&lt;=0.6,"Moderado",IF(AE11&lt;=0.8,"Mayor","Catastrófico"))))),"")</f>
        <v>Moderado</v>
      </c>
      <c r="AE11" s="465">
        <f>IFERROR(IF(AND(T10="Impacto",T11="Impacto"),(AE10-(+AE10*W11)),IF(AND(T10="Probabilidad",T11="Impacto"),(AE9-(+AE9*W11)),IF(T11="Probabilidad",AE10,""))),"")</f>
        <v>0.45000000000000007</v>
      </c>
      <c r="AF11" s="463" t="str">
        <f>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Alto</v>
      </c>
      <c r="AG11" s="461" t="s">
        <v>130</v>
      </c>
      <c r="AH11" s="215" t="s">
        <v>226</v>
      </c>
      <c r="AI11" s="161" t="s">
        <v>228</v>
      </c>
      <c r="AJ11" s="162">
        <v>45292</v>
      </c>
      <c r="AK11" s="162">
        <v>45657</v>
      </c>
      <c r="AL11" s="169" t="s">
        <v>40</v>
      </c>
      <c r="AM11" s="172" t="s">
        <v>383</v>
      </c>
      <c r="AN11" s="172" t="s">
        <v>389</v>
      </c>
      <c r="AO11" s="172" t="s">
        <v>395</v>
      </c>
      <c r="AP11" s="172" t="s">
        <v>413</v>
      </c>
      <c r="AQ11" s="172" t="s">
        <v>415</v>
      </c>
      <c r="AR11" s="212"/>
      <c r="AS11" s="26"/>
      <c r="AT11" s="26"/>
      <c r="AU11" s="26"/>
      <c r="AV11" s="26"/>
      <c r="AW11" s="26"/>
      <c r="AX11" s="26"/>
      <c r="AY11" s="26"/>
      <c r="AZ11" s="26"/>
      <c r="BA11" s="26"/>
      <c r="BB11" s="26"/>
      <c r="BC11" s="26"/>
      <c r="BD11" s="26"/>
      <c r="BE11" s="26"/>
      <c r="BF11" s="26"/>
      <c r="BG11" s="26"/>
      <c r="BH11" s="26"/>
      <c r="BI11" s="26"/>
      <c r="BJ11" s="26"/>
      <c r="BK11" s="26"/>
      <c r="BL11" s="26"/>
      <c r="BM11" s="26"/>
    </row>
    <row r="12" spans="1:65" ht="378" customHeight="1" x14ac:dyDescent="0.25">
      <c r="A12" s="395"/>
      <c r="B12" s="397"/>
      <c r="C12" s="397"/>
      <c r="D12" s="399"/>
      <c r="E12" s="427"/>
      <c r="F12" s="400"/>
      <c r="G12" s="381"/>
      <c r="H12" s="400"/>
      <c r="I12" s="432"/>
      <c r="J12" s="434"/>
      <c r="K12" s="449"/>
      <c r="L12" s="475"/>
      <c r="M12" s="477"/>
      <c r="N12" s="475">
        <f>IF(NOT(ISERROR(MATCH(M12,_xlfn.ANCHORARRAY(F21),0))),L23&amp;"Por favor no seleccionar los criterios de impacto",M12)</f>
        <v>0</v>
      </c>
      <c r="O12" s="449"/>
      <c r="P12" s="475"/>
      <c r="Q12" s="473"/>
      <c r="R12" s="490"/>
      <c r="S12" s="425"/>
      <c r="T12" s="488"/>
      <c r="U12" s="462"/>
      <c r="V12" s="462"/>
      <c r="W12" s="466"/>
      <c r="X12" s="462"/>
      <c r="Y12" s="462"/>
      <c r="Z12" s="462"/>
      <c r="AA12" s="496"/>
      <c r="AB12" s="468"/>
      <c r="AC12" s="466"/>
      <c r="AD12" s="468"/>
      <c r="AE12" s="466"/>
      <c r="AF12" s="464"/>
      <c r="AG12" s="462"/>
      <c r="AH12" s="453" t="s">
        <v>371</v>
      </c>
      <c r="AI12" s="455" t="s">
        <v>228</v>
      </c>
      <c r="AJ12" s="457">
        <v>45292</v>
      </c>
      <c r="AK12" s="459">
        <v>45657</v>
      </c>
      <c r="AL12" s="390" t="s">
        <v>40</v>
      </c>
      <c r="AM12" s="383" t="s">
        <v>384</v>
      </c>
      <c r="AN12" s="383" t="s">
        <v>394</v>
      </c>
      <c r="AO12" s="385" t="s">
        <v>399</v>
      </c>
      <c r="AP12" s="383" t="s">
        <v>411</v>
      </c>
      <c r="AQ12" s="383" t="s">
        <v>416</v>
      </c>
      <c r="AR12" s="491"/>
      <c r="AS12" s="8"/>
      <c r="AT12" s="8"/>
      <c r="AU12" s="8"/>
      <c r="AV12" s="8"/>
      <c r="AW12" s="8"/>
      <c r="AX12" s="8"/>
      <c r="AY12" s="8"/>
      <c r="AZ12" s="8"/>
      <c r="BA12" s="8"/>
      <c r="BB12" s="8"/>
      <c r="BC12" s="8"/>
      <c r="BD12" s="8"/>
      <c r="BE12" s="8"/>
      <c r="BF12" s="8"/>
      <c r="BG12" s="8"/>
      <c r="BH12" s="8"/>
      <c r="BI12" s="8"/>
      <c r="BJ12" s="8"/>
      <c r="BK12" s="8"/>
      <c r="BL12" s="8"/>
      <c r="BM12" s="8"/>
    </row>
    <row r="13" spans="1:65" ht="409.5" customHeight="1" x14ac:dyDescent="0.25">
      <c r="A13" s="395"/>
      <c r="B13" s="397"/>
      <c r="C13" s="397"/>
      <c r="D13" s="399"/>
      <c r="E13" s="152" t="s">
        <v>219</v>
      </c>
      <c r="F13" s="400"/>
      <c r="G13" s="381"/>
      <c r="H13" s="400"/>
      <c r="I13" s="432"/>
      <c r="J13" s="434"/>
      <c r="K13" s="449"/>
      <c r="L13" s="475"/>
      <c r="M13" s="477"/>
      <c r="N13" s="475">
        <f>IF(NOT(ISERROR(MATCH(M13,_xlfn.ANCHORARRAY(F22),0))),L24&amp;"Por favor no seleccionar los criterios de impacto",M13)</f>
        <v>0</v>
      </c>
      <c r="O13" s="449"/>
      <c r="P13" s="475"/>
      <c r="Q13" s="473"/>
      <c r="R13" s="105">
        <v>3</v>
      </c>
      <c r="S13" s="156" t="s">
        <v>222</v>
      </c>
      <c r="T13" s="107" t="str">
        <f t="shared" ref="T13:T14" si="0">IF(OR(U13="Preventivo",U13="Detectivo"),"Probabilidad",IF(U13="Correctivo","Impacto",""))</f>
        <v>Impacto</v>
      </c>
      <c r="U13" s="119" t="s">
        <v>16</v>
      </c>
      <c r="V13" s="119" t="s">
        <v>9</v>
      </c>
      <c r="W13" s="120" t="str">
        <f t="shared" ref="W13:W20" si="1">IF(AND(U13="Preventivo",V13="Automático"),"50%",IF(AND(U13="Preventivo",V13="Manual"),"40%",IF(AND(U13="Detectivo",V13="Automático"),"40%",IF(AND(U13="Detectivo",V13="Manual"),"30%",IF(AND(U13="Correctivo",V13="Automático"),"35%",IF(AND(U13="Correctivo",V13="Manual"),"25%",""))))))</f>
        <v>25%</v>
      </c>
      <c r="X13" s="119" t="s">
        <v>19</v>
      </c>
      <c r="Y13" s="119" t="s">
        <v>22</v>
      </c>
      <c r="Z13" s="119" t="s">
        <v>113</v>
      </c>
      <c r="AA13" s="110">
        <f>IFERROR(IF(AND(T11="Probabilidad",T13="Probabilidad"),(AC11-(+AC11*W13)),IF(AND(T11="Impacto",T13="Probabilidad"),(AC10-(+AC10*W13)),IF(T13="Impacto",AC11,""))),"")</f>
        <v>1</v>
      </c>
      <c r="AB13" s="122" t="str">
        <f t="shared" ref="AB13:AB14" si="2">IFERROR(IF(AA13="","",IF(AA13&lt;=0.2,"Muy Baja",IF(AA13&lt;=0.4,"Baja",IF(AA13&lt;=0.6,"Media",IF(AA13&lt;=0.8,"Alta","Muy Alta"))))),"")</f>
        <v>Muy Alta</v>
      </c>
      <c r="AC13" s="123">
        <f t="shared" ref="AC13:AC14" si="3">+AA13</f>
        <v>1</v>
      </c>
      <c r="AD13" s="122" t="str">
        <f t="shared" ref="AD13:AD14" si="4">IFERROR(IF(AE13="","",IF(AE13&lt;=0.2,"Leve",IF(AE13&lt;=0.4,"Menor",IF(AE13&lt;=0.6,"Moderado",IF(AE13&lt;=0.8,"Mayor","Catastrófico"))))),"")</f>
        <v>Menor</v>
      </c>
      <c r="AE13" s="123">
        <f>IFERROR(IF(AND(T11="Impacto",T13="Impacto"),(AE11-(+AE11*W13)),IF(AND(T11="Probabilidad",T13="Impacto"),(AE10-(+AE10*W13)),IF(T13="Probabilidad",AE11,""))),"")</f>
        <v>0.33750000000000002</v>
      </c>
      <c r="AF13" s="124" t="str">
        <f t="shared" ref="AF13:AF14" si="5">IFERROR(IF(OR(AND(AB13="Muy Baja",AD13="Leve"),AND(AB13="Muy Baja",AD13="Menor"),AND(AB13="Baja",AD13="Leve")),"Bajo",IF(OR(AND(AB13="Muy baja",AD13="Moderado"),AND(AB13="Baja",AD13="Menor"),AND(AB13="Baja",AD13="Moderado"),AND(AB13="Media",AD13="Leve"),AND(AB13="Media",AD13="Menor"),AND(AB13="Media",AD13="Moderado"),AND(AB13="Alta",AD13="Leve"),AND(AB13="Alta",AD13="Menor")),"Moderado",IF(OR(AND(AB13="Muy Baja",AD13="Mayor"),AND(AB13="Baja",AD13="Mayor"),AND(AB13="Media",AD13="Mayor"),AND(AB13="Alta",AD13="Moderado"),AND(AB13="Alta",AD13="Mayor"),AND(AB13="Muy Alta",AD13="Leve"),AND(AB13="Muy Alta",AD13="Menor"),AND(AB13="Muy Alta",AD13="Moderado"),AND(AB13="Muy Alta",AD13="Mayor")),"Alto",IF(OR(AND(AB13="Muy Baja",AD13="Catastrófico"),AND(AB13="Baja",AD13="Catastrófico"),AND(AB13="Media",AD13="Catastrófico"),AND(AB13="Alta",AD13="Catastrófico"),AND(AB13="Muy Alta",AD13="Catastrófico")),"Extremo","")))),"")</f>
        <v>Alto</v>
      </c>
      <c r="AG13" s="125" t="s">
        <v>130</v>
      </c>
      <c r="AH13" s="454"/>
      <c r="AI13" s="456"/>
      <c r="AJ13" s="458"/>
      <c r="AK13" s="460"/>
      <c r="AL13" s="391"/>
      <c r="AM13" s="387"/>
      <c r="AN13" s="384"/>
      <c r="AO13" s="386"/>
      <c r="AP13" s="384"/>
      <c r="AQ13" s="384"/>
      <c r="AR13" s="492"/>
      <c r="AS13" s="8"/>
      <c r="AT13" s="8"/>
      <c r="AU13" s="8"/>
      <c r="AV13" s="8"/>
      <c r="AW13" s="8"/>
      <c r="AX13" s="8"/>
      <c r="AY13" s="8"/>
      <c r="AZ13" s="8"/>
      <c r="BA13" s="8"/>
      <c r="BB13" s="8"/>
      <c r="BC13" s="8"/>
      <c r="BD13" s="8"/>
      <c r="BE13" s="8"/>
      <c r="BF13" s="8"/>
      <c r="BG13" s="8"/>
      <c r="BH13" s="8"/>
      <c r="BI13" s="8"/>
      <c r="BJ13" s="8"/>
      <c r="BK13" s="8"/>
      <c r="BL13" s="8"/>
      <c r="BM13" s="8"/>
    </row>
    <row r="14" spans="1:65" ht="366" customHeight="1" x14ac:dyDescent="0.25">
      <c r="A14" s="395"/>
      <c r="B14" s="397"/>
      <c r="C14" s="397"/>
      <c r="D14" s="399"/>
      <c r="E14" s="152" t="s">
        <v>221</v>
      </c>
      <c r="F14" s="400"/>
      <c r="G14" s="381"/>
      <c r="H14" s="400"/>
      <c r="I14" s="432"/>
      <c r="J14" s="434"/>
      <c r="K14" s="449"/>
      <c r="L14" s="475"/>
      <c r="M14" s="477"/>
      <c r="N14" s="475">
        <f>IF(NOT(ISERROR(MATCH(M14,_xlfn.ANCHORARRAY(F23),0))),L25&amp;"Por favor no seleccionar los criterios de impacto",M14)</f>
        <v>0</v>
      </c>
      <c r="O14" s="449"/>
      <c r="P14" s="475"/>
      <c r="Q14" s="473"/>
      <c r="R14" s="105">
        <v>4</v>
      </c>
      <c r="S14" s="155" t="s">
        <v>223</v>
      </c>
      <c r="T14" s="107" t="str">
        <f t="shared" si="0"/>
        <v>Impacto</v>
      </c>
      <c r="U14" s="119" t="s">
        <v>16</v>
      </c>
      <c r="V14" s="119" t="s">
        <v>9</v>
      </c>
      <c r="W14" s="120" t="str">
        <f t="shared" si="1"/>
        <v>25%</v>
      </c>
      <c r="X14" s="119" t="s">
        <v>19</v>
      </c>
      <c r="Y14" s="119" t="s">
        <v>22</v>
      </c>
      <c r="Z14" s="119" t="s">
        <v>113</v>
      </c>
      <c r="AA14" s="110">
        <f>IFERROR(IF(AND(T13="Probabilidad",T14="Probabilidad"),(AC13-(+AC13*W14)),IF(AND(T13="Impacto",T14="Probabilidad"),(AC11-(+AC11*W14)),IF(T14="Impacto",AC13,""))),"")</f>
        <v>1</v>
      </c>
      <c r="AB14" s="122" t="str">
        <f t="shared" si="2"/>
        <v>Muy Alta</v>
      </c>
      <c r="AC14" s="123">
        <f t="shared" si="3"/>
        <v>1</v>
      </c>
      <c r="AD14" s="122" t="str">
        <f t="shared" si="4"/>
        <v>Menor</v>
      </c>
      <c r="AE14" s="123">
        <f>IFERROR(IF(AND(T13="Impacto",T14="Impacto"),(AE13-(+AE13*W14)),IF(AND(T13="Probabilidad",T14="Impacto"),(AE11-(+AE11*W14)),IF(T14="Probabilidad",AE13,""))),"")</f>
        <v>0.25312500000000004</v>
      </c>
      <c r="AF14" s="124" t="str">
        <f t="shared" si="5"/>
        <v>Alto</v>
      </c>
      <c r="AG14" s="125"/>
      <c r="AH14" s="214" t="s">
        <v>225</v>
      </c>
      <c r="AI14" s="160" t="s">
        <v>228</v>
      </c>
      <c r="AJ14" s="158">
        <v>45292</v>
      </c>
      <c r="AK14" s="158">
        <v>45657</v>
      </c>
      <c r="AL14" s="170" t="s">
        <v>40</v>
      </c>
      <c r="AM14" s="172" t="s">
        <v>387</v>
      </c>
      <c r="AN14" s="172" t="s">
        <v>391</v>
      </c>
      <c r="AO14" s="173" t="s">
        <v>387</v>
      </c>
      <c r="AP14" s="172" t="s">
        <v>400</v>
      </c>
      <c r="AQ14" s="172" t="s">
        <v>417</v>
      </c>
      <c r="AR14" s="213"/>
      <c r="AS14" s="8"/>
      <c r="AT14" s="8"/>
      <c r="AU14" s="8"/>
      <c r="AV14" s="8"/>
      <c r="AW14" s="8"/>
      <c r="AX14" s="8"/>
      <c r="AY14" s="8"/>
      <c r="AZ14" s="8"/>
      <c r="BA14" s="8"/>
      <c r="BB14" s="8"/>
      <c r="BC14" s="8"/>
      <c r="BD14" s="8"/>
      <c r="BE14" s="8"/>
      <c r="BF14" s="8"/>
      <c r="BG14" s="8"/>
      <c r="BH14" s="8"/>
      <c r="BI14" s="8"/>
      <c r="BJ14" s="8"/>
      <c r="BK14" s="8"/>
      <c r="BL14" s="8"/>
      <c r="BM14" s="8"/>
    </row>
    <row r="15" spans="1:65" ht="399" customHeight="1" x14ac:dyDescent="0.25">
      <c r="A15" s="394">
        <v>2</v>
      </c>
      <c r="B15" s="396" t="s">
        <v>126</v>
      </c>
      <c r="C15" s="396" t="s">
        <v>368</v>
      </c>
      <c r="D15" s="421" t="s">
        <v>370</v>
      </c>
      <c r="E15" s="217" t="s">
        <v>220</v>
      </c>
      <c r="F15" s="400" t="s">
        <v>367</v>
      </c>
      <c r="G15" s="381"/>
      <c r="H15" s="428" t="s">
        <v>369</v>
      </c>
      <c r="I15" s="431" t="s">
        <v>122</v>
      </c>
      <c r="J15" s="436">
        <v>7162</v>
      </c>
      <c r="K15" s="439" t="str">
        <f>IF(J15&lt;=0,"",IF(J15&lt;=2,"Muy Baja",IF(J15&lt;=24,"Baja",IF(J15&lt;=500,"Media",IF(J15&lt;=5000,"Alta","Muy Alta")))))</f>
        <v>Muy Alta</v>
      </c>
      <c r="L15" s="442">
        <f>IF(K15="","",IF(K15="Muy Baja",0.2,IF(K15="Baja",0.4,IF(K15="Media",0.6,IF(K15="Alta",0.8,IF(K15="Muy Alta",1,))))))</f>
        <v>1</v>
      </c>
      <c r="M15" s="445" t="s">
        <v>207</v>
      </c>
      <c r="N15" s="442" t="str">
        <f>IF(NOT(ISERROR(MATCH(M15,'Tabla Impacto'!$B$221:$B$223,0))),'Tabla Impacto'!$F$223&amp;"Por favor no seleccionar los criterios de impacto(Afectación Económica o presupuestal y Pérdida Reputacional)",M15)</f>
        <v xml:space="preserve">     Entre 200 y 1000 SMLMV</v>
      </c>
      <c r="O15" s="439" t="str">
        <f>IF(OR(N15='Tabla Impacto'!$C$11,N15='Tabla Impacto'!$D$11),"Leve",IF(OR(N15='Tabla Impacto'!$C$12,N15='Tabla Impacto'!$D$12),"Menor",IF(OR(N15='Tabla Impacto'!$C$13,N15='Tabla Impacto'!$D$13),"Moderado",IF(OR(N15='Tabla Impacto'!$C$14,N15='Tabla Impacto'!$D$14),"Mayor",IF(OR(N15='Tabla Impacto'!$C$15,N15='Tabla Impacto'!$D$15),"Catastrófico","")))))</f>
        <v>Menor</v>
      </c>
      <c r="P15" s="442">
        <f>IF(O15="","",IF(O15="Leve",0.2,IF(O15="Menor",0.4,IF(O15="Moderado",0.6,IF(O15="Mayor",0.8,IF(O15="Catastrófico",1,))))))</f>
        <v>0.4</v>
      </c>
      <c r="Q15" s="469" t="str">
        <f>IF(OR(AND(K15="Muy Baja",O15="Leve"),AND(K15="Muy Baja",O15="Menor"),AND(K15="Baja",O15="Leve")),"Bajo",IF(OR(AND(K15="Muy baja",O15="Moderado"),AND(K15="Baja",O15="Menor"),AND(K15="Baja",O15="Moderado"),AND(K15="Media",O15="Leve"),AND(K15="Media",O15="Menor"),AND(K15="Media",O15="Moderado"),AND(K15="Alta",O15="Leve"),AND(K15="Alta",O15="Menor")),"Moderado",IF(OR(AND(K15="Muy Baja",O15="Mayor"),AND(K15="Baja",O15="Mayor"),AND(K15="Media",O15="Mayor"),AND(K15="Alta",O15="Moderado"),AND(K15="Alta",O15="Mayor"),AND(K15="Muy Alta",O15="Leve"),AND(K15="Muy Alta",O15="Menor"),AND(K15="Muy Alta",O15="Moderado"),AND(K15="Muy Alta",O15="Mayor")),"Alto",IF(OR(AND(K15="Muy Baja",O15="Catastrófico"),AND(K15="Baja",O15="Catastrófico"),AND(K15="Media",O15="Catastrófico"),AND(K15="Alta",O15="Catastrófico"),AND(K15="Muy Alta",O15="Catastrófico")),"Extremo",""))))</f>
        <v>Alto</v>
      </c>
      <c r="R15" s="105">
        <v>1</v>
      </c>
      <c r="S15" s="218" t="s">
        <v>366</v>
      </c>
      <c r="T15" s="107" t="str">
        <f>IF(OR(U15="Preventivo",U15="Detectivo"),"Probabilidad",IF(U15="Correctivo","Impacto",""))</f>
        <v>Impacto</v>
      </c>
      <c r="U15" s="119" t="s">
        <v>16</v>
      </c>
      <c r="V15" s="119" t="s">
        <v>9</v>
      </c>
      <c r="W15" s="120" t="str">
        <f t="shared" si="1"/>
        <v>25%</v>
      </c>
      <c r="X15" s="119" t="s">
        <v>19</v>
      </c>
      <c r="Y15" s="119" t="s">
        <v>22</v>
      </c>
      <c r="Z15" s="119" t="s">
        <v>113</v>
      </c>
      <c r="AA15" s="110">
        <f>IFERROR(IF(T15="Probabilidad",(L15-(+L15*W15)),IF(T15="Impacto",L15,"")),"")</f>
        <v>1</v>
      </c>
      <c r="AB15" s="122" t="str">
        <f>IFERROR(IF(AA15="","",IF(AA15&lt;=0.2,"Muy Baja",IF(AA15&lt;=0.4,"Baja",IF(AA15&lt;=0.6,"Media",IF(AA15&lt;=0.8,"Alta","Muy Alta"))))),"")</f>
        <v>Muy Alta</v>
      </c>
      <c r="AC15" s="123">
        <f>+AA15</f>
        <v>1</v>
      </c>
      <c r="AD15" s="122" t="str">
        <f>IFERROR(IF(AE15="","",IF(AE15&lt;=0.2,"Leve",IF(AE15&lt;=0.4,"Menor",IF(AE15&lt;=0.6,"Moderado",IF(AE15&lt;=0.8,"Mayor","Catastrófico"))))),"")</f>
        <v>Menor</v>
      </c>
      <c r="AE15" s="123">
        <f>IFERROR(IF(T15="Impacto",(P15-(+P15*W15)),IF(T15="Probabilidad",P15,"")),"")</f>
        <v>0.30000000000000004</v>
      </c>
      <c r="AF15" s="124" t="str">
        <f>IFERROR(IF(OR(AND(AB15="Muy Baja",AD15="Leve"),AND(AB15="Muy Baja",AD15="Menor"),AND(AB15="Baja",AD15="Leve")),"Bajo",IF(OR(AND(AB15="Muy baja",AD15="Moderado"),AND(AB15="Baja",AD15="Menor"),AND(AB15="Baja",AD15="Moderado"),AND(AB15="Media",AD15="Leve"),AND(AB15="Media",AD15="Menor"),AND(AB15="Media",AD15="Moderado"),AND(AB15="Alta",AD15="Leve"),AND(AB15="Alta",AD15="Menor")),"Moderado",IF(OR(AND(AB15="Muy Baja",AD15="Mayor"),AND(AB15="Baja",AD15="Mayor"),AND(AB15="Media",AD15="Mayor"),AND(AB15="Alta",AD15="Moderado"),AND(AB15="Alta",AD15="Mayor"),AND(AB15="Muy Alta",AD15="Leve"),AND(AB15="Muy Alta",AD15="Menor"),AND(AB15="Muy Alta",AD15="Moderado"),AND(AB15="Muy Alta",AD15="Mayor")),"Alto",IF(OR(AND(AB15="Muy Baja",AD15="Catastrófico"),AND(AB15="Baja",AD15="Catastrófico"),AND(AB15="Media",AD15="Catastrófico"),AND(AB15="Alta",AD15="Catastrófico"),AND(AB15="Muy Alta",AD15="Catastrófico")),"Extremo","")))),"")</f>
        <v>Alto</v>
      </c>
      <c r="AG15" s="114" t="s">
        <v>130</v>
      </c>
      <c r="AH15" s="214" t="s">
        <v>224</v>
      </c>
      <c r="AI15" s="159" t="s">
        <v>228</v>
      </c>
      <c r="AJ15" s="158">
        <v>45292</v>
      </c>
      <c r="AK15" s="158">
        <v>45657</v>
      </c>
      <c r="AL15" s="170" t="s">
        <v>40</v>
      </c>
      <c r="AM15" s="174" t="s">
        <v>382</v>
      </c>
      <c r="AN15" s="172" t="s">
        <v>393</v>
      </c>
      <c r="AO15" s="172" t="s">
        <v>396</v>
      </c>
      <c r="AP15" s="172" t="s">
        <v>418</v>
      </c>
      <c r="AQ15" s="172" t="s">
        <v>419</v>
      </c>
      <c r="AR15" s="213"/>
      <c r="AS15" s="8"/>
      <c r="AT15" s="8"/>
      <c r="AU15" s="8"/>
      <c r="AV15" s="8"/>
      <c r="AW15" s="8"/>
      <c r="AX15" s="8"/>
      <c r="AY15" s="8"/>
      <c r="AZ15" s="8"/>
      <c r="BA15" s="8"/>
      <c r="BB15" s="8"/>
      <c r="BC15" s="8"/>
      <c r="BD15" s="8"/>
      <c r="BE15" s="8"/>
      <c r="BF15" s="8"/>
      <c r="BG15" s="8"/>
      <c r="BH15" s="8"/>
      <c r="BI15" s="8"/>
      <c r="BJ15" s="8"/>
      <c r="BK15" s="8"/>
      <c r="BL15" s="8"/>
      <c r="BM15" s="8"/>
    </row>
    <row r="16" spans="1:65" ht="408.75" customHeight="1" x14ac:dyDescent="0.25">
      <c r="A16" s="395"/>
      <c r="B16" s="397"/>
      <c r="C16" s="397"/>
      <c r="D16" s="422"/>
      <c r="E16" s="216" t="s">
        <v>376</v>
      </c>
      <c r="F16" s="400"/>
      <c r="G16" s="381"/>
      <c r="H16" s="429"/>
      <c r="I16" s="432"/>
      <c r="J16" s="437"/>
      <c r="K16" s="440"/>
      <c r="L16" s="443"/>
      <c r="M16" s="446"/>
      <c r="N16" s="443">
        <f>IF(NOT(ISERROR(MATCH(M16,_xlfn.ANCHORARRAY(F27),0))),L29&amp;"Por favor no seleccionar los criterios de impacto",M16)</f>
        <v>0</v>
      </c>
      <c r="O16" s="440"/>
      <c r="P16" s="443"/>
      <c r="Q16" s="470"/>
      <c r="R16" s="105">
        <v>2</v>
      </c>
      <c r="S16" s="155" t="s">
        <v>372</v>
      </c>
      <c r="T16" s="107" t="str">
        <f>IF(OR(U16="Preventivo",U16="Detectivo"),"Probabilidad",IF(U16="Correctivo","Impacto",""))</f>
        <v>Impacto</v>
      </c>
      <c r="U16" s="119" t="s">
        <v>16</v>
      </c>
      <c r="V16" s="119" t="s">
        <v>9</v>
      </c>
      <c r="W16" s="120" t="str">
        <f t="shared" si="1"/>
        <v>25%</v>
      </c>
      <c r="X16" s="119" t="s">
        <v>19</v>
      </c>
      <c r="Y16" s="119" t="s">
        <v>22</v>
      </c>
      <c r="Z16" s="119" t="s">
        <v>113</v>
      </c>
      <c r="AA16" s="110">
        <f>IFERROR(IF(AND(T15="Probabilidad",T16="Probabilidad"),(AC15-(+AC15*W16)),IF(AND(T15="Impacto",T16="Probabilidad"),(#REF!-(+#REF!*W16)),IF(T16="Impacto",AC15,""))),"")</f>
        <v>1</v>
      </c>
      <c r="AB16" s="122" t="str">
        <f t="shared" ref="AB16:AB20" si="6">IFERROR(IF(AA16="","",IF(AA16&lt;=0.2,"Muy Baja",IF(AA16&lt;=0.4,"Baja",IF(AA16&lt;=0.6,"Media",IF(AA16&lt;=0.8,"Alta","Muy Alta"))))),"")</f>
        <v>Muy Alta</v>
      </c>
      <c r="AC16" s="123">
        <f t="shared" ref="AC16:AC20" si="7">+AA16</f>
        <v>1</v>
      </c>
      <c r="AD16" s="122" t="str">
        <f t="shared" ref="AD16:AD20" si="8">IFERROR(IF(AE16="","",IF(AE16&lt;=0.2,"Leve",IF(AE16&lt;=0.4,"Menor",IF(AE16&lt;=0.6,"Moderado",IF(AE16&lt;=0.8,"Mayor","Catastrófico"))))),"")</f>
        <v>Menor</v>
      </c>
      <c r="AE16" s="123">
        <f>IFERROR(IF(AND(T15="Impacto",T16="Impacto"),(AE15-(+AE15*W16)),IF(AND(T15="Probabilidad",T16="Impacto"),(#REF!-(+#REF!*W16)),IF(T16="Probabilidad",AE15,""))),"")</f>
        <v>0.22500000000000003</v>
      </c>
      <c r="AF16" s="124" t="str">
        <f t="shared" ref="AF16:AF20" si="9">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Alto</v>
      </c>
      <c r="AG16" s="114" t="s">
        <v>130</v>
      </c>
      <c r="AH16" s="214" t="s">
        <v>373</v>
      </c>
      <c r="AI16" s="159" t="s">
        <v>228</v>
      </c>
      <c r="AJ16" s="158">
        <v>45292</v>
      </c>
      <c r="AK16" s="158">
        <v>45657</v>
      </c>
      <c r="AL16" s="170" t="s">
        <v>40</v>
      </c>
      <c r="AM16" s="172" t="s">
        <v>386</v>
      </c>
      <c r="AN16" s="172" t="s">
        <v>392</v>
      </c>
      <c r="AO16" s="172" t="s">
        <v>397</v>
      </c>
      <c r="AP16" s="172" t="s">
        <v>386</v>
      </c>
      <c r="AQ16" s="172" t="s">
        <v>420</v>
      </c>
      <c r="AR16" s="213"/>
      <c r="AS16" s="8"/>
      <c r="AT16" s="8"/>
      <c r="AU16" s="8"/>
      <c r="AV16" s="8"/>
      <c r="AW16" s="8"/>
      <c r="AX16" s="8"/>
      <c r="AY16" s="8"/>
      <c r="AZ16" s="8"/>
      <c r="BA16" s="8"/>
      <c r="BB16" s="8"/>
      <c r="BC16" s="8"/>
      <c r="BD16" s="8"/>
      <c r="BE16" s="8"/>
      <c r="BF16" s="8"/>
      <c r="BG16" s="8"/>
      <c r="BH16" s="8"/>
      <c r="BI16" s="8"/>
      <c r="BJ16" s="8"/>
      <c r="BK16" s="8"/>
      <c r="BL16" s="8"/>
      <c r="BM16" s="8"/>
    </row>
    <row r="17" spans="1:65" ht="25.5" customHeight="1" x14ac:dyDescent="0.25">
      <c r="A17" s="395"/>
      <c r="B17" s="397"/>
      <c r="C17" s="397"/>
      <c r="D17" s="422"/>
      <c r="E17" s="217"/>
      <c r="F17" s="400"/>
      <c r="G17" s="381"/>
      <c r="H17" s="429"/>
      <c r="I17" s="432"/>
      <c r="J17" s="437"/>
      <c r="K17" s="440"/>
      <c r="L17" s="443"/>
      <c r="M17" s="446"/>
      <c r="N17" s="443">
        <f>IF(NOT(ISERROR(MATCH(M17,_xlfn.ANCHORARRAY(F28),0))),L30&amp;"Por favor no seleccionar los criterios de impacto",M17)</f>
        <v>0</v>
      </c>
      <c r="O17" s="440"/>
      <c r="P17" s="443"/>
      <c r="Q17" s="470"/>
      <c r="R17" s="105">
        <v>3</v>
      </c>
      <c r="S17" s="118"/>
      <c r="T17" s="107"/>
      <c r="U17" s="119"/>
      <c r="V17" s="119"/>
      <c r="W17" s="120"/>
      <c r="X17" s="119"/>
      <c r="Y17" s="119"/>
      <c r="Z17" s="119"/>
      <c r="AA17" s="110" t="str">
        <f t="shared" ref="AA17:AA20" si="10">IFERROR(IF(AND(T16="Probabilidad",T17="Probabilidad"),(AC16-(+AC16*W17)),IF(AND(T16="Impacto",T17="Probabilidad"),(AC15-(+AC15*W17)),IF(T17="Impacto",AC16,""))),"")</f>
        <v/>
      </c>
      <c r="AB17" s="122" t="str">
        <f t="shared" si="6"/>
        <v/>
      </c>
      <c r="AC17" s="123" t="str">
        <f t="shared" si="7"/>
        <v/>
      </c>
      <c r="AD17" s="122" t="str">
        <f t="shared" si="8"/>
        <v/>
      </c>
      <c r="AE17" s="123" t="str">
        <f t="shared" ref="AE17:AE20" si="11">IFERROR(IF(AND(T16="Impacto",T17="Impacto"),(AE16-(+AE16*W17)),IF(AND(T16="Probabilidad",T17="Impacto"),(AE15-(+AE15*W17)),IF(T17="Probabilidad",AE16,""))),"")</f>
        <v/>
      </c>
      <c r="AF17" s="124" t="str">
        <f t="shared" si="9"/>
        <v/>
      </c>
      <c r="AG17" s="114"/>
      <c r="AH17" s="115"/>
      <c r="AI17" s="116"/>
      <c r="AJ17" s="117"/>
      <c r="AK17" s="117"/>
      <c r="AL17" s="116"/>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row>
    <row r="18" spans="1:65" ht="25.5" customHeight="1" x14ac:dyDescent="0.25">
      <c r="A18" s="395"/>
      <c r="B18" s="397"/>
      <c r="C18" s="397"/>
      <c r="D18" s="422"/>
      <c r="E18" s="217"/>
      <c r="F18" s="400"/>
      <c r="G18" s="381"/>
      <c r="H18" s="429"/>
      <c r="I18" s="432"/>
      <c r="J18" s="437"/>
      <c r="K18" s="440"/>
      <c r="L18" s="443"/>
      <c r="M18" s="446"/>
      <c r="N18" s="443">
        <f>IF(NOT(ISERROR(MATCH(M18,_xlfn.ANCHORARRAY(F29),0))),L31&amp;"Por favor no seleccionar los criterios de impacto",M18)</f>
        <v>0</v>
      </c>
      <c r="O18" s="440"/>
      <c r="P18" s="443"/>
      <c r="Q18" s="470"/>
      <c r="R18" s="105">
        <v>4</v>
      </c>
      <c r="S18" s="106"/>
      <c r="T18" s="107"/>
      <c r="U18" s="119"/>
      <c r="V18" s="119"/>
      <c r="W18" s="120" t="str">
        <f t="shared" si="1"/>
        <v/>
      </c>
      <c r="X18" s="119"/>
      <c r="Y18" s="119"/>
      <c r="Z18" s="119"/>
      <c r="AA18" s="110" t="str">
        <f t="shared" si="10"/>
        <v/>
      </c>
      <c r="AB18" s="122" t="str">
        <f t="shared" si="6"/>
        <v/>
      </c>
      <c r="AC18" s="123" t="str">
        <f t="shared" si="7"/>
        <v/>
      </c>
      <c r="AD18" s="122" t="str">
        <f t="shared" si="8"/>
        <v/>
      </c>
      <c r="AE18" s="123" t="str">
        <f t="shared" si="11"/>
        <v/>
      </c>
      <c r="AF18" s="124" t="str">
        <f t="shared" si="9"/>
        <v/>
      </c>
      <c r="AG18" s="114"/>
      <c r="AH18" s="115"/>
      <c r="AI18" s="116"/>
      <c r="AJ18" s="117"/>
      <c r="AK18" s="117"/>
      <c r="AL18" s="116"/>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row>
    <row r="19" spans="1:65" ht="24" customHeight="1" x14ac:dyDescent="0.25">
      <c r="A19" s="395"/>
      <c r="B19" s="397"/>
      <c r="C19" s="397"/>
      <c r="D19" s="422"/>
      <c r="E19" s="217"/>
      <c r="F19" s="400"/>
      <c r="G19" s="381"/>
      <c r="H19" s="429"/>
      <c r="I19" s="432"/>
      <c r="J19" s="437"/>
      <c r="K19" s="440"/>
      <c r="L19" s="443"/>
      <c r="M19" s="446"/>
      <c r="N19" s="443">
        <f>IF(NOT(ISERROR(MATCH(M19,_xlfn.ANCHORARRAY(F30),0))),L32&amp;"Por favor no seleccionar los criterios de impacto",M19)</f>
        <v>0</v>
      </c>
      <c r="O19" s="440"/>
      <c r="P19" s="443"/>
      <c r="Q19" s="470"/>
      <c r="R19" s="105">
        <v>5</v>
      </c>
      <c r="S19" s="106"/>
      <c r="T19" s="107"/>
      <c r="U19" s="119"/>
      <c r="V19" s="119"/>
      <c r="W19" s="120" t="str">
        <f t="shared" si="1"/>
        <v/>
      </c>
      <c r="X19" s="119"/>
      <c r="Y19" s="119"/>
      <c r="Z19" s="119"/>
      <c r="AA19" s="110" t="str">
        <f t="shared" si="10"/>
        <v/>
      </c>
      <c r="AB19" s="122" t="str">
        <f t="shared" si="6"/>
        <v/>
      </c>
      <c r="AC19" s="123" t="str">
        <f t="shared" si="7"/>
        <v/>
      </c>
      <c r="AD19" s="122" t="str">
        <f t="shared" si="8"/>
        <v/>
      </c>
      <c r="AE19" s="123" t="str">
        <f t="shared" si="11"/>
        <v/>
      </c>
      <c r="AF19" s="124" t="str">
        <f t="shared" si="9"/>
        <v/>
      </c>
      <c r="AG19" s="114"/>
      <c r="AH19" s="115"/>
      <c r="AI19" s="116"/>
      <c r="AJ19" s="117"/>
      <c r="AK19" s="117"/>
      <c r="AL19" s="116"/>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row>
    <row r="20" spans="1:65" ht="25.5" customHeight="1" x14ac:dyDescent="0.25">
      <c r="A20" s="413"/>
      <c r="B20" s="425"/>
      <c r="C20" s="425"/>
      <c r="D20" s="423"/>
      <c r="E20" s="217"/>
      <c r="F20" s="400"/>
      <c r="G20" s="382"/>
      <c r="H20" s="430"/>
      <c r="I20" s="435"/>
      <c r="J20" s="438"/>
      <c r="K20" s="441"/>
      <c r="L20" s="444"/>
      <c r="M20" s="447"/>
      <c r="N20" s="444">
        <f>IF(NOT(ISERROR(MATCH(M20,_xlfn.ANCHORARRAY(F31),0))),L33&amp;"Por favor no seleccionar los criterios de impacto",M20)</f>
        <v>0</v>
      </c>
      <c r="O20" s="441"/>
      <c r="P20" s="444"/>
      <c r="Q20" s="471"/>
      <c r="R20" s="105">
        <v>6</v>
      </c>
      <c r="S20" s="106"/>
      <c r="T20" s="107" t="str">
        <f t="shared" ref="T20" si="12">IF(OR(U20="Preventivo",U20="Detectivo"),"Probabilidad",IF(U20="Correctivo","Impacto",""))</f>
        <v/>
      </c>
      <c r="U20" s="119"/>
      <c r="V20" s="119"/>
      <c r="W20" s="120" t="str">
        <f t="shared" si="1"/>
        <v/>
      </c>
      <c r="X20" s="119"/>
      <c r="Y20" s="119"/>
      <c r="Z20" s="119"/>
      <c r="AA20" s="110" t="str">
        <f t="shared" si="10"/>
        <v/>
      </c>
      <c r="AB20" s="122" t="str">
        <f t="shared" si="6"/>
        <v/>
      </c>
      <c r="AC20" s="123" t="str">
        <f t="shared" si="7"/>
        <v/>
      </c>
      <c r="AD20" s="122" t="str">
        <f t="shared" si="8"/>
        <v/>
      </c>
      <c r="AE20" s="123" t="str">
        <f t="shared" si="11"/>
        <v/>
      </c>
      <c r="AF20" s="124" t="str">
        <f t="shared" si="9"/>
        <v/>
      </c>
      <c r="AG20" s="114"/>
      <c r="AH20" s="115"/>
      <c r="AI20" s="116"/>
      <c r="AJ20" s="117"/>
      <c r="AK20" s="117"/>
      <c r="AL20" s="116"/>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row>
    <row r="21" spans="1:65" ht="27" customHeight="1" x14ac:dyDescent="0.25">
      <c r="A21" s="394">
        <v>3</v>
      </c>
      <c r="B21" s="414"/>
      <c r="C21" s="414"/>
      <c r="D21" s="417"/>
      <c r="E21" s="153"/>
      <c r="F21" s="420"/>
      <c r="G21" s="227"/>
      <c r="H21" s="478"/>
      <c r="I21" s="481"/>
      <c r="J21" s="436"/>
      <c r="K21" s="439" t="str">
        <f t="shared" ref="K21" si="13">IF(J21&lt;=0,"",IF(J21&lt;=2,"Muy Baja",IF(J21&lt;=24,"Baja",IF(J21&lt;=500,"Media",IF(J21&lt;=5000,"Alta","Muy Alta")))))</f>
        <v/>
      </c>
      <c r="L21" s="442" t="str">
        <f t="shared" ref="L21" si="14">IF(K21="","",IF(K21="Muy Baja",0.2,IF(K21="Baja",0.4,IF(K21="Media",0.6,IF(K21="Alta",0.8,IF(K21="Muy Alta",1,))))))</f>
        <v/>
      </c>
      <c r="M21" s="445"/>
      <c r="N21" s="442">
        <f>IF(NOT(ISERROR(MATCH(M21,'Tabla Impacto'!$B$221:$B$223,0))),'Tabla Impacto'!$F$223&amp;"Por favor no seleccionar los criterios de impacto(Afectación Económica o presupuestal y Pérdida Reputacional)",M21)</f>
        <v>0</v>
      </c>
      <c r="O21" s="439" t="str">
        <f>IF(OR(N21='Tabla Impacto'!$C$11,N21='Tabla Impacto'!$D$11),"Leve",IF(OR(N21='Tabla Impacto'!$C$12,N21='Tabla Impacto'!$D$12),"Menor",IF(OR(N21='Tabla Impacto'!$C$13,N21='Tabla Impacto'!$D$13),"Moderado",IF(OR(N21='Tabla Impacto'!$C$14,N21='Tabla Impacto'!$D$14),"Mayor",IF(OR(N21='Tabla Impacto'!$C$15,N21='Tabla Impacto'!$D$15),"Catastrófico","")))))</f>
        <v>Leve</v>
      </c>
      <c r="P21" s="442">
        <f t="shared" ref="P21" si="15">IF(O21="","",IF(O21="Leve",0.2,IF(O21="Menor",0.4,IF(O21="Moderado",0.6,IF(O21="Mayor",0.8,IF(O21="Catastrófico",1,))))))</f>
        <v>0.2</v>
      </c>
      <c r="Q21" s="469" t="str">
        <f t="shared" ref="Q21" si="16">IF(OR(AND(K21="Muy Baja",O21="Leve"),AND(K21="Muy Baja",O21="Menor"),AND(K21="Baja",O21="Leve")),"Bajo",IF(OR(AND(K21="Muy baja",O21="Moderado"),AND(K21="Baja",O21="Menor"),AND(K21="Baja",O21="Moderado"),AND(K21="Media",O21="Leve"),AND(K21="Media",O21="Menor"),AND(K21="Media",O21="Moderado"),AND(K21="Alta",O21="Leve"),AND(K21="Alta",O21="Menor")),"Moderado",IF(OR(AND(K21="Muy Baja",O21="Mayor"),AND(K21="Baja",O21="Mayor"),AND(K21="Media",O21="Mayor"),AND(K21="Alta",O21="Moderado"),AND(K21="Alta",O21="Mayor"),AND(K21="Muy Alta",O21="Leve"),AND(K21="Muy Alta",O21="Menor"),AND(K21="Muy Alta",O21="Moderado"),AND(K21="Muy Alta",O21="Mayor")),"Alto",IF(OR(AND(K21="Muy Baja",O21="Catastrófico"),AND(K21="Baja",O21="Catastrófico"),AND(K21="Media",O21="Catastrófico"),AND(K21="Alta",O21="Catastrófico"),AND(K21="Muy Alta",O21="Catastrófico")),"Extremo",""))))</f>
        <v/>
      </c>
      <c r="R21" s="105">
        <v>1</v>
      </c>
      <c r="S21" s="155"/>
      <c r="T21" s="107"/>
      <c r="U21" s="119"/>
      <c r="V21" s="119"/>
      <c r="W21" s="120"/>
      <c r="X21" s="119"/>
      <c r="Y21" s="119"/>
      <c r="Z21" s="119"/>
      <c r="AA21" s="110"/>
      <c r="AB21" s="111"/>
      <c r="AC21" s="112"/>
      <c r="AD21" s="111"/>
      <c r="AE21" s="112"/>
      <c r="AF21" s="113"/>
      <c r="AG21" s="114"/>
      <c r="AH21" s="121"/>
      <c r="AI21" s="121"/>
      <c r="AJ21" s="117"/>
      <c r="AK21" s="117"/>
      <c r="AL21" s="116"/>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row>
    <row r="22" spans="1:65" ht="26.1" customHeight="1" x14ac:dyDescent="0.25">
      <c r="A22" s="395"/>
      <c r="B22" s="415"/>
      <c r="C22" s="415"/>
      <c r="D22" s="418"/>
      <c r="E22" s="153"/>
      <c r="F22" s="420"/>
      <c r="G22" s="228"/>
      <c r="H22" s="479"/>
      <c r="I22" s="482"/>
      <c r="J22" s="437"/>
      <c r="K22" s="440"/>
      <c r="L22" s="443"/>
      <c r="M22" s="446"/>
      <c r="N22" s="443">
        <f>IF(NOT(ISERROR(MATCH(M22,_xlfn.ANCHORARRAY(F33),0))),L35&amp;"Por favor no seleccionar los criterios de impacto",M22)</f>
        <v>0</v>
      </c>
      <c r="O22" s="440"/>
      <c r="P22" s="443"/>
      <c r="Q22" s="470"/>
      <c r="R22" s="105">
        <v>2</v>
      </c>
      <c r="S22" s="106"/>
      <c r="T22" s="107" t="str">
        <f>IF(OR(U22="Preventivo",U22="Detectivo"),"Probabilidad",IF(U22="Correctivo","Impacto",""))</f>
        <v/>
      </c>
      <c r="U22" s="108"/>
      <c r="V22" s="108"/>
      <c r="W22" s="109" t="str">
        <f t="shared" ref="W22:W26" si="17">IF(AND(U22="Preventivo",V22="Automático"),"50%",IF(AND(U22="Preventivo",V22="Manual"),"40%",IF(AND(U22="Detectivo",V22="Automático"),"40%",IF(AND(U22="Detectivo",V22="Manual"),"30%",IF(AND(U22="Correctivo",V22="Automático"),"35%",IF(AND(U22="Correctivo",V22="Manual"),"25%",""))))))</f>
        <v/>
      </c>
      <c r="X22" s="108"/>
      <c r="Y22" s="108"/>
      <c r="Z22" s="108"/>
      <c r="AA22" s="110" t="str">
        <f>IFERROR(IF(AND(T21="Probabilidad",T22="Probabilidad"),(AC21-(+AC21*W22)),IF(AND(T21="Impacto",T22="Probabilidad"),(AC20-(+AC20*W22)),IF(T22="Impacto",AC21,""))),"")</f>
        <v/>
      </c>
      <c r="AB22" s="111" t="str">
        <f t="shared" ref="AB22:AB26" si="18">IFERROR(IF(AA22="","",IF(AA22&lt;=0.2,"Muy Baja",IF(AA22&lt;=0.4,"Baja",IF(AA22&lt;=0.6,"Media",IF(AA22&lt;=0.8,"Alta","Muy Alta"))))),"")</f>
        <v/>
      </c>
      <c r="AC22" s="112" t="str">
        <f t="shared" ref="AC22:AC26" si="19">+AA22</f>
        <v/>
      </c>
      <c r="AD22" s="111" t="str">
        <f t="shared" ref="AD22:AD26" si="20">IFERROR(IF(AE22="","",IF(AE22&lt;=0.2,"Leve",IF(AE22&lt;=0.4,"Menor",IF(AE22&lt;=0.6,"Moderado",IF(AE22&lt;=0.8,"Mayor","Catastrófico"))))),"")</f>
        <v/>
      </c>
      <c r="AE22" s="112" t="str">
        <f>IFERROR(IF(AND(T21="Impacto",T22="Impacto"),(AE21-(+AE21*W22)),IF(AND(T21="Probabilidad",T22="Impacto"),(AE20-(+AE20*W22)),IF(T22="Probabilidad",AE21,""))),"")</f>
        <v/>
      </c>
      <c r="AF22" s="113" t="str">
        <f t="shared" ref="AF22:AF26" si="21">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
      </c>
      <c r="AG22" s="114"/>
      <c r="AH22" s="115"/>
      <c r="AI22" s="116"/>
      <c r="AJ22" s="117"/>
      <c r="AK22" s="117"/>
      <c r="AL22" s="116"/>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row>
    <row r="23" spans="1:65" ht="26.1" customHeight="1" x14ac:dyDescent="0.25">
      <c r="A23" s="395"/>
      <c r="B23" s="415"/>
      <c r="C23" s="415"/>
      <c r="D23" s="418"/>
      <c r="E23" s="153"/>
      <c r="F23" s="420"/>
      <c r="G23" s="228"/>
      <c r="H23" s="479"/>
      <c r="I23" s="482"/>
      <c r="J23" s="437"/>
      <c r="K23" s="440"/>
      <c r="L23" s="443"/>
      <c r="M23" s="446"/>
      <c r="N23" s="443">
        <f>IF(NOT(ISERROR(MATCH(M23,_xlfn.ANCHORARRAY(F34),0))),L36&amp;"Por favor no seleccionar los criterios de impacto",M23)</f>
        <v>0</v>
      </c>
      <c r="O23" s="440"/>
      <c r="P23" s="443"/>
      <c r="Q23" s="470"/>
      <c r="R23" s="105">
        <v>3</v>
      </c>
      <c r="S23" s="118"/>
      <c r="T23" s="107" t="str">
        <f>IF(OR(U23="Preventivo",U23="Detectivo"),"Probabilidad",IF(U23="Correctivo","Impacto",""))</f>
        <v/>
      </c>
      <c r="U23" s="108"/>
      <c r="V23" s="108"/>
      <c r="W23" s="109" t="str">
        <f t="shared" si="17"/>
        <v/>
      </c>
      <c r="X23" s="108"/>
      <c r="Y23" s="108"/>
      <c r="Z23" s="108"/>
      <c r="AA23" s="110" t="str">
        <f t="shared" ref="AA23:AA26" si="22">IFERROR(IF(AND(T22="Probabilidad",T23="Probabilidad"),(AC22-(+AC22*W23)),IF(AND(T22="Impacto",T23="Probabilidad"),(AC21-(+AC21*W23)),IF(T23="Impacto",AC22,""))),"")</f>
        <v/>
      </c>
      <c r="AB23" s="111" t="str">
        <f t="shared" si="18"/>
        <v/>
      </c>
      <c r="AC23" s="112" t="str">
        <f t="shared" si="19"/>
        <v/>
      </c>
      <c r="AD23" s="111" t="str">
        <f t="shared" si="20"/>
        <v/>
      </c>
      <c r="AE23" s="112" t="str">
        <f t="shared" ref="AE23:AE26" si="23">IFERROR(IF(AND(T22="Impacto",T23="Impacto"),(AE22-(+AE22*W23)),IF(AND(T22="Probabilidad",T23="Impacto"),(AE21-(+AE21*W23)),IF(T23="Probabilidad",AE22,""))),"")</f>
        <v/>
      </c>
      <c r="AF23" s="113" t="str">
        <f t="shared" si="21"/>
        <v/>
      </c>
      <c r="AG23" s="114"/>
      <c r="AH23" s="115"/>
      <c r="AI23" s="116"/>
      <c r="AJ23" s="117"/>
      <c r="AK23" s="117"/>
      <c r="AL23" s="116"/>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row>
    <row r="24" spans="1:65" ht="26.25" customHeight="1" x14ac:dyDescent="0.25">
      <c r="A24" s="395"/>
      <c r="B24" s="415"/>
      <c r="C24" s="415"/>
      <c r="D24" s="418"/>
      <c r="E24" s="143"/>
      <c r="F24" s="420"/>
      <c r="G24" s="228"/>
      <c r="H24" s="479"/>
      <c r="I24" s="482"/>
      <c r="J24" s="437"/>
      <c r="K24" s="440"/>
      <c r="L24" s="443"/>
      <c r="M24" s="446"/>
      <c r="N24" s="443">
        <f>IF(NOT(ISERROR(MATCH(M24,_xlfn.ANCHORARRAY(F35),0))),L37&amp;"Por favor no seleccionar los criterios de impacto",M24)</f>
        <v>0</v>
      </c>
      <c r="O24" s="440"/>
      <c r="P24" s="443"/>
      <c r="Q24" s="470"/>
      <c r="R24" s="105">
        <v>4</v>
      </c>
      <c r="S24" s="106"/>
      <c r="T24" s="107" t="str">
        <f t="shared" ref="T24:T26" si="24">IF(OR(U24="Preventivo",U24="Detectivo"),"Probabilidad",IF(U24="Correctivo","Impacto",""))</f>
        <v/>
      </c>
      <c r="U24" s="108"/>
      <c r="V24" s="108"/>
      <c r="W24" s="109" t="str">
        <f t="shared" si="17"/>
        <v/>
      </c>
      <c r="X24" s="108"/>
      <c r="Y24" s="108"/>
      <c r="Z24" s="108"/>
      <c r="AA24" s="110" t="str">
        <f t="shared" si="22"/>
        <v/>
      </c>
      <c r="AB24" s="111" t="str">
        <f t="shared" si="18"/>
        <v/>
      </c>
      <c r="AC24" s="112" t="str">
        <f t="shared" si="19"/>
        <v/>
      </c>
      <c r="AD24" s="111" t="str">
        <f t="shared" si="20"/>
        <v/>
      </c>
      <c r="AE24" s="112" t="str">
        <f t="shared" si="23"/>
        <v/>
      </c>
      <c r="AF24" s="113" t="str">
        <f t="shared" si="21"/>
        <v/>
      </c>
      <c r="AG24" s="114"/>
      <c r="AH24" s="115"/>
      <c r="AI24" s="116"/>
      <c r="AJ24" s="117"/>
      <c r="AK24" s="117"/>
      <c r="AL24" s="116"/>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row>
    <row r="25" spans="1:65" ht="26.25" customHeight="1" x14ac:dyDescent="0.25">
      <c r="A25" s="395"/>
      <c r="B25" s="415"/>
      <c r="C25" s="415"/>
      <c r="D25" s="418"/>
      <c r="E25" s="143"/>
      <c r="F25" s="420"/>
      <c r="G25" s="228"/>
      <c r="H25" s="479"/>
      <c r="I25" s="482"/>
      <c r="J25" s="437"/>
      <c r="K25" s="440"/>
      <c r="L25" s="443"/>
      <c r="M25" s="446"/>
      <c r="N25" s="443">
        <f>IF(NOT(ISERROR(MATCH(M25,_xlfn.ANCHORARRAY(F36),0))),L38&amp;"Por favor no seleccionar los criterios de impacto",M25)</f>
        <v>0</v>
      </c>
      <c r="O25" s="440"/>
      <c r="P25" s="443"/>
      <c r="Q25" s="470"/>
      <c r="R25" s="105">
        <v>5</v>
      </c>
      <c r="S25" s="106"/>
      <c r="T25" s="107" t="str">
        <f t="shared" si="24"/>
        <v/>
      </c>
      <c r="U25" s="108"/>
      <c r="V25" s="108"/>
      <c r="W25" s="109" t="str">
        <f t="shared" si="17"/>
        <v/>
      </c>
      <c r="X25" s="108"/>
      <c r="Y25" s="108"/>
      <c r="Z25" s="108"/>
      <c r="AA25" s="110" t="str">
        <f t="shared" si="22"/>
        <v/>
      </c>
      <c r="AB25" s="111" t="str">
        <f t="shared" si="18"/>
        <v/>
      </c>
      <c r="AC25" s="112" t="str">
        <f t="shared" si="19"/>
        <v/>
      </c>
      <c r="AD25" s="111" t="str">
        <f t="shared" si="20"/>
        <v/>
      </c>
      <c r="AE25" s="112" t="str">
        <f t="shared" si="23"/>
        <v/>
      </c>
      <c r="AF25" s="113" t="str">
        <f t="shared" si="21"/>
        <v/>
      </c>
      <c r="AG25" s="114"/>
      <c r="AH25" s="115"/>
      <c r="AI25" s="116"/>
      <c r="AJ25" s="117"/>
      <c r="AK25" s="117"/>
      <c r="AL25" s="116"/>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row>
    <row r="26" spans="1:65" ht="26.25" customHeight="1" x14ac:dyDescent="0.25">
      <c r="A26" s="413"/>
      <c r="B26" s="416"/>
      <c r="C26" s="416"/>
      <c r="D26" s="419"/>
      <c r="E26" s="143"/>
      <c r="F26" s="420"/>
      <c r="G26" s="229"/>
      <c r="H26" s="480"/>
      <c r="I26" s="483"/>
      <c r="J26" s="438"/>
      <c r="K26" s="441"/>
      <c r="L26" s="444"/>
      <c r="M26" s="447"/>
      <c r="N26" s="444">
        <f>IF(NOT(ISERROR(MATCH(M26,_xlfn.ANCHORARRAY(F37),0))),L39&amp;"Por favor no seleccionar los criterios de impacto",M26)</f>
        <v>0</v>
      </c>
      <c r="O26" s="441"/>
      <c r="P26" s="444"/>
      <c r="Q26" s="471"/>
      <c r="R26" s="105">
        <v>6</v>
      </c>
      <c r="S26" s="106"/>
      <c r="T26" s="107" t="str">
        <f t="shared" si="24"/>
        <v/>
      </c>
      <c r="U26" s="108"/>
      <c r="V26" s="108"/>
      <c r="W26" s="109" t="str">
        <f t="shared" si="17"/>
        <v/>
      </c>
      <c r="X26" s="108"/>
      <c r="Y26" s="108"/>
      <c r="Z26" s="108"/>
      <c r="AA26" s="110" t="str">
        <f t="shared" si="22"/>
        <v/>
      </c>
      <c r="AB26" s="111" t="str">
        <f t="shared" si="18"/>
        <v/>
      </c>
      <c r="AC26" s="112" t="str">
        <f t="shared" si="19"/>
        <v/>
      </c>
      <c r="AD26" s="111" t="str">
        <f t="shared" si="20"/>
        <v/>
      </c>
      <c r="AE26" s="112" t="str">
        <f t="shared" si="23"/>
        <v/>
      </c>
      <c r="AF26" s="113" t="str">
        <f t="shared" si="21"/>
        <v/>
      </c>
      <c r="AG26" s="114"/>
      <c r="AH26" s="115"/>
      <c r="AI26" s="116"/>
      <c r="AJ26" s="117"/>
      <c r="AK26" s="117"/>
      <c r="AL26" s="116"/>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row>
    <row r="27" spans="1:65" ht="26.25" customHeight="1" x14ac:dyDescent="0.25">
      <c r="A27" s="394">
        <v>4</v>
      </c>
      <c r="B27" s="414"/>
      <c r="C27" s="414"/>
      <c r="D27" s="417"/>
      <c r="E27" s="143"/>
      <c r="F27" s="420"/>
      <c r="G27" s="144"/>
      <c r="H27" s="144"/>
      <c r="I27" s="481"/>
      <c r="J27" s="436"/>
      <c r="K27" s="439" t="str">
        <f t="shared" ref="K27" si="25">IF(J27&lt;=0,"",IF(J27&lt;=2,"Muy Baja",IF(J27&lt;=24,"Baja",IF(J27&lt;=500,"Media",IF(J27&lt;=5000,"Alta","Muy Alta")))))</f>
        <v/>
      </c>
      <c r="L27" s="442" t="str">
        <f t="shared" ref="L27" si="26">IF(K27="","",IF(K27="Muy Baja",0.2,IF(K27="Baja",0.4,IF(K27="Media",0.6,IF(K27="Alta",0.8,IF(K27="Muy Alta",1,))))))</f>
        <v/>
      </c>
      <c r="M27" s="445"/>
      <c r="N27" s="442">
        <f>IF(NOT(ISERROR(MATCH(M27,'Tabla Impacto'!$B$221:$B$223,0))),'Tabla Impacto'!$F$223&amp;"Por favor no seleccionar los criterios de impacto(Afectación Económica o presupuestal y Pérdida Reputacional)",M27)</f>
        <v>0</v>
      </c>
      <c r="O27" s="439" t="str">
        <f>IF(OR(N27='Tabla Impacto'!$C$11,N27='Tabla Impacto'!$D$11),"Leve",IF(OR(N27='Tabla Impacto'!$C$12,N27='Tabla Impacto'!$D$12),"Menor",IF(OR(N27='Tabla Impacto'!$C$13,N27='Tabla Impacto'!$D$13),"Moderado",IF(OR(N27='Tabla Impacto'!$C$14,N27='Tabla Impacto'!$D$14),"Mayor",IF(OR(N27='Tabla Impacto'!$C$15,N27='Tabla Impacto'!$D$15),"Catastrófico","")))))</f>
        <v>Leve</v>
      </c>
      <c r="P27" s="442">
        <f t="shared" ref="P27" si="27">IF(O27="","",IF(O27="Leve",0.2,IF(O27="Menor",0.4,IF(O27="Moderado",0.6,IF(O27="Mayor",0.8,IF(O27="Catastrófico",1,))))))</f>
        <v>0.2</v>
      </c>
      <c r="Q27" s="469" t="str">
        <f t="shared" ref="Q27" si="28">IF(OR(AND(K27="Muy Baja",O27="Leve"),AND(K27="Muy Baja",O27="Menor"),AND(K27="Baja",O27="Leve")),"Bajo",IF(OR(AND(K27="Muy baja",O27="Moderado"),AND(K27="Baja",O27="Menor"),AND(K27="Baja",O27="Moderado"),AND(K27="Media",O27="Leve"),AND(K27="Media",O27="Menor"),AND(K27="Media",O27="Moderado"),AND(K27="Alta",O27="Leve"),AND(K27="Alta",O27="Menor")),"Moderado",IF(OR(AND(K27="Muy Baja",O27="Mayor"),AND(K27="Baja",O27="Mayor"),AND(K27="Media",O27="Mayor"),AND(K27="Alta",O27="Moderado"),AND(K27="Alta",O27="Mayor"),AND(K27="Muy Alta",O27="Leve"),AND(K27="Muy Alta",O27="Menor"),AND(K27="Muy Alta",O27="Moderado"),AND(K27="Muy Alta",O27="Mayor")),"Alto",IF(OR(AND(K27="Muy Baja",O27="Catastrófico"),AND(K27="Baja",O27="Catastrófico"),AND(K27="Media",O27="Catastrófico"),AND(K27="Alta",O27="Catastrófico"),AND(K27="Muy Alta",O27="Catastrófico")),"Extremo",""))))</f>
        <v/>
      </c>
      <c r="R27" s="105">
        <v>1</v>
      </c>
      <c r="S27" s="106"/>
      <c r="T27" s="107" t="str">
        <f>IF(OR(U27="Preventivo",U27="Detectivo"),"Probabilidad",IF(U27="Correctivo","Impacto",""))</f>
        <v/>
      </c>
      <c r="U27" s="108"/>
      <c r="V27" s="108"/>
      <c r="W27" s="109" t="str">
        <f>IF(AND(U27="Preventivo",V27="Automático"),"50%",IF(AND(U27="Preventivo",V27="Manual"),"40%",IF(AND(U27="Detectivo",V27="Automático"),"40%",IF(AND(U27="Detectivo",V27="Manual"),"30%",IF(AND(U27="Correctivo",V27="Automático"),"35%",IF(AND(U27="Correctivo",V27="Manual"),"25%",""))))))</f>
        <v/>
      </c>
      <c r="X27" s="108"/>
      <c r="Y27" s="108"/>
      <c r="Z27" s="108"/>
      <c r="AA27" s="110" t="str">
        <f>IFERROR(IF(T27="Probabilidad",(L27-(+L27*W27)),IF(T27="Impacto",L27,"")),"")</f>
        <v/>
      </c>
      <c r="AB27" s="111" t="str">
        <f>IFERROR(IF(AA27="","",IF(AA27&lt;=0.2,"Muy Baja",IF(AA27&lt;=0.4,"Baja",IF(AA27&lt;=0.6,"Media",IF(AA27&lt;=0.8,"Alta","Muy Alta"))))),"")</f>
        <v/>
      </c>
      <c r="AC27" s="112" t="str">
        <f>+AA27</f>
        <v/>
      </c>
      <c r="AD27" s="111" t="str">
        <f>IFERROR(IF(AE27="","",IF(AE27&lt;=0.2,"Leve",IF(AE27&lt;=0.4,"Menor",IF(AE27&lt;=0.6,"Moderado",IF(AE27&lt;=0.8,"Mayor","Catastrófico"))))),"")</f>
        <v/>
      </c>
      <c r="AE27" s="112" t="str">
        <f>IFERROR(IF(T27="Impacto",(P27-(+P27*W27)),IF(T27="Probabilidad",P27,"")),"")</f>
        <v/>
      </c>
      <c r="AF27" s="113" t="str">
        <f>IFERROR(IF(OR(AND(AB27="Muy Baja",AD27="Leve"),AND(AB27="Muy Baja",AD27="Menor"),AND(AB27="Baja",AD27="Leve")),"Bajo",IF(OR(AND(AB27="Muy baja",AD27="Moderado"),AND(AB27="Baja",AD27="Menor"),AND(AB27="Baja",AD27="Moderado"),AND(AB27="Media",AD27="Leve"),AND(AB27="Media",AD27="Menor"),AND(AB27="Media",AD27="Moderado"),AND(AB27="Alta",AD27="Leve"),AND(AB27="Alta",AD27="Menor")),"Moderado",IF(OR(AND(AB27="Muy Baja",AD27="Mayor"),AND(AB27="Baja",AD27="Mayor"),AND(AB27="Media",AD27="Mayor"),AND(AB27="Alta",AD27="Moderado"),AND(AB27="Alta",AD27="Mayor"),AND(AB27="Muy Alta",AD27="Leve"),AND(AB27="Muy Alta",AD27="Menor"),AND(AB27="Muy Alta",AD27="Moderado"),AND(AB27="Muy Alta",AD27="Mayor")),"Alto",IF(OR(AND(AB27="Muy Baja",AD27="Catastrófico"),AND(AB27="Baja",AD27="Catastrófico"),AND(AB27="Media",AD27="Catastrófico"),AND(AB27="Alta",AD27="Catastrófico"),AND(AB27="Muy Alta",AD27="Catastrófico")),"Extremo","")))),"")</f>
        <v/>
      </c>
      <c r="AG27" s="114"/>
      <c r="AH27" s="115"/>
      <c r="AI27" s="116"/>
      <c r="AJ27" s="117"/>
      <c r="AK27" s="117"/>
      <c r="AL27" s="116"/>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row>
    <row r="28" spans="1:65" ht="26.25" customHeight="1" x14ac:dyDescent="0.25">
      <c r="A28" s="395"/>
      <c r="B28" s="415"/>
      <c r="C28" s="415"/>
      <c r="D28" s="418"/>
      <c r="E28" s="143"/>
      <c r="F28" s="420"/>
      <c r="G28" s="144"/>
      <c r="H28" s="144"/>
      <c r="I28" s="482"/>
      <c r="J28" s="437"/>
      <c r="K28" s="440"/>
      <c r="L28" s="443"/>
      <c r="M28" s="446"/>
      <c r="N28" s="443">
        <f>IF(NOT(ISERROR(MATCH(M28,_xlfn.ANCHORARRAY(F39),0))),L41&amp;"Por favor no seleccionar los criterios de impacto",M28)</f>
        <v>0</v>
      </c>
      <c r="O28" s="440"/>
      <c r="P28" s="443"/>
      <c r="Q28" s="470"/>
      <c r="R28" s="105">
        <v>2</v>
      </c>
      <c r="S28" s="106"/>
      <c r="T28" s="107" t="str">
        <f>IF(OR(U28="Preventivo",U28="Detectivo"),"Probabilidad",IF(U28="Correctivo","Impacto",""))</f>
        <v/>
      </c>
      <c r="U28" s="108"/>
      <c r="V28" s="108"/>
      <c r="W28" s="109" t="str">
        <f t="shared" ref="W28:W32" si="29">IF(AND(U28="Preventivo",V28="Automático"),"50%",IF(AND(U28="Preventivo",V28="Manual"),"40%",IF(AND(U28="Detectivo",V28="Automático"),"40%",IF(AND(U28="Detectivo",V28="Manual"),"30%",IF(AND(U28="Correctivo",V28="Automático"),"35%",IF(AND(U28="Correctivo",V28="Manual"),"25%",""))))))</f>
        <v/>
      </c>
      <c r="X28" s="108"/>
      <c r="Y28" s="108"/>
      <c r="Z28" s="108"/>
      <c r="AA28" s="110" t="str">
        <f>IFERROR(IF(AND(T27="Probabilidad",T28="Probabilidad"),(AC27-(+AC27*W28)),IF(AND(T27="Impacto",T28="Probabilidad"),(AC26-(+AC26*W28)),IF(T28="Impacto",AC27,""))),"")</f>
        <v/>
      </c>
      <c r="AB28" s="111" t="str">
        <f t="shared" ref="AB28:AB32" si="30">IFERROR(IF(AA28="","",IF(AA28&lt;=0.2,"Muy Baja",IF(AA28&lt;=0.4,"Baja",IF(AA28&lt;=0.6,"Media",IF(AA28&lt;=0.8,"Alta","Muy Alta"))))),"")</f>
        <v/>
      </c>
      <c r="AC28" s="112" t="str">
        <f t="shared" ref="AC28:AC32" si="31">+AA28</f>
        <v/>
      </c>
      <c r="AD28" s="111" t="str">
        <f t="shared" ref="AD28:AD32" si="32">IFERROR(IF(AE28="","",IF(AE28&lt;=0.2,"Leve",IF(AE28&lt;=0.4,"Menor",IF(AE28&lt;=0.6,"Moderado",IF(AE28&lt;=0.8,"Mayor","Catastrófico"))))),"")</f>
        <v/>
      </c>
      <c r="AE28" s="112" t="str">
        <f>IFERROR(IF(AND(T27="Impacto",T28="Impacto"),(AE27-(+AE27*W28)),IF(AND(T27="Probabilidad",T28="Impacto"),(AE26-(+AE26*W28)),IF(T28="Probabilidad",AE27,""))),"")</f>
        <v/>
      </c>
      <c r="AF28" s="113" t="str">
        <f t="shared" ref="AF28:AF32" si="33">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
      </c>
      <c r="AG28" s="114"/>
      <c r="AH28" s="115"/>
      <c r="AI28" s="116"/>
      <c r="AJ28" s="117"/>
      <c r="AK28" s="117"/>
      <c r="AL28" s="116"/>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row>
    <row r="29" spans="1:65" ht="26.25" customHeight="1" x14ac:dyDescent="0.25">
      <c r="A29" s="395"/>
      <c r="B29" s="415"/>
      <c r="C29" s="415"/>
      <c r="D29" s="418"/>
      <c r="E29" s="143"/>
      <c r="F29" s="420"/>
      <c r="G29" s="144"/>
      <c r="H29" s="144"/>
      <c r="I29" s="482"/>
      <c r="J29" s="437"/>
      <c r="K29" s="440"/>
      <c r="L29" s="443"/>
      <c r="M29" s="446"/>
      <c r="N29" s="443">
        <f>IF(NOT(ISERROR(MATCH(M29,_xlfn.ANCHORARRAY(F40),0))),L42&amp;"Por favor no seleccionar los criterios de impacto",M29)</f>
        <v>0</v>
      </c>
      <c r="O29" s="440"/>
      <c r="P29" s="443"/>
      <c r="Q29" s="470"/>
      <c r="R29" s="105">
        <v>3</v>
      </c>
      <c r="S29" s="118"/>
      <c r="T29" s="107" t="str">
        <f>IF(OR(U29="Preventivo",U29="Detectivo"),"Probabilidad",IF(U29="Correctivo","Impacto",""))</f>
        <v/>
      </c>
      <c r="U29" s="108"/>
      <c r="V29" s="108"/>
      <c r="W29" s="109" t="str">
        <f t="shared" si="29"/>
        <v/>
      </c>
      <c r="X29" s="108"/>
      <c r="Y29" s="108"/>
      <c r="Z29" s="108"/>
      <c r="AA29" s="110" t="str">
        <f t="shared" ref="AA29:AA32" si="34">IFERROR(IF(AND(T28="Probabilidad",T29="Probabilidad"),(AC28-(+AC28*W29)),IF(AND(T28="Impacto",T29="Probabilidad"),(AC27-(+AC27*W29)),IF(T29="Impacto",AC28,""))),"")</f>
        <v/>
      </c>
      <c r="AB29" s="111" t="str">
        <f t="shared" si="30"/>
        <v/>
      </c>
      <c r="AC29" s="112" t="str">
        <f t="shared" si="31"/>
        <v/>
      </c>
      <c r="AD29" s="111" t="str">
        <f t="shared" si="32"/>
        <v/>
      </c>
      <c r="AE29" s="112" t="str">
        <f t="shared" ref="AE29:AE32" si="35">IFERROR(IF(AND(T28="Impacto",T29="Impacto"),(AE28-(+AE28*W29)),IF(AND(T28="Probabilidad",T29="Impacto"),(AE27-(+AE27*W29)),IF(T29="Probabilidad",AE28,""))),"")</f>
        <v/>
      </c>
      <c r="AF29" s="113" t="str">
        <f t="shared" si="33"/>
        <v/>
      </c>
      <c r="AG29" s="114"/>
      <c r="AH29" s="115"/>
      <c r="AI29" s="116"/>
      <c r="AJ29" s="117"/>
      <c r="AK29" s="117"/>
      <c r="AL29" s="116"/>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row>
    <row r="30" spans="1:65" ht="26.25" customHeight="1" x14ac:dyDescent="0.25">
      <c r="A30" s="395"/>
      <c r="B30" s="415"/>
      <c r="C30" s="415"/>
      <c r="D30" s="418"/>
      <c r="E30" s="143"/>
      <c r="F30" s="420"/>
      <c r="G30" s="144"/>
      <c r="H30" s="144"/>
      <c r="I30" s="482"/>
      <c r="J30" s="437"/>
      <c r="K30" s="440"/>
      <c r="L30" s="443"/>
      <c r="M30" s="446"/>
      <c r="N30" s="443">
        <f>IF(NOT(ISERROR(MATCH(M30,_xlfn.ANCHORARRAY(F41),0))),L43&amp;"Por favor no seleccionar los criterios de impacto",M30)</f>
        <v>0</v>
      </c>
      <c r="O30" s="440"/>
      <c r="P30" s="443"/>
      <c r="Q30" s="470"/>
      <c r="R30" s="105">
        <v>4</v>
      </c>
      <c r="S30" s="106"/>
      <c r="T30" s="107" t="str">
        <f t="shared" ref="T30:T32" si="36">IF(OR(U30="Preventivo",U30="Detectivo"),"Probabilidad",IF(U30="Correctivo","Impacto",""))</f>
        <v/>
      </c>
      <c r="U30" s="108"/>
      <c r="V30" s="108"/>
      <c r="W30" s="109" t="str">
        <f t="shared" si="29"/>
        <v/>
      </c>
      <c r="X30" s="108"/>
      <c r="Y30" s="108"/>
      <c r="Z30" s="108"/>
      <c r="AA30" s="110" t="str">
        <f t="shared" si="34"/>
        <v/>
      </c>
      <c r="AB30" s="111" t="str">
        <f t="shared" si="30"/>
        <v/>
      </c>
      <c r="AC30" s="112" t="str">
        <f t="shared" si="31"/>
        <v/>
      </c>
      <c r="AD30" s="111" t="str">
        <f t="shared" si="32"/>
        <v/>
      </c>
      <c r="AE30" s="112" t="str">
        <f t="shared" si="35"/>
        <v/>
      </c>
      <c r="AF30" s="113" t="str">
        <f t="shared" si="33"/>
        <v/>
      </c>
      <c r="AG30" s="114"/>
      <c r="AH30" s="115"/>
      <c r="AI30" s="116"/>
      <c r="AJ30" s="117"/>
      <c r="AK30" s="117"/>
      <c r="AL30" s="116"/>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row>
    <row r="31" spans="1:65" ht="26.25" customHeight="1" x14ac:dyDescent="0.25">
      <c r="A31" s="395"/>
      <c r="B31" s="415"/>
      <c r="C31" s="415"/>
      <c r="D31" s="418"/>
      <c r="E31" s="143"/>
      <c r="F31" s="420"/>
      <c r="G31" s="144"/>
      <c r="H31" s="144"/>
      <c r="I31" s="482"/>
      <c r="J31" s="437"/>
      <c r="K31" s="440"/>
      <c r="L31" s="443"/>
      <c r="M31" s="446"/>
      <c r="N31" s="443">
        <f>IF(NOT(ISERROR(MATCH(M31,_xlfn.ANCHORARRAY(F42),0))),L44&amp;"Por favor no seleccionar los criterios de impacto",M31)</f>
        <v>0</v>
      </c>
      <c r="O31" s="440"/>
      <c r="P31" s="443"/>
      <c r="Q31" s="470"/>
      <c r="R31" s="105">
        <v>5</v>
      </c>
      <c r="S31" s="106"/>
      <c r="T31" s="107" t="str">
        <f t="shared" si="36"/>
        <v/>
      </c>
      <c r="U31" s="108"/>
      <c r="V31" s="108"/>
      <c r="W31" s="109" t="str">
        <f t="shared" si="29"/>
        <v/>
      </c>
      <c r="X31" s="108"/>
      <c r="Y31" s="108"/>
      <c r="Z31" s="108"/>
      <c r="AA31" s="110" t="str">
        <f t="shared" si="34"/>
        <v/>
      </c>
      <c r="AB31" s="111" t="str">
        <f t="shared" si="30"/>
        <v/>
      </c>
      <c r="AC31" s="112" t="str">
        <f t="shared" si="31"/>
        <v/>
      </c>
      <c r="AD31" s="111" t="str">
        <f t="shared" si="32"/>
        <v/>
      </c>
      <c r="AE31" s="112" t="str">
        <f t="shared" si="35"/>
        <v/>
      </c>
      <c r="AF31" s="113" t="str">
        <f t="shared" si="33"/>
        <v/>
      </c>
      <c r="AG31" s="114"/>
      <c r="AH31" s="115"/>
      <c r="AI31" s="116"/>
      <c r="AJ31" s="117"/>
      <c r="AK31" s="117"/>
      <c r="AL31" s="116"/>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row>
    <row r="32" spans="1:65" ht="26.25" customHeight="1" x14ac:dyDescent="0.25">
      <c r="A32" s="413"/>
      <c r="B32" s="416"/>
      <c r="C32" s="416"/>
      <c r="D32" s="419"/>
      <c r="E32" s="143"/>
      <c r="F32" s="420"/>
      <c r="G32" s="144"/>
      <c r="H32" s="144"/>
      <c r="I32" s="483"/>
      <c r="J32" s="438"/>
      <c r="K32" s="441"/>
      <c r="L32" s="444"/>
      <c r="M32" s="447"/>
      <c r="N32" s="444">
        <f>IF(NOT(ISERROR(MATCH(M32,_xlfn.ANCHORARRAY(F43),0))),L45&amp;"Por favor no seleccionar los criterios de impacto",M32)</f>
        <v>0</v>
      </c>
      <c r="O32" s="441"/>
      <c r="P32" s="444"/>
      <c r="Q32" s="471"/>
      <c r="R32" s="105">
        <v>6</v>
      </c>
      <c r="S32" s="106"/>
      <c r="T32" s="107" t="str">
        <f t="shared" si="36"/>
        <v/>
      </c>
      <c r="U32" s="108"/>
      <c r="V32" s="108"/>
      <c r="W32" s="109" t="str">
        <f t="shared" si="29"/>
        <v/>
      </c>
      <c r="X32" s="108"/>
      <c r="Y32" s="108"/>
      <c r="Z32" s="108"/>
      <c r="AA32" s="110" t="str">
        <f t="shared" si="34"/>
        <v/>
      </c>
      <c r="AB32" s="111" t="str">
        <f t="shared" si="30"/>
        <v/>
      </c>
      <c r="AC32" s="112" t="str">
        <f t="shared" si="31"/>
        <v/>
      </c>
      <c r="AD32" s="111" t="str">
        <f t="shared" si="32"/>
        <v/>
      </c>
      <c r="AE32" s="112" t="str">
        <f t="shared" si="35"/>
        <v/>
      </c>
      <c r="AF32" s="113" t="str">
        <f t="shared" si="33"/>
        <v/>
      </c>
      <c r="AG32" s="114"/>
      <c r="AH32" s="115"/>
      <c r="AI32" s="116"/>
      <c r="AJ32" s="117"/>
      <c r="AK32" s="117"/>
      <c r="AL32" s="116"/>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row>
    <row r="33" spans="1:65" ht="26.25" customHeight="1" x14ac:dyDescent="0.25">
      <c r="A33" s="394">
        <v>5</v>
      </c>
      <c r="B33" s="414"/>
      <c r="C33" s="414"/>
      <c r="D33" s="417"/>
      <c r="E33" s="143"/>
      <c r="F33" s="420"/>
      <c r="G33" s="144"/>
      <c r="H33" s="144"/>
      <c r="I33" s="481"/>
      <c r="J33" s="436"/>
      <c r="K33" s="439" t="str">
        <f t="shared" ref="K33" si="37">IF(J33&lt;=0,"",IF(J33&lt;=2,"Muy Baja",IF(J33&lt;=24,"Baja",IF(J33&lt;=500,"Media",IF(J33&lt;=5000,"Alta","Muy Alta")))))</f>
        <v/>
      </c>
      <c r="L33" s="442" t="str">
        <f t="shared" ref="L33" si="38">IF(K33="","",IF(K33="Muy Baja",0.2,IF(K33="Baja",0.4,IF(K33="Media",0.6,IF(K33="Alta",0.8,IF(K33="Muy Alta",1,))))))</f>
        <v/>
      </c>
      <c r="M33" s="445"/>
      <c r="N33" s="442">
        <f>IF(NOT(ISERROR(MATCH(M33,'Tabla Impacto'!$B$221:$B$223,0))),'Tabla Impacto'!$F$223&amp;"Por favor no seleccionar los criterios de impacto(Afectación Económica o presupuestal y Pérdida Reputacional)",M33)</f>
        <v>0</v>
      </c>
      <c r="O33" s="439" t="str">
        <f>IF(OR(N33='Tabla Impacto'!$C$11,N33='Tabla Impacto'!$D$11),"Leve",IF(OR(N33='Tabla Impacto'!$C$12,N33='Tabla Impacto'!$D$12),"Menor",IF(OR(N33='Tabla Impacto'!$C$13,N33='Tabla Impacto'!$D$13),"Moderado",IF(OR(N33='Tabla Impacto'!$C$14,N33='Tabla Impacto'!$D$14),"Mayor",IF(OR(N33='Tabla Impacto'!$C$15,N33='Tabla Impacto'!$D$15),"Catastrófico","")))))</f>
        <v>Leve</v>
      </c>
      <c r="P33" s="442">
        <f t="shared" ref="P33" si="39">IF(O33="","",IF(O33="Leve",0.2,IF(O33="Menor",0.4,IF(O33="Moderado",0.6,IF(O33="Mayor",0.8,IF(O33="Catastrófico",1,))))))</f>
        <v>0.2</v>
      </c>
      <c r="Q33" s="469" t="str">
        <f t="shared" ref="Q33" si="40">IF(OR(AND(K33="Muy Baja",O33="Leve"),AND(K33="Muy Baja",O33="Menor"),AND(K33="Baja",O33="Leve")),"Bajo",IF(OR(AND(K33="Muy baja",O33="Moderado"),AND(K33="Baja",O33="Menor"),AND(K33="Baja",O33="Moderado"),AND(K33="Media",O33="Leve"),AND(K33="Media",O33="Menor"),AND(K33="Media",O33="Moderado"),AND(K33="Alta",O33="Leve"),AND(K33="Alta",O33="Menor")),"Moderado",IF(OR(AND(K33="Muy Baja",O33="Mayor"),AND(K33="Baja",O33="Mayor"),AND(K33="Media",O33="Mayor"),AND(K33="Alta",O33="Moderado"),AND(K33="Alta",O33="Mayor"),AND(K33="Muy Alta",O33="Leve"),AND(K33="Muy Alta",O33="Menor"),AND(K33="Muy Alta",O33="Moderado"),AND(K33="Muy Alta",O33="Mayor")),"Alto",IF(OR(AND(K33="Muy Baja",O33="Catastrófico"),AND(K33="Baja",O33="Catastrófico"),AND(K33="Media",O33="Catastrófico"),AND(K33="Alta",O33="Catastrófico"),AND(K33="Muy Alta",O33="Catastrófico")),"Extremo",""))))</f>
        <v/>
      </c>
      <c r="R33" s="105">
        <v>1</v>
      </c>
      <c r="S33" s="106"/>
      <c r="T33" s="107" t="s">
        <v>213</v>
      </c>
      <c r="U33" s="108"/>
      <c r="V33" s="108"/>
      <c r="W33" s="109" t="s">
        <v>213</v>
      </c>
      <c r="X33" s="108"/>
      <c r="Y33" s="108"/>
      <c r="Z33" s="108"/>
      <c r="AA33" s="110" t="s">
        <v>213</v>
      </c>
      <c r="AB33" s="111" t="s">
        <v>213</v>
      </c>
      <c r="AC33" s="112" t="s">
        <v>213</v>
      </c>
      <c r="AD33" s="111" t="s">
        <v>213</v>
      </c>
      <c r="AE33" s="112" t="s">
        <v>213</v>
      </c>
      <c r="AF33" s="113" t="s">
        <v>213</v>
      </c>
      <c r="AG33" s="114"/>
      <c r="AH33" s="115"/>
      <c r="AI33" s="116"/>
      <c r="AJ33" s="117"/>
      <c r="AK33" s="117"/>
      <c r="AL33" s="116"/>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row>
    <row r="34" spans="1:65" ht="26.25" customHeight="1" x14ac:dyDescent="0.25">
      <c r="A34" s="395"/>
      <c r="B34" s="415"/>
      <c r="C34" s="415"/>
      <c r="D34" s="418"/>
      <c r="E34" s="143"/>
      <c r="F34" s="420"/>
      <c r="G34" s="144"/>
      <c r="H34" s="144"/>
      <c r="I34" s="482"/>
      <c r="J34" s="437"/>
      <c r="K34" s="440"/>
      <c r="L34" s="443"/>
      <c r="M34" s="446"/>
      <c r="N34" s="443">
        <f>IF(NOT(ISERROR(MATCH(M34,_xlfn.ANCHORARRAY(F45),0))),L47&amp;"Por favor no seleccionar los criterios de impacto",M34)</f>
        <v>0</v>
      </c>
      <c r="O34" s="440"/>
      <c r="P34" s="443"/>
      <c r="Q34" s="470"/>
      <c r="R34" s="105">
        <v>2</v>
      </c>
      <c r="S34" s="106"/>
      <c r="T34" s="107" t="s">
        <v>213</v>
      </c>
      <c r="U34" s="108"/>
      <c r="V34" s="108"/>
      <c r="W34" s="109" t="s">
        <v>213</v>
      </c>
      <c r="X34" s="108"/>
      <c r="Y34" s="108"/>
      <c r="Z34" s="108"/>
      <c r="AA34" s="110" t="s">
        <v>213</v>
      </c>
      <c r="AB34" s="111" t="s">
        <v>213</v>
      </c>
      <c r="AC34" s="112" t="s">
        <v>213</v>
      </c>
      <c r="AD34" s="111" t="s">
        <v>213</v>
      </c>
      <c r="AE34" s="112" t="s">
        <v>213</v>
      </c>
      <c r="AF34" s="113" t="s">
        <v>213</v>
      </c>
      <c r="AG34" s="114"/>
      <c r="AH34" s="115"/>
      <c r="AI34" s="116"/>
      <c r="AJ34" s="117"/>
      <c r="AK34" s="117"/>
      <c r="AL34" s="116"/>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row>
    <row r="35" spans="1:65" ht="26.25" customHeight="1" x14ac:dyDescent="0.25">
      <c r="A35" s="395"/>
      <c r="B35" s="415"/>
      <c r="C35" s="415"/>
      <c r="D35" s="418"/>
      <c r="E35" s="143"/>
      <c r="F35" s="420"/>
      <c r="G35" s="144"/>
      <c r="H35" s="144"/>
      <c r="I35" s="482"/>
      <c r="J35" s="437"/>
      <c r="K35" s="440"/>
      <c r="L35" s="443"/>
      <c r="M35" s="446"/>
      <c r="N35" s="443">
        <f>IF(NOT(ISERROR(MATCH(M35,_xlfn.ANCHORARRAY(F46),0))),L48&amp;"Por favor no seleccionar los criterios de impacto",M35)</f>
        <v>0</v>
      </c>
      <c r="O35" s="440"/>
      <c r="P35" s="443"/>
      <c r="Q35" s="470"/>
      <c r="R35" s="105">
        <v>3</v>
      </c>
      <c r="S35" s="118"/>
      <c r="T35" s="107" t="s">
        <v>213</v>
      </c>
      <c r="U35" s="108"/>
      <c r="V35" s="108"/>
      <c r="W35" s="109" t="s">
        <v>213</v>
      </c>
      <c r="X35" s="108"/>
      <c r="Y35" s="108"/>
      <c r="Z35" s="108"/>
      <c r="AA35" s="110" t="s">
        <v>213</v>
      </c>
      <c r="AB35" s="111" t="s">
        <v>213</v>
      </c>
      <c r="AC35" s="112" t="s">
        <v>213</v>
      </c>
      <c r="AD35" s="111" t="s">
        <v>213</v>
      </c>
      <c r="AE35" s="112" t="s">
        <v>213</v>
      </c>
      <c r="AF35" s="113" t="s">
        <v>213</v>
      </c>
      <c r="AG35" s="114"/>
      <c r="AH35" s="115"/>
      <c r="AI35" s="116"/>
      <c r="AJ35" s="117"/>
      <c r="AK35" s="117"/>
      <c r="AL35" s="116"/>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row>
    <row r="36" spans="1:65" ht="26.25" customHeight="1" x14ac:dyDescent="0.25">
      <c r="A36" s="395"/>
      <c r="B36" s="415"/>
      <c r="C36" s="415"/>
      <c r="D36" s="418"/>
      <c r="E36" s="143"/>
      <c r="F36" s="420"/>
      <c r="G36" s="144"/>
      <c r="H36" s="144"/>
      <c r="I36" s="482"/>
      <c r="J36" s="437"/>
      <c r="K36" s="440"/>
      <c r="L36" s="443"/>
      <c r="M36" s="446"/>
      <c r="N36" s="443">
        <f>IF(NOT(ISERROR(MATCH(M36,_xlfn.ANCHORARRAY(F47),0))),L49&amp;"Por favor no seleccionar los criterios de impacto",M36)</f>
        <v>0</v>
      </c>
      <c r="O36" s="440"/>
      <c r="P36" s="443"/>
      <c r="Q36" s="470"/>
      <c r="R36" s="105">
        <v>4</v>
      </c>
      <c r="S36" s="106"/>
      <c r="T36" s="107" t="s">
        <v>213</v>
      </c>
      <c r="U36" s="108"/>
      <c r="V36" s="108"/>
      <c r="W36" s="109" t="s">
        <v>213</v>
      </c>
      <c r="X36" s="108"/>
      <c r="Y36" s="108"/>
      <c r="Z36" s="108"/>
      <c r="AA36" s="110" t="s">
        <v>213</v>
      </c>
      <c r="AB36" s="111" t="s">
        <v>213</v>
      </c>
      <c r="AC36" s="112" t="s">
        <v>213</v>
      </c>
      <c r="AD36" s="111" t="s">
        <v>213</v>
      </c>
      <c r="AE36" s="112" t="s">
        <v>213</v>
      </c>
      <c r="AF36" s="113" t="s">
        <v>213</v>
      </c>
      <c r="AG36" s="114"/>
      <c r="AH36" s="115"/>
      <c r="AI36" s="116"/>
      <c r="AJ36" s="117"/>
      <c r="AK36" s="117"/>
      <c r="AL36" s="116"/>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row>
    <row r="37" spans="1:65" ht="26.25" customHeight="1" x14ac:dyDescent="0.25">
      <c r="A37" s="395"/>
      <c r="B37" s="415"/>
      <c r="C37" s="415"/>
      <c r="D37" s="418"/>
      <c r="E37" s="143"/>
      <c r="F37" s="420"/>
      <c r="G37" s="144"/>
      <c r="H37" s="144"/>
      <c r="I37" s="482"/>
      <c r="J37" s="437"/>
      <c r="K37" s="440"/>
      <c r="L37" s="443"/>
      <c r="M37" s="446"/>
      <c r="N37" s="443">
        <f>IF(NOT(ISERROR(MATCH(M37,_xlfn.ANCHORARRAY(F48),0))),L50&amp;"Por favor no seleccionar los criterios de impacto",M37)</f>
        <v>0</v>
      </c>
      <c r="O37" s="440"/>
      <c r="P37" s="443"/>
      <c r="Q37" s="470"/>
      <c r="R37" s="105">
        <v>5</v>
      </c>
      <c r="S37" s="106"/>
      <c r="T37" s="107" t="s">
        <v>213</v>
      </c>
      <c r="U37" s="108"/>
      <c r="V37" s="108"/>
      <c r="W37" s="109" t="s">
        <v>213</v>
      </c>
      <c r="X37" s="108"/>
      <c r="Y37" s="108"/>
      <c r="Z37" s="108"/>
      <c r="AA37" s="110" t="s">
        <v>213</v>
      </c>
      <c r="AB37" s="111" t="s">
        <v>213</v>
      </c>
      <c r="AC37" s="112" t="s">
        <v>213</v>
      </c>
      <c r="AD37" s="111" t="s">
        <v>213</v>
      </c>
      <c r="AE37" s="112" t="s">
        <v>213</v>
      </c>
      <c r="AF37" s="113" t="s">
        <v>213</v>
      </c>
      <c r="AG37" s="114"/>
      <c r="AH37" s="115"/>
      <c r="AI37" s="116"/>
      <c r="AJ37" s="117"/>
      <c r="AK37" s="117"/>
      <c r="AL37" s="116"/>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row>
    <row r="38" spans="1:65" ht="26.25" customHeight="1" x14ac:dyDescent="0.25">
      <c r="A38" s="413"/>
      <c r="B38" s="416"/>
      <c r="C38" s="416"/>
      <c r="D38" s="419"/>
      <c r="E38" s="143"/>
      <c r="F38" s="420"/>
      <c r="G38" s="144"/>
      <c r="H38" s="144"/>
      <c r="I38" s="483"/>
      <c r="J38" s="438"/>
      <c r="K38" s="441"/>
      <c r="L38" s="444"/>
      <c r="M38" s="447"/>
      <c r="N38" s="444">
        <f>IF(NOT(ISERROR(MATCH(M38,_xlfn.ANCHORARRAY(F49),0))),L51&amp;"Por favor no seleccionar los criterios de impacto",M38)</f>
        <v>0</v>
      </c>
      <c r="O38" s="441"/>
      <c r="P38" s="444"/>
      <c r="Q38" s="471"/>
      <c r="R38" s="105">
        <v>6</v>
      </c>
      <c r="S38" s="106"/>
      <c r="T38" s="107" t="s">
        <v>213</v>
      </c>
      <c r="U38" s="108"/>
      <c r="V38" s="108"/>
      <c r="W38" s="109" t="s">
        <v>213</v>
      </c>
      <c r="X38" s="108"/>
      <c r="Y38" s="108"/>
      <c r="Z38" s="108"/>
      <c r="AA38" s="110" t="s">
        <v>213</v>
      </c>
      <c r="AB38" s="111" t="s">
        <v>213</v>
      </c>
      <c r="AC38" s="112" t="s">
        <v>213</v>
      </c>
      <c r="AD38" s="111" t="s">
        <v>213</v>
      </c>
      <c r="AE38" s="112" t="s">
        <v>213</v>
      </c>
      <c r="AF38" s="113" t="s">
        <v>213</v>
      </c>
      <c r="AG38" s="114"/>
      <c r="AH38" s="115"/>
      <c r="AI38" s="116"/>
      <c r="AJ38" s="117"/>
      <c r="AK38" s="117"/>
      <c r="AL38" s="116"/>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row>
    <row r="39" spans="1:65" ht="26.25" customHeight="1" x14ac:dyDescent="0.25">
      <c r="A39" s="394">
        <v>6</v>
      </c>
      <c r="B39" s="414"/>
      <c r="C39" s="414"/>
      <c r="D39" s="417"/>
      <c r="E39" s="143"/>
      <c r="F39" s="420"/>
      <c r="G39" s="144"/>
      <c r="H39" s="144"/>
      <c r="I39" s="481"/>
      <c r="J39" s="436"/>
      <c r="K39" s="439" t="str">
        <f t="shared" ref="K39" si="41">IF(J39&lt;=0,"",IF(J39&lt;=2,"Muy Baja",IF(J39&lt;=24,"Baja",IF(J39&lt;=500,"Media",IF(J39&lt;=5000,"Alta","Muy Alta")))))</f>
        <v/>
      </c>
      <c r="L39" s="442" t="str">
        <f t="shared" ref="L39" si="42">IF(K39="","",IF(K39="Muy Baja",0.2,IF(K39="Baja",0.4,IF(K39="Media",0.6,IF(K39="Alta",0.8,IF(K39="Muy Alta",1,))))))</f>
        <v/>
      </c>
      <c r="M39" s="445"/>
      <c r="N39" s="442">
        <f>IF(NOT(ISERROR(MATCH(M39,'Tabla Impacto'!$B$221:$B$223,0))),'Tabla Impacto'!$F$223&amp;"Por favor no seleccionar los criterios de impacto(Afectación Económica o presupuestal y Pérdida Reputacional)",M39)</f>
        <v>0</v>
      </c>
      <c r="O39" s="439" t="str">
        <f>IF(OR(N39='Tabla Impacto'!$C$11,N39='Tabla Impacto'!$D$11),"Leve",IF(OR(N39='Tabla Impacto'!$C$12,N39='Tabla Impacto'!$D$12),"Menor",IF(OR(N39='Tabla Impacto'!$C$13,N39='Tabla Impacto'!$D$13),"Moderado",IF(OR(N39='Tabla Impacto'!$C$14,N39='Tabla Impacto'!$D$14),"Mayor",IF(OR(N39='Tabla Impacto'!$C$15,N39='Tabla Impacto'!$D$15),"Catastrófico","")))))</f>
        <v>Leve</v>
      </c>
      <c r="P39" s="442">
        <f t="shared" ref="P39" si="43">IF(O39="","",IF(O39="Leve",0.2,IF(O39="Menor",0.4,IF(O39="Moderado",0.6,IF(O39="Mayor",0.8,IF(O39="Catastrófico",1,))))))</f>
        <v>0.2</v>
      </c>
      <c r="Q39" s="469" t="str">
        <f t="shared" ref="Q39" si="44">IF(OR(AND(K39="Muy Baja",O39="Leve"),AND(K39="Muy Baja",O39="Menor"),AND(K39="Baja",O39="Leve")),"Bajo",IF(OR(AND(K39="Muy baja",O39="Moderado"),AND(K39="Baja",O39="Menor"),AND(K39="Baja",O39="Moderado"),AND(K39="Media",O39="Leve"),AND(K39="Media",O39="Menor"),AND(K39="Media",O39="Moderado"),AND(K39="Alta",O39="Leve"),AND(K39="Alta",O39="Menor")),"Moderado",IF(OR(AND(K39="Muy Baja",O39="Mayor"),AND(K39="Baja",O39="Mayor"),AND(K39="Media",O39="Mayor"),AND(K39="Alta",O39="Moderado"),AND(K39="Alta",O39="Mayor"),AND(K39="Muy Alta",O39="Leve"),AND(K39="Muy Alta",O39="Menor"),AND(K39="Muy Alta",O39="Moderado"),AND(K39="Muy Alta",O39="Mayor")),"Alto",IF(OR(AND(K39="Muy Baja",O39="Catastrófico"),AND(K39="Baja",O39="Catastrófico"),AND(K39="Media",O39="Catastrófico"),AND(K39="Alta",O39="Catastrófico"),AND(K39="Muy Alta",O39="Catastrófico")),"Extremo",""))))</f>
        <v/>
      </c>
      <c r="R39" s="105">
        <v>1</v>
      </c>
      <c r="S39" s="106"/>
      <c r="T39" s="107" t="s">
        <v>213</v>
      </c>
      <c r="U39" s="108"/>
      <c r="V39" s="108"/>
      <c r="W39" s="109" t="s">
        <v>213</v>
      </c>
      <c r="X39" s="108"/>
      <c r="Y39" s="108"/>
      <c r="Z39" s="108"/>
      <c r="AA39" s="110" t="s">
        <v>213</v>
      </c>
      <c r="AB39" s="111" t="s">
        <v>213</v>
      </c>
      <c r="AC39" s="112" t="s">
        <v>213</v>
      </c>
      <c r="AD39" s="111" t="s">
        <v>213</v>
      </c>
      <c r="AE39" s="112" t="s">
        <v>213</v>
      </c>
      <c r="AF39" s="113" t="s">
        <v>213</v>
      </c>
      <c r="AG39" s="114"/>
      <c r="AH39" s="115"/>
      <c r="AI39" s="116"/>
      <c r="AJ39" s="117"/>
      <c r="AK39" s="117"/>
      <c r="AL39" s="116"/>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row>
    <row r="40" spans="1:65" ht="26.25" customHeight="1" x14ac:dyDescent="0.25">
      <c r="A40" s="395"/>
      <c r="B40" s="415"/>
      <c r="C40" s="415"/>
      <c r="D40" s="418"/>
      <c r="E40" s="143"/>
      <c r="F40" s="420"/>
      <c r="G40" s="144"/>
      <c r="H40" s="144"/>
      <c r="I40" s="482"/>
      <c r="J40" s="437"/>
      <c r="K40" s="440"/>
      <c r="L40" s="443"/>
      <c r="M40" s="446"/>
      <c r="N40" s="443">
        <f>IF(NOT(ISERROR(MATCH(M40,_xlfn.ANCHORARRAY(F51),0))),L53&amp;"Por favor no seleccionar los criterios de impacto",M40)</f>
        <v>0</v>
      </c>
      <c r="O40" s="440"/>
      <c r="P40" s="443"/>
      <c r="Q40" s="470"/>
      <c r="R40" s="105">
        <v>2</v>
      </c>
      <c r="S40" s="106"/>
      <c r="T40" s="107" t="s">
        <v>213</v>
      </c>
      <c r="U40" s="108"/>
      <c r="V40" s="108"/>
      <c r="W40" s="109" t="s">
        <v>213</v>
      </c>
      <c r="X40" s="108"/>
      <c r="Y40" s="108"/>
      <c r="Z40" s="108"/>
      <c r="AA40" s="110" t="s">
        <v>213</v>
      </c>
      <c r="AB40" s="111" t="s">
        <v>213</v>
      </c>
      <c r="AC40" s="112" t="s">
        <v>213</v>
      </c>
      <c r="AD40" s="111" t="s">
        <v>213</v>
      </c>
      <c r="AE40" s="112" t="s">
        <v>213</v>
      </c>
      <c r="AF40" s="113" t="s">
        <v>213</v>
      </c>
      <c r="AG40" s="114"/>
      <c r="AH40" s="115"/>
      <c r="AI40" s="116"/>
      <c r="AJ40" s="117"/>
      <c r="AK40" s="117"/>
      <c r="AL40" s="116"/>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row>
    <row r="41" spans="1:65" ht="26.25" customHeight="1" x14ac:dyDescent="0.25">
      <c r="A41" s="395"/>
      <c r="B41" s="415"/>
      <c r="C41" s="415"/>
      <c r="D41" s="418"/>
      <c r="E41" s="143"/>
      <c r="F41" s="420"/>
      <c r="G41" s="144"/>
      <c r="H41" s="144"/>
      <c r="I41" s="482"/>
      <c r="J41" s="437"/>
      <c r="K41" s="440"/>
      <c r="L41" s="443"/>
      <c r="M41" s="446"/>
      <c r="N41" s="443">
        <f>IF(NOT(ISERROR(MATCH(M41,_xlfn.ANCHORARRAY(F52),0))),L54&amp;"Por favor no seleccionar los criterios de impacto",M41)</f>
        <v>0</v>
      </c>
      <c r="O41" s="440"/>
      <c r="P41" s="443"/>
      <c r="Q41" s="470"/>
      <c r="R41" s="105">
        <v>3</v>
      </c>
      <c r="S41" s="118"/>
      <c r="T41" s="107" t="s">
        <v>213</v>
      </c>
      <c r="U41" s="108"/>
      <c r="V41" s="108"/>
      <c r="W41" s="109" t="s">
        <v>213</v>
      </c>
      <c r="X41" s="108"/>
      <c r="Y41" s="108"/>
      <c r="Z41" s="108"/>
      <c r="AA41" s="110" t="s">
        <v>213</v>
      </c>
      <c r="AB41" s="111" t="s">
        <v>213</v>
      </c>
      <c r="AC41" s="112" t="s">
        <v>213</v>
      </c>
      <c r="AD41" s="111" t="s">
        <v>213</v>
      </c>
      <c r="AE41" s="112" t="s">
        <v>213</v>
      </c>
      <c r="AF41" s="113" t="s">
        <v>213</v>
      </c>
      <c r="AG41" s="114"/>
      <c r="AH41" s="115"/>
      <c r="AI41" s="116"/>
      <c r="AJ41" s="117"/>
      <c r="AK41" s="117"/>
      <c r="AL41" s="116"/>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row>
    <row r="42" spans="1:65" ht="26.25" customHeight="1" x14ac:dyDescent="0.25">
      <c r="A42" s="395"/>
      <c r="B42" s="415"/>
      <c r="C42" s="415"/>
      <c r="D42" s="418"/>
      <c r="E42" s="143"/>
      <c r="F42" s="420"/>
      <c r="G42" s="144"/>
      <c r="H42" s="144"/>
      <c r="I42" s="482"/>
      <c r="J42" s="437"/>
      <c r="K42" s="440"/>
      <c r="L42" s="443"/>
      <c r="M42" s="446"/>
      <c r="N42" s="443">
        <f>IF(NOT(ISERROR(MATCH(M42,_xlfn.ANCHORARRAY(F53),0))),L55&amp;"Por favor no seleccionar los criterios de impacto",M42)</f>
        <v>0</v>
      </c>
      <c r="O42" s="440"/>
      <c r="P42" s="443"/>
      <c r="Q42" s="470"/>
      <c r="R42" s="105">
        <v>4</v>
      </c>
      <c r="S42" s="106"/>
      <c r="T42" s="107" t="s">
        <v>213</v>
      </c>
      <c r="U42" s="108"/>
      <c r="V42" s="108"/>
      <c r="W42" s="109" t="s">
        <v>213</v>
      </c>
      <c r="X42" s="108"/>
      <c r="Y42" s="108"/>
      <c r="Z42" s="108"/>
      <c r="AA42" s="110" t="s">
        <v>213</v>
      </c>
      <c r="AB42" s="111" t="s">
        <v>213</v>
      </c>
      <c r="AC42" s="112" t="s">
        <v>213</v>
      </c>
      <c r="AD42" s="111" t="s">
        <v>213</v>
      </c>
      <c r="AE42" s="112" t="s">
        <v>213</v>
      </c>
      <c r="AF42" s="113" t="s">
        <v>213</v>
      </c>
      <c r="AG42" s="114"/>
      <c r="AH42" s="115"/>
      <c r="AI42" s="116"/>
      <c r="AJ42" s="117"/>
      <c r="AK42" s="117"/>
      <c r="AL42" s="116"/>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row>
    <row r="43" spans="1:65" ht="26.25" customHeight="1" x14ac:dyDescent="0.25">
      <c r="A43" s="395"/>
      <c r="B43" s="415"/>
      <c r="C43" s="415"/>
      <c r="D43" s="418"/>
      <c r="E43" s="143"/>
      <c r="F43" s="420"/>
      <c r="G43" s="144"/>
      <c r="H43" s="144"/>
      <c r="I43" s="482"/>
      <c r="J43" s="437"/>
      <c r="K43" s="440"/>
      <c r="L43" s="443"/>
      <c r="M43" s="446"/>
      <c r="N43" s="443">
        <f>IF(NOT(ISERROR(MATCH(M43,_xlfn.ANCHORARRAY(F54),0))),L56&amp;"Por favor no seleccionar los criterios de impacto",M43)</f>
        <v>0</v>
      </c>
      <c r="O43" s="440"/>
      <c r="P43" s="443"/>
      <c r="Q43" s="470"/>
      <c r="R43" s="105">
        <v>5</v>
      </c>
      <c r="S43" s="106"/>
      <c r="T43" s="107" t="s">
        <v>213</v>
      </c>
      <c r="U43" s="108"/>
      <c r="V43" s="108"/>
      <c r="W43" s="109" t="s">
        <v>213</v>
      </c>
      <c r="X43" s="108"/>
      <c r="Y43" s="108"/>
      <c r="Z43" s="108"/>
      <c r="AA43" s="110" t="s">
        <v>213</v>
      </c>
      <c r="AB43" s="111" t="s">
        <v>213</v>
      </c>
      <c r="AC43" s="112" t="s">
        <v>213</v>
      </c>
      <c r="AD43" s="111" t="s">
        <v>213</v>
      </c>
      <c r="AE43" s="112" t="s">
        <v>213</v>
      </c>
      <c r="AF43" s="113" t="s">
        <v>213</v>
      </c>
      <c r="AG43" s="114"/>
      <c r="AH43" s="115"/>
      <c r="AI43" s="116"/>
      <c r="AJ43" s="117"/>
      <c r="AK43" s="117"/>
      <c r="AL43" s="116"/>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row>
    <row r="44" spans="1:65" ht="26.25" customHeight="1" x14ac:dyDescent="0.25">
      <c r="A44" s="413"/>
      <c r="B44" s="416"/>
      <c r="C44" s="416"/>
      <c r="D44" s="419"/>
      <c r="E44" s="143"/>
      <c r="F44" s="420"/>
      <c r="G44" s="144"/>
      <c r="H44" s="144"/>
      <c r="I44" s="483"/>
      <c r="J44" s="438"/>
      <c r="K44" s="441"/>
      <c r="L44" s="444"/>
      <c r="M44" s="447"/>
      <c r="N44" s="444">
        <f>IF(NOT(ISERROR(MATCH(M44,_xlfn.ANCHORARRAY(F55),0))),L57&amp;"Por favor no seleccionar los criterios de impacto",M44)</f>
        <v>0</v>
      </c>
      <c r="O44" s="441"/>
      <c r="P44" s="444"/>
      <c r="Q44" s="471"/>
      <c r="R44" s="105">
        <v>6</v>
      </c>
      <c r="S44" s="106"/>
      <c r="T44" s="107" t="s">
        <v>213</v>
      </c>
      <c r="U44" s="108"/>
      <c r="V44" s="108"/>
      <c r="W44" s="109" t="s">
        <v>213</v>
      </c>
      <c r="X44" s="108"/>
      <c r="Y44" s="108"/>
      <c r="Z44" s="108"/>
      <c r="AA44" s="110" t="s">
        <v>213</v>
      </c>
      <c r="AB44" s="111" t="s">
        <v>213</v>
      </c>
      <c r="AC44" s="112" t="s">
        <v>213</v>
      </c>
      <c r="AD44" s="111" t="s">
        <v>213</v>
      </c>
      <c r="AE44" s="112" t="s">
        <v>213</v>
      </c>
      <c r="AF44" s="113" t="s">
        <v>213</v>
      </c>
      <c r="AG44" s="114"/>
      <c r="AH44" s="115"/>
      <c r="AI44" s="116"/>
      <c r="AJ44" s="117"/>
      <c r="AK44" s="117"/>
      <c r="AL44" s="116"/>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row>
    <row r="45" spans="1:65" ht="26.25" customHeight="1" x14ac:dyDescent="0.25">
      <c r="A45" s="394">
        <v>7</v>
      </c>
      <c r="B45" s="414"/>
      <c r="C45" s="414"/>
      <c r="D45" s="414"/>
      <c r="E45" s="127"/>
      <c r="F45" s="485"/>
      <c r="G45" s="130"/>
      <c r="H45" s="130"/>
      <c r="I45" s="414"/>
      <c r="J45" s="436"/>
      <c r="K45" s="439" t="str">
        <f t="shared" ref="K45" si="45">IF(J45&lt;=0,"",IF(J45&lt;=2,"Muy Baja",IF(J45&lt;=24,"Baja",IF(J45&lt;=500,"Media",IF(J45&lt;=5000,"Alta","Muy Alta")))))</f>
        <v/>
      </c>
      <c r="L45" s="442" t="str">
        <f t="shared" ref="L45" si="46">IF(K45="","",IF(K45="Muy Baja",0.2,IF(K45="Baja",0.4,IF(K45="Media",0.6,IF(K45="Alta",0.8,IF(K45="Muy Alta",1,))))))</f>
        <v/>
      </c>
      <c r="M45" s="445"/>
      <c r="N45" s="442">
        <f>IF(NOT(ISERROR(MATCH(M45,'Tabla Impacto'!$B$221:$B$223,0))),'Tabla Impacto'!$F$223&amp;"Por favor no seleccionar los criterios de impacto(Afectación Económica o presupuestal y Pérdida Reputacional)",M45)</f>
        <v>0</v>
      </c>
      <c r="O45" s="439" t="str">
        <f>IF(OR(N45='Tabla Impacto'!$C$11,N45='Tabla Impacto'!$D$11),"Leve",IF(OR(N45='Tabla Impacto'!$C$12,N45='Tabla Impacto'!$D$12),"Menor",IF(OR(N45='Tabla Impacto'!$C$13,N45='Tabla Impacto'!$D$13),"Moderado",IF(OR(N45='Tabla Impacto'!$C$14,N45='Tabla Impacto'!$D$14),"Mayor",IF(OR(N45='Tabla Impacto'!$C$15,N45='Tabla Impacto'!$D$15),"Catastrófico","")))))</f>
        <v>Leve</v>
      </c>
      <c r="P45" s="442">
        <f t="shared" ref="P45" si="47">IF(O45="","",IF(O45="Leve",0.2,IF(O45="Menor",0.4,IF(O45="Moderado",0.6,IF(O45="Mayor",0.8,IF(O45="Catastrófico",1,))))))</f>
        <v>0.2</v>
      </c>
      <c r="Q45" s="469" t="str">
        <f t="shared" ref="Q45" si="48">IF(OR(AND(K45="Muy Baja",O45="Leve"),AND(K45="Muy Baja",O45="Menor"),AND(K45="Baja",O45="Leve")),"Bajo",IF(OR(AND(K45="Muy baja",O45="Moderado"),AND(K45="Baja",O45="Menor"),AND(K45="Baja",O45="Moderado"),AND(K45="Media",O45="Leve"),AND(K45="Media",O45="Menor"),AND(K45="Media",O45="Moderado"),AND(K45="Alta",O45="Leve"),AND(K45="Alta",O45="Menor")),"Moderado",IF(OR(AND(K45="Muy Baja",O45="Mayor"),AND(K45="Baja",O45="Mayor"),AND(K45="Media",O45="Mayor"),AND(K45="Alta",O45="Moderado"),AND(K45="Alta",O45="Mayor"),AND(K45="Muy Alta",O45="Leve"),AND(K45="Muy Alta",O45="Menor"),AND(K45="Muy Alta",O45="Moderado"),AND(K45="Muy Alta",O45="Mayor")),"Alto",IF(OR(AND(K45="Muy Baja",O45="Catastrófico"),AND(K45="Baja",O45="Catastrófico"),AND(K45="Media",O45="Catastrófico"),AND(K45="Alta",O45="Catastrófico"),AND(K45="Muy Alta",O45="Catastrófico")),"Extremo",""))))</f>
        <v/>
      </c>
      <c r="R45" s="105">
        <v>1</v>
      </c>
      <c r="S45" s="106"/>
      <c r="T45" s="107" t="s">
        <v>213</v>
      </c>
      <c r="U45" s="108"/>
      <c r="V45" s="108"/>
      <c r="W45" s="109" t="s">
        <v>213</v>
      </c>
      <c r="X45" s="108"/>
      <c r="Y45" s="108"/>
      <c r="Z45" s="108"/>
      <c r="AA45" s="110" t="s">
        <v>213</v>
      </c>
      <c r="AB45" s="111" t="s">
        <v>213</v>
      </c>
      <c r="AC45" s="112" t="s">
        <v>213</v>
      </c>
      <c r="AD45" s="111" t="s">
        <v>213</v>
      </c>
      <c r="AE45" s="112" t="s">
        <v>213</v>
      </c>
      <c r="AF45" s="113" t="s">
        <v>213</v>
      </c>
      <c r="AG45" s="114"/>
      <c r="AH45" s="115"/>
      <c r="AI45" s="116"/>
      <c r="AJ45" s="117"/>
      <c r="AK45" s="117"/>
      <c r="AL45" s="116"/>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row>
    <row r="46" spans="1:65" ht="26.25" customHeight="1" x14ac:dyDescent="0.25">
      <c r="A46" s="395"/>
      <c r="B46" s="415"/>
      <c r="C46" s="415"/>
      <c r="D46" s="415"/>
      <c r="E46" s="127"/>
      <c r="F46" s="485"/>
      <c r="G46" s="130"/>
      <c r="H46" s="130"/>
      <c r="I46" s="415"/>
      <c r="J46" s="437"/>
      <c r="K46" s="440"/>
      <c r="L46" s="443"/>
      <c r="M46" s="446"/>
      <c r="N46" s="443">
        <f>IF(NOT(ISERROR(MATCH(M46,_xlfn.ANCHORARRAY(F57),0))),L59&amp;"Por favor no seleccionar los criterios de impacto",M46)</f>
        <v>0</v>
      </c>
      <c r="O46" s="440"/>
      <c r="P46" s="443"/>
      <c r="Q46" s="470"/>
      <c r="R46" s="105">
        <v>2</v>
      </c>
      <c r="S46" s="106"/>
      <c r="T46" s="107" t="s">
        <v>213</v>
      </c>
      <c r="U46" s="108"/>
      <c r="V46" s="108"/>
      <c r="W46" s="109" t="s">
        <v>213</v>
      </c>
      <c r="X46" s="108"/>
      <c r="Y46" s="108"/>
      <c r="Z46" s="108"/>
      <c r="AA46" s="110" t="s">
        <v>213</v>
      </c>
      <c r="AB46" s="111" t="s">
        <v>213</v>
      </c>
      <c r="AC46" s="112" t="s">
        <v>213</v>
      </c>
      <c r="AD46" s="111" t="s">
        <v>213</v>
      </c>
      <c r="AE46" s="112" t="s">
        <v>213</v>
      </c>
      <c r="AF46" s="113" t="s">
        <v>213</v>
      </c>
      <c r="AG46" s="114"/>
      <c r="AH46" s="115"/>
      <c r="AI46" s="116"/>
      <c r="AJ46" s="117"/>
      <c r="AK46" s="117"/>
      <c r="AL46" s="116"/>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row>
    <row r="47" spans="1:65" ht="26.25" customHeight="1" x14ac:dyDescent="0.25">
      <c r="A47" s="395"/>
      <c r="B47" s="415"/>
      <c r="C47" s="415"/>
      <c r="D47" s="415"/>
      <c r="E47" s="127"/>
      <c r="F47" s="485"/>
      <c r="G47" s="130"/>
      <c r="H47" s="130"/>
      <c r="I47" s="415"/>
      <c r="J47" s="437"/>
      <c r="K47" s="440"/>
      <c r="L47" s="443"/>
      <c r="M47" s="446"/>
      <c r="N47" s="443">
        <f>IF(NOT(ISERROR(MATCH(M47,_xlfn.ANCHORARRAY(F58),0))),L60&amp;"Por favor no seleccionar los criterios de impacto",M47)</f>
        <v>0</v>
      </c>
      <c r="O47" s="440"/>
      <c r="P47" s="443"/>
      <c r="Q47" s="470"/>
      <c r="R47" s="105">
        <v>3</v>
      </c>
      <c r="S47" s="118"/>
      <c r="T47" s="107" t="s">
        <v>213</v>
      </c>
      <c r="U47" s="108"/>
      <c r="V47" s="108"/>
      <c r="W47" s="109" t="s">
        <v>213</v>
      </c>
      <c r="X47" s="108"/>
      <c r="Y47" s="108"/>
      <c r="Z47" s="108"/>
      <c r="AA47" s="110" t="s">
        <v>213</v>
      </c>
      <c r="AB47" s="111" t="s">
        <v>213</v>
      </c>
      <c r="AC47" s="112" t="s">
        <v>213</v>
      </c>
      <c r="AD47" s="111" t="s">
        <v>213</v>
      </c>
      <c r="AE47" s="112" t="s">
        <v>213</v>
      </c>
      <c r="AF47" s="113" t="s">
        <v>213</v>
      </c>
      <c r="AG47" s="114"/>
      <c r="AH47" s="115"/>
      <c r="AI47" s="116"/>
      <c r="AJ47" s="117"/>
      <c r="AK47" s="117"/>
      <c r="AL47" s="116"/>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row>
    <row r="48" spans="1:65" ht="26.25" customHeight="1" x14ac:dyDescent="0.25">
      <c r="A48" s="395"/>
      <c r="B48" s="415"/>
      <c r="C48" s="415"/>
      <c r="D48" s="415"/>
      <c r="E48" s="127"/>
      <c r="F48" s="485"/>
      <c r="G48" s="130"/>
      <c r="H48" s="130"/>
      <c r="I48" s="415"/>
      <c r="J48" s="437"/>
      <c r="K48" s="440"/>
      <c r="L48" s="443"/>
      <c r="M48" s="446"/>
      <c r="N48" s="443">
        <f>IF(NOT(ISERROR(MATCH(M48,_xlfn.ANCHORARRAY(F59),0))),L61&amp;"Por favor no seleccionar los criterios de impacto",M48)</f>
        <v>0</v>
      </c>
      <c r="O48" s="440"/>
      <c r="P48" s="443"/>
      <c r="Q48" s="470"/>
      <c r="R48" s="105">
        <v>4</v>
      </c>
      <c r="S48" s="106"/>
      <c r="T48" s="107" t="s">
        <v>213</v>
      </c>
      <c r="U48" s="108"/>
      <c r="V48" s="108"/>
      <c r="W48" s="109" t="s">
        <v>213</v>
      </c>
      <c r="X48" s="108"/>
      <c r="Y48" s="108"/>
      <c r="Z48" s="108"/>
      <c r="AA48" s="110" t="s">
        <v>213</v>
      </c>
      <c r="AB48" s="111" t="s">
        <v>213</v>
      </c>
      <c r="AC48" s="112" t="s">
        <v>213</v>
      </c>
      <c r="AD48" s="111" t="s">
        <v>213</v>
      </c>
      <c r="AE48" s="112" t="s">
        <v>213</v>
      </c>
      <c r="AF48" s="113" t="s">
        <v>213</v>
      </c>
      <c r="AG48" s="114"/>
      <c r="AH48" s="115"/>
      <c r="AI48" s="116"/>
      <c r="AJ48" s="117"/>
      <c r="AK48" s="117"/>
      <c r="AL48" s="116"/>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row>
    <row r="49" spans="1:65" ht="26.25" customHeight="1" x14ac:dyDescent="0.25">
      <c r="A49" s="395"/>
      <c r="B49" s="415"/>
      <c r="C49" s="415"/>
      <c r="D49" s="415"/>
      <c r="E49" s="127"/>
      <c r="F49" s="485"/>
      <c r="G49" s="130"/>
      <c r="H49" s="130"/>
      <c r="I49" s="415"/>
      <c r="J49" s="437"/>
      <c r="K49" s="440"/>
      <c r="L49" s="443"/>
      <c r="M49" s="446"/>
      <c r="N49" s="443">
        <f>IF(NOT(ISERROR(MATCH(M49,_xlfn.ANCHORARRAY(F60),0))),L62&amp;"Por favor no seleccionar los criterios de impacto",M49)</f>
        <v>0</v>
      </c>
      <c r="O49" s="440"/>
      <c r="P49" s="443"/>
      <c r="Q49" s="470"/>
      <c r="R49" s="105">
        <v>5</v>
      </c>
      <c r="S49" s="106"/>
      <c r="T49" s="107" t="s">
        <v>213</v>
      </c>
      <c r="U49" s="108"/>
      <c r="V49" s="108"/>
      <c r="W49" s="109" t="s">
        <v>213</v>
      </c>
      <c r="X49" s="108"/>
      <c r="Y49" s="108"/>
      <c r="Z49" s="108"/>
      <c r="AA49" s="110" t="s">
        <v>213</v>
      </c>
      <c r="AB49" s="111" t="s">
        <v>213</v>
      </c>
      <c r="AC49" s="112" t="s">
        <v>213</v>
      </c>
      <c r="AD49" s="111" t="s">
        <v>213</v>
      </c>
      <c r="AE49" s="112" t="s">
        <v>213</v>
      </c>
      <c r="AF49" s="113" t="s">
        <v>213</v>
      </c>
      <c r="AG49" s="114"/>
      <c r="AH49" s="115"/>
      <c r="AI49" s="116"/>
      <c r="AJ49" s="117"/>
      <c r="AK49" s="117"/>
      <c r="AL49" s="116"/>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row>
    <row r="50" spans="1:65" ht="26.25" customHeight="1" x14ac:dyDescent="0.25">
      <c r="A50" s="413"/>
      <c r="B50" s="416"/>
      <c r="C50" s="416"/>
      <c r="D50" s="416"/>
      <c r="E50" s="128"/>
      <c r="F50" s="486"/>
      <c r="G50" s="131"/>
      <c r="H50" s="131"/>
      <c r="I50" s="416"/>
      <c r="J50" s="438"/>
      <c r="K50" s="441"/>
      <c r="L50" s="444"/>
      <c r="M50" s="447"/>
      <c r="N50" s="444">
        <f>IF(NOT(ISERROR(MATCH(M50,_xlfn.ANCHORARRAY(F61),0))),L63&amp;"Por favor no seleccionar los criterios de impacto",M50)</f>
        <v>0</v>
      </c>
      <c r="O50" s="441"/>
      <c r="P50" s="444"/>
      <c r="Q50" s="471"/>
      <c r="R50" s="105">
        <v>6</v>
      </c>
      <c r="S50" s="106"/>
      <c r="T50" s="107" t="s">
        <v>213</v>
      </c>
      <c r="U50" s="108"/>
      <c r="V50" s="108"/>
      <c r="W50" s="109" t="s">
        <v>213</v>
      </c>
      <c r="X50" s="108"/>
      <c r="Y50" s="108"/>
      <c r="Z50" s="108"/>
      <c r="AA50" s="110" t="s">
        <v>213</v>
      </c>
      <c r="AB50" s="111" t="s">
        <v>213</v>
      </c>
      <c r="AC50" s="112" t="s">
        <v>213</v>
      </c>
      <c r="AD50" s="111" t="s">
        <v>213</v>
      </c>
      <c r="AE50" s="112" t="s">
        <v>213</v>
      </c>
      <c r="AF50" s="113" t="s">
        <v>213</v>
      </c>
      <c r="AG50" s="114"/>
      <c r="AH50" s="115"/>
      <c r="AI50" s="116"/>
      <c r="AJ50" s="117"/>
      <c r="AK50" s="117"/>
      <c r="AL50" s="116"/>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row>
    <row r="51" spans="1:65" ht="26.25" customHeight="1" x14ac:dyDescent="0.25">
      <c r="A51" s="394">
        <v>8</v>
      </c>
      <c r="B51" s="414"/>
      <c r="C51" s="414"/>
      <c r="D51" s="414"/>
      <c r="E51" s="126"/>
      <c r="F51" s="484"/>
      <c r="G51" s="129"/>
      <c r="H51" s="129"/>
      <c r="I51" s="414"/>
      <c r="J51" s="436"/>
      <c r="K51" s="439" t="str">
        <f t="shared" ref="K51" si="49">IF(J51&lt;=0,"",IF(J51&lt;=2,"Muy Baja",IF(J51&lt;=24,"Baja",IF(J51&lt;=500,"Media",IF(J51&lt;=5000,"Alta","Muy Alta")))))</f>
        <v/>
      </c>
      <c r="L51" s="442" t="str">
        <f t="shared" ref="L51" si="50">IF(K51="","",IF(K51="Muy Baja",0.2,IF(K51="Baja",0.4,IF(K51="Media",0.6,IF(K51="Alta",0.8,IF(K51="Muy Alta",1,))))))</f>
        <v/>
      </c>
      <c r="M51" s="445"/>
      <c r="N51" s="442">
        <f>IF(NOT(ISERROR(MATCH(M51,'Tabla Impacto'!$B$221:$B$223,0))),'Tabla Impacto'!$F$223&amp;"Por favor no seleccionar los criterios de impacto(Afectación Económica o presupuestal y Pérdida Reputacional)",M51)</f>
        <v>0</v>
      </c>
      <c r="O51" s="439" t="str">
        <f>IF(OR(N51='Tabla Impacto'!$C$11,N51='Tabla Impacto'!$D$11),"Leve",IF(OR(N51='Tabla Impacto'!$C$12,N51='Tabla Impacto'!$D$12),"Menor",IF(OR(N51='Tabla Impacto'!$C$13,N51='Tabla Impacto'!$D$13),"Moderado",IF(OR(N51='Tabla Impacto'!$C$14,N51='Tabla Impacto'!$D$14),"Mayor",IF(OR(N51='Tabla Impacto'!$C$15,N51='Tabla Impacto'!$D$15),"Catastrófico","")))))</f>
        <v>Leve</v>
      </c>
      <c r="P51" s="442">
        <f t="shared" ref="P51" si="51">IF(O51="","",IF(O51="Leve",0.2,IF(O51="Menor",0.4,IF(O51="Moderado",0.6,IF(O51="Mayor",0.8,IF(O51="Catastrófico",1,))))))</f>
        <v>0.2</v>
      </c>
      <c r="Q51" s="469" t="str">
        <f t="shared" ref="Q51" si="52">IF(OR(AND(K51="Muy Baja",O51="Leve"),AND(K51="Muy Baja",O51="Menor"),AND(K51="Baja",O51="Leve")),"Bajo",IF(OR(AND(K51="Muy baja",O51="Moderado"),AND(K51="Baja",O51="Menor"),AND(K51="Baja",O51="Moderado"),AND(K51="Media",O51="Leve"),AND(K51="Media",O51="Menor"),AND(K51="Media",O51="Moderado"),AND(K51="Alta",O51="Leve"),AND(K51="Alta",O51="Menor")),"Moderado",IF(OR(AND(K51="Muy Baja",O51="Mayor"),AND(K51="Baja",O51="Mayor"),AND(K51="Media",O51="Mayor"),AND(K51="Alta",O51="Moderado"),AND(K51="Alta",O51="Mayor"),AND(K51="Muy Alta",O51="Leve"),AND(K51="Muy Alta",O51="Menor"),AND(K51="Muy Alta",O51="Moderado"),AND(K51="Muy Alta",O51="Mayor")),"Alto",IF(OR(AND(K51="Muy Baja",O51="Catastrófico"),AND(K51="Baja",O51="Catastrófico"),AND(K51="Media",O51="Catastrófico"),AND(K51="Alta",O51="Catastrófico"),AND(K51="Muy Alta",O51="Catastrófico")),"Extremo",""))))</f>
        <v/>
      </c>
      <c r="R51" s="105">
        <v>1</v>
      </c>
      <c r="S51" s="106"/>
      <c r="T51" s="107" t="str">
        <f>IF(OR(U51="Preventivo",U51="Detectivo"),"Probabilidad",IF(U51="Correctivo","Impacto",""))</f>
        <v/>
      </c>
      <c r="U51" s="108"/>
      <c r="V51" s="108"/>
      <c r="W51" s="109" t="str">
        <f>IF(AND(U51="Preventivo",V51="Automático"),"50%",IF(AND(U51="Preventivo",V51="Manual"),"40%",IF(AND(U51="Detectivo",V51="Automático"),"40%",IF(AND(U51="Detectivo",V51="Manual"),"30%",IF(AND(U51="Correctivo",V51="Automático"),"35%",IF(AND(U51="Correctivo",V51="Manual"),"25%",""))))))</f>
        <v/>
      </c>
      <c r="X51" s="108"/>
      <c r="Y51" s="108"/>
      <c r="Z51" s="108"/>
      <c r="AA51" s="110" t="str">
        <f>IFERROR(IF(T51="Probabilidad",(L51-(+L51*W51)),IF(T51="Impacto",L51,"")),"")</f>
        <v/>
      </c>
      <c r="AB51" s="111" t="str">
        <f>IFERROR(IF(AA51="","",IF(AA51&lt;=0.2,"Muy Baja",IF(AA51&lt;=0.4,"Baja",IF(AA51&lt;=0.6,"Media",IF(AA51&lt;=0.8,"Alta","Muy Alta"))))),"")</f>
        <v/>
      </c>
      <c r="AC51" s="112" t="str">
        <f>+AA51</f>
        <v/>
      </c>
      <c r="AD51" s="111" t="str">
        <f>IFERROR(IF(AE51="","",IF(AE51&lt;=0.2,"Leve",IF(AE51&lt;=0.4,"Menor",IF(AE51&lt;=0.6,"Moderado",IF(AE51&lt;=0.8,"Mayor","Catastrófico"))))),"")</f>
        <v/>
      </c>
      <c r="AE51" s="112" t="str">
        <f>IFERROR(IF(T51="Impacto",(P51-(+P51*W51)),IF(T51="Probabilidad",P51,"")),"")</f>
        <v/>
      </c>
      <c r="AF51" s="113" t="str">
        <f>IFERROR(IF(OR(AND(AB51="Muy Baja",AD51="Leve"),AND(AB51="Muy Baja",AD51="Menor"),AND(AB51="Baja",AD51="Leve")),"Bajo",IF(OR(AND(AB51="Muy baja",AD51="Moderado"),AND(AB51="Baja",AD51="Menor"),AND(AB51="Baja",AD51="Moderado"),AND(AB51="Media",AD51="Leve"),AND(AB51="Media",AD51="Menor"),AND(AB51="Media",AD51="Moderado"),AND(AB51="Alta",AD51="Leve"),AND(AB51="Alta",AD51="Menor")),"Moderado",IF(OR(AND(AB51="Muy Baja",AD51="Mayor"),AND(AB51="Baja",AD51="Mayor"),AND(AB51="Media",AD51="Mayor"),AND(AB51="Alta",AD51="Moderado"),AND(AB51="Alta",AD51="Mayor"),AND(AB51="Muy Alta",AD51="Leve"),AND(AB51="Muy Alta",AD51="Menor"),AND(AB51="Muy Alta",AD51="Moderado"),AND(AB51="Muy Alta",AD51="Mayor")),"Alto",IF(OR(AND(AB51="Muy Baja",AD51="Catastrófico"),AND(AB51="Baja",AD51="Catastrófico"),AND(AB51="Media",AD51="Catastrófico"),AND(AB51="Alta",AD51="Catastrófico"),AND(AB51="Muy Alta",AD51="Catastrófico")),"Extremo","")))),"")</f>
        <v/>
      </c>
      <c r="AG51" s="114"/>
      <c r="AH51" s="115"/>
      <c r="AI51" s="116"/>
      <c r="AJ51" s="117"/>
      <c r="AK51" s="117"/>
      <c r="AL51" s="116"/>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row>
    <row r="52" spans="1:65" ht="26.25" customHeight="1" x14ac:dyDescent="0.25">
      <c r="A52" s="395"/>
      <c r="B52" s="415"/>
      <c r="C52" s="415"/>
      <c r="D52" s="415"/>
      <c r="E52" s="127"/>
      <c r="F52" s="485"/>
      <c r="G52" s="130"/>
      <c r="H52" s="130"/>
      <c r="I52" s="415"/>
      <c r="J52" s="437"/>
      <c r="K52" s="440"/>
      <c r="L52" s="443"/>
      <c r="M52" s="446"/>
      <c r="N52" s="443">
        <f>IF(NOT(ISERROR(MATCH(M52,_xlfn.ANCHORARRAY(F63),0))),L65&amp;"Por favor no seleccionar los criterios de impacto",M52)</f>
        <v>0</v>
      </c>
      <c r="O52" s="440"/>
      <c r="P52" s="443"/>
      <c r="Q52" s="470"/>
      <c r="R52" s="105">
        <v>2</v>
      </c>
      <c r="S52" s="106"/>
      <c r="T52" s="107" t="str">
        <f>IF(OR(U52="Preventivo",U52="Detectivo"),"Probabilidad",IF(U52="Correctivo","Impacto",""))</f>
        <v/>
      </c>
      <c r="U52" s="108"/>
      <c r="V52" s="108"/>
      <c r="W52" s="109" t="str">
        <f t="shared" ref="W52:W56" si="53">IF(AND(U52="Preventivo",V52="Automático"),"50%",IF(AND(U52="Preventivo",V52="Manual"),"40%",IF(AND(U52="Detectivo",V52="Automático"),"40%",IF(AND(U52="Detectivo",V52="Manual"),"30%",IF(AND(U52="Correctivo",V52="Automático"),"35%",IF(AND(U52="Correctivo",V52="Manual"),"25%",""))))))</f>
        <v/>
      </c>
      <c r="X52" s="108"/>
      <c r="Y52" s="108"/>
      <c r="Z52" s="108"/>
      <c r="AA52" s="110" t="str">
        <f>IFERROR(IF(AND(T51="Probabilidad",T52="Probabilidad"),(AC51-(+AC51*W52)),IF(T52="Probabilidad",(L51-(+L51*W52)),IF(T52="Impacto",AC51,""))),"")</f>
        <v/>
      </c>
      <c r="AB52" s="111" t="str">
        <f t="shared" ref="AB52:AB68" si="54">IFERROR(IF(AA52="","",IF(AA52&lt;=0.2,"Muy Baja",IF(AA52&lt;=0.4,"Baja",IF(AA52&lt;=0.6,"Media",IF(AA52&lt;=0.8,"Alta","Muy Alta"))))),"")</f>
        <v/>
      </c>
      <c r="AC52" s="112" t="str">
        <f t="shared" ref="AC52:AC56" si="55">+AA52</f>
        <v/>
      </c>
      <c r="AD52" s="111" t="str">
        <f t="shared" ref="AD52:AD68" si="56">IFERROR(IF(AE52="","",IF(AE52&lt;=0.2,"Leve",IF(AE52&lt;=0.4,"Menor",IF(AE52&lt;=0.6,"Moderado",IF(AE52&lt;=0.8,"Mayor","Catastrófico"))))),"")</f>
        <v/>
      </c>
      <c r="AE52" s="112" t="str">
        <f>IFERROR(IF(AND(T51="Impacto",T52="Impacto"),(AE51-(+AE51*W52)),IF(T52="Impacto",(P51-(+P51*W52)),IF(T52="Probabilidad",AE51,""))),"")</f>
        <v/>
      </c>
      <c r="AF52" s="113" t="str">
        <f t="shared" ref="AF52:AF53" si="57">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
      </c>
      <c r="AG52" s="114"/>
      <c r="AH52" s="115"/>
      <c r="AI52" s="116"/>
      <c r="AJ52" s="117"/>
      <c r="AK52" s="117"/>
      <c r="AL52" s="116"/>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row>
    <row r="53" spans="1:65" ht="26.25" customHeight="1" x14ac:dyDescent="0.25">
      <c r="A53" s="395"/>
      <c r="B53" s="415"/>
      <c r="C53" s="415"/>
      <c r="D53" s="415"/>
      <c r="E53" s="127"/>
      <c r="F53" s="485"/>
      <c r="G53" s="130"/>
      <c r="H53" s="130"/>
      <c r="I53" s="415"/>
      <c r="J53" s="437"/>
      <c r="K53" s="440"/>
      <c r="L53" s="443"/>
      <c r="M53" s="446"/>
      <c r="N53" s="443">
        <f>IF(NOT(ISERROR(MATCH(M53,_xlfn.ANCHORARRAY(F64),0))),L66&amp;"Por favor no seleccionar los criterios de impacto",M53)</f>
        <v>0</v>
      </c>
      <c r="O53" s="440"/>
      <c r="P53" s="443"/>
      <c r="Q53" s="470"/>
      <c r="R53" s="105">
        <v>3</v>
      </c>
      <c r="S53" s="118"/>
      <c r="T53" s="107" t="str">
        <f>IF(OR(U53="Preventivo",U53="Detectivo"),"Probabilidad",IF(U53="Correctivo","Impacto",""))</f>
        <v/>
      </c>
      <c r="U53" s="108"/>
      <c r="V53" s="108"/>
      <c r="W53" s="109" t="str">
        <f t="shared" si="53"/>
        <v/>
      </c>
      <c r="X53" s="108"/>
      <c r="Y53" s="108"/>
      <c r="Z53" s="108"/>
      <c r="AA53" s="110" t="str">
        <f>IFERROR(IF(AND(T52="Probabilidad",T53="Probabilidad"),(AC52-(+AC52*W53)),IF(AND(T52="Impacto",T53="Probabilidad"),(AC51-(+AC51*W53)),IF(T53="Impacto",AC52,""))),"")</f>
        <v/>
      </c>
      <c r="AB53" s="111" t="str">
        <f t="shared" si="54"/>
        <v/>
      </c>
      <c r="AC53" s="112" t="str">
        <f t="shared" si="55"/>
        <v/>
      </c>
      <c r="AD53" s="111" t="str">
        <f t="shared" si="56"/>
        <v/>
      </c>
      <c r="AE53" s="112" t="str">
        <f>IFERROR(IF(AND(T52="Impacto",T53="Impacto"),(AE52-(+AE52*W53)),IF(AND(T52="Probabilidad",T53="Impacto"),(AE51-(+AE51*W53)),IF(T53="Probabilidad",AE52,""))),"")</f>
        <v/>
      </c>
      <c r="AF53" s="113" t="str">
        <f t="shared" si="57"/>
        <v/>
      </c>
      <c r="AG53" s="114"/>
      <c r="AH53" s="115"/>
      <c r="AI53" s="116"/>
      <c r="AJ53" s="117"/>
      <c r="AK53" s="117"/>
      <c r="AL53" s="116"/>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row>
    <row r="54" spans="1:65" ht="26.25" customHeight="1" x14ac:dyDescent="0.25">
      <c r="A54" s="395"/>
      <c r="B54" s="415"/>
      <c r="C54" s="415"/>
      <c r="D54" s="415"/>
      <c r="E54" s="127"/>
      <c r="F54" s="485"/>
      <c r="G54" s="130"/>
      <c r="H54" s="130"/>
      <c r="I54" s="415"/>
      <c r="J54" s="437"/>
      <c r="K54" s="440"/>
      <c r="L54" s="443"/>
      <c r="M54" s="446"/>
      <c r="N54" s="443">
        <f>IF(NOT(ISERROR(MATCH(M54,_xlfn.ANCHORARRAY(F65),0))),L67&amp;"Por favor no seleccionar los criterios de impacto",M54)</f>
        <v>0</v>
      </c>
      <c r="O54" s="440"/>
      <c r="P54" s="443"/>
      <c r="Q54" s="470"/>
      <c r="R54" s="105">
        <v>4</v>
      </c>
      <c r="S54" s="106"/>
      <c r="T54" s="107" t="str">
        <f t="shared" ref="T54:T56" si="58">IF(OR(U54="Preventivo",U54="Detectivo"),"Probabilidad",IF(U54="Correctivo","Impacto",""))</f>
        <v/>
      </c>
      <c r="U54" s="108"/>
      <c r="V54" s="108"/>
      <c r="W54" s="109" t="str">
        <f t="shared" si="53"/>
        <v/>
      </c>
      <c r="X54" s="108"/>
      <c r="Y54" s="108"/>
      <c r="Z54" s="108"/>
      <c r="AA54" s="110" t="str">
        <f t="shared" ref="AA54:AA56" si="59">IFERROR(IF(AND(T53="Probabilidad",T54="Probabilidad"),(AC53-(+AC53*W54)),IF(AND(T53="Impacto",T54="Probabilidad"),(AC52-(+AC52*W54)),IF(T54="Impacto",AC53,""))),"")</f>
        <v/>
      </c>
      <c r="AB54" s="111" t="str">
        <f t="shared" si="54"/>
        <v/>
      </c>
      <c r="AC54" s="112" t="str">
        <f t="shared" si="55"/>
        <v/>
      </c>
      <c r="AD54" s="111" t="str">
        <f t="shared" si="56"/>
        <v/>
      </c>
      <c r="AE54" s="112" t="str">
        <f t="shared" ref="AE54:AE56" si="60">IFERROR(IF(AND(T53="Impacto",T54="Impacto"),(AE53-(+AE53*W54)),IF(AND(T53="Probabilidad",T54="Impacto"),(AE52-(+AE52*W54)),IF(T54="Probabilidad",AE53,""))),"")</f>
        <v/>
      </c>
      <c r="AF54" s="113" t="str">
        <f>IFERROR(IF(OR(AND(AB54="Muy Baja",AD54="Leve"),AND(AB54="Muy Baja",AD54="Menor"),AND(AB54="Baja",AD54="Leve")),"Bajo",IF(OR(AND(AB54="Muy baja",AD54="Moderado"),AND(AB54="Baja",AD54="Menor"),AND(AB54="Baja",AD54="Moderado"),AND(AB54="Media",AD54="Leve"),AND(AB54="Media",AD54="Menor"),AND(AB54="Media",AD54="Moderado"),AND(AB54="Alta",AD54="Leve"),AND(AB54="Alta",AD54="Menor")),"Moderado",IF(OR(AND(AB54="Muy Baja",AD54="Mayor"),AND(AB54="Baja",AD54="Mayor"),AND(AB54="Media",AD54="Mayor"),AND(AB54="Alta",AD54="Moderado"),AND(AB54="Alta",AD54="Mayor"),AND(AB54="Muy Alta",AD54="Leve"),AND(AB54="Muy Alta",AD54="Menor"),AND(AB54="Muy Alta",AD54="Moderado"),AND(AB54="Muy Alta",AD54="Mayor")),"Alto",IF(OR(AND(AB54="Muy Baja",AD54="Catastrófico"),AND(AB54="Baja",AD54="Catastrófico"),AND(AB54="Media",AD54="Catastrófico"),AND(AB54="Alta",AD54="Catastrófico"),AND(AB54="Muy Alta",AD54="Catastrófico")),"Extremo","")))),"")</f>
        <v/>
      </c>
      <c r="AG54" s="114"/>
      <c r="AH54" s="115"/>
      <c r="AI54" s="116"/>
      <c r="AJ54" s="117"/>
      <c r="AK54" s="117"/>
      <c r="AL54" s="116"/>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row>
    <row r="55" spans="1:65" ht="26.25" customHeight="1" x14ac:dyDescent="0.25">
      <c r="A55" s="395"/>
      <c r="B55" s="415"/>
      <c r="C55" s="415"/>
      <c r="D55" s="415"/>
      <c r="E55" s="127"/>
      <c r="F55" s="485"/>
      <c r="G55" s="130"/>
      <c r="H55" s="130"/>
      <c r="I55" s="415"/>
      <c r="J55" s="437"/>
      <c r="K55" s="440"/>
      <c r="L55" s="443"/>
      <c r="M55" s="446"/>
      <c r="N55" s="443">
        <f>IF(NOT(ISERROR(MATCH(M55,_xlfn.ANCHORARRAY(F66),0))),L68&amp;"Por favor no seleccionar los criterios de impacto",M55)</f>
        <v>0</v>
      </c>
      <c r="O55" s="440"/>
      <c r="P55" s="443"/>
      <c r="Q55" s="470"/>
      <c r="R55" s="105">
        <v>5</v>
      </c>
      <c r="S55" s="106"/>
      <c r="T55" s="107" t="str">
        <f t="shared" si="58"/>
        <v/>
      </c>
      <c r="U55" s="108"/>
      <c r="V55" s="108"/>
      <c r="W55" s="109" t="str">
        <f t="shared" si="53"/>
        <v/>
      </c>
      <c r="X55" s="108"/>
      <c r="Y55" s="108"/>
      <c r="Z55" s="108"/>
      <c r="AA55" s="110" t="str">
        <f t="shared" si="59"/>
        <v/>
      </c>
      <c r="AB55" s="111" t="str">
        <f t="shared" si="54"/>
        <v/>
      </c>
      <c r="AC55" s="112" t="str">
        <f t="shared" si="55"/>
        <v/>
      </c>
      <c r="AD55" s="111" t="str">
        <f t="shared" si="56"/>
        <v/>
      </c>
      <c r="AE55" s="112" t="str">
        <f t="shared" si="60"/>
        <v/>
      </c>
      <c r="AF55" s="113" t="str">
        <f t="shared" ref="AF55:AF56" si="61">IFERROR(IF(OR(AND(AB55="Muy Baja",AD55="Leve"),AND(AB55="Muy Baja",AD55="Menor"),AND(AB55="Baja",AD55="Leve")),"Bajo",IF(OR(AND(AB55="Muy baja",AD55="Moderado"),AND(AB55="Baja",AD55="Menor"),AND(AB55="Baja",AD55="Moderado"),AND(AB55="Media",AD55="Leve"),AND(AB55="Media",AD55="Menor"),AND(AB55="Media",AD55="Moderado"),AND(AB55="Alta",AD55="Leve"),AND(AB55="Alta",AD55="Menor")),"Moderado",IF(OR(AND(AB55="Muy Baja",AD55="Mayor"),AND(AB55="Baja",AD55="Mayor"),AND(AB55="Media",AD55="Mayor"),AND(AB55="Alta",AD55="Moderado"),AND(AB55="Alta",AD55="Mayor"),AND(AB55="Muy Alta",AD55="Leve"),AND(AB55="Muy Alta",AD55="Menor"),AND(AB55="Muy Alta",AD55="Moderado"),AND(AB55="Muy Alta",AD55="Mayor")),"Alto",IF(OR(AND(AB55="Muy Baja",AD55="Catastrófico"),AND(AB55="Baja",AD55="Catastrófico"),AND(AB55="Media",AD55="Catastrófico"),AND(AB55="Alta",AD55="Catastrófico"),AND(AB55="Muy Alta",AD55="Catastrófico")),"Extremo","")))),"")</f>
        <v/>
      </c>
      <c r="AG55" s="114"/>
      <c r="AH55" s="115"/>
      <c r="AI55" s="116"/>
      <c r="AJ55" s="117"/>
      <c r="AK55" s="117"/>
      <c r="AL55" s="116"/>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row>
    <row r="56" spans="1:65" ht="26.25" customHeight="1" x14ac:dyDescent="0.25">
      <c r="A56" s="413"/>
      <c r="B56" s="416"/>
      <c r="C56" s="416"/>
      <c r="D56" s="416"/>
      <c r="E56" s="128"/>
      <c r="F56" s="486"/>
      <c r="G56" s="131"/>
      <c r="H56" s="131"/>
      <c r="I56" s="416"/>
      <c r="J56" s="438"/>
      <c r="K56" s="441"/>
      <c r="L56" s="444"/>
      <c r="M56" s="447"/>
      <c r="N56" s="444">
        <f>IF(NOT(ISERROR(MATCH(M56,_xlfn.ANCHORARRAY(F67),0))),L69&amp;"Por favor no seleccionar los criterios de impacto",M56)</f>
        <v>0</v>
      </c>
      <c r="O56" s="441"/>
      <c r="P56" s="444"/>
      <c r="Q56" s="471"/>
      <c r="R56" s="105">
        <v>6</v>
      </c>
      <c r="S56" s="106"/>
      <c r="T56" s="107" t="str">
        <f t="shared" si="58"/>
        <v/>
      </c>
      <c r="U56" s="108"/>
      <c r="V56" s="108"/>
      <c r="W56" s="109" t="str">
        <f t="shared" si="53"/>
        <v/>
      </c>
      <c r="X56" s="108"/>
      <c r="Y56" s="108"/>
      <c r="Z56" s="108"/>
      <c r="AA56" s="110" t="str">
        <f t="shared" si="59"/>
        <v/>
      </c>
      <c r="AB56" s="111" t="str">
        <f t="shared" si="54"/>
        <v/>
      </c>
      <c r="AC56" s="112" t="str">
        <f t="shared" si="55"/>
        <v/>
      </c>
      <c r="AD56" s="111" t="str">
        <f t="shared" si="56"/>
        <v/>
      </c>
      <c r="AE56" s="112" t="str">
        <f t="shared" si="60"/>
        <v/>
      </c>
      <c r="AF56" s="113" t="str">
        <f t="shared" si="61"/>
        <v/>
      </c>
      <c r="AG56" s="114"/>
      <c r="AH56" s="115"/>
      <c r="AI56" s="116"/>
      <c r="AJ56" s="117"/>
      <c r="AK56" s="117"/>
      <c r="AL56" s="116"/>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row>
    <row r="57" spans="1:65" ht="26.25" customHeight="1" x14ac:dyDescent="0.25">
      <c r="A57" s="394">
        <v>9</v>
      </c>
      <c r="B57" s="414"/>
      <c r="C57" s="414"/>
      <c r="D57" s="414"/>
      <c r="E57" s="126"/>
      <c r="F57" s="484"/>
      <c r="G57" s="129"/>
      <c r="H57" s="129"/>
      <c r="I57" s="414"/>
      <c r="J57" s="436"/>
      <c r="K57" s="439" t="str">
        <f t="shared" ref="K57" si="62">IF(J57&lt;=0,"",IF(J57&lt;=2,"Muy Baja",IF(J57&lt;=24,"Baja",IF(J57&lt;=500,"Media",IF(J57&lt;=5000,"Alta","Muy Alta")))))</f>
        <v/>
      </c>
      <c r="L57" s="442" t="str">
        <f t="shared" ref="L57" si="63">IF(K57="","",IF(K57="Muy Baja",0.2,IF(K57="Baja",0.4,IF(K57="Media",0.6,IF(K57="Alta",0.8,IF(K57="Muy Alta",1,))))))</f>
        <v/>
      </c>
      <c r="M57" s="445"/>
      <c r="N57" s="442">
        <f>IF(NOT(ISERROR(MATCH(M57,'Tabla Impacto'!$B$221:$B$223,0))),'Tabla Impacto'!$F$223&amp;"Por favor no seleccionar los criterios de impacto(Afectación Económica o presupuestal y Pérdida Reputacional)",M57)</f>
        <v>0</v>
      </c>
      <c r="O57" s="439" t="str">
        <f>IF(OR(N57='Tabla Impacto'!$C$11,N57='Tabla Impacto'!$D$11),"Leve",IF(OR(N57='Tabla Impacto'!$C$12,N57='Tabla Impacto'!$D$12),"Menor",IF(OR(N57='Tabla Impacto'!$C$13,N57='Tabla Impacto'!$D$13),"Moderado",IF(OR(N57='Tabla Impacto'!$C$14,N57='Tabla Impacto'!$D$14),"Mayor",IF(OR(N57='Tabla Impacto'!$C$15,N57='Tabla Impacto'!$D$15),"Catastrófico","")))))</f>
        <v>Leve</v>
      </c>
      <c r="P57" s="442">
        <f t="shared" ref="P57" si="64">IF(O57="","",IF(O57="Leve",0.2,IF(O57="Menor",0.4,IF(O57="Moderado",0.6,IF(O57="Mayor",0.8,IF(O57="Catastrófico",1,))))))</f>
        <v>0.2</v>
      </c>
      <c r="Q57" s="469" t="str">
        <f t="shared" ref="Q57" si="65">IF(OR(AND(K57="Muy Baja",O57="Leve"),AND(K57="Muy Baja",O57="Menor"),AND(K57="Baja",O57="Leve")),"Bajo",IF(OR(AND(K57="Muy baja",O57="Moderado"),AND(K57="Baja",O57="Menor"),AND(K57="Baja",O57="Moderado"),AND(K57="Media",O57="Leve"),AND(K57="Media",O57="Menor"),AND(K57="Media",O57="Moderado"),AND(K57="Alta",O57="Leve"),AND(K57="Alta",O57="Menor")),"Moderado",IF(OR(AND(K57="Muy Baja",O57="Mayor"),AND(K57="Baja",O57="Mayor"),AND(K57="Media",O57="Mayor"),AND(K57="Alta",O57="Moderado"),AND(K57="Alta",O57="Mayor"),AND(K57="Muy Alta",O57="Leve"),AND(K57="Muy Alta",O57="Menor"),AND(K57="Muy Alta",O57="Moderado"),AND(K57="Muy Alta",O57="Mayor")),"Alto",IF(OR(AND(K57="Muy Baja",O57="Catastrófico"),AND(K57="Baja",O57="Catastrófico"),AND(K57="Media",O57="Catastrófico"),AND(K57="Alta",O57="Catastrófico"),AND(K57="Muy Alta",O57="Catastrófico")),"Extremo",""))))</f>
        <v/>
      </c>
      <c r="R57" s="105">
        <v>1</v>
      </c>
      <c r="S57" s="106"/>
      <c r="T57" s="107" t="str">
        <f>IF(OR(U57="Preventivo",U57="Detectivo"),"Probabilidad",IF(U57="Correctivo","Impacto",""))</f>
        <v/>
      </c>
      <c r="U57" s="108"/>
      <c r="V57" s="108"/>
      <c r="W57" s="109" t="str">
        <f>IF(AND(U57="Preventivo",V57="Automático"),"50%",IF(AND(U57="Preventivo",V57="Manual"),"40%",IF(AND(U57="Detectivo",V57="Automático"),"40%",IF(AND(U57="Detectivo",V57="Manual"),"30%",IF(AND(U57="Correctivo",V57="Automático"),"35%",IF(AND(U57="Correctivo",V57="Manual"),"25%",""))))))</f>
        <v/>
      </c>
      <c r="X57" s="108"/>
      <c r="Y57" s="108"/>
      <c r="Z57" s="108"/>
      <c r="AA57" s="110" t="str">
        <f>IFERROR(IF(T57="Probabilidad",(L57-(+L57*W57)),IF(T57="Impacto",L57,"")),"")</f>
        <v/>
      </c>
      <c r="AB57" s="111" t="str">
        <f>IFERROR(IF(AA57="","",IF(AA57&lt;=0.2,"Muy Baja",IF(AA57&lt;=0.4,"Baja",IF(AA57&lt;=0.6,"Media",IF(AA57&lt;=0.8,"Alta","Muy Alta"))))),"")</f>
        <v/>
      </c>
      <c r="AC57" s="112" t="str">
        <f>+AA57</f>
        <v/>
      </c>
      <c r="AD57" s="111" t="str">
        <f>IFERROR(IF(AE57="","",IF(AE57&lt;=0.2,"Leve",IF(AE57&lt;=0.4,"Menor",IF(AE57&lt;=0.6,"Moderado",IF(AE57&lt;=0.8,"Mayor","Catastrófico"))))),"")</f>
        <v/>
      </c>
      <c r="AE57" s="112" t="str">
        <f>IFERROR(IF(T57="Impacto",(P57-(+P57*W57)),IF(T57="Probabilidad",P57,"")),"")</f>
        <v/>
      </c>
      <c r="AF57" s="113" t="str">
        <f>IFERROR(IF(OR(AND(AB57="Muy Baja",AD57="Leve"),AND(AB57="Muy Baja",AD57="Menor"),AND(AB57="Baja",AD57="Leve")),"Bajo",IF(OR(AND(AB57="Muy baja",AD57="Moderado"),AND(AB57="Baja",AD57="Menor"),AND(AB57="Baja",AD57="Moderado"),AND(AB57="Media",AD57="Leve"),AND(AB57="Media",AD57="Menor"),AND(AB57="Media",AD57="Moderado"),AND(AB57="Alta",AD57="Leve"),AND(AB57="Alta",AD57="Menor")),"Moderado",IF(OR(AND(AB57="Muy Baja",AD57="Mayor"),AND(AB57="Baja",AD57="Mayor"),AND(AB57="Media",AD57="Mayor"),AND(AB57="Alta",AD57="Moderado"),AND(AB57="Alta",AD57="Mayor"),AND(AB57="Muy Alta",AD57="Leve"),AND(AB57="Muy Alta",AD57="Menor"),AND(AB57="Muy Alta",AD57="Moderado"),AND(AB57="Muy Alta",AD57="Mayor")),"Alto",IF(OR(AND(AB57="Muy Baja",AD57="Catastrófico"),AND(AB57="Baja",AD57="Catastrófico"),AND(AB57="Media",AD57="Catastrófico"),AND(AB57="Alta",AD57="Catastrófico"),AND(AB57="Muy Alta",AD57="Catastrófico")),"Extremo","")))),"")</f>
        <v/>
      </c>
      <c r="AG57" s="114"/>
      <c r="AH57" s="115"/>
      <c r="AI57" s="116"/>
      <c r="AJ57" s="117"/>
      <c r="AK57" s="117"/>
      <c r="AL57" s="116"/>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row>
    <row r="58" spans="1:65" ht="26.25" customHeight="1" x14ac:dyDescent="0.25">
      <c r="A58" s="395"/>
      <c r="B58" s="415"/>
      <c r="C58" s="415"/>
      <c r="D58" s="415"/>
      <c r="E58" s="127"/>
      <c r="F58" s="485"/>
      <c r="G58" s="130"/>
      <c r="H58" s="130"/>
      <c r="I58" s="415"/>
      <c r="J58" s="437"/>
      <c r="K58" s="440"/>
      <c r="L58" s="443"/>
      <c r="M58" s="446"/>
      <c r="N58" s="443">
        <f>IF(NOT(ISERROR(MATCH(M58,_xlfn.ANCHORARRAY(F69),0))),L71&amp;"Por favor no seleccionar los criterios de impacto",M58)</f>
        <v>0</v>
      </c>
      <c r="O58" s="440"/>
      <c r="P58" s="443"/>
      <c r="Q58" s="470"/>
      <c r="R58" s="105">
        <v>2</v>
      </c>
      <c r="S58" s="106"/>
      <c r="T58" s="107" t="str">
        <f>IF(OR(U58="Preventivo",U58="Detectivo"),"Probabilidad",IF(U58="Correctivo","Impacto",""))</f>
        <v/>
      </c>
      <c r="U58" s="108"/>
      <c r="V58" s="108"/>
      <c r="W58" s="109" t="str">
        <f t="shared" ref="W58:W62" si="66">IF(AND(U58="Preventivo",V58="Automático"),"50%",IF(AND(U58="Preventivo",V58="Manual"),"40%",IF(AND(U58="Detectivo",V58="Automático"),"40%",IF(AND(U58="Detectivo",V58="Manual"),"30%",IF(AND(U58="Correctivo",V58="Automático"),"35%",IF(AND(U58="Correctivo",V58="Manual"),"25%",""))))))</f>
        <v/>
      </c>
      <c r="X58" s="108"/>
      <c r="Y58" s="108"/>
      <c r="Z58" s="108"/>
      <c r="AA58" s="110" t="str">
        <f>IFERROR(IF(AND(T57="Probabilidad",T58="Probabilidad"),(AC57-(+AC57*W58)),IF(T58="Probabilidad",(L57-(+L57*W58)),IF(T58="Impacto",AC57,""))),"")</f>
        <v/>
      </c>
      <c r="AB58" s="111" t="str">
        <f t="shared" si="54"/>
        <v/>
      </c>
      <c r="AC58" s="112" t="str">
        <f t="shared" ref="AC58:AC62" si="67">+AA58</f>
        <v/>
      </c>
      <c r="AD58" s="111" t="str">
        <f t="shared" si="56"/>
        <v/>
      </c>
      <c r="AE58" s="112" t="str">
        <f>IFERROR(IF(AND(T57="Impacto",T58="Impacto"),(AE57-(+AE57*W58)),IF(T58="Impacto",(P57-(+P57*W58)),IF(T58="Probabilidad",AE57,""))),"")</f>
        <v/>
      </c>
      <c r="AF58" s="113" t="str">
        <f t="shared" ref="AF58:AF59" si="68">IFERROR(IF(OR(AND(AB58="Muy Baja",AD58="Leve"),AND(AB58="Muy Baja",AD58="Menor"),AND(AB58="Baja",AD58="Leve")),"Bajo",IF(OR(AND(AB58="Muy baja",AD58="Moderado"),AND(AB58="Baja",AD58="Menor"),AND(AB58="Baja",AD58="Moderado"),AND(AB58="Media",AD58="Leve"),AND(AB58="Media",AD58="Menor"),AND(AB58="Media",AD58="Moderado"),AND(AB58="Alta",AD58="Leve"),AND(AB58="Alta",AD58="Menor")),"Moderado",IF(OR(AND(AB58="Muy Baja",AD58="Mayor"),AND(AB58="Baja",AD58="Mayor"),AND(AB58="Media",AD58="Mayor"),AND(AB58="Alta",AD58="Moderado"),AND(AB58="Alta",AD58="Mayor"),AND(AB58="Muy Alta",AD58="Leve"),AND(AB58="Muy Alta",AD58="Menor"),AND(AB58="Muy Alta",AD58="Moderado"),AND(AB58="Muy Alta",AD58="Mayor")),"Alto",IF(OR(AND(AB58="Muy Baja",AD58="Catastrófico"),AND(AB58="Baja",AD58="Catastrófico"),AND(AB58="Media",AD58="Catastrófico"),AND(AB58="Alta",AD58="Catastrófico"),AND(AB58="Muy Alta",AD58="Catastrófico")),"Extremo","")))),"")</f>
        <v/>
      </c>
      <c r="AG58" s="114"/>
      <c r="AH58" s="115"/>
      <c r="AI58" s="116"/>
      <c r="AJ58" s="117"/>
      <c r="AK58" s="117"/>
      <c r="AL58" s="116"/>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row>
    <row r="59" spans="1:65" ht="26.25" customHeight="1" x14ac:dyDescent="0.25">
      <c r="A59" s="395"/>
      <c r="B59" s="415"/>
      <c r="C59" s="415"/>
      <c r="D59" s="415"/>
      <c r="E59" s="127"/>
      <c r="F59" s="485"/>
      <c r="G59" s="130"/>
      <c r="H59" s="130"/>
      <c r="I59" s="415"/>
      <c r="J59" s="437"/>
      <c r="K59" s="440"/>
      <c r="L59" s="443"/>
      <c r="M59" s="446"/>
      <c r="N59" s="443">
        <f>IF(NOT(ISERROR(MATCH(M59,_xlfn.ANCHORARRAY(F70),0))),L72&amp;"Por favor no seleccionar los criterios de impacto",M59)</f>
        <v>0</v>
      </c>
      <c r="O59" s="440"/>
      <c r="P59" s="443"/>
      <c r="Q59" s="470"/>
      <c r="R59" s="105">
        <v>3</v>
      </c>
      <c r="S59" s="118"/>
      <c r="T59" s="107" t="str">
        <f>IF(OR(U59="Preventivo",U59="Detectivo"),"Probabilidad",IF(U59="Correctivo","Impacto",""))</f>
        <v/>
      </c>
      <c r="U59" s="108"/>
      <c r="V59" s="108"/>
      <c r="W59" s="109" t="str">
        <f t="shared" si="66"/>
        <v/>
      </c>
      <c r="X59" s="108"/>
      <c r="Y59" s="108"/>
      <c r="Z59" s="108"/>
      <c r="AA59" s="110" t="str">
        <f>IFERROR(IF(AND(T58="Probabilidad",T59="Probabilidad"),(AC58-(+AC58*W59)),IF(AND(T58="Impacto",T59="Probabilidad"),(AC57-(+AC57*W59)),IF(T59="Impacto",AC58,""))),"")</f>
        <v/>
      </c>
      <c r="AB59" s="111" t="str">
        <f t="shared" si="54"/>
        <v/>
      </c>
      <c r="AC59" s="112" t="str">
        <f t="shared" si="67"/>
        <v/>
      </c>
      <c r="AD59" s="111" t="str">
        <f t="shared" si="56"/>
        <v/>
      </c>
      <c r="AE59" s="112" t="str">
        <f>IFERROR(IF(AND(T58="Impacto",T59="Impacto"),(AE58-(+AE58*W59)),IF(AND(T58="Probabilidad",T59="Impacto"),(AE57-(+AE57*W59)),IF(T59="Probabilidad",AE58,""))),"")</f>
        <v/>
      </c>
      <c r="AF59" s="113" t="str">
        <f t="shared" si="68"/>
        <v/>
      </c>
      <c r="AG59" s="114"/>
      <c r="AH59" s="115"/>
      <c r="AI59" s="116"/>
      <c r="AJ59" s="117"/>
      <c r="AK59" s="117"/>
      <c r="AL59" s="116"/>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row>
    <row r="60" spans="1:65" ht="26.25" customHeight="1" x14ac:dyDescent="0.25">
      <c r="A60" s="395"/>
      <c r="B60" s="415"/>
      <c r="C60" s="415"/>
      <c r="D60" s="415"/>
      <c r="E60" s="127"/>
      <c r="F60" s="485"/>
      <c r="G60" s="130"/>
      <c r="H60" s="130"/>
      <c r="I60" s="415"/>
      <c r="J60" s="437"/>
      <c r="K60" s="440"/>
      <c r="L60" s="443"/>
      <c r="M60" s="446"/>
      <c r="N60" s="443">
        <f>IF(NOT(ISERROR(MATCH(M60,_xlfn.ANCHORARRAY(F71),0))),L73&amp;"Por favor no seleccionar los criterios de impacto",M60)</f>
        <v>0</v>
      </c>
      <c r="O60" s="440"/>
      <c r="P60" s="443"/>
      <c r="Q60" s="470"/>
      <c r="R60" s="105">
        <v>4</v>
      </c>
      <c r="S60" s="106"/>
      <c r="T60" s="107" t="str">
        <f t="shared" ref="T60:T62" si="69">IF(OR(U60="Preventivo",U60="Detectivo"),"Probabilidad",IF(U60="Correctivo","Impacto",""))</f>
        <v/>
      </c>
      <c r="U60" s="108"/>
      <c r="V60" s="108"/>
      <c r="W60" s="109" t="str">
        <f t="shared" si="66"/>
        <v/>
      </c>
      <c r="X60" s="108"/>
      <c r="Y60" s="108"/>
      <c r="Z60" s="108"/>
      <c r="AA60" s="110" t="str">
        <f t="shared" ref="AA60:AA62" si="70">IFERROR(IF(AND(T59="Probabilidad",T60="Probabilidad"),(AC59-(+AC59*W60)),IF(AND(T59="Impacto",T60="Probabilidad"),(AC58-(+AC58*W60)),IF(T60="Impacto",AC59,""))),"")</f>
        <v/>
      </c>
      <c r="AB60" s="111" t="str">
        <f t="shared" si="54"/>
        <v/>
      </c>
      <c r="AC60" s="112" t="str">
        <f t="shared" si="67"/>
        <v/>
      </c>
      <c r="AD60" s="111" t="str">
        <f t="shared" si="56"/>
        <v/>
      </c>
      <c r="AE60" s="112" t="str">
        <f t="shared" ref="AE60:AE62" si="71">IFERROR(IF(AND(T59="Impacto",T60="Impacto"),(AE59-(+AE59*W60)),IF(AND(T59="Probabilidad",T60="Impacto"),(AE58-(+AE58*W60)),IF(T60="Probabilidad",AE59,""))),"")</f>
        <v/>
      </c>
      <c r="AF60" s="113" t="str">
        <f>IFERROR(IF(OR(AND(AB60="Muy Baja",AD60="Leve"),AND(AB60="Muy Baja",AD60="Menor"),AND(AB60="Baja",AD60="Leve")),"Bajo",IF(OR(AND(AB60="Muy baja",AD60="Moderado"),AND(AB60="Baja",AD60="Menor"),AND(AB60="Baja",AD60="Moderado"),AND(AB60="Media",AD60="Leve"),AND(AB60="Media",AD60="Menor"),AND(AB60="Media",AD60="Moderado"),AND(AB60="Alta",AD60="Leve"),AND(AB60="Alta",AD60="Menor")),"Moderado",IF(OR(AND(AB60="Muy Baja",AD60="Mayor"),AND(AB60="Baja",AD60="Mayor"),AND(AB60="Media",AD60="Mayor"),AND(AB60="Alta",AD60="Moderado"),AND(AB60="Alta",AD60="Mayor"),AND(AB60="Muy Alta",AD60="Leve"),AND(AB60="Muy Alta",AD60="Menor"),AND(AB60="Muy Alta",AD60="Moderado"),AND(AB60="Muy Alta",AD60="Mayor")),"Alto",IF(OR(AND(AB60="Muy Baja",AD60="Catastrófico"),AND(AB60="Baja",AD60="Catastrófico"),AND(AB60="Media",AD60="Catastrófico"),AND(AB60="Alta",AD60="Catastrófico"),AND(AB60="Muy Alta",AD60="Catastrófico")),"Extremo","")))),"")</f>
        <v/>
      </c>
      <c r="AG60" s="114"/>
      <c r="AH60" s="115"/>
      <c r="AI60" s="116"/>
      <c r="AJ60" s="117"/>
      <c r="AK60" s="117"/>
      <c r="AL60" s="116"/>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row>
    <row r="61" spans="1:65" ht="26.25" customHeight="1" x14ac:dyDescent="0.25">
      <c r="A61" s="395"/>
      <c r="B61" s="415"/>
      <c r="C61" s="415"/>
      <c r="D61" s="415"/>
      <c r="E61" s="127"/>
      <c r="F61" s="485"/>
      <c r="G61" s="130"/>
      <c r="H61" s="130"/>
      <c r="I61" s="415"/>
      <c r="J61" s="437"/>
      <c r="K61" s="440"/>
      <c r="L61" s="443"/>
      <c r="M61" s="446"/>
      <c r="N61" s="443">
        <f>IF(NOT(ISERROR(MATCH(M61,_xlfn.ANCHORARRAY(F72),0))),L74&amp;"Por favor no seleccionar los criterios de impacto",M61)</f>
        <v>0</v>
      </c>
      <c r="O61" s="440"/>
      <c r="P61" s="443"/>
      <c r="Q61" s="470"/>
      <c r="R61" s="105">
        <v>5</v>
      </c>
      <c r="S61" s="106"/>
      <c r="T61" s="107" t="str">
        <f t="shared" si="69"/>
        <v/>
      </c>
      <c r="U61" s="108"/>
      <c r="V61" s="108"/>
      <c r="W61" s="109" t="str">
        <f t="shared" si="66"/>
        <v/>
      </c>
      <c r="X61" s="108"/>
      <c r="Y61" s="108"/>
      <c r="Z61" s="108"/>
      <c r="AA61" s="110" t="str">
        <f t="shared" si="70"/>
        <v/>
      </c>
      <c r="AB61" s="111" t="str">
        <f t="shared" si="54"/>
        <v/>
      </c>
      <c r="AC61" s="112" t="str">
        <f t="shared" si="67"/>
        <v/>
      </c>
      <c r="AD61" s="111" t="str">
        <f t="shared" si="56"/>
        <v/>
      </c>
      <c r="AE61" s="112" t="str">
        <f t="shared" si="71"/>
        <v/>
      </c>
      <c r="AF61" s="113" t="str">
        <f t="shared" ref="AF61:AF62" si="72">IFERROR(IF(OR(AND(AB61="Muy Baja",AD61="Leve"),AND(AB61="Muy Baja",AD61="Menor"),AND(AB61="Baja",AD61="Leve")),"Bajo",IF(OR(AND(AB61="Muy baja",AD61="Moderado"),AND(AB61="Baja",AD61="Menor"),AND(AB61="Baja",AD61="Moderado"),AND(AB61="Media",AD61="Leve"),AND(AB61="Media",AD61="Menor"),AND(AB61="Media",AD61="Moderado"),AND(AB61="Alta",AD61="Leve"),AND(AB61="Alta",AD61="Menor")),"Moderado",IF(OR(AND(AB61="Muy Baja",AD61="Mayor"),AND(AB61="Baja",AD61="Mayor"),AND(AB61="Media",AD61="Mayor"),AND(AB61="Alta",AD61="Moderado"),AND(AB61="Alta",AD61="Mayor"),AND(AB61="Muy Alta",AD61="Leve"),AND(AB61="Muy Alta",AD61="Menor"),AND(AB61="Muy Alta",AD61="Moderado"),AND(AB61="Muy Alta",AD61="Mayor")),"Alto",IF(OR(AND(AB61="Muy Baja",AD61="Catastrófico"),AND(AB61="Baja",AD61="Catastrófico"),AND(AB61="Media",AD61="Catastrófico"),AND(AB61="Alta",AD61="Catastrófico"),AND(AB61="Muy Alta",AD61="Catastrófico")),"Extremo","")))),"")</f>
        <v/>
      </c>
      <c r="AG61" s="114"/>
      <c r="AH61" s="115"/>
      <c r="AI61" s="116"/>
      <c r="AJ61" s="117"/>
      <c r="AK61" s="117"/>
      <c r="AL61" s="116"/>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row>
    <row r="62" spans="1:65" ht="26.25" customHeight="1" x14ac:dyDescent="0.25">
      <c r="A62" s="413"/>
      <c r="B62" s="416"/>
      <c r="C62" s="416"/>
      <c r="D62" s="416"/>
      <c r="E62" s="128"/>
      <c r="F62" s="486"/>
      <c r="G62" s="131"/>
      <c r="H62" s="131"/>
      <c r="I62" s="416"/>
      <c r="J62" s="438"/>
      <c r="K62" s="441"/>
      <c r="L62" s="444"/>
      <c r="M62" s="447"/>
      <c r="N62" s="444">
        <f>IF(NOT(ISERROR(MATCH(M62,_xlfn.ANCHORARRAY(F73),0))),L75&amp;"Por favor no seleccionar los criterios de impacto",M62)</f>
        <v>0</v>
      </c>
      <c r="O62" s="441"/>
      <c r="P62" s="444"/>
      <c r="Q62" s="471"/>
      <c r="R62" s="105">
        <v>6</v>
      </c>
      <c r="S62" s="106"/>
      <c r="T62" s="107" t="str">
        <f t="shared" si="69"/>
        <v/>
      </c>
      <c r="U62" s="108"/>
      <c r="V62" s="108"/>
      <c r="W62" s="109" t="str">
        <f t="shared" si="66"/>
        <v/>
      </c>
      <c r="X62" s="108"/>
      <c r="Y62" s="108"/>
      <c r="Z62" s="108"/>
      <c r="AA62" s="110" t="str">
        <f t="shared" si="70"/>
        <v/>
      </c>
      <c r="AB62" s="111" t="str">
        <f t="shared" si="54"/>
        <v/>
      </c>
      <c r="AC62" s="112" t="str">
        <f t="shared" si="67"/>
        <v/>
      </c>
      <c r="AD62" s="111" t="str">
        <f t="shared" si="56"/>
        <v/>
      </c>
      <c r="AE62" s="112" t="str">
        <f t="shared" si="71"/>
        <v/>
      </c>
      <c r="AF62" s="113" t="str">
        <f t="shared" si="72"/>
        <v/>
      </c>
      <c r="AG62" s="114"/>
      <c r="AH62" s="115"/>
      <c r="AI62" s="116"/>
      <c r="AJ62" s="117"/>
      <c r="AK62" s="117"/>
      <c r="AL62" s="116"/>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row>
    <row r="63" spans="1:65" ht="19.5" customHeight="1" x14ac:dyDescent="0.25">
      <c r="A63" s="394">
        <v>10</v>
      </c>
      <c r="B63" s="414"/>
      <c r="C63" s="414"/>
      <c r="D63" s="414"/>
      <c r="E63" s="126"/>
      <c r="F63" s="484"/>
      <c r="G63" s="129"/>
      <c r="H63" s="129"/>
      <c r="I63" s="414"/>
      <c r="J63" s="436"/>
      <c r="K63" s="439" t="str">
        <f t="shared" ref="K63" si="73">IF(J63&lt;=0,"",IF(J63&lt;=2,"Muy Baja",IF(J63&lt;=24,"Baja",IF(J63&lt;=500,"Media",IF(J63&lt;=5000,"Alta","Muy Alta")))))</f>
        <v/>
      </c>
      <c r="L63" s="442" t="str">
        <f t="shared" ref="L63" si="74">IF(K63="","",IF(K63="Muy Baja",0.2,IF(K63="Baja",0.4,IF(K63="Media",0.6,IF(K63="Alta",0.8,IF(K63="Muy Alta",1,))))))</f>
        <v/>
      </c>
      <c r="M63" s="445"/>
      <c r="N63" s="442">
        <f>IF(NOT(ISERROR(MATCH(M63,'Tabla Impacto'!$B$221:$B$223,0))),'Tabla Impacto'!$F$223&amp;"Por favor no seleccionar los criterios de impacto(Afectación Económica o presupuestal y Pérdida Reputacional)",M63)</f>
        <v>0</v>
      </c>
      <c r="O63" s="439" t="str">
        <f>IF(OR(N63='Tabla Impacto'!$C$11,N63='Tabla Impacto'!$D$11),"Leve",IF(OR(N63='Tabla Impacto'!$C$12,N63='Tabla Impacto'!$D$12),"Menor",IF(OR(N63='Tabla Impacto'!$C$13,N63='Tabla Impacto'!$D$13),"Moderado",IF(OR(N63='Tabla Impacto'!$C$14,N63='Tabla Impacto'!$D$14),"Mayor",IF(OR(N63='Tabla Impacto'!$C$15,N63='Tabla Impacto'!$D$15),"Catastrófico","")))))</f>
        <v>Leve</v>
      </c>
      <c r="P63" s="442">
        <f t="shared" ref="P63" si="75">IF(O63="","",IF(O63="Leve",0.2,IF(O63="Menor",0.4,IF(O63="Moderado",0.6,IF(O63="Mayor",0.8,IF(O63="Catastrófico",1,))))))</f>
        <v>0.2</v>
      </c>
      <c r="Q63" s="469" t="str">
        <f t="shared" ref="Q63" si="76">IF(OR(AND(K63="Muy Baja",O63="Leve"),AND(K63="Muy Baja",O63="Menor"),AND(K63="Baja",O63="Leve")),"Bajo",IF(OR(AND(K63="Muy baja",O63="Moderado"),AND(K63="Baja",O63="Menor"),AND(K63="Baja",O63="Moderado"),AND(K63="Media",O63="Leve"),AND(K63="Media",O63="Menor"),AND(K63="Media",O63="Moderado"),AND(K63="Alta",O63="Leve"),AND(K63="Alta",O63="Menor")),"Moderado",IF(OR(AND(K63="Muy Baja",O63="Mayor"),AND(K63="Baja",O63="Mayor"),AND(K63="Media",O63="Mayor"),AND(K63="Alta",O63="Moderado"),AND(K63="Alta",O63="Mayor"),AND(K63="Muy Alta",O63="Leve"),AND(K63="Muy Alta",O63="Menor"),AND(K63="Muy Alta",O63="Moderado"),AND(K63="Muy Alta",O63="Mayor")),"Alto",IF(OR(AND(K63="Muy Baja",O63="Catastrófico"),AND(K63="Baja",O63="Catastrófico"),AND(K63="Media",O63="Catastrófico"),AND(K63="Alta",O63="Catastrófico"),AND(K63="Muy Alta",O63="Catastrófico")),"Extremo",""))))</f>
        <v/>
      </c>
      <c r="R63" s="105">
        <v>1</v>
      </c>
      <c r="S63" s="106"/>
      <c r="T63" s="107" t="str">
        <f>IF(OR(U63="Preventivo",U63="Detectivo"),"Probabilidad",IF(U63="Correctivo","Impacto",""))</f>
        <v/>
      </c>
      <c r="U63" s="108"/>
      <c r="V63" s="108"/>
      <c r="W63" s="109" t="str">
        <f>IF(AND(U63="Preventivo",V63="Automático"),"50%",IF(AND(U63="Preventivo",V63="Manual"),"40%",IF(AND(U63="Detectivo",V63="Automático"),"40%",IF(AND(U63="Detectivo",V63="Manual"),"30%",IF(AND(U63="Correctivo",V63="Automático"),"35%",IF(AND(U63="Correctivo",V63="Manual"),"25%",""))))))</f>
        <v/>
      </c>
      <c r="X63" s="108"/>
      <c r="Y63" s="108"/>
      <c r="Z63" s="108"/>
      <c r="AA63" s="110" t="str">
        <f>IFERROR(IF(T63="Probabilidad",(L63-(+L63*W63)),IF(T63="Impacto",L63,"")),"")</f>
        <v/>
      </c>
      <c r="AB63" s="111" t="str">
        <f>IFERROR(IF(AA63="","",IF(AA63&lt;=0.2,"Muy Baja",IF(AA63&lt;=0.4,"Baja",IF(AA63&lt;=0.6,"Media",IF(AA63&lt;=0.8,"Alta","Muy Alta"))))),"")</f>
        <v/>
      </c>
      <c r="AC63" s="112" t="str">
        <f>+AA63</f>
        <v/>
      </c>
      <c r="AD63" s="111" t="str">
        <f>IFERROR(IF(AE63="","",IF(AE63&lt;=0.2,"Leve",IF(AE63&lt;=0.4,"Menor",IF(AE63&lt;=0.6,"Moderado",IF(AE63&lt;=0.8,"Mayor","Catastrófico"))))),"")</f>
        <v/>
      </c>
      <c r="AE63" s="112" t="str">
        <f>IFERROR(IF(T63="Impacto",(P63-(+P63*W63)),IF(T63="Probabilidad",P63,"")),"")</f>
        <v/>
      </c>
      <c r="AF63" s="113" t="str">
        <f>IFERROR(IF(OR(AND(AB63="Muy Baja",AD63="Leve"),AND(AB63="Muy Baja",AD63="Menor"),AND(AB63="Baja",AD63="Leve")),"Bajo",IF(OR(AND(AB63="Muy baja",AD63="Moderado"),AND(AB63="Baja",AD63="Menor"),AND(AB63="Baja",AD63="Moderado"),AND(AB63="Media",AD63="Leve"),AND(AB63="Media",AD63="Menor"),AND(AB63="Media",AD63="Moderado"),AND(AB63="Alta",AD63="Leve"),AND(AB63="Alta",AD63="Menor")),"Moderado",IF(OR(AND(AB63="Muy Baja",AD63="Mayor"),AND(AB63="Baja",AD63="Mayor"),AND(AB63="Media",AD63="Mayor"),AND(AB63="Alta",AD63="Moderado"),AND(AB63="Alta",AD63="Mayor"),AND(AB63="Muy Alta",AD63="Leve"),AND(AB63="Muy Alta",AD63="Menor"),AND(AB63="Muy Alta",AD63="Moderado"),AND(AB63="Muy Alta",AD63="Mayor")),"Alto",IF(OR(AND(AB63="Muy Baja",AD63="Catastrófico"),AND(AB63="Baja",AD63="Catastrófico"),AND(AB63="Media",AD63="Catastrófico"),AND(AB63="Alta",AD63="Catastrófico"),AND(AB63="Muy Alta",AD63="Catastrófico")),"Extremo","")))),"")</f>
        <v/>
      </c>
      <c r="AG63" s="114"/>
      <c r="AH63" s="115"/>
      <c r="AI63" s="116"/>
      <c r="AJ63" s="117"/>
      <c r="AK63" s="117"/>
      <c r="AL63" s="116"/>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row>
    <row r="64" spans="1:65" ht="19.5" customHeight="1" x14ac:dyDescent="0.25">
      <c r="A64" s="395"/>
      <c r="B64" s="415"/>
      <c r="C64" s="415"/>
      <c r="D64" s="415"/>
      <c r="E64" s="127"/>
      <c r="F64" s="485"/>
      <c r="G64" s="130"/>
      <c r="H64" s="130"/>
      <c r="I64" s="415"/>
      <c r="J64" s="437"/>
      <c r="K64" s="440"/>
      <c r="L64" s="443"/>
      <c r="M64" s="446"/>
      <c r="N64" s="443">
        <f>IF(NOT(ISERROR(MATCH(M64,_xlfn.ANCHORARRAY(F75),0))),L77&amp;"Por favor no seleccionar los criterios de impacto",M64)</f>
        <v>0</v>
      </c>
      <c r="O64" s="440"/>
      <c r="P64" s="443"/>
      <c r="Q64" s="470"/>
      <c r="R64" s="105">
        <v>2</v>
      </c>
      <c r="S64" s="106"/>
      <c r="T64" s="107" t="str">
        <f>IF(OR(U64="Preventivo",U64="Detectivo"),"Probabilidad",IF(U64="Correctivo","Impacto",""))</f>
        <v/>
      </c>
      <c r="U64" s="108"/>
      <c r="V64" s="108"/>
      <c r="W64" s="109" t="str">
        <f t="shared" ref="W64:W68" si="77">IF(AND(U64="Preventivo",V64="Automático"),"50%",IF(AND(U64="Preventivo",V64="Manual"),"40%",IF(AND(U64="Detectivo",V64="Automático"),"40%",IF(AND(U64="Detectivo",V64="Manual"),"30%",IF(AND(U64="Correctivo",V64="Automático"),"35%",IF(AND(U64="Correctivo",V64="Manual"),"25%",""))))))</f>
        <v/>
      </c>
      <c r="X64" s="108"/>
      <c r="Y64" s="108"/>
      <c r="Z64" s="108"/>
      <c r="AA64" s="110" t="str">
        <f>IFERROR(IF(AND(T63="Probabilidad",T64="Probabilidad"),(AC63-(+AC63*W64)),IF(T64="Probabilidad",(L63-(+L63*W64)),IF(T64="Impacto",AC63,""))),"")</f>
        <v/>
      </c>
      <c r="AB64" s="111" t="str">
        <f t="shared" si="54"/>
        <v/>
      </c>
      <c r="AC64" s="112" t="str">
        <f t="shared" ref="AC64:AC68" si="78">+AA64</f>
        <v/>
      </c>
      <c r="AD64" s="111" t="str">
        <f t="shared" si="56"/>
        <v/>
      </c>
      <c r="AE64" s="112" t="str">
        <f>IFERROR(IF(AND(T63="Impacto",T64="Impacto"),(AE63-(+AE63*W64)),IF(T64="Impacto",(P63-(+P63*W64)),IF(T64="Probabilidad",AE63,""))),"")</f>
        <v/>
      </c>
      <c r="AF64" s="113" t="str">
        <f t="shared" ref="AF64:AF65" si="79">IFERROR(IF(OR(AND(AB64="Muy Baja",AD64="Leve"),AND(AB64="Muy Baja",AD64="Menor"),AND(AB64="Baja",AD64="Leve")),"Bajo",IF(OR(AND(AB64="Muy baja",AD64="Moderado"),AND(AB64="Baja",AD64="Menor"),AND(AB64="Baja",AD64="Moderado"),AND(AB64="Media",AD64="Leve"),AND(AB64="Media",AD64="Menor"),AND(AB64="Media",AD64="Moderado"),AND(AB64="Alta",AD64="Leve"),AND(AB64="Alta",AD64="Menor")),"Moderado",IF(OR(AND(AB64="Muy Baja",AD64="Mayor"),AND(AB64="Baja",AD64="Mayor"),AND(AB64="Media",AD64="Mayor"),AND(AB64="Alta",AD64="Moderado"),AND(AB64="Alta",AD64="Mayor"),AND(AB64="Muy Alta",AD64="Leve"),AND(AB64="Muy Alta",AD64="Menor"),AND(AB64="Muy Alta",AD64="Moderado"),AND(AB64="Muy Alta",AD64="Mayor")),"Alto",IF(OR(AND(AB64="Muy Baja",AD64="Catastrófico"),AND(AB64="Baja",AD64="Catastrófico"),AND(AB64="Media",AD64="Catastrófico"),AND(AB64="Alta",AD64="Catastrófico"),AND(AB64="Muy Alta",AD64="Catastrófico")),"Extremo","")))),"")</f>
        <v/>
      </c>
      <c r="AG64" s="114"/>
      <c r="AH64" s="115"/>
      <c r="AI64" s="116"/>
      <c r="AJ64" s="117"/>
      <c r="AK64" s="117"/>
      <c r="AL64" s="116"/>
    </row>
    <row r="65" spans="1:38" ht="19.5" customHeight="1" x14ac:dyDescent="0.25">
      <c r="A65" s="395"/>
      <c r="B65" s="415"/>
      <c r="C65" s="415"/>
      <c r="D65" s="415"/>
      <c r="E65" s="127"/>
      <c r="F65" s="485"/>
      <c r="G65" s="130"/>
      <c r="H65" s="130"/>
      <c r="I65" s="415"/>
      <c r="J65" s="437"/>
      <c r="K65" s="440"/>
      <c r="L65" s="443"/>
      <c r="M65" s="446"/>
      <c r="N65" s="443">
        <f>IF(NOT(ISERROR(MATCH(M65,_xlfn.ANCHORARRAY(F76),0))),L78&amp;"Por favor no seleccionar los criterios de impacto",M65)</f>
        <v>0</v>
      </c>
      <c r="O65" s="440"/>
      <c r="P65" s="443"/>
      <c r="Q65" s="470"/>
      <c r="R65" s="105">
        <v>3</v>
      </c>
      <c r="S65" s="118"/>
      <c r="T65" s="107" t="str">
        <f>IF(OR(U65="Preventivo",U65="Detectivo"),"Probabilidad",IF(U65="Correctivo","Impacto",""))</f>
        <v/>
      </c>
      <c r="U65" s="108"/>
      <c r="V65" s="108"/>
      <c r="W65" s="109" t="str">
        <f t="shared" si="77"/>
        <v/>
      </c>
      <c r="X65" s="108"/>
      <c r="Y65" s="108"/>
      <c r="Z65" s="108"/>
      <c r="AA65" s="110" t="str">
        <f>IFERROR(IF(AND(T64="Probabilidad",T65="Probabilidad"),(AC64-(+AC64*W65)),IF(AND(T64="Impacto",T65="Probabilidad"),(AC63-(+AC63*W65)),IF(T65="Impacto",AC64,""))),"")</f>
        <v/>
      </c>
      <c r="AB65" s="111" t="str">
        <f t="shared" si="54"/>
        <v/>
      </c>
      <c r="AC65" s="112" t="str">
        <f t="shared" si="78"/>
        <v/>
      </c>
      <c r="AD65" s="111" t="str">
        <f t="shared" si="56"/>
        <v/>
      </c>
      <c r="AE65" s="112" t="str">
        <f>IFERROR(IF(AND(T64="Impacto",T65="Impacto"),(AE64-(+AE64*W65)),IF(AND(T64="Probabilidad",T65="Impacto"),(AE63-(+AE63*W65)),IF(T65="Probabilidad",AE64,""))),"")</f>
        <v/>
      </c>
      <c r="AF65" s="113" t="str">
        <f t="shared" si="79"/>
        <v/>
      </c>
      <c r="AG65" s="114"/>
      <c r="AH65" s="115"/>
      <c r="AI65" s="116"/>
      <c r="AJ65" s="117"/>
      <c r="AK65" s="117"/>
      <c r="AL65" s="116"/>
    </row>
    <row r="66" spans="1:38" ht="19.5" customHeight="1" x14ac:dyDescent="0.25">
      <c r="A66" s="395"/>
      <c r="B66" s="415"/>
      <c r="C66" s="415"/>
      <c r="D66" s="415"/>
      <c r="E66" s="127"/>
      <c r="F66" s="485"/>
      <c r="G66" s="130"/>
      <c r="H66" s="130"/>
      <c r="I66" s="415"/>
      <c r="J66" s="437"/>
      <c r="K66" s="440"/>
      <c r="L66" s="443"/>
      <c r="M66" s="446"/>
      <c r="N66" s="443">
        <f>IF(NOT(ISERROR(MATCH(M66,_xlfn.ANCHORARRAY(F77),0))),L79&amp;"Por favor no seleccionar los criterios de impacto",M66)</f>
        <v>0</v>
      </c>
      <c r="O66" s="440"/>
      <c r="P66" s="443"/>
      <c r="Q66" s="470"/>
      <c r="R66" s="105">
        <v>4</v>
      </c>
      <c r="S66" s="106"/>
      <c r="T66" s="107" t="str">
        <f t="shared" ref="T66:T68" si="80">IF(OR(U66="Preventivo",U66="Detectivo"),"Probabilidad",IF(U66="Correctivo","Impacto",""))</f>
        <v/>
      </c>
      <c r="U66" s="108"/>
      <c r="V66" s="108"/>
      <c r="W66" s="109" t="str">
        <f t="shared" si="77"/>
        <v/>
      </c>
      <c r="X66" s="108"/>
      <c r="Y66" s="108"/>
      <c r="Z66" s="108"/>
      <c r="AA66" s="110" t="str">
        <f t="shared" ref="AA66:AA68" si="81">IFERROR(IF(AND(T65="Probabilidad",T66="Probabilidad"),(AC65-(+AC65*W66)),IF(AND(T65="Impacto",T66="Probabilidad"),(AC64-(+AC64*W66)),IF(T66="Impacto",AC65,""))),"")</f>
        <v/>
      </c>
      <c r="AB66" s="111" t="str">
        <f t="shared" si="54"/>
        <v/>
      </c>
      <c r="AC66" s="112" t="str">
        <f t="shared" si="78"/>
        <v/>
      </c>
      <c r="AD66" s="111" t="str">
        <f t="shared" si="56"/>
        <v/>
      </c>
      <c r="AE66" s="112" t="str">
        <f t="shared" ref="AE66:AE68" si="82">IFERROR(IF(AND(T65="Impacto",T66="Impacto"),(AE65-(+AE65*W66)),IF(AND(T65="Probabilidad",T66="Impacto"),(AE64-(+AE64*W66)),IF(T66="Probabilidad",AE65,""))),"")</f>
        <v/>
      </c>
      <c r="AF66" s="113" t="str">
        <f>IFERROR(IF(OR(AND(AB66="Muy Baja",AD66="Leve"),AND(AB66="Muy Baja",AD66="Menor"),AND(AB66="Baja",AD66="Leve")),"Bajo",IF(OR(AND(AB66="Muy baja",AD66="Moderado"),AND(AB66="Baja",AD66="Menor"),AND(AB66="Baja",AD66="Moderado"),AND(AB66="Media",AD66="Leve"),AND(AB66="Media",AD66="Menor"),AND(AB66="Media",AD66="Moderado"),AND(AB66="Alta",AD66="Leve"),AND(AB66="Alta",AD66="Menor")),"Moderado",IF(OR(AND(AB66="Muy Baja",AD66="Mayor"),AND(AB66="Baja",AD66="Mayor"),AND(AB66="Media",AD66="Mayor"),AND(AB66="Alta",AD66="Moderado"),AND(AB66="Alta",AD66="Mayor"),AND(AB66="Muy Alta",AD66="Leve"),AND(AB66="Muy Alta",AD66="Menor"),AND(AB66="Muy Alta",AD66="Moderado"),AND(AB66="Muy Alta",AD66="Mayor")),"Alto",IF(OR(AND(AB66="Muy Baja",AD66="Catastrófico"),AND(AB66="Baja",AD66="Catastrófico"),AND(AB66="Media",AD66="Catastrófico"),AND(AB66="Alta",AD66="Catastrófico"),AND(AB66="Muy Alta",AD66="Catastrófico")),"Extremo","")))),"")</f>
        <v/>
      </c>
      <c r="AG66" s="114"/>
      <c r="AH66" s="115"/>
      <c r="AI66" s="116"/>
      <c r="AJ66" s="117"/>
      <c r="AK66" s="117"/>
      <c r="AL66" s="116"/>
    </row>
    <row r="67" spans="1:38" ht="19.5" customHeight="1" x14ac:dyDescent="0.25">
      <c r="A67" s="395"/>
      <c r="B67" s="415"/>
      <c r="C67" s="415"/>
      <c r="D67" s="415"/>
      <c r="E67" s="127"/>
      <c r="F67" s="485"/>
      <c r="G67" s="130"/>
      <c r="H67" s="130"/>
      <c r="I67" s="415"/>
      <c r="J67" s="437"/>
      <c r="K67" s="440"/>
      <c r="L67" s="443"/>
      <c r="M67" s="446"/>
      <c r="N67" s="443">
        <f>IF(NOT(ISERROR(MATCH(M67,_xlfn.ANCHORARRAY(F78),0))),L80&amp;"Por favor no seleccionar los criterios de impacto",M67)</f>
        <v>0</v>
      </c>
      <c r="O67" s="440"/>
      <c r="P67" s="443"/>
      <c r="Q67" s="470"/>
      <c r="R67" s="105">
        <v>5</v>
      </c>
      <c r="S67" s="106"/>
      <c r="T67" s="107" t="str">
        <f t="shared" si="80"/>
        <v/>
      </c>
      <c r="U67" s="108"/>
      <c r="V67" s="108"/>
      <c r="W67" s="109" t="str">
        <f t="shared" si="77"/>
        <v/>
      </c>
      <c r="X67" s="108"/>
      <c r="Y67" s="108"/>
      <c r="Z67" s="108"/>
      <c r="AA67" s="110" t="str">
        <f t="shared" si="81"/>
        <v/>
      </c>
      <c r="AB67" s="111" t="str">
        <f t="shared" si="54"/>
        <v/>
      </c>
      <c r="AC67" s="112" t="str">
        <f t="shared" si="78"/>
        <v/>
      </c>
      <c r="AD67" s="111" t="str">
        <f t="shared" si="56"/>
        <v/>
      </c>
      <c r="AE67" s="112" t="str">
        <f t="shared" si="82"/>
        <v/>
      </c>
      <c r="AF67" s="113" t="str">
        <f t="shared" ref="AF67:AF68" si="83">IFERROR(IF(OR(AND(AB67="Muy Baja",AD67="Leve"),AND(AB67="Muy Baja",AD67="Menor"),AND(AB67="Baja",AD67="Leve")),"Bajo",IF(OR(AND(AB67="Muy baja",AD67="Moderado"),AND(AB67="Baja",AD67="Menor"),AND(AB67="Baja",AD67="Moderado"),AND(AB67="Media",AD67="Leve"),AND(AB67="Media",AD67="Menor"),AND(AB67="Media",AD67="Moderado"),AND(AB67="Alta",AD67="Leve"),AND(AB67="Alta",AD67="Menor")),"Moderado",IF(OR(AND(AB67="Muy Baja",AD67="Mayor"),AND(AB67="Baja",AD67="Mayor"),AND(AB67="Media",AD67="Mayor"),AND(AB67="Alta",AD67="Moderado"),AND(AB67="Alta",AD67="Mayor"),AND(AB67="Muy Alta",AD67="Leve"),AND(AB67="Muy Alta",AD67="Menor"),AND(AB67="Muy Alta",AD67="Moderado"),AND(AB67="Muy Alta",AD67="Mayor")),"Alto",IF(OR(AND(AB67="Muy Baja",AD67="Catastrófico"),AND(AB67="Baja",AD67="Catastrófico"),AND(AB67="Media",AD67="Catastrófico"),AND(AB67="Alta",AD67="Catastrófico"),AND(AB67="Muy Alta",AD67="Catastrófico")),"Extremo","")))),"")</f>
        <v/>
      </c>
      <c r="AG67" s="114"/>
      <c r="AH67" s="115"/>
      <c r="AI67" s="116"/>
      <c r="AJ67" s="117"/>
      <c r="AK67" s="117"/>
      <c r="AL67" s="116"/>
    </row>
    <row r="68" spans="1:38" ht="19.5" customHeight="1" x14ac:dyDescent="0.25">
      <c r="A68" s="413"/>
      <c r="B68" s="416"/>
      <c r="C68" s="416"/>
      <c r="D68" s="416"/>
      <c r="E68" s="128"/>
      <c r="F68" s="486"/>
      <c r="G68" s="131"/>
      <c r="H68" s="131"/>
      <c r="I68" s="416"/>
      <c r="J68" s="438"/>
      <c r="K68" s="441"/>
      <c r="L68" s="444"/>
      <c r="M68" s="447"/>
      <c r="N68" s="444">
        <f>IF(NOT(ISERROR(MATCH(M68,_xlfn.ANCHORARRAY(F79),0))),L81&amp;"Por favor no seleccionar los criterios de impacto",M68)</f>
        <v>0</v>
      </c>
      <c r="O68" s="441"/>
      <c r="P68" s="444"/>
      <c r="Q68" s="471"/>
      <c r="R68" s="105">
        <v>6</v>
      </c>
      <c r="S68" s="106"/>
      <c r="T68" s="107" t="str">
        <f t="shared" si="80"/>
        <v/>
      </c>
      <c r="U68" s="108"/>
      <c r="V68" s="108"/>
      <c r="W68" s="109" t="str">
        <f t="shared" si="77"/>
        <v/>
      </c>
      <c r="X68" s="108"/>
      <c r="Y68" s="108"/>
      <c r="Z68" s="108"/>
      <c r="AA68" s="110" t="str">
        <f t="shared" si="81"/>
        <v/>
      </c>
      <c r="AB68" s="111" t="str">
        <f t="shared" si="54"/>
        <v/>
      </c>
      <c r="AC68" s="112" t="str">
        <f t="shared" si="78"/>
        <v/>
      </c>
      <c r="AD68" s="111" t="str">
        <f t="shared" si="56"/>
        <v/>
      </c>
      <c r="AE68" s="112" t="str">
        <f t="shared" si="82"/>
        <v/>
      </c>
      <c r="AF68" s="113" t="str">
        <f t="shared" si="83"/>
        <v/>
      </c>
      <c r="AG68" s="114"/>
      <c r="AH68" s="115"/>
      <c r="AI68" s="116"/>
      <c r="AJ68" s="117"/>
      <c r="AK68" s="117"/>
      <c r="AL68" s="116"/>
    </row>
    <row r="69" spans="1:38" ht="49.5" customHeight="1" x14ac:dyDescent="0.25">
      <c r="A69" s="6"/>
      <c r="B69" s="493" t="s">
        <v>125</v>
      </c>
      <c r="C69" s="494"/>
      <c r="D69" s="494"/>
      <c r="E69" s="494"/>
      <c r="F69" s="494"/>
      <c r="G69" s="494"/>
      <c r="H69" s="494"/>
      <c r="I69" s="494"/>
      <c r="J69" s="494"/>
      <c r="K69" s="494"/>
      <c r="L69" s="494"/>
      <c r="M69" s="494"/>
      <c r="N69" s="494"/>
      <c r="O69" s="494"/>
      <c r="P69" s="494"/>
      <c r="Q69" s="494"/>
      <c r="R69" s="494"/>
      <c r="S69" s="494"/>
      <c r="T69" s="494"/>
      <c r="U69" s="494"/>
      <c r="V69" s="494"/>
      <c r="W69" s="494"/>
      <c r="X69" s="494"/>
      <c r="Y69" s="494"/>
      <c r="Z69" s="494"/>
      <c r="AA69" s="494"/>
      <c r="AB69" s="494"/>
      <c r="AC69" s="494"/>
      <c r="AD69" s="494"/>
      <c r="AE69" s="494"/>
      <c r="AF69" s="494"/>
      <c r="AG69" s="494"/>
      <c r="AH69" s="494"/>
      <c r="AI69" s="494"/>
      <c r="AJ69" s="494"/>
      <c r="AK69" s="494"/>
    </row>
    <row r="71" spans="1:38" x14ac:dyDescent="0.25">
      <c r="A71" s="1"/>
      <c r="B71" s="24" t="s">
        <v>137</v>
      </c>
      <c r="C71" s="1"/>
      <c r="D71" s="1"/>
      <c r="E71" s="1"/>
      <c r="I71" s="1"/>
    </row>
  </sheetData>
  <dataConsolidate/>
  <mergeCells count="211">
    <mergeCell ref="AR12:AR13"/>
    <mergeCell ref="AQ12:AQ13"/>
    <mergeCell ref="B69:AK69"/>
    <mergeCell ref="P57:P62"/>
    <mergeCell ref="Q57:Q62"/>
    <mergeCell ref="M63:M68"/>
    <mergeCell ref="N63:N68"/>
    <mergeCell ref="O63:O68"/>
    <mergeCell ref="P63:P68"/>
    <mergeCell ref="Q63:Q68"/>
    <mergeCell ref="AB11:AB12"/>
    <mergeCell ref="AA11:AA12"/>
    <mergeCell ref="P21:P26"/>
    <mergeCell ref="Q21:Q26"/>
    <mergeCell ref="M27:M32"/>
    <mergeCell ref="N27:N32"/>
    <mergeCell ref="O27:O32"/>
    <mergeCell ref="K57:K62"/>
    <mergeCell ref="L57:L62"/>
    <mergeCell ref="I51:I56"/>
    <mergeCell ref="J51:J56"/>
    <mergeCell ref="O51:O56"/>
    <mergeCell ref="P51:P56"/>
    <mergeCell ref="Q51:Q56"/>
    <mergeCell ref="M57:M62"/>
    <mergeCell ref="N57:N62"/>
    <mergeCell ref="A63:A68"/>
    <mergeCell ref="B63:B68"/>
    <mergeCell ref="C63:C68"/>
    <mergeCell ref="D63:D68"/>
    <mergeCell ref="F63:F68"/>
    <mergeCell ref="I63:I68"/>
    <mergeCell ref="J63:J68"/>
    <mergeCell ref="K63:K68"/>
    <mergeCell ref="AN12:AN13"/>
    <mergeCell ref="W11:W12"/>
    <mergeCell ref="V11:V12"/>
    <mergeCell ref="U11:U12"/>
    <mergeCell ref="T11:T12"/>
    <mergeCell ref="L63:L68"/>
    <mergeCell ref="A57:A62"/>
    <mergeCell ref="B57:B62"/>
    <mergeCell ref="C57:C62"/>
    <mergeCell ref="D57:D62"/>
    <mergeCell ref="F57:F62"/>
    <mergeCell ref="I57:I62"/>
    <mergeCell ref="J57:J62"/>
    <mergeCell ref="S11:S12"/>
    <mergeCell ref="R11:R12"/>
    <mergeCell ref="N51:N56"/>
    <mergeCell ref="O57:O62"/>
    <mergeCell ref="P33:P38"/>
    <mergeCell ref="Q33:Q38"/>
    <mergeCell ref="P39:P44"/>
    <mergeCell ref="Q39:Q44"/>
    <mergeCell ref="N45:N50"/>
    <mergeCell ref="O45:O50"/>
    <mergeCell ref="P45:P50"/>
    <mergeCell ref="Q45:Q50"/>
    <mergeCell ref="L51:L56"/>
    <mergeCell ref="M51:M56"/>
    <mergeCell ref="I45:I50"/>
    <mergeCell ref="J45:J50"/>
    <mergeCell ref="K45:K50"/>
    <mergeCell ref="L45:L50"/>
    <mergeCell ref="M45:M50"/>
    <mergeCell ref="A51:A56"/>
    <mergeCell ref="B51:B56"/>
    <mergeCell ref="C51:C56"/>
    <mergeCell ref="D51:D56"/>
    <mergeCell ref="F51:F56"/>
    <mergeCell ref="A45:A50"/>
    <mergeCell ref="B45:B50"/>
    <mergeCell ref="C45:C50"/>
    <mergeCell ref="D45:D50"/>
    <mergeCell ref="F45:F50"/>
    <mergeCell ref="K51:K56"/>
    <mergeCell ref="A33:A38"/>
    <mergeCell ref="B33:B38"/>
    <mergeCell ref="C33:C38"/>
    <mergeCell ref="A39:A44"/>
    <mergeCell ref="B39:B44"/>
    <mergeCell ref="C39:C44"/>
    <mergeCell ref="D39:D44"/>
    <mergeCell ref="F39:F44"/>
    <mergeCell ref="I39:I44"/>
    <mergeCell ref="D33:D38"/>
    <mergeCell ref="F33:F38"/>
    <mergeCell ref="I33:I38"/>
    <mergeCell ref="J33:J38"/>
    <mergeCell ref="K33:K38"/>
    <mergeCell ref="L33:L38"/>
    <mergeCell ref="M33:M38"/>
    <mergeCell ref="J39:J44"/>
    <mergeCell ref="K39:K44"/>
    <mergeCell ref="L39:L44"/>
    <mergeCell ref="N33:N38"/>
    <mergeCell ref="O33:O38"/>
    <mergeCell ref="M39:M44"/>
    <mergeCell ref="N39:N44"/>
    <mergeCell ref="O39:O44"/>
    <mergeCell ref="H21:H26"/>
    <mergeCell ref="I21:I26"/>
    <mergeCell ref="J21:J26"/>
    <mergeCell ref="K21:K26"/>
    <mergeCell ref="A27:A32"/>
    <mergeCell ref="B27:B32"/>
    <mergeCell ref="C27:C32"/>
    <mergeCell ref="D27:D32"/>
    <mergeCell ref="F27:F32"/>
    <mergeCell ref="I27:I32"/>
    <mergeCell ref="J27:J32"/>
    <mergeCell ref="K27:K32"/>
    <mergeCell ref="Z11:Z12"/>
    <mergeCell ref="Y11:Y12"/>
    <mergeCell ref="X11:X12"/>
    <mergeCell ref="P27:P32"/>
    <mergeCell ref="Q27:Q32"/>
    <mergeCell ref="L21:L26"/>
    <mergeCell ref="M21:M26"/>
    <mergeCell ref="N21:N26"/>
    <mergeCell ref="O21:O26"/>
    <mergeCell ref="L27:L32"/>
    <mergeCell ref="N15:N20"/>
    <mergeCell ref="O15:O20"/>
    <mergeCell ref="P15:P20"/>
    <mergeCell ref="Q15:Q20"/>
    <mergeCell ref="Q10:Q14"/>
    <mergeCell ref="L10:L14"/>
    <mergeCell ref="M10:M14"/>
    <mergeCell ref="N10:N14"/>
    <mergeCell ref="O10:O14"/>
    <mergeCell ref="P10:P14"/>
    <mergeCell ref="AC8:AC9"/>
    <mergeCell ref="AH12:AH13"/>
    <mergeCell ref="AI12:AI13"/>
    <mergeCell ref="AJ12:AJ13"/>
    <mergeCell ref="AK12:AK13"/>
    <mergeCell ref="AG8:AG9"/>
    <mergeCell ref="AF8:AF9"/>
    <mergeCell ref="AE8:AE9"/>
    <mergeCell ref="AA8:AA9"/>
    <mergeCell ref="AD8:AD9"/>
    <mergeCell ref="AB8:AB9"/>
    <mergeCell ref="AG11:AG12"/>
    <mergeCell ref="AF11:AF12"/>
    <mergeCell ref="AE11:AE12"/>
    <mergeCell ref="AD11:AD12"/>
    <mergeCell ref="AC11:AC12"/>
    <mergeCell ref="A21:A26"/>
    <mergeCell ref="B21:B26"/>
    <mergeCell ref="C21:C26"/>
    <mergeCell ref="D21:D26"/>
    <mergeCell ref="F21:F26"/>
    <mergeCell ref="A15:A20"/>
    <mergeCell ref="D15:D20"/>
    <mergeCell ref="F15:F20"/>
    <mergeCell ref="C8:C9"/>
    <mergeCell ref="B8:B9"/>
    <mergeCell ref="E8:E9"/>
    <mergeCell ref="B15:B20"/>
    <mergeCell ref="C15:C20"/>
    <mergeCell ref="E11:E12"/>
    <mergeCell ref="A1:AL2"/>
    <mergeCell ref="A10:A14"/>
    <mergeCell ref="B10:B14"/>
    <mergeCell ref="C10:C14"/>
    <mergeCell ref="D10:D14"/>
    <mergeCell ref="F10:F14"/>
    <mergeCell ref="J8:J9"/>
    <mergeCell ref="K8:K9"/>
    <mergeCell ref="L8:L9"/>
    <mergeCell ref="O8:O9"/>
    <mergeCell ref="P8:P9"/>
    <mergeCell ref="A4:B4"/>
    <mergeCell ref="A5:B5"/>
    <mergeCell ref="A6:B6"/>
    <mergeCell ref="A8:A9"/>
    <mergeCell ref="I8:I9"/>
    <mergeCell ref="F8:F9"/>
    <mergeCell ref="D8:D9"/>
    <mergeCell ref="H10:H14"/>
    <mergeCell ref="I10:I14"/>
    <mergeCell ref="J10:J14"/>
    <mergeCell ref="K10:K14"/>
    <mergeCell ref="Q8:Q9"/>
    <mergeCell ref="M8:M9"/>
    <mergeCell ref="G10:G20"/>
    <mergeCell ref="AP12:AP13"/>
    <mergeCell ref="AO12:AO13"/>
    <mergeCell ref="AM12:AM13"/>
    <mergeCell ref="AL8:AL9"/>
    <mergeCell ref="AL12:AL13"/>
    <mergeCell ref="C6:AL6"/>
    <mergeCell ref="C5:AL5"/>
    <mergeCell ref="C4:AL4"/>
    <mergeCell ref="H15:H20"/>
    <mergeCell ref="I15:I20"/>
    <mergeCell ref="J15:J20"/>
    <mergeCell ref="K15:K20"/>
    <mergeCell ref="L15:L20"/>
    <mergeCell ref="M15:M20"/>
    <mergeCell ref="N8:N9"/>
    <mergeCell ref="T8:T9"/>
    <mergeCell ref="R8:R9"/>
    <mergeCell ref="S8:S9"/>
    <mergeCell ref="U8:Z8"/>
    <mergeCell ref="AH8:AH9"/>
    <mergeCell ref="AK8:AK9"/>
    <mergeCell ref="AJ8:AJ9"/>
    <mergeCell ref="AI8:AI9"/>
  </mergeCells>
  <conditionalFormatting sqref="K10:K11 K15 K21 K27 K33 K39 K45 K51 K57 K63">
    <cfRule type="cellIs" dxfId="46" priority="365" operator="equal">
      <formula>"Muy Baja"</formula>
    </cfRule>
    <cfRule type="cellIs" dxfId="45" priority="364" operator="equal">
      <formula>"Baja"</formula>
    </cfRule>
    <cfRule type="cellIs" dxfId="44" priority="363" operator="equal">
      <formula>"Media"</formula>
    </cfRule>
    <cfRule type="cellIs" dxfId="43" priority="362" operator="equal">
      <formula>"Alta"</formula>
    </cfRule>
    <cfRule type="cellIs" dxfId="42" priority="361" operator="equal">
      <formula>"Muy Alta"</formula>
    </cfRule>
  </conditionalFormatting>
  <conditionalFormatting sqref="N10:N68">
    <cfRule type="containsText" dxfId="41" priority="43" operator="containsText" text="❌">
      <formula>NOT(ISERROR(SEARCH("❌",N10)))</formula>
    </cfRule>
  </conditionalFormatting>
  <conditionalFormatting sqref="O10:O11 O15 O21 O27 O33 O39 O45 O51 O57 O63">
    <cfRule type="cellIs" dxfId="40" priority="360" operator="equal">
      <formula>"Leve"</formula>
    </cfRule>
    <cfRule type="cellIs" dxfId="39" priority="359" operator="equal">
      <formula>"Menor"</formula>
    </cfRule>
    <cfRule type="cellIs" dxfId="38" priority="358" operator="equal">
      <formula>"Moderado"</formula>
    </cfRule>
    <cfRule type="cellIs" dxfId="37" priority="357" operator="equal">
      <formula>"Mayor"</formula>
    </cfRule>
    <cfRule type="cellIs" dxfId="36" priority="356" operator="equal">
      <formula>"Catastrófico"</formula>
    </cfRule>
  </conditionalFormatting>
  <conditionalFormatting sqref="Q10:Q11">
    <cfRule type="cellIs" dxfId="35" priority="354" operator="equal">
      <formula>"Moderado"</formula>
    </cfRule>
    <cfRule type="cellIs" dxfId="34" priority="353" operator="equal">
      <formula>"Alto"</formula>
    </cfRule>
    <cfRule type="cellIs" dxfId="33" priority="352" operator="equal">
      <formula>"Extremo"</formula>
    </cfRule>
    <cfRule type="cellIs" dxfId="32" priority="355" operator="equal">
      <formula>"Bajo"</formula>
    </cfRule>
  </conditionalFormatting>
  <conditionalFormatting sqref="Q15 Q21 Q27 Q33 Q39 Q45 Q51 Q57 Q63">
    <cfRule type="cellIs" dxfId="31" priority="282" operator="equal">
      <formula>"Extremo"</formula>
    </cfRule>
    <cfRule type="cellIs" dxfId="30" priority="283" operator="equal">
      <formula>"Alto"</formula>
    </cfRule>
    <cfRule type="cellIs" dxfId="29" priority="284" operator="equal">
      <formula>"Moderado"</formula>
    </cfRule>
    <cfRule type="cellIs" dxfId="28" priority="285" operator="equal">
      <formula>"Bajo"</formula>
    </cfRule>
  </conditionalFormatting>
  <conditionalFormatting sqref="AB10:AB11">
    <cfRule type="cellIs" dxfId="27" priority="348" operator="equal">
      <formula>"Alta"</formula>
    </cfRule>
    <cfRule type="cellIs" dxfId="26" priority="349" operator="equal">
      <formula>"Media"</formula>
    </cfRule>
    <cfRule type="cellIs" dxfId="25" priority="350" operator="equal">
      <formula>"Baja"</formula>
    </cfRule>
    <cfRule type="cellIs" dxfId="24" priority="351" operator="equal">
      <formula>"Muy Baja"</formula>
    </cfRule>
    <cfRule type="cellIs" dxfId="23" priority="347" operator="equal">
      <formula>"Muy Alta"</formula>
    </cfRule>
  </conditionalFormatting>
  <conditionalFormatting sqref="AB13:AB68">
    <cfRule type="cellIs" dxfId="22" priority="11" operator="equal">
      <formula>"Alta"</formula>
    </cfRule>
    <cfRule type="cellIs" dxfId="21" priority="14" operator="equal">
      <formula>"Muy Baja"</formula>
    </cfRule>
    <cfRule type="cellIs" dxfId="20" priority="13" operator="equal">
      <formula>"Baja"</formula>
    </cfRule>
    <cfRule type="cellIs" dxfId="19" priority="12" operator="equal">
      <formula>"Media"</formula>
    </cfRule>
    <cfRule type="cellIs" dxfId="18" priority="10" operator="equal">
      <formula>"Muy Alta"</formula>
    </cfRule>
  </conditionalFormatting>
  <conditionalFormatting sqref="AD10:AD11">
    <cfRule type="cellIs" dxfId="17" priority="342" operator="equal">
      <formula>"Catastrófico"</formula>
    </cfRule>
    <cfRule type="cellIs" dxfId="16" priority="343" operator="equal">
      <formula>"Mayor"</formula>
    </cfRule>
    <cfRule type="cellIs" dxfId="15" priority="344" operator="equal">
      <formula>"Moderado"</formula>
    </cfRule>
    <cfRule type="cellIs" dxfId="14" priority="345" operator="equal">
      <formula>"Menor"</formula>
    </cfRule>
    <cfRule type="cellIs" dxfId="13" priority="346" operator="equal">
      <formula>"Leve"</formula>
    </cfRule>
  </conditionalFormatting>
  <conditionalFormatting sqref="AD13:AD68">
    <cfRule type="cellIs" dxfId="12" priority="6" operator="equal">
      <formula>"Mayor"</formula>
    </cfRule>
    <cfRule type="cellIs" dxfId="11" priority="9" operator="equal">
      <formula>"Leve"</formula>
    </cfRule>
    <cfRule type="cellIs" dxfId="10" priority="8" operator="equal">
      <formula>"Menor"</formula>
    </cfRule>
    <cfRule type="cellIs" dxfId="9" priority="7" operator="equal">
      <formula>"Moderado"</formula>
    </cfRule>
    <cfRule type="cellIs" dxfId="8" priority="5" operator="equal">
      <formula>"Catastrófico"</formula>
    </cfRule>
  </conditionalFormatting>
  <conditionalFormatting sqref="AF10:AF11">
    <cfRule type="cellIs" dxfId="7" priority="341" operator="equal">
      <formula>"Bajo"</formula>
    </cfRule>
    <cfRule type="cellIs" dxfId="6" priority="340" operator="equal">
      <formula>"Moderado"</formula>
    </cfRule>
    <cfRule type="cellIs" dxfId="5" priority="339" operator="equal">
      <formula>"Alto"</formula>
    </cfRule>
    <cfRule type="cellIs" dxfId="4" priority="338" operator="equal">
      <formula>"Extremo"</formula>
    </cfRule>
  </conditionalFormatting>
  <conditionalFormatting sqref="AF13:AF68">
    <cfRule type="cellIs" dxfId="3" priority="2" operator="equal">
      <formula>"Alto"</formula>
    </cfRule>
    <cfRule type="cellIs" dxfId="2" priority="3" operator="equal">
      <formula>"Moderado"</formula>
    </cfRule>
    <cfRule type="cellIs" dxfId="1" priority="4" operator="equal">
      <formula>"Bajo"</formula>
    </cfRule>
    <cfRule type="cellIs" dxfId="0" priority="1" operator="equal">
      <formula>"Extremo"</formula>
    </cfRule>
  </conditionalFormatting>
  <dataValidations count="1">
    <dataValidation type="list" allowBlank="1" showInputMessage="1" showErrorMessage="1" sqref="G10:G20" xr:uid="{722A88A6-F868-450B-A4A7-2762CE2F8F89}">
      <formula1>"Gestión,Fiscal"</formula1>
    </dataValidation>
  </dataValidations>
  <pageMargins left="0.7" right="0.7" top="0.75" bottom="0.75" header="0.3" footer="0.3"/>
  <pageSetup scale="17" orientation="landscape" r:id="rId1"/>
  <legacy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250E77E8-1BE4-4FEF-8239-2EE0682AE35E}">
          <x14:formula1>
            <xm:f>'Opciones Tratamiento'!$B$9:$B$10</xm:f>
          </x14:formula1>
          <xm:sqref>AL10:AL12 AL14:AL16 AL18:AL19 AL21:AL22 AL24:AL25 AL27:AL28 AL30:AL31 AL33:AL34 AL36:AL37 AL39:AL40 AL42:AL43 AL45:AL46 AL48:AL49 AL51:AL52 AL54:AL55 AL57:AL58 AL60:AL61 AL63:AL64 AL66:AL67</xm:sqref>
        </x14:dataValidation>
        <x14:dataValidation type="custom" allowBlank="1" showInputMessage="1" showErrorMessage="1" error="Recuerde que las acciones se generan bajo la medida de mitigar el riesgo" xr:uid="{8D7C7E6D-2BB8-479D-9A2E-F80ACC01D682}">
          <x14:formula1>
            <xm:f>IF(OR(AG10='Opciones Tratamiento'!$B$2,AG10='Opciones Tratamiento'!$B$3,AG10='Opciones Tratamiento'!$B$4),ISBLANK(AG10),ISTEXT(AG10))</xm:f>
          </x14:formula1>
          <xm:sqref>AH14:AH68 AH10:AH12</xm:sqref>
        </x14:dataValidation>
        <x14:dataValidation type="custom" allowBlank="1" showInputMessage="1" showErrorMessage="1" error="Recuerde que las acciones se generan bajo la medida de mitigar el riesgo" xr:uid="{5B42FB39-4E44-4061-96A8-A034B0B8C46D}">
          <x14:formula1>
            <xm:f>IF(OR(AG10='Opciones Tratamiento'!$B$2,AG10='Opciones Tratamiento'!$B$3,AG10='Opciones Tratamiento'!$B$4),ISBLANK(AG10),ISTEXT(AG10))</xm:f>
          </x14:formula1>
          <xm:sqref>AI14:AI68 AI10:AI12</xm:sqref>
        </x14:dataValidation>
        <x14:dataValidation type="custom" allowBlank="1" showInputMessage="1" showErrorMessage="1" error="Recuerde que las acciones se generan bajo la medida de mitigar el riesgo" xr:uid="{96A97097-1B6D-4F82-BAD0-1AEBEBC01613}">
          <x14:formula1>
            <xm:f>IF(OR(AG10='Opciones Tratamiento'!$B$2,AG10='Opciones Tratamiento'!$B$3,AG10='Opciones Tratamiento'!$B$4),ISBLANK(AG10),ISTEXT(AG10))</xm:f>
          </x14:formula1>
          <xm:sqref>AJ14:AJ68 AJ10:AJ12</xm:sqref>
        </x14:dataValidation>
        <x14:dataValidation type="custom" allowBlank="1" showInputMessage="1" showErrorMessage="1" error="Recuerde que las acciones se generan bajo la medida de mitigar el riesgo" xr:uid="{DF1550A5-CCB1-4D4A-84FC-8182CB57BC9B}">
          <x14:formula1>
            <xm:f>IF(OR(AG10='Opciones Tratamiento'!$B$2,AG10='Opciones Tratamiento'!$B$3,AG10='Opciones Tratamiento'!$B$4),ISBLANK(AG10),ISTEXT(AG10))</xm:f>
          </x14:formula1>
          <xm:sqref>AK14:AK68 AK10:AK12</xm:sqref>
        </x14:dataValidation>
        <x14:dataValidation type="list" allowBlank="1" showInputMessage="1" showErrorMessage="1" xr:uid="{9BEAC1D3-CA78-45EB-B66D-1ECE76A312EB}">
          <x14:formula1>
            <xm:f>'Tabla Valoración controles'!$D$4:$D$6</xm:f>
          </x14:formula1>
          <xm:sqref>U10:U11 U13:U68</xm:sqref>
        </x14:dataValidation>
        <x14:dataValidation type="list" allowBlank="1" showInputMessage="1" showErrorMessage="1" xr:uid="{532EB6F9-E5AE-4447-8756-0E4A121F5C8C}">
          <x14:formula1>
            <xm:f>'Tabla Valoración controles'!$D$7:$D$8</xm:f>
          </x14:formula1>
          <xm:sqref>V10:V11 V13:V68</xm:sqref>
        </x14:dataValidation>
        <x14:dataValidation type="list" allowBlank="1" showInputMessage="1" showErrorMessage="1" xr:uid="{BEE196A6-579C-4020-B772-967A953AC40C}">
          <x14:formula1>
            <xm:f>'Tabla Valoración controles'!$D$9:$D$10</xm:f>
          </x14:formula1>
          <xm:sqref>X10:X11 X13:X68</xm:sqref>
        </x14:dataValidation>
        <x14:dataValidation type="list" allowBlank="1" showInputMessage="1" showErrorMessage="1" xr:uid="{AE73D4DA-62EF-481A-BAF0-02DF8D139AA6}">
          <x14:formula1>
            <xm:f>'Tabla Valoración controles'!$D$11:$D$12</xm:f>
          </x14:formula1>
          <xm:sqref>Y10:Y11 Y13:Y68</xm:sqref>
        </x14:dataValidation>
        <x14:dataValidation type="list" allowBlank="1" showInputMessage="1" showErrorMessage="1" xr:uid="{3BF2735F-D435-40FC-8509-6569EE9F116F}">
          <x14:formula1>
            <xm:f>'Tabla Valoración controles'!$D$13:$D$14</xm:f>
          </x14:formula1>
          <xm:sqref>Z10:Z11 Z13:Z68</xm:sqref>
        </x14:dataValidation>
        <x14:dataValidation type="list" allowBlank="1" showInputMessage="1" showErrorMessage="1" xr:uid="{3CD1E588-55BF-4936-8785-8371443B8888}">
          <x14:formula1>
            <xm:f>'Opciones Tratamiento'!$B$13:$B$19</xm:f>
          </x14:formula1>
          <xm:sqref>I10:I68</xm:sqref>
        </x14:dataValidation>
        <x14:dataValidation type="list" allowBlank="1" showInputMessage="1" showErrorMessage="1" xr:uid="{BB3D054C-5CD8-435D-9C5A-AAD234818D6B}">
          <x14:formula1>
            <xm:f>'Opciones Tratamiento'!$E$2:$E$4</xm:f>
          </x14:formula1>
          <xm:sqref>B10:B68</xm:sqref>
        </x14:dataValidation>
        <x14:dataValidation type="list" allowBlank="1" showInputMessage="1" showErrorMessage="1" xr:uid="{478FD8EA-BF86-47BF-93A9-81E3245B6E59}">
          <x14:formula1>
            <xm:f>'Opciones Tratamiento'!$B$2:$B$5</xm:f>
          </x14:formula1>
          <xm:sqref>AG10:AG11 AG13:AG68</xm:sqref>
        </x14:dataValidation>
        <x14:dataValidation type="list" allowBlank="1" showInputMessage="1" showErrorMessage="1" xr:uid="{95D0BD9C-D5F6-4113-87D2-47A355780437}">
          <x14:formula1>
            <xm:f>'Tabla Impacto'!$F$210:$F$221</xm:f>
          </x14:formula1>
          <xm:sqref>M10:M68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6"/>
  <dimension ref="A1:CU140"/>
  <sheetViews>
    <sheetView zoomScale="40" zoomScaleNormal="40" workbookViewId="0">
      <selection activeCell="AB6" sqref="AB6:AC7"/>
    </sheetView>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497" t="s">
        <v>149</v>
      </c>
      <c r="C2" s="497"/>
      <c r="D2" s="497"/>
      <c r="E2" s="497"/>
      <c r="F2" s="497"/>
      <c r="G2" s="497"/>
      <c r="H2" s="497"/>
      <c r="I2" s="497"/>
      <c r="J2" s="534" t="s">
        <v>2</v>
      </c>
      <c r="K2" s="534"/>
      <c r="L2" s="534"/>
      <c r="M2" s="534"/>
      <c r="N2" s="534"/>
      <c r="O2" s="534"/>
      <c r="P2" s="534"/>
      <c r="Q2" s="534"/>
      <c r="R2" s="534"/>
      <c r="S2" s="534"/>
      <c r="T2" s="534"/>
      <c r="U2" s="534"/>
      <c r="V2" s="534"/>
      <c r="W2" s="534"/>
      <c r="X2" s="534"/>
      <c r="Y2" s="534"/>
      <c r="Z2" s="534"/>
      <c r="AA2" s="534"/>
      <c r="AB2" s="534"/>
      <c r="AC2" s="534"/>
      <c r="AD2" s="534"/>
      <c r="AE2" s="534"/>
      <c r="AF2" s="534"/>
      <c r="AG2" s="534"/>
      <c r="AH2" s="534"/>
      <c r="AI2" s="534"/>
      <c r="AJ2" s="534"/>
      <c r="AK2" s="534"/>
      <c r="AL2" s="534"/>
      <c r="AM2" s="534"/>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497"/>
      <c r="C3" s="497"/>
      <c r="D3" s="497"/>
      <c r="E3" s="497"/>
      <c r="F3" s="497"/>
      <c r="G3" s="497"/>
      <c r="H3" s="497"/>
      <c r="I3" s="497"/>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497"/>
      <c r="C4" s="497"/>
      <c r="D4" s="497"/>
      <c r="E4" s="497"/>
      <c r="F4" s="497"/>
      <c r="G4" s="497"/>
      <c r="H4" s="497"/>
      <c r="I4" s="497"/>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c r="AK4" s="534"/>
      <c r="AL4" s="534"/>
      <c r="AM4" s="534"/>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545" t="s">
        <v>4</v>
      </c>
      <c r="C6" s="545"/>
      <c r="D6" s="546"/>
      <c r="E6" s="535" t="s">
        <v>110</v>
      </c>
      <c r="F6" s="536"/>
      <c r="G6" s="536"/>
      <c r="H6" s="536"/>
      <c r="I6" s="537"/>
      <c r="J6" s="531" t="str">
        <f>IF(AND('Mapa final'!$K$10="Muy Alta",'Mapa final'!$O$10="Leve"),CONCATENATE("R",'Mapa final'!$A$10),"")</f>
        <v/>
      </c>
      <c r="K6" s="532"/>
      <c r="L6" s="532" t="str">
        <f>IF(AND('Mapa final'!$K$15="Muy Alta",'Mapa final'!$O$15="Leve"),CONCATENATE("R",'Mapa final'!$A$15),"")</f>
        <v/>
      </c>
      <c r="M6" s="532"/>
      <c r="N6" s="532" t="str">
        <f>IF(AND('Mapa final'!$K$21="Muy Alta",'Mapa final'!$O$21="Leve"),CONCATENATE("R",'Mapa final'!$A$21),"")</f>
        <v/>
      </c>
      <c r="O6" s="533"/>
      <c r="P6" s="531" t="str">
        <f>IF(AND('Mapa final'!$K$10="Muy Alta",'Mapa final'!$O$10="Menor"),CONCATENATE("R",'Mapa final'!$A$10),"")</f>
        <v/>
      </c>
      <c r="Q6" s="532"/>
      <c r="R6" s="532" t="str">
        <f>IF(AND('Mapa final'!$K$15="Muy Alta",'Mapa final'!$O$15="Menor"),CONCATENATE("R",'Mapa final'!$A$15),"")</f>
        <v>R2</v>
      </c>
      <c r="S6" s="532"/>
      <c r="T6" s="532" t="str">
        <f>IF(AND('Mapa final'!$K$21="Muy Alta",'Mapa final'!$O$21="Menor"),CONCATENATE("R",'Mapa final'!$A$21),"")</f>
        <v/>
      </c>
      <c r="U6" s="533"/>
      <c r="V6" s="531" t="str">
        <f>IF(AND('Mapa final'!$K$10="Muy Alta",'Mapa final'!$O$10="Moderado"),CONCATENATE("R",'Mapa final'!$A$10),"")</f>
        <v/>
      </c>
      <c r="W6" s="532"/>
      <c r="X6" s="532" t="str">
        <f>IF(AND('Mapa final'!$K$15="Muy Alta",'Mapa final'!$O$15="Moderado"),CONCATENATE("R",'Mapa final'!$A$15),"")</f>
        <v/>
      </c>
      <c r="Y6" s="532"/>
      <c r="Z6" s="532" t="str">
        <f>IF(AND('Mapa final'!$K$21="Muy Alta",'Mapa final'!$O$21="Moderado"),CONCATENATE("R",'Mapa final'!$A$21),"")</f>
        <v/>
      </c>
      <c r="AA6" s="533"/>
      <c r="AB6" s="531" t="str">
        <f>IF(AND('Mapa final'!$K$10="Muy Alta",'Mapa final'!$O$10="Mayor"),CONCATENATE("R",'Mapa final'!$A$10),"")</f>
        <v>R1</v>
      </c>
      <c r="AC6" s="532"/>
      <c r="AD6" s="532" t="str">
        <f>IF(AND('Mapa final'!$K$15="Muy Alta",'Mapa final'!$O$15="Mayor"),CONCATENATE("R",'Mapa final'!$A$15),"")</f>
        <v/>
      </c>
      <c r="AE6" s="532"/>
      <c r="AF6" s="532" t="str">
        <f>IF(AND('Mapa final'!$K$21="Muy Alta",'Mapa final'!$O$21="Mayor"),CONCATENATE("R",'Mapa final'!$A$21),"")</f>
        <v/>
      </c>
      <c r="AG6" s="533"/>
      <c r="AH6" s="522" t="str">
        <f>IF(AND('Mapa final'!$K$10="Muy Alta",'Mapa final'!$O$10="Catastrófico"),CONCATENATE("R",'Mapa final'!$A$10),"")</f>
        <v/>
      </c>
      <c r="AI6" s="523"/>
      <c r="AJ6" s="523" t="str">
        <f>IF(AND('Mapa final'!$K$15="Muy Alta",'Mapa final'!$O$15="Catastrófico"),CONCATENATE("R",'Mapa final'!$A$15),"")</f>
        <v/>
      </c>
      <c r="AK6" s="523"/>
      <c r="AL6" s="523" t="str">
        <f>IF(AND('Mapa final'!$K$21="Muy Alta",'Mapa final'!$O$21="Catastrófico"),CONCATENATE("R",'Mapa final'!$A$21),"")</f>
        <v/>
      </c>
      <c r="AM6" s="524"/>
      <c r="AO6" s="547" t="s">
        <v>77</v>
      </c>
      <c r="AP6" s="548"/>
      <c r="AQ6" s="548"/>
      <c r="AR6" s="548"/>
      <c r="AS6" s="548"/>
      <c r="AT6" s="549"/>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545"/>
      <c r="C7" s="545"/>
      <c r="D7" s="546"/>
      <c r="E7" s="538"/>
      <c r="F7" s="539"/>
      <c r="G7" s="539"/>
      <c r="H7" s="539"/>
      <c r="I7" s="540"/>
      <c r="J7" s="525"/>
      <c r="K7" s="526"/>
      <c r="L7" s="526"/>
      <c r="M7" s="526"/>
      <c r="N7" s="526"/>
      <c r="O7" s="527"/>
      <c r="P7" s="525"/>
      <c r="Q7" s="526"/>
      <c r="R7" s="526"/>
      <c r="S7" s="526"/>
      <c r="T7" s="526"/>
      <c r="U7" s="527"/>
      <c r="V7" s="525"/>
      <c r="W7" s="526"/>
      <c r="X7" s="526"/>
      <c r="Y7" s="526"/>
      <c r="Z7" s="526"/>
      <c r="AA7" s="527"/>
      <c r="AB7" s="525"/>
      <c r="AC7" s="526"/>
      <c r="AD7" s="526"/>
      <c r="AE7" s="526"/>
      <c r="AF7" s="526"/>
      <c r="AG7" s="527"/>
      <c r="AH7" s="516"/>
      <c r="AI7" s="517"/>
      <c r="AJ7" s="517"/>
      <c r="AK7" s="517"/>
      <c r="AL7" s="517"/>
      <c r="AM7" s="518"/>
      <c r="AN7" s="67"/>
      <c r="AO7" s="550"/>
      <c r="AP7" s="551"/>
      <c r="AQ7" s="551"/>
      <c r="AR7" s="551"/>
      <c r="AS7" s="551"/>
      <c r="AT7" s="552"/>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545"/>
      <c r="C8" s="545"/>
      <c r="D8" s="546"/>
      <c r="E8" s="538"/>
      <c r="F8" s="539"/>
      <c r="G8" s="539"/>
      <c r="H8" s="539"/>
      <c r="I8" s="540"/>
      <c r="J8" s="525" t="str">
        <f>IF(AND('Mapa final'!$K$27="Muy Alta",'Mapa final'!$O$27="Leve"),CONCATENATE("R",'Mapa final'!$A$27),"")</f>
        <v/>
      </c>
      <c r="K8" s="526"/>
      <c r="L8" s="526" t="str">
        <f>IF(AND('Mapa final'!$K$33="Muy Alta",'Mapa final'!$O$33="Leve"),CONCATENATE("R",'Mapa final'!$A$33),"")</f>
        <v/>
      </c>
      <c r="M8" s="526"/>
      <c r="N8" s="526" t="str">
        <f>IF(AND('Mapa final'!$K$39="Muy Alta",'Mapa final'!$O$39="Leve"),CONCATENATE("R",'Mapa final'!$A$39),"")</f>
        <v/>
      </c>
      <c r="O8" s="527"/>
      <c r="P8" s="525" t="str">
        <f>IF(AND('Mapa final'!$K$27="Muy Alta",'Mapa final'!$O$27="Menor"),CONCATENATE("R",'Mapa final'!$A$27),"")</f>
        <v/>
      </c>
      <c r="Q8" s="526"/>
      <c r="R8" s="526" t="str">
        <f>IF(AND('Mapa final'!$K$33="Muy Alta",'Mapa final'!$O$33="Menor"),CONCATENATE("R",'Mapa final'!$A$33),"")</f>
        <v/>
      </c>
      <c r="S8" s="526"/>
      <c r="T8" s="526" t="str">
        <f>IF(AND('Mapa final'!$K$39="Muy Alta",'Mapa final'!$O$39="Menor"),CONCATENATE("R",'Mapa final'!$A$39),"")</f>
        <v/>
      </c>
      <c r="U8" s="527"/>
      <c r="V8" s="525" t="str">
        <f>IF(AND('Mapa final'!$K$27="Muy Alta",'Mapa final'!$O$27="Moderado"),CONCATENATE("R",'Mapa final'!$A$27),"")</f>
        <v/>
      </c>
      <c r="W8" s="526"/>
      <c r="X8" s="526" t="str">
        <f>IF(AND('Mapa final'!$K$33="Muy Alta",'Mapa final'!$O$33="Moderado"),CONCATENATE("R",'Mapa final'!$A$33),"")</f>
        <v/>
      </c>
      <c r="Y8" s="526"/>
      <c r="Z8" s="526" t="str">
        <f>IF(AND('Mapa final'!$K$39="Muy Alta",'Mapa final'!$O$39="Moderado"),CONCATENATE("R",'Mapa final'!$A$39),"")</f>
        <v/>
      </c>
      <c r="AA8" s="527"/>
      <c r="AB8" s="525" t="str">
        <f>IF(AND('Mapa final'!$K$27="Muy Alta",'Mapa final'!$O$27="Mayor"),CONCATENATE("R",'Mapa final'!$A$27),"")</f>
        <v/>
      </c>
      <c r="AC8" s="526"/>
      <c r="AD8" s="526" t="str">
        <f>IF(AND('Mapa final'!$K$33="Muy Alta",'Mapa final'!$O$33="Mayor"),CONCATENATE("R",'Mapa final'!$A$33),"")</f>
        <v/>
      </c>
      <c r="AE8" s="526"/>
      <c r="AF8" s="526" t="str">
        <f>IF(AND('Mapa final'!$K$39="Muy Alta",'Mapa final'!$O$39="Mayor"),CONCATENATE("R",'Mapa final'!$A$39),"")</f>
        <v/>
      </c>
      <c r="AG8" s="527"/>
      <c r="AH8" s="516" t="str">
        <f>IF(AND('Mapa final'!$K$27="Muy Alta",'Mapa final'!$O$27="Catastrófico"),CONCATENATE("R",'Mapa final'!$A$27),"")</f>
        <v/>
      </c>
      <c r="AI8" s="517"/>
      <c r="AJ8" s="517" t="str">
        <f>IF(AND('Mapa final'!$K$33="Muy Alta",'Mapa final'!$O$33="Catastrófico"),CONCATENATE("R",'Mapa final'!$A$33),"")</f>
        <v/>
      </c>
      <c r="AK8" s="517"/>
      <c r="AL8" s="517" t="str">
        <f>IF(AND('Mapa final'!$K$39="Muy Alta",'Mapa final'!$O$39="Catastrófico"),CONCATENATE("R",'Mapa final'!$A$39),"")</f>
        <v/>
      </c>
      <c r="AM8" s="518"/>
      <c r="AN8" s="67"/>
      <c r="AO8" s="550"/>
      <c r="AP8" s="551"/>
      <c r="AQ8" s="551"/>
      <c r="AR8" s="551"/>
      <c r="AS8" s="551"/>
      <c r="AT8" s="552"/>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545"/>
      <c r="C9" s="545"/>
      <c r="D9" s="546"/>
      <c r="E9" s="538"/>
      <c r="F9" s="539"/>
      <c r="G9" s="539"/>
      <c r="H9" s="539"/>
      <c r="I9" s="540"/>
      <c r="J9" s="525"/>
      <c r="K9" s="526"/>
      <c r="L9" s="526"/>
      <c r="M9" s="526"/>
      <c r="N9" s="526"/>
      <c r="O9" s="527"/>
      <c r="P9" s="525"/>
      <c r="Q9" s="526"/>
      <c r="R9" s="526"/>
      <c r="S9" s="526"/>
      <c r="T9" s="526"/>
      <c r="U9" s="527"/>
      <c r="V9" s="525"/>
      <c r="W9" s="526"/>
      <c r="X9" s="526"/>
      <c r="Y9" s="526"/>
      <c r="Z9" s="526"/>
      <c r="AA9" s="527"/>
      <c r="AB9" s="525"/>
      <c r="AC9" s="526"/>
      <c r="AD9" s="526"/>
      <c r="AE9" s="526"/>
      <c r="AF9" s="526"/>
      <c r="AG9" s="527"/>
      <c r="AH9" s="516"/>
      <c r="AI9" s="517"/>
      <c r="AJ9" s="517"/>
      <c r="AK9" s="517"/>
      <c r="AL9" s="517"/>
      <c r="AM9" s="518"/>
      <c r="AN9" s="67"/>
      <c r="AO9" s="550"/>
      <c r="AP9" s="551"/>
      <c r="AQ9" s="551"/>
      <c r="AR9" s="551"/>
      <c r="AS9" s="551"/>
      <c r="AT9" s="552"/>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545"/>
      <c r="C10" s="545"/>
      <c r="D10" s="546"/>
      <c r="E10" s="538"/>
      <c r="F10" s="539"/>
      <c r="G10" s="539"/>
      <c r="H10" s="539"/>
      <c r="I10" s="540"/>
      <c r="J10" s="525" t="str">
        <f>IF(AND('Mapa final'!$K$45="Muy Alta",'Mapa final'!$O$45="Leve"),CONCATENATE("R",'Mapa final'!$A$45),"")</f>
        <v/>
      </c>
      <c r="K10" s="526"/>
      <c r="L10" s="526" t="str">
        <f>IF(AND('Mapa final'!$K$51="Muy Alta",'Mapa final'!$O$51="Leve"),CONCATENATE("R",'Mapa final'!$A$51),"")</f>
        <v/>
      </c>
      <c r="M10" s="526"/>
      <c r="N10" s="526" t="str">
        <f>IF(AND('Mapa final'!$K$57="Muy Alta",'Mapa final'!$O$57="Leve"),CONCATENATE("R",'Mapa final'!$A$57),"")</f>
        <v/>
      </c>
      <c r="O10" s="527"/>
      <c r="P10" s="525" t="str">
        <f>IF(AND('Mapa final'!$K$45="Muy Alta",'Mapa final'!$O$45="Menor"),CONCATENATE("R",'Mapa final'!$A$45),"")</f>
        <v/>
      </c>
      <c r="Q10" s="526"/>
      <c r="R10" s="526" t="str">
        <f>IF(AND('Mapa final'!$K$51="Muy Alta",'Mapa final'!$O$51="Menor"),CONCATENATE("R",'Mapa final'!$A$51),"")</f>
        <v/>
      </c>
      <c r="S10" s="526"/>
      <c r="T10" s="526" t="str">
        <f>IF(AND('Mapa final'!$K$57="Muy Alta",'Mapa final'!$O$57="Menor"),CONCATENATE("R",'Mapa final'!$A$57),"")</f>
        <v/>
      </c>
      <c r="U10" s="527"/>
      <c r="V10" s="525" t="str">
        <f>IF(AND('Mapa final'!$K$45="Muy Alta",'Mapa final'!$O$45="Moderado"),CONCATENATE("R",'Mapa final'!$A$45),"")</f>
        <v/>
      </c>
      <c r="W10" s="526"/>
      <c r="X10" s="526" t="str">
        <f>IF(AND('Mapa final'!$K$51="Muy Alta",'Mapa final'!$O$51="Moderado"),CONCATENATE("R",'Mapa final'!$A$51),"")</f>
        <v/>
      </c>
      <c r="Y10" s="526"/>
      <c r="Z10" s="526" t="str">
        <f>IF(AND('Mapa final'!$K$57="Muy Alta",'Mapa final'!$O$57="Moderado"),CONCATENATE("R",'Mapa final'!$A$57),"")</f>
        <v/>
      </c>
      <c r="AA10" s="527"/>
      <c r="AB10" s="525" t="str">
        <f>IF(AND('Mapa final'!$K$45="Muy Alta",'Mapa final'!$O$45="Mayor"),CONCATENATE("R",'Mapa final'!$A$45),"")</f>
        <v/>
      </c>
      <c r="AC10" s="526"/>
      <c r="AD10" s="526" t="str">
        <f>IF(AND('Mapa final'!$K$51="Muy Alta",'Mapa final'!$O$51="Mayor"),CONCATENATE("R",'Mapa final'!$A$51),"")</f>
        <v/>
      </c>
      <c r="AE10" s="526"/>
      <c r="AF10" s="526" t="str">
        <f>IF(AND('Mapa final'!$K$57="Muy Alta",'Mapa final'!$O$57="Mayor"),CONCATENATE("R",'Mapa final'!$A$57),"")</f>
        <v/>
      </c>
      <c r="AG10" s="527"/>
      <c r="AH10" s="516" t="str">
        <f>IF(AND('Mapa final'!$K$45="Muy Alta",'Mapa final'!$O$45="Catastrófico"),CONCATENATE("R",'Mapa final'!$A$45),"")</f>
        <v/>
      </c>
      <c r="AI10" s="517"/>
      <c r="AJ10" s="517" t="str">
        <f>IF(AND('Mapa final'!$K$51="Muy Alta",'Mapa final'!$O$51="Catastrófico"),CONCATENATE("R",'Mapa final'!$A$51),"")</f>
        <v/>
      </c>
      <c r="AK10" s="517"/>
      <c r="AL10" s="517" t="str">
        <f>IF(AND('Mapa final'!$K$57="Muy Alta",'Mapa final'!$O$57="Catastrófico"),CONCATENATE("R",'Mapa final'!$A$57),"")</f>
        <v/>
      </c>
      <c r="AM10" s="518"/>
      <c r="AN10" s="67"/>
      <c r="AO10" s="550"/>
      <c r="AP10" s="551"/>
      <c r="AQ10" s="551"/>
      <c r="AR10" s="551"/>
      <c r="AS10" s="551"/>
      <c r="AT10" s="552"/>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545"/>
      <c r="C11" s="545"/>
      <c r="D11" s="546"/>
      <c r="E11" s="538"/>
      <c r="F11" s="539"/>
      <c r="G11" s="539"/>
      <c r="H11" s="539"/>
      <c r="I11" s="540"/>
      <c r="J11" s="525"/>
      <c r="K11" s="526"/>
      <c r="L11" s="526"/>
      <c r="M11" s="526"/>
      <c r="N11" s="526"/>
      <c r="O11" s="527"/>
      <c r="P11" s="525"/>
      <c r="Q11" s="526"/>
      <c r="R11" s="526"/>
      <c r="S11" s="526"/>
      <c r="T11" s="526"/>
      <c r="U11" s="527"/>
      <c r="V11" s="525"/>
      <c r="W11" s="526"/>
      <c r="X11" s="526"/>
      <c r="Y11" s="526"/>
      <c r="Z11" s="526"/>
      <c r="AA11" s="527"/>
      <c r="AB11" s="525"/>
      <c r="AC11" s="526"/>
      <c r="AD11" s="526"/>
      <c r="AE11" s="526"/>
      <c r="AF11" s="526"/>
      <c r="AG11" s="527"/>
      <c r="AH11" s="516"/>
      <c r="AI11" s="517"/>
      <c r="AJ11" s="517"/>
      <c r="AK11" s="517"/>
      <c r="AL11" s="517"/>
      <c r="AM11" s="518"/>
      <c r="AN11" s="67"/>
      <c r="AO11" s="550"/>
      <c r="AP11" s="551"/>
      <c r="AQ11" s="551"/>
      <c r="AR11" s="551"/>
      <c r="AS11" s="551"/>
      <c r="AT11" s="552"/>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545"/>
      <c r="C12" s="545"/>
      <c r="D12" s="546"/>
      <c r="E12" s="538"/>
      <c r="F12" s="539"/>
      <c r="G12" s="539"/>
      <c r="H12" s="539"/>
      <c r="I12" s="540"/>
      <c r="J12" s="525" t="str">
        <f>IF(AND('Mapa final'!$K$63="Muy Alta",'Mapa final'!$O$63="Leve"),CONCATENATE("R",'Mapa final'!$A$63),"")</f>
        <v/>
      </c>
      <c r="K12" s="526"/>
      <c r="L12" s="526" t="str">
        <f>IF(AND('Mapa final'!$K$69="Muy Alta",'Mapa final'!$O$69="Leve"),CONCATENATE("R",'Mapa final'!$A$69),"")</f>
        <v/>
      </c>
      <c r="M12" s="526"/>
      <c r="N12" s="526" t="str">
        <f>IF(AND('Mapa final'!$K$75="Muy Alta",'Mapa final'!$O$75="Leve"),CONCATENATE("R",'Mapa final'!$A$75),"")</f>
        <v/>
      </c>
      <c r="O12" s="527"/>
      <c r="P12" s="525" t="str">
        <f>IF(AND('Mapa final'!$K$63="Muy Alta",'Mapa final'!$O$63="Menor"),CONCATENATE("R",'Mapa final'!$A$63),"")</f>
        <v/>
      </c>
      <c r="Q12" s="526"/>
      <c r="R12" s="526" t="str">
        <f>IF(AND('Mapa final'!$K$69="Muy Alta",'Mapa final'!$O$69="Menor"),CONCATENATE("R",'Mapa final'!$A$69),"")</f>
        <v/>
      </c>
      <c r="S12" s="526"/>
      <c r="T12" s="526" t="str">
        <f>IF(AND('Mapa final'!$K$75="Muy Alta",'Mapa final'!$O$75="Menor"),CONCATENATE("R",'Mapa final'!$A$75),"")</f>
        <v/>
      </c>
      <c r="U12" s="527"/>
      <c r="V12" s="525" t="str">
        <f>IF(AND('Mapa final'!$K$63="Muy Alta",'Mapa final'!$O$63="Moderado"),CONCATENATE("R",'Mapa final'!$A$63),"")</f>
        <v/>
      </c>
      <c r="W12" s="526"/>
      <c r="X12" s="526" t="str">
        <f>IF(AND('Mapa final'!$K$69="Muy Alta",'Mapa final'!$O$69="Moderado"),CONCATENATE("R",'Mapa final'!$A$69),"")</f>
        <v/>
      </c>
      <c r="Y12" s="526"/>
      <c r="Z12" s="526" t="str">
        <f>IF(AND('Mapa final'!$K$75="Muy Alta",'Mapa final'!$O$75="Moderado"),CONCATENATE("R",'Mapa final'!$A$75),"")</f>
        <v/>
      </c>
      <c r="AA12" s="527"/>
      <c r="AB12" s="525" t="str">
        <f>IF(AND('Mapa final'!$K$63="Muy Alta",'Mapa final'!$O$63="Mayor"),CONCATENATE("R",'Mapa final'!$A$63),"")</f>
        <v/>
      </c>
      <c r="AC12" s="526"/>
      <c r="AD12" s="526" t="str">
        <f>IF(AND('Mapa final'!$K$69="Muy Alta",'Mapa final'!$O$69="Mayor"),CONCATENATE("R",'Mapa final'!$A$69),"")</f>
        <v/>
      </c>
      <c r="AE12" s="526"/>
      <c r="AF12" s="526" t="str">
        <f>IF(AND('Mapa final'!$K$75="Muy Alta",'Mapa final'!$O$75="Mayor"),CONCATENATE("R",'Mapa final'!$A$75),"")</f>
        <v/>
      </c>
      <c r="AG12" s="527"/>
      <c r="AH12" s="516" t="str">
        <f>IF(AND('Mapa final'!$K$63="Muy Alta",'Mapa final'!$O$63="Catastrófico"),CONCATENATE("R",'Mapa final'!$A$63),"")</f>
        <v/>
      </c>
      <c r="AI12" s="517"/>
      <c r="AJ12" s="517" t="str">
        <f>IF(AND('Mapa final'!$K$69="Muy Alta",'Mapa final'!$O$69="Catastrófico"),CONCATENATE("R",'Mapa final'!$A$69),"")</f>
        <v/>
      </c>
      <c r="AK12" s="517"/>
      <c r="AL12" s="517" t="str">
        <f>IF(AND('Mapa final'!$K$75="Muy Alta",'Mapa final'!$O$75="Catastrófico"),CONCATENATE("R",'Mapa final'!$A$75),"")</f>
        <v/>
      </c>
      <c r="AM12" s="518"/>
      <c r="AN12" s="67"/>
      <c r="AO12" s="550"/>
      <c r="AP12" s="551"/>
      <c r="AQ12" s="551"/>
      <c r="AR12" s="551"/>
      <c r="AS12" s="551"/>
      <c r="AT12" s="552"/>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545"/>
      <c r="C13" s="545"/>
      <c r="D13" s="546"/>
      <c r="E13" s="541"/>
      <c r="F13" s="542"/>
      <c r="G13" s="542"/>
      <c r="H13" s="542"/>
      <c r="I13" s="543"/>
      <c r="J13" s="525"/>
      <c r="K13" s="526"/>
      <c r="L13" s="526"/>
      <c r="M13" s="526"/>
      <c r="N13" s="526"/>
      <c r="O13" s="527"/>
      <c r="P13" s="525"/>
      <c r="Q13" s="526"/>
      <c r="R13" s="526"/>
      <c r="S13" s="526"/>
      <c r="T13" s="526"/>
      <c r="U13" s="527"/>
      <c r="V13" s="525"/>
      <c r="W13" s="526"/>
      <c r="X13" s="526"/>
      <c r="Y13" s="526"/>
      <c r="Z13" s="526"/>
      <c r="AA13" s="527"/>
      <c r="AB13" s="525"/>
      <c r="AC13" s="526"/>
      <c r="AD13" s="526"/>
      <c r="AE13" s="526"/>
      <c r="AF13" s="526"/>
      <c r="AG13" s="527"/>
      <c r="AH13" s="519"/>
      <c r="AI13" s="520"/>
      <c r="AJ13" s="520"/>
      <c r="AK13" s="520"/>
      <c r="AL13" s="520"/>
      <c r="AM13" s="521"/>
      <c r="AN13" s="67"/>
      <c r="AO13" s="553"/>
      <c r="AP13" s="554"/>
      <c r="AQ13" s="554"/>
      <c r="AR13" s="554"/>
      <c r="AS13" s="554"/>
      <c r="AT13" s="555"/>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545"/>
      <c r="C14" s="545"/>
      <c r="D14" s="546"/>
      <c r="E14" s="535" t="s">
        <v>109</v>
      </c>
      <c r="F14" s="536"/>
      <c r="G14" s="536"/>
      <c r="H14" s="536"/>
      <c r="I14" s="536"/>
      <c r="J14" s="513" t="str">
        <f>IF(AND('Mapa final'!$K$10="Alta",'Mapa final'!$O$10="Leve"),CONCATENATE("R",'Mapa final'!$A$10),"")</f>
        <v/>
      </c>
      <c r="K14" s="514"/>
      <c r="L14" s="514" t="str">
        <f>IF(AND('Mapa final'!$K$15="Alta",'Mapa final'!$O$15="Leve"),CONCATENATE("R",'Mapa final'!$A$15),"")</f>
        <v/>
      </c>
      <c r="M14" s="514"/>
      <c r="N14" s="514" t="str">
        <f>IF(AND('Mapa final'!$K$21="Alta",'Mapa final'!$O$21="Leve"),CONCATENATE("R",'Mapa final'!$A$21),"")</f>
        <v/>
      </c>
      <c r="O14" s="515"/>
      <c r="P14" s="513" t="str">
        <f>IF(AND('Mapa final'!$K$10="Alta",'Mapa final'!$O$10="Menor"),CONCATENATE("R",'Mapa final'!$A$10),"")</f>
        <v/>
      </c>
      <c r="Q14" s="514"/>
      <c r="R14" s="514" t="str">
        <f>IF(AND('Mapa final'!$K$15="Alta",'Mapa final'!$O$15="Menor"),CONCATENATE("R",'Mapa final'!$A$15),"")</f>
        <v/>
      </c>
      <c r="S14" s="514"/>
      <c r="T14" s="514" t="str">
        <f>IF(AND('Mapa final'!$K$21="Alta",'Mapa final'!$O$21="Menor"),CONCATENATE("R",'Mapa final'!$A$21),"")</f>
        <v/>
      </c>
      <c r="U14" s="515"/>
      <c r="V14" s="531" t="str">
        <f>IF(AND('Mapa final'!$K$10="Alta",'Mapa final'!$O$10="Moderado"),CONCATENATE("R",'Mapa final'!$A$10),"")</f>
        <v/>
      </c>
      <c r="W14" s="532"/>
      <c r="X14" s="532" t="str">
        <f>IF(AND('Mapa final'!$K$15="Alta",'Mapa final'!$O$15="Moderado"),CONCATENATE("R",'Mapa final'!$A$15),"")</f>
        <v/>
      </c>
      <c r="Y14" s="532"/>
      <c r="Z14" s="532" t="str">
        <f>IF(AND('Mapa final'!$K$21="Alta",'Mapa final'!$O$21="Moderado"),CONCATENATE("R",'Mapa final'!$A$21),"")</f>
        <v/>
      </c>
      <c r="AA14" s="533"/>
      <c r="AB14" s="531" t="str">
        <f>IF(AND('Mapa final'!$K$10="Alta",'Mapa final'!$O$10="Mayor"),CONCATENATE("R",'Mapa final'!$A$10),"")</f>
        <v/>
      </c>
      <c r="AC14" s="532"/>
      <c r="AD14" s="532" t="str">
        <f>IF(AND('Mapa final'!$K$15="Alta",'Mapa final'!$O$15="Mayor"),CONCATENATE("R",'Mapa final'!$A$15),"")</f>
        <v/>
      </c>
      <c r="AE14" s="532"/>
      <c r="AF14" s="532" t="str">
        <f>IF(AND('Mapa final'!$K$21="Alta",'Mapa final'!$O$21="Mayor"),CONCATENATE("R",'Mapa final'!$A$21),"")</f>
        <v/>
      </c>
      <c r="AG14" s="533"/>
      <c r="AH14" s="522" t="str">
        <f>IF(AND('Mapa final'!$K$10="Alta",'Mapa final'!$O$10="Catastrófico"),CONCATENATE("R",'Mapa final'!$A$10),"")</f>
        <v/>
      </c>
      <c r="AI14" s="523"/>
      <c r="AJ14" s="523" t="str">
        <f>IF(AND('Mapa final'!$K$15="Alta",'Mapa final'!$O$15="Catastrófico"),CONCATENATE("R",'Mapa final'!$A$15),"")</f>
        <v/>
      </c>
      <c r="AK14" s="523"/>
      <c r="AL14" s="523" t="str">
        <f>IF(AND('Mapa final'!$K$21="Alta",'Mapa final'!$O$21="Catastrófico"),CONCATENATE("R",'Mapa final'!$A$21),"")</f>
        <v/>
      </c>
      <c r="AM14" s="524"/>
      <c r="AN14" s="67"/>
      <c r="AO14" s="556" t="s">
        <v>78</v>
      </c>
      <c r="AP14" s="557"/>
      <c r="AQ14" s="557"/>
      <c r="AR14" s="557"/>
      <c r="AS14" s="557"/>
      <c r="AT14" s="558"/>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545"/>
      <c r="C15" s="545"/>
      <c r="D15" s="546"/>
      <c r="E15" s="538"/>
      <c r="F15" s="539"/>
      <c r="G15" s="539"/>
      <c r="H15" s="539"/>
      <c r="I15" s="539"/>
      <c r="J15" s="507"/>
      <c r="K15" s="508"/>
      <c r="L15" s="508"/>
      <c r="M15" s="508"/>
      <c r="N15" s="508"/>
      <c r="O15" s="509"/>
      <c r="P15" s="507"/>
      <c r="Q15" s="508"/>
      <c r="R15" s="508"/>
      <c r="S15" s="508"/>
      <c r="T15" s="508"/>
      <c r="U15" s="509"/>
      <c r="V15" s="525"/>
      <c r="W15" s="526"/>
      <c r="X15" s="526"/>
      <c r="Y15" s="526"/>
      <c r="Z15" s="526"/>
      <c r="AA15" s="527"/>
      <c r="AB15" s="525"/>
      <c r="AC15" s="526"/>
      <c r="AD15" s="526"/>
      <c r="AE15" s="526"/>
      <c r="AF15" s="526"/>
      <c r="AG15" s="527"/>
      <c r="AH15" s="516"/>
      <c r="AI15" s="517"/>
      <c r="AJ15" s="517"/>
      <c r="AK15" s="517"/>
      <c r="AL15" s="517"/>
      <c r="AM15" s="518"/>
      <c r="AN15" s="67"/>
      <c r="AO15" s="559"/>
      <c r="AP15" s="560"/>
      <c r="AQ15" s="560"/>
      <c r="AR15" s="560"/>
      <c r="AS15" s="560"/>
      <c r="AT15" s="561"/>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545"/>
      <c r="C16" s="545"/>
      <c r="D16" s="546"/>
      <c r="E16" s="538"/>
      <c r="F16" s="539"/>
      <c r="G16" s="539"/>
      <c r="H16" s="539"/>
      <c r="I16" s="539"/>
      <c r="J16" s="507" t="str">
        <f>IF(AND('Mapa final'!$K$27="Alta",'Mapa final'!$O$27="Leve"),CONCATENATE("R",'Mapa final'!$A$27),"")</f>
        <v/>
      </c>
      <c r="K16" s="508"/>
      <c r="L16" s="508" t="str">
        <f>IF(AND('Mapa final'!$K$33="Alta",'Mapa final'!$O$33="Leve"),CONCATENATE("R",'Mapa final'!$A$33),"")</f>
        <v/>
      </c>
      <c r="M16" s="508"/>
      <c r="N16" s="508" t="str">
        <f>IF(AND('Mapa final'!$K$39="Alta",'Mapa final'!$O$39="Leve"),CONCATENATE("R",'Mapa final'!$A$39),"")</f>
        <v/>
      </c>
      <c r="O16" s="509"/>
      <c r="P16" s="507" t="str">
        <f>IF(AND('Mapa final'!$K$27="Alta",'Mapa final'!$O$27="Menor"),CONCATENATE("R",'Mapa final'!$A$27),"")</f>
        <v/>
      </c>
      <c r="Q16" s="508"/>
      <c r="R16" s="508" t="str">
        <f>IF(AND('Mapa final'!$K$33="Alta",'Mapa final'!$O$33="Menor"),CONCATENATE("R",'Mapa final'!$A$33),"")</f>
        <v/>
      </c>
      <c r="S16" s="508"/>
      <c r="T16" s="508" t="str">
        <f>IF(AND('Mapa final'!$K$39="Alta",'Mapa final'!$O$39="Menor"),CONCATENATE("R",'Mapa final'!$A$39),"")</f>
        <v/>
      </c>
      <c r="U16" s="509"/>
      <c r="V16" s="525" t="str">
        <f>IF(AND('Mapa final'!$K$27="Alta",'Mapa final'!$O$27="Moderado"),CONCATENATE("R",'Mapa final'!$A$27),"")</f>
        <v/>
      </c>
      <c r="W16" s="526"/>
      <c r="X16" s="526" t="str">
        <f>IF(AND('Mapa final'!$K$33="Alta",'Mapa final'!$O$33="Moderado"),CONCATENATE("R",'Mapa final'!$A$33),"")</f>
        <v/>
      </c>
      <c r="Y16" s="526"/>
      <c r="Z16" s="526" t="str">
        <f>IF(AND('Mapa final'!$K$39="Alta",'Mapa final'!$O$39="Moderado"),CONCATENATE("R",'Mapa final'!$A$39),"")</f>
        <v/>
      </c>
      <c r="AA16" s="527"/>
      <c r="AB16" s="525" t="str">
        <f>IF(AND('Mapa final'!$K$27="Alta",'Mapa final'!$O$27="Mayor"),CONCATENATE("R",'Mapa final'!$A$27),"")</f>
        <v/>
      </c>
      <c r="AC16" s="526"/>
      <c r="AD16" s="526" t="str">
        <f>IF(AND('Mapa final'!$K$33="Alta",'Mapa final'!$O$33="Mayor"),CONCATENATE("R",'Mapa final'!$A$33),"")</f>
        <v/>
      </c>
      <c r="AE16" s="526"/>
      <c r="AF16" s="526" t="str">
        <f>IF(AND('Mapa final'!$K$39="Alta",'Mapa final'!$O$39="Mayor"),CONCATENATE("R",'Mapa final'!$A$39),"")</f>
        <v/>
      </c>
      <c r="AG16" s="527"/>
      <c r="AH16" s="516" t="str">
        <f>IF(AND('Mapa final'!$K$27="Alta",'Mapa final'!$O$27="Catastrófico"),CONCATENATE("R",'Mapa final'!$A$27),"")</f>
        <v/>
      </c>
      <c r="AI16" s="517"/>
      <c r="AJ16" s="517" t="str">
        <f>IF(AND('Mapa final'!$K$33="Alta",'Mapa final'!$O$33="Catastrófico"),CONCATENATE("R",'Mapa final'!$A$33),"")</f>
        <v/>
      </c>
      <c r="AK16" s="517"/>
      <c r="AL16" s="517" t="str">
        <f>IF(AND('Mapa final'!$K$39="Alta",'Mapa final'!$O$39="Catastrófico"),CONCATENATE("R",'Mapa final'!$A$39),"")</f>
        <v/>
      </c>
      <c r="AM16" s="518"/>
      <c r="AN16" s="67"/>
      <c r="AO16" s="559"/>
      <c r="AP16" s="560"/>
      <c r="AQ16" s="560"/>
      <c r="AR16" s="560"/>
      <c r="AS16" s="560"/>
      <c r="AT16" s="561"/>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545"/>
      <c r="C17" s="545"/>
      <c r="D17" s="546"/>
      <c r="E17" s="538"/>
      <c r="F17" s="539"/>
      <c r="G17" s="539"/>
      <c r="H17" s="539"/>
      <c r="I17" s="539"/>
      <c r="J17" s="507"/>
      <c r="K17" s="508"/>
      <c r="L17" s="508"/>
      <c r="M17" s="508"/>
      <c r="N17" s="508"/>
      <c r="O17" s="509"/>
      <c r="P17" s="507"/>
      <c r="Q17" s="508"/>
      <c r="R17" s="508"/>
      <c r="S17" s="508"/>
      <c r="T17" s="508"/>
      <c r="U17" s="509"/>
      <c r="V17" s="525"/>
      <c r="W17" s="526"/>
      <c r="X17" s="526"/>
      <c r="Y17" s="526"/>
      <c r="Z17" s="526"/>
      <c r="AA17" s="527"/>
      <c r="AB17" s="525"/>
      <c r="AC17" s="526"/>
      <c r="AD17" s="526"/>
      <c r="AE17" s="526"/>
      <c r="AF17" s="526"/>
      <c r="AG17" s="527"/>
      <c r="AH17" s="516"/>
      <c r="AI17" s="517"/>
      <c r="AJ17" s="517"/>
      <c r="AK17" s="517"/>
      <c r="AL17" s="517"/>
      <c r="AM17" s="518"/>
      <c r="AN17" s="67"/>
      <c r="AO17" s="559"/>
      <c r="AP17" s="560"/>
      <c r="AQ17" s="560"/>
      <c r="AR17" s="560"/>
      <c r="AS17" s="560"/>
      <c r="AT17" s="561"/>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545"/>
      <c r="C18" s="545"/>
      <c r="D18" s="546"/>
      <c r="E18" s="538"/>
      <c r="F18" s="539"/>
      <c r="G18" s="539"/>
      <c r="H18" s="539"/>
      <c r="I18" s="539"/>
      <c r="J18" s="507" t="str">
        <f>IF(AND('Mapa final'!$K$45="Alta",'Mapa final'!$O$45="Leve"),CONCATENATE("R",'Mapa final'!$A$45),"")</f>
        <v/>
      </c>
      <c r="K18" s="508"/>
      <c r="L18" s="508" t="str">
        <f>IF(AND('Mapa final'!$K$51="Alta",'Mapa final'!$O$51="Leve"),CONCATENATE("R",'Mapa final'!$A$51),"")</f>
        <v/>
      </c>
      <c r="M18" s="508"/>
      <c r="N18" s="508" t="str">
        <f>IF(AND('Mapa final'!$K$57="Alta",'Mapa final'!$O$57="Leve"),CONCATENATE("R",'Mapa final'!$A$57),"")</f>
        <v/>
      </c>
      <c r="O18" s="509"/>
      <c r="P18" s="507" t="str">
        <f>IF(AND('Mapa final'!$K$45="Alta",'Mapa final'!$O$45="Menor"),CONCATENATE("R",'Mapa final'!$A$45),"")</f>
        <v/>
      </c>
      <c r="Q18" s="508"/>
      <c r="R18" s="508" t="str">
        <f>IF(AND('Mapa final'!$K$51="Alta",'Mapa final'!$O$51="Menor"),CONCATENATE("R",'Mapa final'!$A$51),"")</f>
        <v/>
      </c>
      <c r="S18" s="508"/>
      <c r="T18" s="508" t="str">
        <f>IF(AND('Mapa final'!$K$57="Alta",'Mapa final'!$O$57="Menor"),CONCATENATE("R",'Mapa final'!$A$57),"")</f>
        <v/>
      </c>
      <c r="U18" s="509"/>
      <c r="V18" s="525" t="str">
        <f>IF(AND('Mapa final'!$K$45="Alta",'Mapa final'!$O$45="Moderado"),CONCATENATE("R",'Mapa final'!$A$45),"")</f>
        <v/>
      </c>
      <c r="W18" s="526"/>
      <c r="X18" s="526" t="str">
        <f>IF(AND('Mapa final'!$K$51="Alta",'Mapa final'!$O$51="Moderado"),CONCATENATE("R",'Mapa final'!$A$51),"")</f>
        <v/>
      </c>
      <c r="Y18" s="526"/>
      <c r="Z18" s="526" t="str">
        <f>IF(AND('Mapa final'!$K$57="Alta",'Mapa final'!$O$57="Moderado"),CONCATENATE("R",'Mapa final'!$A$57),"")</f>
        <v/>
      </c>
      <c r="AA18" s="527"/>
      <c r="AB18" s="525" t="str">
        <f>IF(AND('Mapa final'!$K$45="Alta",'Mapa final'!$O$45="Mayor"),CONCATENATE("R",'Mapa final'!$A$45),"")</f>
        <v/>
      </c>
      <c r="AC18" s="526"/>
      <c r="AD18" s="526" t="str">
        <f>IF(AND('Mapa final'!$K$51="Alta",'Mapa final'!$O$51="Mayor"),CONCATENATE("R",'Mapa final'!$A$51),"")</f>
        <v/>
      </c>
      <c r="AE18" s="526"/>
      <c r="AF18" s="526" t="str">
        <f>IF(AND('Mapa final'!$K$57="Alta",'Mapa final'!$O$57="Mayor"),CONCATENATE("R",'Mapa final'!$A$57),"")</f>
        <v/>
      </c>
      <c r="AG18" s="527"/>
      <c r="AH18" s="516" t="str">
        <f>IF(AND('Mapa final'!$K$45="Alta",'Mapa final'!$O$45="Catastrófico"),CONCATENATE("R",'Mapa final'!$A$45),"")</f>
        <v/>
      </c>
      <c r="AI18" s="517"/>
      <c r="AJ18" s="517" t="str">
        <f>IF(AND('Mapa final'!$K$51="Alta",'Mapa final'!$O$51="Catastrófico"),CONCATENATE("R",'Mapa final'!$A$51),"")</f>
        <v/>
      </c>
      <c r="AK18" s="517"/>
      <c r="AL18" s="517" t="str">
        <f>IF(AND('Mapa final'!$K$57="Alta",'Mapa final'!$O$57="Catastrófico"),CONCATENATE("R",'Mapa final'!$A$57),"")</f>
        <v/>
      </c>
      <c r="AM18" s="518"/>
      <c r="AN18" s="67"/>
      <c r="AO18" s="559"/>
      <c r="AP18" s="560"/>
      <c r="AQ18" s="560"/>
      <c r="AR18" s="560"/>
      <c r="AS18" s="560"/>
      <c r="AT18" s="561"/>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545"/>
      <c r="C19" s="545"/>
      <c r="D19" s="546"/>
      <c r="E19" s="538"/>
      <c r="F19" s="539"/>
      <c r="G19" s="539"/>
      <c r="H19" s="539"/>
      <c r="I19" s="539"/>
      <c r="J19" s="507"/>
      <c r="K19" s="508"/>
      <c r="L19" s="508"/>
      <c r="M19" s="508"/>
      <c r="N19" s="508"/>
      <c r="O19" s="509"/>
      <c r="P19" s="507"/>
      <c r="Q19" s="508"/>
      <c r="R19" s="508"/>
      <c r="S19" s="508"/>
      <c r="T19" s="508"/>
      <c r="U19" s="509"/>
      <c r="V19" s="525"/>
      <c r="W19" s="526"/>
      <c r="X19" s="526"/>
      <c r="Y19" s="526"/>
      <c r="Z19" s="526"/>
      <c r="AA19" s="527"/>
      <c r="AB19" s="525"/>
      <c r="AC19" s="526"/>
      <c r="AD19" s="526"/>
      <c r="AE19" s="526"/>
      <c r="AF19" s="526"/>
      <c r="AG19" s="527"/>
      <c r="AH19" s="516"/>
      <c r="AI19" s="517"/>
      <c r="AJ19" s="517"/>
      <c r="AK19" s="517"/>
      <c r="AL19" s="517"/>
      <c r="AM19" s="518"/>
      <c r="AN19" s="67"/>
      <c r="AO19" s="559"/>
      <c r="AP19" s="560"/>
      <c r="AQ19" s="560"/>
      <c r="AR19" s="560"/>
      <c r="AS19" s="560"/>
      <c r="AT19" s="561"/>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545"/>
      <c r="C20" s="545"/>
      <c r="D20" s="546"/>
      <c r="E20" s="538"/>
      <c r="F20" s="539"/>
      <c r="G20" s="539"/>
      <c r="H20" s="539"/>
      <c r="I20" s="539"/>
      <c r="J20" s="507" t="str">
        <f>IF(AND('Mapa final'!$K$63="Alta",'Mapa final'!$O$63="Leve"),CONCATENATE("R",'Mapa final'!$A$63),"")</f>
        <v/>
      </c>
      <c r="K20" s="508"/>
      <c r="L20" s="508" t="str">
        <f>IF(AND('Mapa final'!$K$69="Alta",'Mapa final'!$O$69="Leve"),CONCATENATE("R",'Mapa final'!$A$69),"")</f>
        <v/>
      </c>
      <c r="M20" s="508"/>
      <c r="N20" s="508" t="str">
        <f>IF(AND('Mapa final'!$K$75="Alta",'Mapa final'!$O$75="Leve"),CONCATENATE("R",'Mapa final'!$A$75),"")</f>
        <v/>
      </c>
      <c r="O20" s="509"/>
      <c r="P20" s="507" t="str">
        <f>IF(AND('Mapa final'!$K$63="Alta",'Mapa final'!$O$63="Menor"),CONCATENATE("R",'Mapa final'!$A$63),"")</f>
        <v/>
      </c>
      <c r="Q20" s="508"/>
      <c r="R20" s="508" t="str">
        <f>IF(AND('Mapa final'!$K$69="Alta",'Mapa final'!$O$69="Menor"),CONCATENATE("R",'Mapa final'!$A$69),"")</f>
        <v/>
      </c>
      <c r="S20" s="508"/>
      <c r="T20" s="508" t="str">
        <f>IF(AND('Mapa final'!$K$75="Alta",'Mapa final'!$O$75="Menor"),CONCATENATE("R",'Mapa final'!$A$75),"")</f>
        <v/>
      </c>
      <c r="U20" s="509"/>
      <c r="V20" s="525" t="str">
        <f>IF(AND('Mapa final'!$K$63="Alta",'Mapa final'!$O$63="Moderado"),CONCATENATE("R",'Mapa final'!$A$63),"")</f>
        <v/>
      </c>
      <c r="W20" s="526"/>
      <c r="X20" s="526" t="str">
        <f>IF(AND('Mapa final'!$K$69="Alta",'Mapa final'!$O$69="Moderado"),CONCATENATE("R",'Mapa final'!$A$69),"")</f>
        <v/>
      </c>
      <c r="Y20" s="526"/>
      <c r="Z20" s="526" t="str">
        <f>IF(AND('Mapa final'!$K$75="Alta",'Mapa final'!$O$75="Moderado"),CONCATENATE("R",'Mapa final'!$A$75),"")</f>
        <v/>
      </c>
      <c r="AA20" s="527"/>
      <c r="AB20" s="525" t="str">
        <f>IF(AND('Mapa final'!$K$63="Alta",'Mapa final'!$O$63="Mayor"),CONCATENATE("R",'Mapa final'!$A$63),"")</f>
        <v/>
      </c>
      <c r="AC20" s="526"/>
      <c r="AD20" s="526" t="str">
        <f>IF(AND('Mapa final'!$K$69="Alta",'Mapa final'!$O$69="Mayor"),CONCATENATE("R",'Mapa final'!$A$69),"")</f>
        <v/>
      </c>
      <c r="AE20" s="526"/>
      <c r="AF20" s="526" t="str">
        <f>IF(AND('Mapa final'!$K$75="Alta",'Mapa final'!$O$75="Mayor"),CONCATENATE("R",'Mapa final'!$A$75),"")</f>
        <v/>
      </c>
      <c r="AG20" s="527"/>
      <c r="AH20" s="516" t="str">
        <f>IF(AND('Mapa final'!$K$63="Alta",'Mapa final'!$O$63="Catastrófico"),CONCATENATE("R",'Mapa final'!$A$63),"")</f>
        <v/>
      </c>
      <c r="AI20" s="517"/>
      <c r="AJ20" s="517" t="str">
        <f>IF(AND('Mapa final'!$K$69="Alta",'Mapa final'!$O$69="Catastrófico"),CONCATENATE("R",'Mapa final'!$A$69),"")</f>
        <v/>
      </c>
      <c r="AK20" s="517"/>
      <c r="AL20" s="517" t="str">
        <f>IF(AND('Mapa final'!$K$75="Alta",'Mapa final'!$O$75="Catastrófico"),CONCATENATE("R",'Mapa final'!$A$75),"")</f>
        <v/>
      </c>
      <c r="AM20" s="518"/>
      <c r="AN20" s="67"/>
      <c r="AO20" s="559"/>
      <c r="AP20" s="560"/>
      <c r="AQ20" s="560"/>
      <c r="AR20" s="560"/>
      <c r="AS20" s="560"/>
      <c r="AT20" s="561"/>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545"/>
      <c r="C21" s="545"/>
      <c r="D21" s="546"/>
      <c r="E21" s="541"/>
      <c r="F21" s="542"/>
      <c r="G21" s="542"/>
      <c r="H21" s="542"/>
      <c r="I21" s="542"/>
      <c r="J21" s="510"/>
      <c r="K21" s="511"/>
      <c r="L21" s="511"/>
      <c r="M21" s="511"/>
      <c r="N21" s="511"/>
      <c r="O21" s="512"/>
      <c r="P21" s="510"/>
      <c r="Q21" s="511"/>
      <c r="R21" s="511"/>
      <c r="S21" s="511"/>
      <c r="T21" s="511"/>
      <c r="U21" s="512"/>
      <c r="V21" s="528"/>
      <c r="W21" s="529"/>
      <c r="X21" s="529"/>
      <c r="Y21" s="529"/>
      <c r="Z21" s="529"/>
      <c r="AA21" s="530"/>
      <c r="AB21" s="528"/>
      <c r="AC21" s="529"/>
      <c r="AD21" s="529"/>
      <c r="AE21" s="529"/>
      <c r="AF21" s="529"/>
      <c r="AG21" s="530"/>
      <c r="AH21" s="519"/>
      <c r="AI21" s="520"/>
      <c r="AJ21" s="520"/>
      <c r="AK21" s="520"/>
      <c r="AL21" s="520"/>
      <c r="AM21" s="521"/>
      <c r="AN21" s="67"/>
      <c r="AO21" s="562"/>
      <c r="AP21" s="563"/>
      <c r="AQ21" s="563"/>
      <c r="AR21" s="563"/>
      <c r="AS21" s="563"/>
      <c r="AT21" s="564"/>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545"/>
      <c r="C22" s="545"/>
      <c r="D22" s="546"/>
      <c r="E22" s="535" t="s">
        <v>111</v>
      </c>
      <c r="F22" s="536"/>
      <c r="G22" s="536"/>
      <c r="H22" s="536"/>
      <c r="I22" s="537"/>
      <c r="J22" s="513" t="str">
        <f>IF(AND('Mapa final'!$K$10="Media",'Mapa final'!$O$10="Leve"),CONCATENATE("R",'Mapa final'!$A$10),"")</f>
        <v/>
      </c>
      <c r="K22" s="514"/>
      <c r="L22" s="514" t="str">
        <f>IF(AND('Mapa final'!$K$15="Media",'Mapa final'!$O$15="Leve"),CONCATENATE("R",'Mapa final'!$A$15),"")</f>
        <v/>
      </c>
      <c r="M22" s="514"/>
      <c r="N22" s="514" t="str">
        <f>IF(AND('Mapa final'!$K$21="Media",'Mapa final'!$O$21="Leve"),CONCATENATE("R",'Mapa final'!$A$21),"")</f>
        <v/>
      </c>
      <c r="O22" s="515"/>
      <c r="P22" s="513" t="str">
        <f>IF(AND('Mapa final'!$K$10="Media",'Mapa final'!$O$10="Menor"),CONCATENATE("R",'Mapa final'!$A$10),"")</f>
        <v/>
      </c>
      <c r="Q22" s="514"/>
      <c r="R22" s="514" t="str">
        <f>IF(AND('Mapa final'!$K$15="Media",'Mapa final'!$O$15="Menor"),CONCATENATE("R",'Mapa final'!$A$15),"")</f>
        <v/>
      </c>
      <c r="S22" s="514"/>
      <c r="T22" s="514" t="str">
        <f>IF(AND('Mapa final'!$K$21="Media",'Mapa final'!$O$21="Menor"),CONCATENATE("R",'Mapa final'!$A$21),"")</f>
        <v/>
      </c>
      <c r="U22" s="515"/>
      <c r="V22" s="513" t="str">
        <f>IF(AND('Mapa final'!$K$10="Media",'Mapa final'!$O$10="Moderado"),CONCATENATE("R",'Mapa final'!$A$10),"")</f>
        <v/>
      </c>
      <c r="W22" s="514"/>
      <c r="X22" s="514" t="str">
        <f>IF(AND('Mapa final'!$K$15="Media",'Mapa final'!$O$15="Moderado"),CONCATENATE("R",'Mapa final'!$A$15),"")</f>
        <v/>
      </c>
      <c r="Y22" s="514"/>
      <c r="Z22" s="514" t="str">
        <f>IF(AND('Mapa final'!$K$21="Media",'Mapa final'!$O$21="Moderado"),CONCATENATE("R",'Mapa final'!$A$21),"")</f>
        <v/>
      </c>
      <c r="AA22" s="515"/>
      <c r="AB22" s="531" t="str">
        <f>IF(AND('Mapa final'!$K$10="Media",'Mapa final'!$O$10="Mayor"),CONCATENATE("R",'Mapa final'!$A$10),"")</f>
        <v/>
      </c>
      <c r="AC22" s="532"/>
      <c r="AD22" s="532" t="str">
        <f>IF(AND('Mapa final'!$K$15="Media",'Mapa final'!$O$15="Mayor"),CONCATENATE("R",'Mapa final'!$A$15),"")</f>
        <v/>
      </c>
      <c r="AE22" s="532"/>
      <c r="AF22" s="532" t="str">
        <f>IF(AND('Mapa final'!$K$21="Media",'Mapa final'!$O$21="Mayor"),CONCATENATE("R",'Mapa final'!$A$21),"")</f>
        <v/>
      </c>
      <c r="AG22" s="533"/>
      <c r="AH22" s="522" t="str">
        <f>IF(AND('Mapa final'!$K$10="Media",'Mapa final'!$O$10="Catastrófico"),CONCATENATE("R",'Mapa final'!$A$10),"")</f>
        <v/>
      </c>
      <c r="AI22" s="523"/>
      <c r="AJ22" s="523" t="str">
        <f>IF(AND('Mapa final'!$K$15="Media",'Mapa final'!$O$15="Catastrófico"),CONCATENATE("R",'Mapa final'!$A$15),"")</f>
        <v/>
      </c>
      <c r="AK22" s="523"/>
      <c r="AL22" s="523" t="str">
        <f>IF(AND('Mapa final'!$K$21="Media",'Mapa final'!$O$21="Catastrófico"),CONCATENATE("R",'Mapa final'!$A$21),"")</f>
        <v/>
      </c>
      <c r="AM22" s="524"/>
      <c r="AN22" s="67"/>
      <c r="AO22" s="565" t="s">
        <v>79</v>
      </c>
      <c r="AP22" s="566"/>
      <c r="AQ22" s="566"/>
      <c r="AR22" s="566"/>
      <c r="AS22" s="566"/>
      <c r="AT22" s="5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545"/>
      <c r="C23" s="545"/>
      <c r="D23" s="546"/>
      <c r="E23" s="538"/>
      <c r="F23" s="539"/>
      <c r="G23" s="539"/>
      <c r="H23" s="539"/>
      <c r="I23" s="540"/>
      <c r="J23" s="507"/>
      <c r="K23" s="508"/>
      <c r="L23" s="508"/>
      <c r="M23" s="508"/>
      <c r="N23" s="508"/>
      <c r="O23" s="509"/>
      <c r="P23" s="507"/>
      <c r="Q23" s="508"/>
      <c r="R23" s="508"/>
      <c r="S23" s="508"/>
      <c r="T23" s="508"/>
      <c r="U23" s="509"/>
      <c r="V23" s="507"/>
      <c r="W23" s="508"/>
      <c r="X23" s="508"/>
      <c r="Y23" s="508"/>
      <c r="Z23" s="508"/>
      <c r="AA23" s="509"/>
      <c r="AB23" s="525"/>
      <c r="AC23" s="526"/>
      <c r="AD23" s="526"/>
      <c r="AE23" s="526"/>
      <c r="AF23" s="526"/>
      <c r="AG23" s="527"/>
      <c r="AH23" s="516"/>
      <c r="AI23" s="517"/>
      <c r="AJ23" s="517"/>
      <c r="AK23" s="517"/>
      <c r="AL23" s="517"/>
      <c r="AM23" s="518"/>
      <c r="AN23" s="67"/>
      <c r="AO23" s="568"/>
      <c r="AP23" s="569"/>
      <c r="AQ23" s="569"/>
      <c r="AR23" s="569"/>
      <c r="AS23" s="569"/>
      <c r="AT23" s="570"/>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545"/>
      <c r="C24" s="545"/>
      <c r="D24" s="546"/>
      <c r="E24" s="538"/>
      <c r="F24" s="539"/>
      <c r="G24" s="539"/>
      <c r="H24" s="539"/>
      <c r="I24" s="540"/>
      <c r="J24" s="507" t="str">
        <f>IF(AND('Mapa final'!$K$27="Media",'Mapa final'!$O$27="Leve"),CONCATENATE("R",'Mapa final'!$A$27),"")</f>
        <v/>
      </c>
      <c r="K24" s="508"/>
      <c r="L24" s="508" t="str">
        <f>IF(AND('Mapa final'!$K$33="Media",'Mapa final'!$O$33="Leve"),CONCATENATE("R",'Mapa final'!$A$33),"")</f>
        <v/>
      </c>
      <c r="M24" s="508"/>
      <c r="N24" s="508" t="str">
        <f>IF(AND('Mapa final'!$K$39="Media",'Mapa final'!$O$39="Leve"),CONCATENATE("R",'Mapa final'!$A$39),"")</f>
        <v/>
      </c>
      <c r="O24" s="509"/>
      <c r="P24" s="507" t="str">
        <f>IF(AND('Mapa final'!$K$27="Media",'Mapa final'!$O$27="Menor"),CONCATENATE("R",'Mapa final'!$A$27),"")</f>
        <v/>
      </c>
      <c r="Q24" s="508"/>
      <c r="R24" s="508" t="str">
        <f>IF(AND('Mapa final'!$K$33="Media",'Mapa final'!$O$33="Menor"),CONCATENATE("R",'Mapa final'!$A$33),"")</f>
        <v/>
      </c>
      <c r="S24" s="508"/>
      <c r="T24" s="508" t="str">
        <f>IF(AND('Mapa final'!$K$39="Media",'Mapa final'!$O$39="Menor"),CONCATENATE("R",'Mapa final'!$A$39),"")</f>
        <v/>
      </c>
      <c r="U24" s="509"/>
      <c r="V24" s="507" t="str">
        <f>IF(AND('Mapa final'!$K$27="Media",'Mapa final'!$O$27="Moderado"),CONCATENATE("R",'Mapa final'!$A$27),"")</f>
        <v/>
      </c>
      <c r="W24" s="508"/>
      <c r="X24" s="508" t="str">
        <f>IF(AND('Mapa final'!$K$33="Media",'Mapa final'!$O$33="Moderado"),CONCATENATE("R",'Mapa final'!$A$33),"")</f>
        <v/>
      </c>
      <c r="Y24" s="508"/>
      <c r="Z24" s="508" t="str">
        <f>IF(AND('Mapa final'!$K$39="Media",'Mapa final'!$O$39="Moderado"),CONCATENATE("R",'Mapa final'!$A$39),"")</f>
        <v/>
      </c>
      <c r="AA24" s="509"/>
      <c r="AB24" s="525" t="str">
        <f>IF(AND('Mapa final'!$K$27="Media",'Mapa final'!$O$27="Mayor"),CONCATENATE("R",'Mapa final'!$A$27),"")</f>
        <v/>
      </c>
      <c r="AC24" s="526"/>
      <c r="AD24" s="526" t="str">
        <f>IF(AND('Mapa final'!$K$33="Media",'Mapa final'!$O$33="Mayor"),CONCATENATE("R",'Mapa final'!$A$33),"")</f>
        <v/>
      </c>
      <c r="AE24" s="526"/>
      <c r="AF24" s="526" t="str">
        <f>IF(AND('Mapa final'!$K$39="Media",'Mapa final'!$O$39="Mayor"),CONCATENATE("R",'Mapa final'!$A$39),"")</f>
        <v/>
      </c>
      <c r="AG24" s="527"/>
      <c r="AH24" s="516" t="str">
        <f>IF(AND('Mapa final'!$K$27="Media",'Mapa final'!$O$27="Catastrófico"),CONCATENATE("R",'Mapa final'!$A$27),"")</f>
        <v/>
      </c>
      <c r="AI24" s="517"/>
      <c r="AJ24" s="517" t="str">
        <f>IF(AND('Mapa final'!$K$33="Media",'Mapa final'!$O$33="Catastrófico"),CONCATENATE("R",'Mapa final'!$A$33),"")</f>
        <v/>
      </c>
      <c r="AK24" s="517"/>
      <c r="AL24" s="517" t="str">
        <f>IF(AND('Mapa final'!$K$39="Media",'Mapa final'!$O$39="Catastrófico"),CONCATENATE("R",'Mapa final'!$A$39),"")</f>
        <v/>
      </c>
      <c r="AM24" s="518"/>
      <c r="AN24" s="67"/>
      <c r="AO24" s="568"/>
      <c r="AP24" s="569"/>
      <c r="AQ24" s="569"/>
      <c r="AR24" s="569"/>
      <c r="AS24" s="569"/>
      <c r="AT24" s="570"/>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545"/>
      <c r="C25" s="545"/>
      <c r="D25" s="546"/>
      <c r="E25" s="538"/>
      <c r="F25" s="539"/>
      <c r="G25" s="539"/>
      <c r="H25" s="539"/>
      <c r="I25" s="540"/>
      <c r="J25" s="507"/>
      <c r="K25" s="508"/>
      <c r="L25" s="508"/>
      <c r="M25" s="508"/>
      <c r="N25" s="508"/>
      <c r="O25" s="509"/>
      <c r="P25" s="507"/>
      <c r="Q25" s="508"/>
      <c r="R25" s="508"/>
      <c r="S25" s="508"/>
      <c r="T25" s="508"/>
      <c r="U25" s="509"/>
      <c r="V25" s="507"/>
      <c r="W25" s="508"/>
      <c r="X25" s="508"/>
      <c r="Y25" s="508"/>
      <c r="Z25" s="508"/>
      <c r="AA25" s="509"/>
      <c r="AB25" s="525"/>
      <c r="AC25" s="526"/>
      <c r="AD25" s="526"/>
      <c r="AE25" s="526"/>
      <c r="AF25" s="526"/>
      <c r="AG25" s="527"/>
      <c r="AH25" s="516"/>
      <c r="AI25" s="517"/>
      <c r="AJ25" s="517"/>
      <c r="AK25" s="517"/>
      <c r="AL25" s="517"/>
      <c r="AM25" s="518"/>
      <c r="AN25" s="67"/>
      <c r="AO25" s="568"/>
      <c r="AP25" s="569"/>
      <c r="AQ25" s="569"/>
      <c r="AR25" s="569"/>
      <c r="AS25" s="569"/>
      <c r="AT25" s="570"/>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545"/>
      <c r="C26" s="545"/>
      <c r="D26" s="546"/>
      <c r="E26" s="538"/>
      <c r="F26" s="539"/>
      <c r="G26" s="539"/>
      <c r="H26" s="539"/>
      <c r="I26" s="540"/>
      <c r="J26" s="507" t="str">
        <f>IF(AND('Mapa final'!$K$45="Media",'Mapa final'!$O$45="Leve"),CONCATENATE("R",'Mapa final'!$A$45),"")</f>
        <v/>
      </c>
      <c r="K26" s="508"/>
      <c r="L26" s="508" t="str">
        <f>IF(AND('Mapa final'!$K$51="Media",'Mapa final'!$O$51="Leve"),CONCATENATE("R",'Mapa final'!$A$51),"")</f>
        <v/>
      </c>
      <c r="M26" s="508"/>
      <c r="N26" s="508" t="str">
        <f>IF(AND('Mapa final'!$K$57="Media",'Mapa final'!$O$57="Leve"),CONCATENATE("R",'Mapa final'!$A$57),"")</f>
        <v/>
      </c>
      <c r="O26" s="509"/>
      <c r="P26" s="507" t="str">
        <f>IF(AND('Mapa final'!$K$45="Media",'Mapa final'!$O$45="Menor"),CONCATENATE("R",'Mapa final'!$A$45),"")</f>
        <v/>
      </c>
      <c r="Q26" s="508"/>
      <c r="R26" s="508" t="str">
        <f>IF(AND('Mapa final'!$K$51="Media",'Mapa final'!$O$51="Menor"),CONCATENATE("R",'Mapa final'!$A$51),"")</f>
        <v/>
      </c>
      <c r="S26" s="508"/>
      <c r="T26" s="508" t="str">
        <f>IF(AND('Mapa final'!$K$57="Media",'Mapa final'!$O$57="Menor"),CONCATENATE("R",'Mapa final'!$A$57),"")</f>
        <v/>
      </c>
      <c r="U26" s="509"/>
      <c r="V26" s="507" t="str">
        <f>IF(AND('Mapa final'!$K$45="Media",'Mapa final'!$O$45="Moderado"),CONCATENATE("R",'Mapa final'!$A$45),"")</f>
        <v/>
      </c>
      <c r="W26" s="508"/>
      <c r="X26" s="508" t="str">
        <f>IF(AND('Mapa final'!$K$51="Media",'Mapa final'!$O$51="Moderado"),CONCATENATE("R",'Mapa final'!$A$51),"")</f>
        <v/>
      </c>
      <c r="Y26" s="508"/>
      <c r="Z26" s="508" t="str">
        <f>IF(AND('Mapa final'!$K$57="Media",'Mapa final'!$O$57="Moderado"),CONCATENATE("R",'Mapa final'!$A$57),"")</f>
        <v/>
      </c>
      <c r="AA26" s="509"/>
      <c r="AB26" s="525" t="str">
        <f>IF(AND('Mapa final'!$K$45="Media",'Mapa final'!$O$45="Mayor"),CONCATENATE("R",'Mapa final'!$A$45),"")</f>
        <v/>
      </c>
      <c r="AC26" s="526"/>
      <c r="AD26" s="526" t="str">
        <f>IF(AND('Mapa final'!$K$51="Media",'Mapa final'!$O$51="Mayor"),CONCATENATE("R",'Mapa final'!$A$51),"")</f>
        <v/>
      </c>
      <c r="AE26" s="526"/>
      <c r="AF26" s="526" t="str">
        <f>IF(AND('Mapa final'!$K$57="Media",'Mapa final'!$O$57="Mayor"),CONCATENATE("R",'Mapa final'!$A$57),"")</f>
        <v/>
      </c>
      <c r="AG26" s="527"/>
      <c r="AH26" s="516" t="str">
        <f>IF(AND('Mapa final'!$K$45="Media",'Mapa final'!$O$45="Catastrófico"),CONCATENATE("R",'Mapa final'!$A$45),"")</f>
        <v/>
      </c>
      <c r="AI26" s="517"/>
      <c r="AJ26" s="517" t="str">
        <f>IF(AND('Mapa final'!$K$51="Media",'Mapa final'!$O$51="Catastrófico"),CONCATENATE("R",'Mapa final'!$A$51),"")</f>
        <v/>
      </c>
      <c r="AK26" s="517"/>
      <c r="AL26" s="517" t="str">
        <f>IF(AND('Mapa final'!$K$57="Media",'Mapa final'!$O$57="Catastrófico"),CONCATENATE("R",'Mapa final'!$A$57),"")</f>
        <v/>
      </c>
      <c r="AM26" s="518"/>
      <c r="AN26" s="67"/>
      <c r="AO26" s="568"/>
      <c r="AP26" s="569"/>
      <c r="AQ26" s="569"/>
      <c r="AR26" s="569"/>
      <c r="AS26" s="569"/>
      <c r="AT26" s="570"/>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545"/>
      <c r="C27" s="545"/>
      <c r="D27" s="546"/>
      <c r="E27" s="538"/>
      <c r="F27" s="539"/>
      <c r="G27" s="539"/>
      <c r="H27" s="539"/>
      <c r="I27" s="540"/>
      <c r="J27" s="507"/>
      <c r="K27" s="508"/>
      <c r="L27" s="508"/>
      <c r="M27" s="508"/>
      <c r="N27" s="508"/>
      <c r="O27" s="509"/>
      <c r="P27" s="507"/>
      <c r="Q27" s="508"/>
      <c r="R27" s="508"/>
      <c r="S27" s="508"/>
      <c r="T27" s="508"/>
      <c r="U27" s="509"/>
      <c r="V27" s="507"/>
      <c r="W27" s="508"/>
      <c r="X27" s="508"/>
      <c r="Y27" s="508"/>
      <c r="Z27" s="508"/>
      <c r="AA27" s="509"/>
      <c r="AB27" s="525"/>
      <c r="AC27" s="526"/>
      <c r="AD27" s="526"/>
      <c r="AE27" s="526"/>
      <c r="AF27" s="526"/>
      <c r="AG27" s="527"/>
      <c r="AH27" s="516"/>
      <c r="AI27" s="517"/>
      <c r="AJ27" s="517"/>
      <c r="AK27" s="517"/>
      <c r="AL27" s="517"/>
      <c r="AM27" s="518"/>
      <c r="AN27" s="67"/>
      <c r="AO27" s="568"/>
      <c r="AP27" s="569"/>
      <c r="AQ27" s="569"/>
      <c r="AR27" s="569"/>
      <c r="AS27" s="569"/>
      <c r="AT27" s="570"/>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545"/>
      <c r="C28" s="545"/>
      <c r="D28" s="546"/>
      <c r="E28" s="538"/>
      <c r="F28" s="539"/>
      <c r="G28" s="539"/>
      <c r="H28" s="539"/>
      <c r="I28" s="540"/>
      <c r="J28" s="507" t="str">
        <f>IF(AND('Mapa final'!$K$63="Media",'Mapa final'!$O$63="Leve"),CONCATENATE("R",'Mapa final'!$A$63),"")</f>
        <v/>
      </c>
      <c r="K28" s="508"/>
      <c r="L28" s="508" t="str">
        <f>IF(AND('Mapa final'!$K$69="Media",'Mapa final'!$O$69="Leve"),CONCATENATE("R",'Mapa final'!$A$69),"")</f>
        <v/>
      </c>
      <c r="M28" s="508"/>
      <c r="N28" s="508" t="str">
        <f>IF(AND('Mapa final'!$K$75="Media",'Mapa final'!$O$75="Leve"),CONCATENATE("R",'Mapa final'!$A$75),"")</f>
        <v/>
      </c>
      <c r="O28" s="509"/>
      <c r="P28" s="507" t="str">
        <f>IF(AND('Mapa final'!$K$63="Media",'Mapa final'!$O$63="Menor"),CONCATENATE("R",'Mapa final'!$A$63),"")</f>
        <v/>
      </c>
      <c r="Q28" s="508"/>
      <c r="R28" s="508" t="str">
        <f>IF(AND('Mapa final'!$K$69="Media",'Mapa final'!$O$69="Menor"),CONCATENATE("R",'Mapa final'!$A$69),"")</f>
        <v/>
      </c>
      <c r="S28" s="508"/>
      <c r="T28" s="508" t="str">
        <f>IF(AND('Mapa final'!$K$75="Media",'Mapa final'!$O$75="Menor"),CONCATENATE("R",'Mapa final'!$A$75),"")</f>
        <v/>
      </c>
      <c r="U28" s="509"/>
      <c r="V28" s="507" t="str">
        <f>IF(AND('Mapa final'!$K$63="Media",'Mapa final'!$O$63="Moderado"),CONCATENATE("R",'Mapa final'!$A$63),"")</f>
        <v/>
      </c>
      <c r="W28" s="508"/>
      <c r="X28" s="508" t="str">
        <f>IF(AND('Mapa final'!$K$69="Media",'Mapa final'!$O$69="Moderado"),CONCATENATE("R",'Mapa final'!$A$69),"")</f>
        <v/>
      </c>
      <c r="Y28" s="508"/>
      <c r="Z28" s="508" t="str">
        <f>IF(AND('Mapa final'!$K$75="Media",'Mapa final'!$O$75="Moderado"),CONCATENATE("R",'Mapa final'!$A$75),"")</f>
        <v/>
      </c>
      <c r="AA28" s="509"/>
      <c r="AB28" s="525" t="str">
        <f>IF(AND('Mapa final'!$K$63="Media",'Mapa final'!$O$63="Mayor"),CONCATENATE("R",'Mapa final'!$A$63),"")</f>
        <v/>
      </c>
      <c r="AC28" s="526"/>
      <c r="AD28" s="526" t="str">
        <f>IF(AND('Mapa final'!$K$69="Media",'Mapa final'!$O$69="Mayor"),CONCATENATE("R",'Mapa final'!$A$69),"")</f>
        <v/>
      </c>
      <c r="AE28" s="526"/>
      <c r="AF28" s="526" t="str">
        <f>IF(AND('Mapa final'!$K$75="Media",'Mapa final'!$O$75="Mayor"),CONCATENATE("R",'Mapa final'!$A$75),"")</f>
        <v/>
      </c>
      <c r="AG28" s="527"/>
      <c r="AH28" s="516" t="str">
        <f>IF(AND('Mapa final'!$K$63="Media",'Mapa final'!$O$63="Catastrófico"),CONCATENATE("R",'Mapa final'!$A$63),"")</f>
        <v/>
      </c>
      <c r="AI28" s="517"/>
      <c r="AJ28" s="517" t="str">
        <f>IF(AND('Mapa final'!$K$69="Media",'Mapa final'!$O$69="Catastrófico"),CONCATENATE("R",'Mapa final'!$A$69),"")</f>
        <v/>
      </c>
      <c r="AK28" s="517"/>
      <c r="AL28" s="517" t="str">
        <f>IF(AND('Mapa final'!$K$75="Media",'Mapa final'!$O$75="Catastrófico"),CONCATENATE("R",'Mapa final'!$A$75),"")</f>
        <v/>
      </c>
      <c r="AM28" s="518"/>
      <c r="AN28" s="67"/>
      <c r="AO28" s="568"/>
      <c r="AP28" s="569"/>
      <c r="AQ28" s="569"/>
      <c r="AR28" s="569"/>
      <c r="AS28" s="569"/>
      <c r="AT28" s="570"/>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545"/>
      <c r="C29" s="545"/>
      <c r="D29" s="546"/>
      <c r="E29" s="541"/>
      <c r="F29" s="542"/>
      <c r="G29" s="542"/>
      <c r="H29" s="542"/>
      <c r="I29" s="543"/>
      <c r="J29" s="507"/>
      <c r="K29" s="508"/>
      <c r="L29" s="508"/>
      <c r="M29" s="508"/>
      <c r="N29" s="508"/>
      <c r="O29" s="509"/>
      <c r="P29" s="510"/>
      <c r="Q29" s="511"/>
      <c r="R29" s="511"/>
      <c r="S29" s="511"/>
      <c r="T29" s="511"/>
      <c r="U29" s="512"/>
      <c r="V29" s="510"/>
      <c r="W29" s="511"/>
      <c r="X29" s="511"/>
      <c r="Y29" s="511"/>
      <c r="Z29" s="511"/>
      <c r="AA29" s="512"/>
      <c r="AB29" s="528"/>
      <c r="AC29" s="529"/>
      <c r="AD29" s="529"/>
      <c r="AE29" s="529"/>
      <c r="AF29" s="529"/>
      <c r="AG29" s="530"/>
      <c r="AH29" s="519"/>
      <c r="AI29" s="520"/>
      <c r="AJ29" s="520"/>
      <c r="AK29" s="520"/>
      <c r="AL29" s="520"/>
      <c r="AM29" s="521"/>
      <c r="AN29" s="67"/>
      <c r="AO29" s="571"/>
      <c r="AP29" s="572"/>
      <c r="AQ29" s="572"/>
      <c r="AR29" s="572"/>
      <c r="AS29" s="572"/>
      <c r="AT29" s="573"/>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545"/>
      <c r="C30" s="545"/>
      <c r="D30" s="546"/>
      <c r="E30" s="535" t="s">
        <v>108</v>
      </c>
      <c r="F30" s="536"/>
      <c r="G30" s="536"/>
      <c r="H30" s="536"/>
      <c r="I30" s="536"/>
      <c r="J30" s="504" t="str">
        <f>IF(AND('Mapa final'!$K$10="Baja",'Mapa final'!$O$10="Leve"),CONCATENATE("R",'Mapa final'!$A$10),"")</f>
        <v/>
      </c>
      <c r="K30" s="505"/>
      <c r="L30" s="505" t="str">
        <f>IF(AND('Mapa final'!$K$15="Baja",'Mapa final'!$O$15="Leve"),CONCATENATE("R",'Mapa final'!$A$15),"")</f>
        <v/>
      </c>
      <c r="M30" s="505"/>
      <c r="N30" s="505" t="str">
        <f>IF(AND('Mapa final'!$K$21="Baja",'Mapa final'!$O$21="Leve"),CONCATENATE("R",'Mapa final'!$A$21),"")</f>
        <v/>
      </c>
      <c r="O30" s="506"/>
      <c r="P30" s="514" t="str">
        <f>IF(AND('Mapa final'!$K$10="Baja",'Mapa final'!$O$10="Menor"),CONCATENATE("R",'Mapa final'!$A$10),"")</f>
        <v/>
      </c>
      <c r="Q30" s="514"/>
      <c r="R30" s="514" t="str">
        <f>IF(AND('Mapa final'!$K$15="Baja",'Mapa final'!$O$15="Menor"),CONCATENATE("R",'Mapa final'!$A$15),"")</f>
        <v/>
      </c>
      <c r="S30" s="514"/>
      <c r="T30" s="514" t="str">
        <f>IF(AND('Mapa final'!$K$21="Baja",'Mapa final'!$O$21="Menor"),CONCATENATE("R",'Mapa final'!$A$21),"")</f>
        <v/>
      </c>
      <c r="U30" s="515"/>
      <c r="V30" s="513" t="str">
        <f>IF(AND('Mapa final'!$K$10="Baja",'Mapa final'!$O$10="Moderado"),CONCATENATE("R",'Mapa final'!$A$10),"")</f>
        <v/>
      </c>
      <c r="W30" s="514"/>
      <c r="X30" s="514" t="str">
        <f>IF(AND('Mapa final'!$K$15="Baja",'Mapa final'!$O$15="Moderado"),CONCATENATE("R",'Mapa final'!$A$15),"")</f>
        <v/>
      </c>
      <c r="Y30" s="514"/>
      <c r="Z30" s="514" t="str">
        <f>IF(AND('Mapa final'!$K$21="Baja",'Mapa final'!$O$21="Moderado"),CONCATENATE("R",'Mapa final'!$A$21),"")</f>
        <v/>
      </c>
      <c r="AA30" s="515"/>
      <c r="AB30" s="531" t="str">
        <f>IF(AND('Mapa final'!$K$10="Baja",'Mapa final'!$O$10="Mayor"),CONCATENATE("R",'Mapa final'!$A$10),"")</f>
        <v/>
      </c>
      <c r="AC30" s="532"/>
      <c r="AD30" s="532" t="str">
        <f>IF(AND('Mapa final'!$K$15="Baja",'Mapa final'!$O$15="Mayor"),CONCATENATE("R",'Mapa final'!$A$15),"")</f>
        <v/>
      </c>
      <c r="AE30" s="532"/>
      <c r="AF30" s="532" t="str">
        <f>IF(AND('Mapa final'!$K$21="Baja",'Mapa final'!$O$21="Mayor"),CONCATENATE("R",'Mapa final'!$A$21),"")</f>
        <v/>
      </c>
      <c r="AG30" s="533"/>
      <c r="AH30" s="522" t="str">
        <f>IF(AND('Mapa final'!$K$10="Baja",'Mapa final'!$O$10="Catastrófico"),CONCATENATE("R",'Mapa final'!$A$10),"")</f>
        <v/>
      </c>
      <c r="AI30" s="523"/>
      <c r="AJ30" s="523" t="str">
        <f>IF(AND('Mapa final'!$K$15="Baja",'Mapa final'!$O$15="Catastrófico"),CONCATENATE("R",'Mapa final'!$A$15),"")</f>
        <v/>
      </c>
      <c r="AK30" s="523"/>
      <c r="AL30" s="523" t="str">
        <f>IF(AND('Mapa final'!$K$21="Baja",'Mapa final'!$O$21="Catastrófico"),CONCATENATE("R",'Mapa final'!$A$21),"")</f>
        <v/>
      </c>
      <c r="AM30" s="524"/>
      <c r="AN30" s="67"/>
      <c r="AO30" s="574" t="s">
        <v>80</v>
      </c>
      <c r="AP30" s="575"/>
      <c r="AQ30" s="575"/>
      <c r="AR30" s="575"/>
      <c r="AS30" s="575"/>
      <c r="AT30" s="576"/>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545"/>
      <c r="C31" s="545"/>
      <c r="D31" s="546"/>
      <c r="E31" s="538"/>
      <c r="F31" s="539"/>
      <c r="G31" s="539"/>
      <c r="H31" s="539"/>
      <c r="I31" s="539"/>
      <c r="J31" s="498"/>
      <c r="K31" s="499"/>
      <c r="L31" s="499"/>
      <c r="M31" s="499"/>
      <c r="N31" s="499"/>
      <c r="O31" s="500"/>
      <c r="P31" s="508"/>
      <c r="Q31" s="508"/>
      <c r="R31" s="508"/>
      <c r="S31" s="508"/>
      <c r="T31" s="508"/>
      <c r="U31" s="509"/>
      <c r="V31" s="507"/>
      <c r="W31" s="508"/>
      <c r="X31" s="508"/>
      <c r="Y31" s="508"/>
      <c r="Z31" s="508"/>
      <c r="AA31" s="509"/>
      <c r="AB31" s="525"/>
      <c r="AC31" s="526"/>
      <c r="AD31" s="526"/>
      <c r="AE31" s="526"/>
      <c r="AF31" s="526"/>
      <c r="AG31" s="527"/>
      <c r="AH31" s="516"/>
      <c r="AI31" s="517"/>
      <c r="AJ31" s="517"/>
      <c r="AK31" s="517"/>
      <c r="AL31" s="517"/>
      <c r="AM31" s="518"/>
      <c r="AN31" s="67"/>
      <c r="AO31" s="577"/>
      <c r="AP31" s="578"/>
      <c r="AQ31" s="578"/>
      <c r="AR31" s="578"/>
      <c r="AS31" s="578"/>
      <c r="AT31" s="579"/>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545"/>
      <c r="C32" s="545"/>
      <c r="D32" s="546"/>
      <c r="E32" s="538"/>
      <c r="F32" s="539"/>
      <c r="G32" s="539"/>
      <c r="H32" s="539"/>
      <c r="I32" s="539"/>
      <c r="J32" s="498" t="str">
        <f>IF(AND('Mapa final'!$K$27="Baja",'Mapa final'!$O$27="Leve"),CONCATENATE("R",'Mapa final'!$A$27),"")</f>
        <v/>
      </c>
      <c r="K32" s="499"/>
      <c r="L32" s="499" t="str">
        <f>IF(AND('Mapa final'!$K$33="Baja",'Mapa final'!$O$33="Leve"),CONCATENATE("R",'Mapa final'!$A$33),"")</f>
        <v/>
      </c>
      <c r="M32" s="499"/>
      <c r="N32" s="499" t="str">
        <f>IF(AND('Mapa final'!$K$39="Baja",'Mapa final'!$O$39="Leve"),CONCATENATE("R",'Mapa final'!$A$39),"")</f>
        <v/>
      </c>
      <c r="O32" s="500"/>
      <c r="P32" s="508" t="str">
        <f>IF(AND('Mapa final'!$K$27="Baja",'Mapa final'!$O$27="Menor"),CONCATENATE("R",'Mapa final'!$A$27),"")</f>
        <v/>
      </c>
      <c r="Q32" s="508"/>
      <c r="R32" s="508" t="str">
        <f>IF(AND('Mapa final'!$K$33="Baja",'Mapa final'!$O$33="Menor"),CONCATENATE("R",'Mapa final'!$A$33),"")</f>
        <v/>
      </c>
      <c r="S32" s="508"/>
      <c r="T32" s="508" t="str">
        <f>IF(AND('Mapa final'!$K$39="Baja",'Mapa final'!$O$39="Menor"),CONCATENATE("R",'Mapa final'!$A$39),"")</f>
        <v/>
      </c>
      <c r="U32" s="509"/>
      <c r="V32" s="507" t="str">
        <f>IF(AND('Mapa final'!$K$27="Baja",'Mapa final'!$O$27="Moderado"),CONCATENATE("R",'Mapa final'!$A$27),"")</f>
        <v/>
      </c>
      <c r="W32" s="508"/>
      <c r="X32" s="508" t="str">
        <f>IF(AND('Mapa final'!$K$33="Baja",'Mapa final'!$O$33="Moderado"),CONCATENATE("R",'Mapa final'!$A$33),"")</f>
        <v/>
      </c>
      <c r="Y32" s="508"/>
      <c r="Z32" s="508" t="str">
        <f>IF(AND('Mapa final'!$K$39="Baja",'Mapa final'!$O$39="Moderado"),CONCATENATE("R",'Mapa final'!$A$39),"")</f>
        <v/>
      </c>
      <c r="AA32" s="509"/>
      <c r="AB32" s="525" t="str">
        <f>IF(AND('Mapa final'!$K$27="Baja",'Mapa final'!$O$27="Mayor"),CONCATENATE("R",'Mapa final'!$A$27),"")</f>
        <v/>
      </c>
      <c r="AC32" s="526"/>
      <c r="AD32" s="526" t="str">
        <f>IF(AND('Mapa final'!$K$33="Baja",'Mapa final'!$O$33="Mayor"),CONCATENATE("R",'Mapa final'!$A$33),"")</f>
        <v/>
      </c>
      <c r="AE32" s="526"/>
      <c r="AF32" s="526" t="str">
        <f>IF(AND('Mapa final'!$K$39="Baja",'Mapa final'!$O$39="Mayor"),CONCATENATE("R",'Mapa final'!$A$39),"")</f>
        <v/>
      </c>
      <c r="AG32" s="527"/>
      <c r="AH32" s="516" t="str">
        <f>IF(AND('Mapa final'!$K$27="Baja",'Mapa final'!$O$27="Catastrófico"),CONCATENATE("R",'Mapa final'!$A$27),"")</f>
        <v/>
      </c>
      <c r="AI32" s="517"/>
      <c r="AJ32" s="517" t="str">
        <f>IF(AND('Mapa final'!$K$33="Baja",'Mapa final'!$O$33="Catastrófico"),CONCATENATE("R",'Mapa final'!$A$33),"")</f>
        <v/>
      </c>
      <c r="AK32" s="517"/>
      <c r="AL32" s="517" t="str">
        <f>IF(AND('Mapa final'!$K$39="Baja",'Mapa final'!$O$39="Catastrófico"),CONCATENATE("R",'Mapa final'!$A$39),"")</f>
        <v/>
      </c>
      <c r="AM32" s="518"/>
      <c r="AN32" s="67"/>
      <c r="AO32" s="577"/>
      <c r="AP32" s="578"/>
      <c r="AQ32" s="578"/>
      <c r="AR32" s="578"/>
      <c r="AS32" s="578"/>
      <c r="AT32" s="579"/>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545"/>
      <c r="C33" s="545"/>
      <c r="D33" s="546"/>
      <c r="E33" s="538"/>
      <c r="F33" s="539"/>
      <c r="G33" s="539"/>
      <c r="H33" s="539"/>
      <c r="I33" s="539"/>
      <c r="J33" s="498"/>
      <c r="K33" s="499"/>
      <c r="L33" s="499"/>
      <c r="M33" s="499"/>
      <c r="N33" s="499"/>
      <c r="O33" s="500"/>
      <c r="P33" s="508"/>
      <c r="Q33" s="508"/>
      <c r="R33" s="508"/>
      <c r="S33" s="508"/>
      <c r="T33" s="508"/>
      <c r="U33" s="509"/>
      <c r="V33" s="507"/>
      <c r="W33" s="508"/>
      <c r="X33" s="508"/>
      <c r="Y33" s="508"/>
      <c r="Z33" s="508"/>
      <c r="AA33" s="509"/>
      <c r="AB33" s="525"/>
      <c r="AC33" s="526"/>
      <c r="AD33" s="526"/>
      <c r="AE33" s="526"/>
      <c r="AF33" s="526"/>
      <c r="AG33" s="527"/>
      <c r="AH33" s="516"/>
      <c r="AI33" s="517"/>
      <c r="AJ33" s="517"/>
      <c r="AK33" s="517"/>
      <c r="AL33" s="517"/>
      <c r="AM33" s="518"/>
      <c r="AN33" s="67"/>
      <c r="AO33" s="577"/>
      <c r="AP33" s="578"/>
      <c r="AQ33" s="578"/>
      <c r="AR33" s="578"/>
      <c r="AS33" s="578"/>
      <c r="AT33" s="579"/>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545"/>
      <c r="C34" s="545"/>
      <c r="D34" s="546"/>
      <c r="E34" s="538"/>
      <c r="F34" s="539"/>
      <c r="G34" s="539"/>
      <c r="H34" s="539"/>
      <c r="I34" s="539"/>
      <c r="J34" s="498" t="str">
        <f>IF(AND('Mapa final'!$K$45="Baja",'Mapa final'!$O$45="Leve"),CONCATENATE("R",'Mapa final'!$A$45),"")</f>
        <v/>
      </c>
      <c r="K34" s="499"/>
      <c r="L34" s="499" t="str">
        <f>IF(AND('Mapa final'!$K$51="Baja",'Mapa final'!$O$51="Leve"),CONCATENATE("R",'Mapa final'!$A$51),"")</f>
        <v/>
      </c>
      <c r="M34" s="499"/>
      <c r="N34" s="499" t="str">
        <f>IF(AND('Mapa final'!$K$57="Baja",'Mapa final'!$O$57="Leve"),CONCATENATE("R",'Mapa final'!$A$57),"")</f>
        <v/>
      </c>
      <c r="O34" s="500"/>
      <c r="P34" s="508" t="str">
        <f>IF(AND('Mapa final'!$K$45="Baja",'Mapa final'!$O$45="Menor"),CONCATENATE("R",'Mapa final'!$A$45),"")</f>
        <v/>
      </c>
      <c r="Q34" s="508"/>
      <c r="R34" s="508" t="str">
        <f>IF(AND('Mapa final'!$K$51="Baja",'Mapa final'!$O$51="Menor"),CONCATENATE("R",'Mapa final'!$A$51),"")</f>
        <v/>
      </c>
      <c r="S34" s="508"/>
      <c r="T34" s="508" t="str">
        <f>IF(AND('Mapa final'!$K$57="Baja",'Mapa final'!$O$57="Menor"),CONCATENATE("R",'Mapa final'!$A$57),"")</f>
        <v/>
      </c>
      <c r="U34" s="509"/>
      <c r="V34" s="507" t="str">
        <f>IF(AND('Mapa final'!$K$45="Baja",'Mapa final'!$O$45="Moderado"),CONCATENATE("R",'Mapa final'!$A$45),"")</f>
        <v/>
      </c>
      <c r="W34" s="508"/>
      <c r="X34" s="508" t="str">
        <f>IF(AND('Mapa final'!$K$51="Baja",'Mapa final'!$O$51="Moderado"),CONCATENATE("R",'Mapa final'!$A$51),"")</f>
        <v/>
      </c>
      <c r="Y34" s="508"/>
      <c r="Z34" s="508" t="str">
        <f>IF(AND('Mapa final'!$K$57="Baja",'Mapa final'!$O$57="Moderado"),CONCATENATE("R",'Mapa final'!$A$57),"")</f>
        <v/>
      </c>
      <c r="AA34" s="509"/>
      <c r="AB34" s="525" t="str">
        <f>IF(AND('Mapa final'!$K$45="Baja",'Mapa final'!$O$45="Mayor"),CONCATENATE("R",'Mapa final'!$A$45),"")</f>
        <v/>
      </c>
      <c r="AC34" s="526"/>
      <c r="AD34" s="526" t="str">
        <f>IF(AND('Mapa final'!$K$51="Baja",'Mapa final'!$O$51="Mayor"),CONCATENATE("R",'Mapa final'!$A$51),"")</f>
        <v/>
      </c>
      <c r="AE34" s="526"/>
      <c r="AF34" s="526" t="str">
        <f>IF(AND('Mapa final'!$K$57="Baja",'Mapa final'!$O$57="Mayor"),CONCATENATE("R",'Mapa final'!$A$57),"")</f>
        <v/>
      </c>
      <c r="AG34" s="527"/>
      <c r="AH34" s="516" t="str">
        <f>IF(AND('Mapa final'!$K$45="Baja",'Mapa final'!$O$45="Catastrófico"),CONCATENATE("R",'Mapa final'!$A$45),"")</f>
        <v/>
      </c>
      <c r="AI34" s="517"/>
      <c r="AJ34" s="517" t="str">
        <f>IF(AND('Mapa final'!$K$51="Baja",'Mapa final'!$O$51="Catastrófico"),CONCATENATE("R",'Mapa final'!$A$51),"")</f>
        <v/>
      </c>
      <c r="AK34" s="517"/>
      <c r="AL34" s="517" t="str">
        <f>IF(AND('Mapa final'!$K$57="Baja",'Mapa final'!$O$57="Catastrófico"),CONCATENATE("R",'Mapa final'!$A$57),"")</f>
        <v/>
      </c>
      <c r="AM34" s="518"/>
      <c r="AN34" s="67"/>
      <c r="AO34" s="577"/>
      <c r="AP34" s="578"/>
      <c r="AQ34" s="578"/>
      <c r="AR34" s="578"/>
      <c r="AS34" s="578"/>
      <c r="AT34" s="579"/>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545"/>
      <c r="C35" s="545"/>
      <c r="D35" s="546"/>
      <c r="E35" s="538"/>
      <c r="F35" s="539"/>
      <c r="G35" s="539"/>
      <c r="H35" s="539"/>
      <c r="I35" s="539"/>
      <c r="J35" s="498"/>
      <c r="K35" s="499"/>
      <c r="L35" s="499"/>
      <c r="M35" s="499"/>
      <c r="N35" s="499"/>
      <c r="O35" s="500"/>
      <c r="P35" s="508"/>
      <c r="Q35" s="508"/>
      <c r="R35" s="508"/>
      <c r="S35" s="508"/>
      <c r="T35" s="508"/>
      <c r="U35" s="509"/>
      <c r="V35" s="507"/>
      <c r="W35" s="508"/>
      <c r="X35" s="508"/>
      <c r="Y35" s="508"/>
      <c r="Z35" s="508"/>
      <c r="AA35" s="509"/>
      <c r="AB35" s="525"/>
      <c r="AC35" s="526"/>
      <c r="AD35" s="526"/>
      <c r="AE35" s="526"/>
      <c r="AF35" s="526"/>
      <c r="AG35" s="527"/>
      <c r="AH35" s="516"/>
      <c r="AI35" s="517"/>
      <c r="AJ35" s="517"/>
      <c r="AK35" s="517"/>
      <c r="AL35" s="517"/>
      <c r="AM35" s="518"/>
      <c r="AN35" s="67"/>
      <c r="AO35" s="577"/>
      <c r="AP35" s="578"/>
      <c r="AQ35" s="578"/>
      <c r="AR35" s="578"/>
      <c r="AS35" s="578"/>
      <c r="AT35" s="579"/>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545"/>
      <c r="C36" s="545"/>
      <c r="D36" s="546"/>
      <c r="E36" s="538"/>
      <c r="F36" s="539"/>
      <c r="G36" s="539"/>
      <c r="H36" s="539"/>
      <c r="I36" s="539"/>
      <c r="J36" s="498" t="str">
        <f>IF(AND('Mapa final'!$K$63="Baja",'Mapa final'!$O$63="Leve"),CONCATENATE("R",'Mapa final'!$A$63),"")</f>
        <v/>
      </c>
      <c r="K36" s="499"/>
      <c r="L36" s="499" t="str">
        <f>IF(AND('Mapa final'!$K$69="Baja",'Mapa final'!$O$69="Leve"),CONCATENATE("R",'Mapa final'!$A$69),"")</f>
        <v/>
      </c>
      <c r="M36" s="499"/>
      <c r="N36" s="499" t="str">
        <f>IF(AND('Mapa final'!$K$75="Baja",'Mapa final'!$O$75="Leve"),CONCATENATE("R",'Mapa final'!$A$75),"")</f>
        <v/>
      </c>
      <c r="O36" s="500"/>
      <c r="P36" s="508" t="str">
        <f>IF(AND('Mapa final'!$K$63="Baja",'Mapa final'!$O$63="Menor"),CONCATENATE("R",'Mapa final'!$A$63),"")</f>
        <v/>
      </c>
      <c r="Q36" s="508"/>
      <c r="R36" s="508" t="str">
        <f>IF(AND('Mapa final'!$K$69="Baja",'Mapa final'!$O$69="Menor"),CONCATENATE("R",'Mapa final'!$A$69),"")</f>
        <v/>
      </c>
      <c r="S36" s="508"/>
      <c r="T36" s="508" t="str">
        <f>IF(AND('Mapa final'!$K$75="Baja",'Mapa final'!$O$75="Menor"),CONCATENATE("R",'Mapa final'!$A$75),"")</f>
        <v/>
      </c>
      <c r="U36" s="509"/>
      <c r="V36" s="507" t="str">
        <f>IF(AND('Mapa final'!$K$63="Baja",'Mapa final'!$O$63="Moderado"),CONCATENATE("R",'Mapa final'!$A$63),"")</f>
        <v/>
      </c>
      <c r="W36" s="508"/>
      <c r="X36" s="508" t="str">
        <f>IF(AND('Mapa final'!$K$69="Baja",'Mapa final'!$O$69="Moderado"),CONCATENATE("R",'Mapa final'!$A$69),"")</f>
        <v/>
      </c>
      <c r="Y36" s="508"/>
      <c r="Z36" s="508" t="str">
        <f>IF(AND('Mapa final'!$K$75="Baja",'Mapa final'!$O$75="Moderado"),CONCATENATE("R",'Mapa final'!$A$75),"")</f>
        <v/>
      </c>
      <c r="AA36" s="509"/>
      <c r="AB36" s="525" t="str">
        <f>IF(AND('Mapa final'!$K$63="Baja",'Mapa final'!$O$63="Mayor"),CONCATENATE("R",'Mapa final'!$A$63),"")</f>
        <v/>
      </c>
      <c r="AC36" s="526"/>
      <c r="AD36" s="526" t="str">
        <f>IF(AND('Mapa final'!$K$69="Baja",'Mapa final'!$O$69="Mayor"),CONCATENATE("R",'Mapa final'!$A$69),"")</f>
        <v/>
      </c>
      <c r="AE36" s="526"/>
      <c r="AF36" s="526" t="str">
        <f>IF(AND('Mapa final'!$K$75="Baja",'Mapa final'!$O$75="Mayor"),CONCATENATE("R",'Mapa final'!$A$75),"")</f>
        <v/>
      </c>
      <c r="AG36" s="527"/>
      <c r="AH36" s="516" t="str">
        <f>IF(AND('Mapa final'!$K$63="Baja",'Mapa final'!$O$63="Catastrófico"),CONCATENATE("R",'Mapa final'!$A$63),"")</f>
        <v/>
      </c>
      <c r="AI36" s="517"/>
      <c r="AJ36" s="517" t="str">
        <f>IF(AND('Mapa final'!$K$69="Baja",'Mapa final'!$O$69="Catastrófico"),CONCATENATE("R",'Mapa final'!$A$69),"")</f>
        <v/>
      </c>
      <c r="AK36" s="517"/>
      <c r="AL36" s="517" t="str">
        <f>IF(AND('Mapa final'!$K$75="Baja",'Mapa final'!$O$75="Catastrófico"),CONCATENATE("R",'Mapa final'!$A$75),"")</f>
        <v/>
      </c>
      <c r="AM36" s="518"/>
      <c r="AN36" s="67"/>
      <c r="AO36" s="577"/>
      <c r="AP36" s="578"/>
      <c r="AQ36" s="578"/>
      <c r="AR36" s="578"/>
      <c r="AS36" s="578"/>
      <c r="AT36" s="579"/>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545"/>
      <c r="C37" s="545"/>
      <c r="D37" s="546"/>
      <c r="E37" s="541"/>
      <c r="F37" s="542"/>
      <c r="G37" s="542"/>
      <c r="H37" s="542"/>
      <c r="I37" s="542"/>
      <c r="J37" s="501"/>
      <c r="K37" s="502"/>
      <c r="L37" s="502"/>
      <c r="M37" s="502"/>
      <c r="N37" s="502"/>
      <c r="O37" s="503"/>
      <c r="P37" s="511"/>
      <c r="Q37" s="511"/>
      <c r="R37" s="511"/>
      <c r="S37" s="511"/>
      <c r="T37" s="511"/>
      <c r="U37" s="512"/>
      <c r="V37" s="510"/>
      <c r="W37" s="511"/>
      <c r="X37" s="511"/>
      <c r="Y37" s="511"/>
      <c r="Z37" s="511"/>
      <c r="AA37" s="512"/>
      <c r="AB37" s="528"/>
      <c r="AC37" s="529"/>
      <c r="AD37" s="529"/>
      <c r="AE37" s="529"/>
      <c r="AF37" s="529"/>
      <c r="AG37" s="530"/>
      <c r="AH37" s="519"/>
      <c r="AI37" s="520"/>
      <c r="AJ37" s="520"/>
      <c r="AK37" s="520"/>
      <c r="AL37" s="520"/>
      <c r="AM37" s="521"/>
      <c r="AN37" s="67"/>
      <c r="AO37" s="580"/>
      <c r="AP37" s="581"/>
      <c r="AQ37" s="581"/>
      <c r="AR37" s="581"/>
      <c r="AS37" s="581"/>
      <c r="AT37" s="582"/>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545"/>
      <c r="C38" s="545"/>
      <c r="D38" s="546"/>
      <c r="E38" s="535" t="s">
        <v>107</v>
      </c>
      <c r="F38" s="536"/>
      <c r="G38" s="536"/>
      <c r="H38" s="536"/>
      <c r="I38" s="537"/>
      <c r="J38" s="504" t="str">
        <f>IF(AND('Mapa final'!$K$10="Muy Baja",'Mapa final'!$O$10="Leve"),CONCATENATE("R",'Mapa final'!$A$10),"")</f>
        <v/>
      </c>
      <c r="K38" s="505"/>
      <c r="L38" s="505" t="str">
        <f>IF(AND('Mapa final'!$K$15="Muy Baja",'Mapa final'!$O$15="Leve"),CONCATENATE("R",'Mapa final'!$A$15),"")</f>
        <v/>
      </c>
      <c r="M38" s="505"/>
      <c r="N38" s="505" t="str">
        <f>IF(AND('Mapa final'!$K$21="Muy Baja",'Mapa final'!$O$21="Leve"),CONCATENATE("R",'Mapa final'!$A$21),"")</f>
        <v/>
      </c>
      <c r="O38" s="506"/>
      <c r="P38" s="504" t="str">
        <f>IF(AND('Mapa final'!$K$10="Muy Baja",'Mapa final'!$O$10="Menor"),CONCATENATE("R",'Mapa final'!$A$10),"")</f>
        <v/>
      </c>
      <c r="Q38" s="505"/>
      <c r="R38" s="505" t="str">
        <f>IF(AND('Mapa final'!$K$15="Muy Baja",'Mapa final'!$O$15="Menor"),CONCATENATE("R",'Mapa final'!$A$15),"")</f>
        <v/>
      </c>
      <c r="S38" s="505"/>
      <c r="T38" s="505" t="str">
        <f>IF(AND('Mapa final'!$K$21="Muy Baja",'Mapa final'!$O$21="Menor"),CONCATENATE("R",'Mapa final'!$A$21),"")</f>
        <v/>
      </c>
      <c r="U38" s="506"/>
      <c r="V38" s="513" t="str">
        <f>IF(AND('Mapa final'!$K$10="Muy Baja",'Mapa final'!$O$10="Moderado"),CONCATENATE("R",'Mapa final'!$A$10),"")</f>
        <v/>
      </c>
      <c r="W38" s="514"/>
      <c r="X38" s="514" t="str">
        <f>IF(AND('Mapa final'!$K$15="Muy Baja",'Mapa final'!$O$15="Moderado"),CONCATENATE("R",'Mapa final'!$A$15),"")</f>
        <v/>
      </c>
      <c r="Y38" s="514"/>
      <c r="Z38" s="514" t="str">
        <f>IF(AND('Mapa final'!$K$21="Muy Baja",'Mapa final'!$O$21="Moderado"),CONCATENATE("R",'Mapa final'!$A$21),"")</f>
        <v/>
      </c>
      <c r="AA38" s="515"/>
      <c r="AB38" s="531" t="str">
        <f>IF(AND('Mapa final'!$K$10="Muy Baja",'Mapa final'!$O$10="Mayor"),CONCATENATE("R",'Mapa final'!$A$10),"")</f>
        <v/>
      </c>
      <c r="AC38" s="532"/>
      <c r="AD38" s="532" t="str">
        <f>IF(AND('Mapa final'!$K$15="Muy Baja",'Mapa final'!$O$15="Mayor"),CONCATENATE("R",'Mapa final'!$A$15),"")</f>
        <v/>
      </c>
      <c r="AE38" s="532"/>
      <c r="AF38" s="532" t="str">
        <f>IF(AND('Mapa final'!$K$21="Muy Baja",'Mapa final'!$O$21="Mayor"),CONCATENATE("R",'Mapa final'!$A$21),"")</f>
        <v/>
      </c>
      <c r="AG38" s="533"/>
      <c r="AH38" s="522" t="str">
        <f>IF(AND('Mapa final'!$K$10="Muy Baja",'Mapa final'!$O$10="Catastrófico"),CONCATENATE("R",'Mapa final'!$A$10),"")</f>
        <v/>
      </c>
      <c r="AI38" s="523"/>
      <c r="AJ38" s="523" t="str">
        <f>IF(AND('Mapa final'!$K$15="Muy Baja",'Mapa final'!$O$15="Catastrófico"),CONCATENATE("R",'Mapa final'!$A$15),"")</f>
        <v/>
      </c>
      <c r="AK38" s="523"/>
      <c r="AL38" s="523" t="str">
        <f>IF(AND('Mapa final'!$K$21="Muy Baja",'Mapa final'!$O$21="Catastrófico"),CONCATENATE("R",'Mapa final'!$A$21),"")</f>
        <v/>
      </c>
      <c r="AM38" s="524"/>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545"/>
      <c r="C39" s="545"/>
      <c r="D39" s="546"/>
      <c r="E39" s="538"/>
      <c r="F39" s="539"/>
      <c r="G39" s="539"/>
      <c r="H39" s="539"/>
      <c r="I39" s="540"/>
      <c r="J39" s="498"/>
      <c r="K39" s="499"/>
      <c r="L39" s="499"/>
      <c r="M39" s="499"/>
      <c r="N39" s="499"/>
      <c r="O39" s="500"/>
      <c r="P39" s="498"/>
      <c r="Q39" s="499"/>
      <c r="R39" s="499"/>
      <c r="S39" s="499"/>
      <c r="T39" s="499"/>
      <c r="U39" s="500"/>
      <c r="V39" s="507"/>
      <c r="W39" s="508"/>
      <c r="X39" s="508"/>
      <c r="Y39" s="508"/>
      <c r="Z39" s="508"/>
      <c r="AA39" s="509"/>
      <c r="AB39" s="525"/>
      <c r="AC39" s="526"/>
      <c r="AD39" s="526"/>
      <c r="AE39" s="526"/>
      <c r="AF39" s="526"/>
      <c r="AG39" s="527"/>
      <c r="AH39" s="516"/>
      <c r="AI39" s="517"/>
      <c r="AJ39" s="517"/>
      <c r="AK39" s="517"/>
      <c r="AL39" s="517"/>
      <c r="AM39" s="518"/>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545"/>
      <c r="C40" s="545"/>
      <c r="D40" s="546"/>
      <c r="E40" s="538"/>
      <c r="F40" s="539"/>
      <c r="G40" s="539"/>
      <c r="H40" s="539"/>
      <c r="I40" s="540"/>
      <c r="J40" s="498" t="str">
        <f>IF(AND('Mapa final'!$K$27="Muy Baja",'Mapa final'!$O$27="Leve"),CONCATENATE("R",'Mapa final'!$A$27),"")</f>
        <v/>
      </c>
      <c r="K40" s="499"/>
      <c r="L40" s="499" t="str">
        <f>IF(AND('Mapa final'!$K$33="Muy Baja",'Mapa final'!$O$33="Leve"),CONCATENATE("R",'Mapa final'!$A$33),"")</f>
        <v/>
      </c>
      <c r="M40" s="499"/>
      <c r="N40" s="499" t="str">
        <f>IF(AND('Mapa final'!$K$39="Muy Baja",'Mapa final'!$O$39="Leve"),CONCATENATE("R",'Mapa final'!$A$39),"")</f>
        <v/>
      </c>
      <c r="O40" s="500"/>
      <c r="P40" s="498" t="str">
        <f>IF(AND('Mapa final'!$K$27="Muy Baja",'Mapa final'!$O$27="Menor"),CONCATENATE("R",'Mapa final'!$A$27),"")</f>
        <v/>
      </c>
      <c r="Q40" s="499"/>
      <c r="R40" s="499" t="str">
        <f>IF(AND('Mapa final'!$K$33="Muy Baja",'Mapa final'!$O$33="Menor"),CONCATENATE("R",'Mapa final'!$A$33),"")</f>
        <v/>
      </c>
      <c r="S40" s="499"/>
      <c r="T40" s="499" t="str">
        <f>IF(AND('Mapa final'!$K$39="Muy Baja",'Mapa final'!$O$39="Menor"),CONCATENATE("R",'Mapa final'!$A$39),"")</f>
        <v/>
      </c>
      <c r="U40" s="500"/>
      <c r="V40" s="507" t="str">
        <f>IF(AND('Mapa final'!$K$27="Muy Baja",'Mapa final'!$O$27="Moderado"),CONCATENATE("R",'Mapa final'!$A$27),"")</f>
        <v/>
      </c>
      <c r="W40" s="508"/>
      <c r="X40" s="508" t="str">
        <f>IF(AND('Mapa final'!$K$33="Muy Baja",'Mapa final'!$O$33="Moderado"),CONCATENATE("R",'Mapa final'!$A$33),"")</f>
        <v/>
      </c>
      <c r="Y40" s="508"/>
      <c r="Z40" s="508" t="str">
        <f>IF(AND('Mapa final'!$K$39="Muy Baja",'Mapa final'!$O$39="Moderado"),CONCATENATE("R",'Mapa final'!$A$39),"")</f>
        <v/>
      </c>
      <c r="AA40" s="509"/>
      <c r="AB40" s="525" t="str">
        <f>IF(AND('Mapa final'!$K$27="Muy Baja",'Mapa final'!$O$27="Mayor"),CONCATENATE("R",'Mapa final'!$A$27),"")</f>
        <v/>
      </c>
      <c r="AC40" s="526"/>
      <c r="AD40" s="526" t="str">
        <f>IF(AND('Mapa final'!$K$33="Muy Baja",'Mapa final'!$O$33="Mayor"),CONCATENATE("R",'Mapa final'!$A$33),"")</f>
        <v/>
      </c>
      <c r="AE40" s="526"/>
      <c r="AF40" s="526" t="str">
        <f>IF(AND('Mapa final'!$K$39="Muy Baja",'Mapa final'!$O$39="Mayor"),CONCATENATE("R",'Mapa final'!$A$39),"")</f>
        <v/>
      </c>
      <c r="AG40" s="527"/>
      <c r="AH40" s="516" t="str">
        <f>IF(AND('Mapa final'!$K$27="Muy Baja",'Mapa final'!$O$27="Catastrófico"),CONCATENATE("R",'Mapa final'!$A$27),"")</f>
        <v/>
      </c>
      <c r="AI40" s="517"/>
      <c r="AJ40" s="517" t="str">
        <f>IF(AND('Mapa final'!$K$33="Muy Baja",'Mapa final'!$O$33="Catastrófico"),CONCATENATE("R",'Mapa final'!$A$33),"")</f>
        <v/>
      </c>
      <c r="AK40" s="517"/>
      <c r="AL40" s="517" t="str">
        <f>IF(AND('Mapa final'!$K$39="Muy Baja",'Mapa final'!$O$39="Catastrófico"),CONCATENATE("R",'Mapa final'!$A$39),"")</f>
        <v/>
      </c>
      <c r="AM40" s="518"/>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545"/>
      <c r="C41" s="545"/>
      <c r="D41" s="546"/>
      <c r="E41" s="538"/>
      <c r="F41" s="539"/>
      <c r="G41" s="539"/>
      <c r="H41" s="539"/>
      <c r="I41" s="540"/>
      <c r="J41" s="498"/>
      <c r="K41" s="499"/>
      <c r="L41" s="499"/>
      <c r="M41" s="499"/>
      <c r="N41" s="499"/>
      <c r="O41" s="500"/>
      <c r="P41" s="498"/>
      <c r="Q41" s="499"/>
      <c r="R41" s="499"/>
      <c r="S41" s="499"/>
      <c r="T41" s="499"/>
      <c r="U41" s="500"/>
      <c r="V41" s="507"/>
      <c r="W41" s="508"/>
      <c r="X41" s="508"/>
      <c r="Y41" s="508"/>
      <c r="Z41" s="508"/>
      <c r="AA41" s="509"/>
      <c r="AB41" s="525"/>
      <c r="AC41" s="526"/>
      <c r="AD41" s="526"/>
      <c r="AE41" s="526"/>
      <c r="AF41" s="526"/>
      <c r="AG41" s="527"/>
      <c r="AH41" s="516"/>
      <c r="AI41" s="517"/>
      <c r="AJ41" s="517"/>
      <c r="AK41" s="517"/>
      <c r="AL41" s="517"/>
      <c r="AM41" s="518"/>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545"/>
      <c r="C42" s="545"/>
      <c r="D42" s="546"/>
      <c r="E42" s="538"/>
      <c r="F42" s="539"/>
      <c r="G42" s="539"/>
      <c r="H42" s="539"/>
      <c r="I42" s="540"/>
      <c r="J42" s="498" t="str">
        <f>IF(AND('Mapa final'!$K$45="Muy Baja",'Mapa final'!$O$45="Leve"),CONCATENATE("R",'Mapa final'!$A$45),"")</f>
        <v/>
      </c>
      <c r="K42" s="499"/>
      <c r="L42" s="499" t="str">
        <f>IF(AND('Mapa final'!$K$51="Muy Baja",'Mapa final'!$O$51="Leve"),CONCATENATE("R",'Mapa final'!$A$51),"")</f>
        <v/>
      </c>
      <c r="M42" s="499"/>
      <c r="N42" s="499" t="str">
        <f>IF(AND('Mapa final'!$K$57="Muy Baja",'Mapa final'!$O$57="Leve"),CONCATENATE("R",'Mapa final'!$A$57),"")</f>
        <v/>
      </c>
      <c r="O42" s="500"/>
      <c r="P42" s="498" t="str">
        <f>IF(AND('Mapa final'!$K$45="Muy Baja",'Mapa final'!$O$45="Menor"),CONCATENATE("R",'Mapa final'!$A$45),"")</f>
        <v/>
      </c>
      <c r="Q42" s="499"/>
      <c r="R42" s="499" t="str">
        <f>IF(AND('Mapa final'!$K$51="Muy Baja",'Mapa final'!$O$51="Menor"),CONCATENATE("R",'Mapa final'!$A$51),"")</f>
        <v/>
      </c>
      <c r="S42" s="499"/>
      <c r="T42" s="499" t="str">
        <f>IF(AND('Mapa final'!$K$57="Muy Baja",'Mapa final'!$O$57="Menor"),CONCATENATE("R",'Mapa final'!$A$57),"")</f>
        <v/>
      </c>
      <c r="U42" s="500"/>
      <c r="V42" s="507" t="str">
        <f>IF(AND('Mapa final'!$K$45="Muy Baja",'Mapa final'!$O$45="Moderado"),CONCATENATE("R",'Mapa final'!$A$45),"")</f>
        <v/>
      </c>
      <c r="W42" s="508"/>
      <c r="X42" s="508" t="str">
        <f>IF(AND('Mapa final'!$K$51="Muy Baja",'Mapa final'!$O$51="Moderado"),CONCATENATE("R",'Mapa final'!$A$51),"")</f>
        <v/>
      </c>
      <c r="Y42" s="508"/>
      <c r="Z42" s="508" t="str">
        <f>IF(AND('Mapa final'!$K$57="Muy Baja",'Mapa final'!$O$57="Moderado"),CONCATENATE("R",'Mapa final'!$A$57),"")</f>
        <v/>
      </c>
      <c r="AA42" s="509"/>
      <c r="AB42" s="525" t="str">
        <f>IF(AND('Mapa final'!$K$45="Muy Baja",'Mapa final'!$O$45="Mayor"),CONCATENATE("R",'Mapa final'!$A$45),"")</f>
        <v/>
      </c>
      <c r="AC42" s="526"/>
      <c r="AD42" s="526" t="str">
        <f>IF(AND('Mapa final'!$K$51="Muy Baja",'Mapa final'!$O$51="Mayor"),CONCATENATE("R",'Mapa final'!$A$51),"")</f>
        <v/>
      </c>
      <c r="AE42" s="526"/>
      <c r="AF42" s="526" t="str">
        <f>IF(AND('Mapa final'!$K$57="Muy Baja",'Mapa final'!$O$57="Mayor"),CONCATENATE("R",'Mapa final'!$A$57),"")</f>
        <v/>
      </c>
      <c r="AG42" s="527"/>
      <c r="AH42" s="516" t="str">
        <f>IF(AND('Mapa final'!$K$45="Muy Baja",'Mapa final'!$O$45="Catastrófico"),CONCATENATE("R",'Mapa final'!$A$45),"")</f>
        <v/>
      </c>
      <c r="AI42" s="517"/>
      <c r="AJ42" s="517" t="str">
        <f>IF(AND('Mapa final'!$K$51="Muy Baja",'Mapa final'!$O$51="Catastrófico"),CONCATENATE("R",'Mapa final'!$A$51),"")</f>
        <v/>
      </c>
      <c r="AK42" s="517"/>
      <c r="AL42" s="517" t="str">
        <f>IF(AND('Mapa final'!$K$57="Muy Baja",'Mapa final'!$O$57="Catastrófico"),CONCATENATE("R",'Mapa final'!$A$57),"")</f>
        <v/>
      </c>
      <c r="AM42" s="518"/>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545"/>
      <c r="C43" s="545"/>
      <c r="D43" s="546"/>
      <c r="E43" s="538"/>
      <c r="F43" s="539"/>
      <c r="G43" s="539"/>
      <c r="H43" s="539"/>
      <c r="I43" s="540"/>
      <c r="J43" s="498"/>
      <c r="K43" s="499"/>
      <c r="L43" s="499"/>
      <c r="M43" s="499"/>
      <c r="N43" s="499"/>
      <c r="O43" s="500"/>
      <c r="P43" s="498"/>
      <c r="Q43" s="499"/>
      <c r="R43" s="499"/>
      <c r="S43" s="499"/>
      <c r="T43" s="499"/>
      <c r="U43" s="500"/>
      <c r="V43" s="507"/>
      <c r="W43" s="508"/>
      <c r="X43" s="508"/>
      <c r="Y43" s="508"/>
      <c r="Z43" s="508"/>
      <c r="AA43" s="509"/>
      <c r="AB43" s="525"/>
      <c r="AC43" s="526"/>
      <c r="AD43" s="526"/>
      <c r="AE43" s="526"/>
      <c r="AF43" s="526"/>
      <c r="AG43" s="527"/>
      <c r="AH43" s="516"/>
      <c r="AI43" s="517"/>
      <c r="AJ43" s="517"/>
      <c r="AK43" s="517"/>
      <c r="AL43" s="517"/>
      <c r="AM43" s="518"/>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545"/>
      <c r="C44" s="545"/>
      <c r="D44" s="546"/>
      <c r="E44" s="538"/>
      <c r="F44" s="539"/>
      <c r="G44" s="539"/>
      <c r="H44" s="539"/>
      <c r="I44" s="540"/>
      <c r="J44" s="498" t="str">
        <f>IF(AND('Mapa final'!$K$63="Muy Baja",'Mapa final'!$O$63="Leve"),CONCATENATE("R",'Mapa final'!$A$63),"")</f>
        <v/>
      </c>
      <c r="K44" s="499"/>
      <c r="L44" s="499" t="str">
        <f>IF(AND('Mapa final'!$K$69="Muy Baja",'Mapa final'!$O$69="Leve"),CONCATENATE("R",'Mapa final'!$A$69),"")</f>
        <v/>
      </c>
      <c r="M44" s="499"/>
      <c r="N44" s="499" t="str">
        <f>IF(AND('Mapa final'!$K$75="Muy Baja",'Mapa final'!$O$75="Leve"),CONCATENATE("R",'Mapa final'!$A$75),"")</f>
        <v/>
      </c>
      <c r="O44" s="500"/>
      <c r="P44" s="498" t="str">
        <f>IF(AND('Mapa final'!$K$63="Muy Baja",'Mapa final'!$O$63="Menor"),CONCATENATE("R",'Mapa final'!$A$63),"")</f>
        <v/>
      </c>
      <c r="Q44" s="499"/>
      <c r="R44" s="499" t="str">
        <f>IF(AND('Mapa final'!$K$69="Muy Baja",'Mapa final'!$O$69="Menor"),CONCATENATE("R",'Mapa final'!$A$69),"")</f>
        <v/>
      </c>
      <c r="S44" s="499"/>
      <c r="T44" s="499" t="str">
        <f>IF(AND('Mapa final'!$K$75="Muy Baja",'Mapa final'!$O$75="Menor"),CONCATENATE("R",'Mapa final'!$A$75),"")</f>
        <v/>
      </c>
      <c r="U44" s="500"/>
      <c r="V44" s="507" t="str">
        <f>IF(AND('Mapa final'!$K$63="Muy Baja",'Mapa final'!$O$63="Moderado"),CONCATENATE("R",'Mapa final'!$A$63),"")</f>
        <v/>
      </c>
      <c r="W44" s="508"/>
      <c r="X44" s="508" t="str">
        <f>IF(AND('Mapa final'!$K$69="Muy Baja",'Mapa final'!$O$69="Moderado"),CONCATENATE("R",'Mapa final'!$A$69),"")</f>
        <v/>
      </c>
      <c r="Y44" s="508"/>
      <c r="Z44" s="508" t="str">
        <f>IF(AND('Mapa final'!$K$75="Muy Baja",'Mapa final'!$O$75="Moderado"),CONCATENATE("R",'Mapa final'!$A$75),"")</f>
        <v/>
      </c>
      <c r="AA44" s="509"/>
      <c r="AB44" s="525" t="str">
        <f>IF(AND('Mapa final'!$K$63="Muy Baja",'Mapa final'!$O$63="Mayor"),CONCATENATE("R",'Mapa final'!$A$63),"")</f>
        <v/>
      </c>
      <c r="AC44" s="526"/>
      <c r="AD44" s="526" t="str">
        <f>IF(AND('Mapa final'!$K$69="Muy Baja",'Mapa final'!$O$69="Mayor"),CONCATENATE("R",'Mapa final'!$A$69),"")</f>
        <v/>
      </c>
      <c r="AE44" s="526"/>
      <c r="AF44" s="526" t="str">
        <f>IF(AND('Mapa final'!$K$75="Muy Baja",'Mapa final'!$O$75="Mayor"),CONCATENATE("R",'Mapa final'!$A$75),"")</f>
        <v/>
      </c>
      <c r="AG44" s="527"/>
      <c r="AH44" s="516" t="str">
        <f>IF(AND('Mapa final'!$K$63="Muy Baja",'Mapa final'!$O$63="Catastrófico"),CONCATENATE("R",'Mapa final'!$A$63),"")</f>
        <v/>
      </c>
      <c r="AI44" s="517"/>
      <c r="AJ44" s="517" t="str">
        <f>IF(AND('Mapa final'!$K$69="Muy Baja",'Mapa final'!$O$69="Catastrófico"),CONCATENATE("R",'Mapa final'!$A$69),"")</f>
        <v/>
      </c>
      <c r="AK44" s="517"/>
      <c r="AL44" s="517" t="str">
        <f>IF(AND('Mapa final'!$K$75="Muy Baja",'Mapa final'!$O$75="Catastrófico"),CONCATENATE("R",'Mapa final'!$A$75),"")</f>
        <v/>
      </c>
      <c r="AM44" s="518"/>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545"/>
      <c r="C45" s="545"/>
      <c r="D45" s="546"/>
      <c r="E45" s="541"/>
      <c r="F45" s="542"/>
      <c r="G45" s="542"/>
      <c r="H45" s="542"/>
      <c r="I45" s="543"/>
      <c r="J45" s="501"/>
      <c r="K45" s="502"/>
      <c r="L45" s="502"/>
      <c r="M45" s="502"/>
      <c r="N45" s="502"/>
      <c r="O45" s="503"/>
      <c r="P45" s="501"/>
      <c r="Q45" s="502"/>
      <c r="R45" s="502"/>
      <c r="S45" s="502"/>
      <c r="T45" s="502"/>
      <c r="U45" s="503"/>
      <c r="V45" s="510"/>
      <c r="W45" s="511"/>
      <c r="X45" s="511"/>
      <c r="Y45" s="511"/>
      <c r="Z45" s="511"/>
      <c r="AA45" s="512"/>
      <c r="AB45" s="528"/>
      <c r="AC45" s="529"/>
      <c r="AD45" s="529"/>
      <c r="AE45" s="529"/>
      <c r="AF45" s="529"/>
      <c r="AG45" s="530"/>
      <c r="AH45" s="519"/>
      <c r="AI45" s="520"/>
      <c r="AJ45" s="520"/>
      <c r="AK45" s="520"/>
      <c r="AL45" s="520"/>
      <c r="AM45" s="521"/>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535" t="s">
        <v>106</v>
      </c>
      <c r="K46" s="536"/>
      <c r="L46" s="536"/>
      <c r="M46" s="536"/>
      <c r="N46" s="536"/>
      <c r="O46" s="537"/>
      <c r="P46" s="535" t="s">
        <v>105</v>
      </c>
      <c r="Q46" s="536"/>
      <c r="R46" s="536"/>
      <c r="S46" s="536"/>
      <c r="T46" s="536"/>
      <c r="U46" s="537"/>
      <c r="V46" s="535" t="s">
        <v>104</v>
      </c>
      <c r="W46" s="536"/>
      <c r="X46" s="536"/>
      <c r="Y46" s="536"/>
      <c r="Z46" s="536"/>
      <c r="AA46" s="537"/>
      <c r="AB46" s="535" t="s">
        <v>103</v>
      </c>
      <c r="AC46" s="544"/>
      <c r="AD46" s="536"/>
      <c r="AE46" s="536"/>
      <c r="AF46" s="536"/>
      <c r="AG46" s="537"/>
      <c r="AH46" s="535" t="s">
        <v>102</v>
      </c>
      <c r="AI46" s="536"/>
      <c r="AJ46" s="536"/>
      <c r="AK46" s="536"/>
      <c r="AL46" s="536"/>
      <c r="AM46" s="53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538"/>
      <c r="K47" s="539"/>
      <c r="L47" s="539"/>
      <c r="M47" s="539"/>
      <c r="N47" s="539"/>
      <c r="O47" s="540"/>
      <c r="P47" s="538"/>
      <c r="Q47" s="539"/>
      <c r="R47" s="539"/>
      <c r="S47" s="539"/>
      <c r="T47" s="539"/>
      <c r="U47" s="540"/>
      <c r="V47" s="538"/>
      <c r="W47" s="539"/>
      <c r="X47" s="539"/>
      <c r="Y47" s="539"/>
      <c r="Z47" s="539"/>
      <c r="AA47" s="540"/>
      <c r="AB47" s="538"/>
      <c r="AC47" s="539"/>
      <c r="AD47" s="539"/>
      <c r="AE47" s="539"/>
      <c r="AF47" s="539"/>
      <c r="AG47" s="540"/>
      <c r="AH47" s="538"/>
      <c r="AI47" s="539"/>
      <c r="AJ47" s="539"/>
      <c r="AK47" s="539"/>
      <c r="AL47" s="539"/>
      <c r="AM47" s="540"/>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538"/>
      <c r="K48" s="539"/>
      <c r="L48" s="539"/>
      <c r="M48" s="539"/>
      <c r="N48" s="539"/>
      <c r="O48" s="540"/>
      <c r="P48" s="538"/>
      <c r="Q48" s="539"/>
      <c r="R48" s="539"/>
      <c r="S48" s="539"/>
      <c r="T48" s="539"/>
      <c r="U48" s="540"/>
      <c r="V48" s="538"/>
      <c r="W48" s="539"/>
      <c r="X48" s="539"/>
      <c r="Y48" s="539"/>
      <c r="Z48" s="539"/>
      <c r="AA48" s="540"/>
      <c r="AB48" s="538"/>
      <c r="AC48" s="539"/>
      <c r="AD48" s="539"/>
      <c r="AE48" s="539"/>
      <c r="AF48" s="539"/>
      <c r="AG48" s="540"/>
      <c r="AH48" s="538"/>
      <c r="AI48" s="539"/>
      <c r="AJ48" s="539"/>
      <c r="AK48" s="539"/>
      <c r="AL48" s="539"/>
      <c r="AM48" s="540"/>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538"/>
      <c r="K49" s="539"/>
      <c r="L49" s="539"/>
      <c r="M49" s="539"/>
      <c r="N49" s="539"/>
      <c r="O49" s="540"/>
      <c r="P49" s="538"/>
      <c r="Q49" s="539"/>
      <c r="R49" s="539"/>
      <c r="S49" s="539"/>
      <c r="T49" s="539"/>
      <c r="U49" s="540"/>
      <c r="V49" s="538"/>
      <c r="W49" s="539"/>
      <c r="X49" s="539"/>
      <c r="Y49" s="539"/>
      <c r="Z49" s="539"/>
      <c r="AA49" s="540"/>
      <c r="AB49" s="538"/>
      <c r="AC49" s="539"/>
      <c r="AD49" s="539"/>
      <c r="AE49" s="539"/>
      <c r="AF49" s="539"/>
      <c r="AG49" s="540"/>
      <c r="AH49" s="538"/>
      <c r="AI49" s="539"/>
      <c r="AJ49" s="539"/>
      <c r="AK49" s="539"/>
      <c r="AL49" s="539"/>
      <c r="AM49" s="540"/>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538"/>
      <c r="K50" s="539"/>
      <c r="L50" s="539"/>
      <c r="M50" s="539"/>
      <c r="N50" s="539"/>
      <c r="O50" s="540"/>
      <c r="P50" s="538"/>
      <c r="Q50" s="539"/>
      <c r="R50" s="539"/>
      <c r="S50" s="539"/>
      <c r="T50" s="539"/>
      <c r="U50" s="540"/>
      <c r="V50" s="538"/>
      <c r="W50" s="539"/>
      <c r="X50" s="539"/>
      <c r="Y50" s="539"/>
      <c r="Z50" s="539"/>
      <c r="AA50" s="540"/>
      <c r="AB50" s="538"/>
      <c r="AC50" s="539"/>
      <c r="AD50" s="539"/>
      <c r="AE50" s="539"/>
      <c r="AF50" s="539"/>
      <c r="AG50" s="540"/>
      <c r="AH50" s="538"/>
      <c r="AI50" s="539"/>
      <c r="AJ50" s="539"/>
      <c r="AK50" s="539"/>
      <c r="AL50" s="539"/>
      <c r="AM50" s="540"/>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541"/>
      <c r="K51" s="542"/>
      <c r="L51" s="542"/>
      <c r="M51" s="542"/>
      <c r="N51" s="542"/>
      <c r="O51" s="543"/>
      <c r="P51" s="541"/>
      <c r="Q51" s="542"/>
      <c r="R51" s="542"/>
      <c r="S51" s="542"/>
      <c r="T51" s="542"/>
      <c r="U51" s="543"/>
      <c r="V51" s="541"/>
      <c r="W51" s="542"/>
      <c r="X51" s="542"/>
      <c r="Y51" s="542"/>
      <c r="Z51" s="542"/>
      <c r="AA51" s="543"/>
      <c r="AB51" s="541"/>
      <c r="AC51" s="542"/>
      <c r="AD51" s="542"/>
      <c r="AE51" s="542"/>
      <c r="AF51" s="542"/>
      <c r="AG51" s="543"/>
      <c r="AH51" s="541"/>
      <c r="AI51" s="542"/>
      <c r="AJ51" s="542"/>
      <c r="AK51" s="542"/>
      <c r="AL51" s="542"/>
      <c r="AM51" s="543"/>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7"/>
  <dimension ref="A1:CM248"/>
  <sheetViews>
    <sheetView tabSelected="1" zoomScale="40" zoomScaleNormal="40" workbookViewId="0">
      <selection activeCell="BE34" sqref="BE34"/>
    </sheetView>
  </sheetViews>
  <sheetFormatPr baseColWidth="10" defaultRowHeight="14.4" x14ac:dyDescent="0.3"/>
  <cols>
    <col min="2" max="18" width="5.6640625" customWidth="1"/>
    <col min="19" max="19" width="8.44140625" customWidth="1"/>
    <col min="20" max="23" width="5.6640625" customWidth="1"/>
    <col min="24" max="24" width="8.44140625" customWidth="1"/>
    <col min="25" max="26" width="5.6640625" customWidth="1"/>
    <col min="27" max="27" width="10.6640625" customWidth="1"/>
    <col min="28" max="28" width="5.6640625" customWidth="1"/>
    <col min="29" max="29" width="7.44140625" customWidth="1"/>
    <col min="30" max="33" width="5.6640625" customWidth="1"/>
    <col min="34" max="34" width="8.4414062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612" t="s">
        <v>148</v>
      </c>
      <c r="C2" s="613"/>
      <c r="D2" s="613"/>
      <c r="E2" s="613"/>
      <c r="F2" s="613"/>
      <c r="G2" s="613"/>
      <c r="H2" s="613"/>
      <c r="I2" s="613"/>
      <c r="J2" s="534" t="s">
        <v>2</v>
      </c>
      <c r="K2" s="534"/>
      <c r="L2" s="534"/>
      <c r="M2" s="534"/>
      <c r="N2" s="534"/>
      <c r="O2" s="534"/>
      <c r="P2" s="534"/>
      <c r="Q2" s="534"/>
      <c r="R2" s="534"/>
      <c r="S2" s="534"/>
      <c r="T2" s="534"/>
      <c r="U2" s="534"/>
      <c r="V2" s="534"/>
      <c r="W2" s="534"/>
      <c r="X2" s="534"/>
      <c r="Y2" s="534"/>
      <c r="Z2" s="534"/>
      <c r="AA2" s="534"/>
      <c r="AB2" s="534"/>
      <c r="AC2" s="534"/>
      <c r="AD2" s="534"/>
      <c r="AE2" s="534"/>
      <c r="AF2" s="534"/>
      <c r="AG2" s="534"/>
      <c r="AH2" s="534"/>
      <c r="AI2" s="534"/>
      <c r="AJ2" s="534"/>
      <c r="AK2" s="534"/>
      <c r="AL2" s="534"/>
      <c r="AM2" s="534"/>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613"/>
      <c r="C3" s="613"/>
      <c r="D3" s="613"/>
      <c r="E3" s="613"/>
      <c r="F3" s="613"/>
      <c r="G3" s="613"/>
      <c r="H3" s="613"/>
      <c r="I3" s="613"/>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613"/>
      <c r="C4" s="613"/>
      <c r="D4" s="613"/>
      <c r="E4" s="613"/>
      <c r="F4" s="613"/>
      <c r="G4" s="613"/>
      <c r="H4" s="613"/>
      <c r="I4" s="613"/>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c r="AK4" s="534"/>
      <c r="AL4" s="534"/>
      <c r="AM4" s="534"/>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545" t="s">
        <v>4</v>
      </c>
      <c r="C6" s="545"/>
      <c r="D6" s="546"/>
      <c r="E6" s="583" t="s">
        <v>110</v>
      </c>
      <c r="F6" s="584"/>
      <c r="G6" s="584"/>
      <c r="H6" s="584"/>
      <c r="I6" s="585"/>
      <c r="J6" s="30" t="str">
        <f>IF(AND('Mapa final'!$AB$10="Muy Alta",'Mapa final'!$AD$10="Leve"),CONCATENATE("R1C",'Mapa final'!$R$10),"")</f>
        <v/>
      </c>
      <c r="K6" s="31" t="str">
        <f>IF(AND('Mapa final'!$AB$11="Muy Alta",'Mapa final'!$AD$11="Leve"),CONCATENATE("R1C",'Mapa final'!$R$11),"")</f>
        <v/>
      </c>
      <c r="L6" s="31" t="str">
        <f>IF(AND('Mapa final'!$AB$13="Muy Alta",'Mapa final'!$AD$13="Leve"),CONCATENATE("R1C",'Mapa final'!$R$13),"")</f>
        <v/>
      </c>
      <c r="M6" s="31" t="str">
        <f>IF(AND('Mapa final'!$AB$14="Muy Alta",'Mapa final'!$AD$14="Leve"),CONCATENATE("R1C",'Mapa final'!$R$14),"")</f>
        <v/>
      </c>
      <c r="N6" s="31" t="e">
        <f>IF(AND('Mapa final'!#REF!="Muy Alta",'Mapa final'!#REF!="Leve"),CONCATENATE("R1C",'Mapa final'!#REF!),"")</f>
        <v>#REF!</v>
      </c>
      <c r="O6" s="32" t="e">
        <f>IF(AND('Mapa final'!#REF!="Muy Alta",'Mapa final'!#REF!="Leve"),CONCATENATE("R1C",'Mapa final'!#REF!),"")</f>
        <v>#REF!</v>
      </c>
      <c r="P6" s="30" t="str">
        <f>IF(AND('Mapa final'!$AB$10="Muy Alta",'Mapa final'!$AD$10="Menor"),CONCATENATE("R1C",'Mapa final'!$R$10),"")</f>
        <v/>
      </c>
      <c r="Q6" s="31" t="str">
        <f>IF(AND('Mapa final'!$AB$11="Muy Alta",'Mapa final'!$AD$11="Menor"),CONCATENATE("R1C",'Mapa final'!$R$11),"")</f>
        <v/>
      </c>
      <c r="R6" s="31" t="str">
        <f>IF(AND('Mapa final'!$AB$13="Muy Alta",'Mapa final'!$AD$13="Menor"),CONCATENATE("R1C",'Mapa final'!$R$13),"")</f>
        <v>R1C3</v>
      </c>
      <c r="S6" s="31" t="str">
        <f>IF(AND('Mapa final'!$AB$14="Muy Alta",'Mapa final'!$AD$14="Menor"),CONCATENATE("R1C",'Mapa final'!$R$14),"")</f>
        <v>R1C4</v>
      </c>
      <c r="T6" s="31" t="e">
        <f>IF(AND('Mapa final'!#REF!="Muy Alta",'Mapa final'!#REF!="Menor"),CONCATENATE("R1C",'Mapa final'!#REF!),"")</f>
        <v>#REF!</v>
      </c>
      <c r="U6" s="32" t="e">
        <f>IF(AND('Mapa final'!#REF!="Muy Alta",'Mapa final'!#REF!="Menor"),CONCATENATE("R1C",'Mapa final'!#REF!),"")</f>
        <v>#REF!</v>
      </c>
      <c r="V6" s="30" t="str">
        <f>IF(AND('Mapa final'!$AB$10="Muy Alta",'Mapa final'!$AD$10="Moderado"),CONCATENATE("R1C",'Mapa final'!$R$10),"")</f>
        <v>R1C1</v>
      </c>
      <c r="W6" s="31" t="str">
        <f>IF(AND('Mapa final'!$AB$11="Muy Alta",'Mapa final'!$AD$11="Moderado"),CONCATENATE("R1C",'Mapa final'!$R$11),"")</f>
        <v>R1C2</v>
      </c>
      <c r="X6" s="31" t="str">
        <f>IF(AND('Mapa final'!$AB$13="Muy Alta",'Mapa final'!$AD$13="Moderado"),CONCATENATE("R1C",'Mapa final'!$R$13),"")</f>
        <v/>
      </c>
      <c r="Y6" s="31" t="str">
        <f>IF(AND('Mapa final'!$AB$14="Muy Alta",'Mapa final'!$AD$14="Moderado"),CONCATENATE("R1C",'Mapa final'!$R$14),"")</f>
        <v/>
      </c>
      <c r="Z6" s="31" t="e">
        <f>IF(AND('Mapa final'!#REF!="Muy Alta",'Mapa final'!#REF!="Moderado"),CONCATENATE("R1C",'Mapa final'!#REF!),"")</f>
        <v>#REF!</v>
      </c>
      <c r="AA6" s="32" t="e">
        <f>IF(AND('Mapa final'!#REF!="Muy Alta",'Mapa final'!#REF!="Moderado"),CONCATENATE("R1C",'Mapa final'!#REF!),"")</f>
        <v>#REF!</v>
      </c>
      <c r="AB6" s="30" t="str">
        <f>IF(AND('Mapa final'!$AB$10="Muy Alta",'Mapa final'!$AD$10="Mayor"),CONCATENATE("R1C",'Mapa final'!$R$10),"")</f>
        <v/>
      </c>
      <c r="AC6" s="31" t="str">
        <f>IF(AND('Mapa final'!$AB$11="Muy Alta",'Mapa final'!$AD$11="Mayor"),CONCATENATE("R1C",'Mapa final'!$R$11),"")</f>
        <v/>
      </c>
      <c r="AD6" s="31" t="str">
        <f>IF(AND('Mapa final'!$AB$13="Muy Alta",'Mapa final'!$AD$13="Mayor"),CONCATENATE("R1C",'Mapa final'!$R$13),"")</f>
        <v/>
      </c>
      <c r="AE6" s="31" t="str">
        <f>IF(AND('Mapa final'!$AB$14="Muy Alta",'Mapa final'!$AD$14="Mayor"),CONCATENATE("R1C",'Mapa final'!$R$14),"")</f>
        <v/>
      </c>
      <c r="AF6" s="31" t="e">
        <f>IF(AND('Mapa final'!#REF!="Muy Alta",'Mapa final'!#REF!="Mayor"),CONCATENATE("R1C",'Mapa final'!#REF!),"")</f>
        <v>#REF!</v>
      </c>
      <c r="AG6" s="32" t="e">
        <f>IF(AND('Mapa final'!#REF!="Muy Alta",'Mapa final'!#REF!="Mayor"),CONCATENATE("R1C",'Mapa final'!#REF!),"")</f>
        <v>#REF!</v>
      </c>
      <c r="AH6" s="33" t="str">
        <f>IF(AND('Mapa final'!$AB$10="Muy Alta",'Mapa final'!$AD$10="Catastrófico"),CONCATENATE("R1C",'Mapa final'!$R$10),"")</f>
        <v/>
      </c>
      <c r="AI6" s="34" t="str">
        <f>IF(AND('Mapa final'!$AB$11="Muy Alta",'Mapa final'!$AD$11="Catastrófico"),CONCATENATE("R1C",'Mapa final'!$R$11),"")</f>
        <v/>
      </c>
      <c r="AJ6" s="34" t="str">
        <f>IF(AND('Mapa final'!$AB$13="Muy Alta",'Mapa final'!$AD$13="Catastrófico"),CONCATENATE("R1C",'Mapa final'!$R$13),"")</f>
        <v/>
      </c>
      <c r="AK6" s="34" t="str">
        <f>IF(AND('Mapa final'!$AB$14="Muy Alta",'Mapa final'!$AD$14="Catastrófico"),CONCATENATE("R1C",'Mapa final'!$R$14),"")</f>
        <v/>
      </c>
      <c r="AL6" s="34" t="e">
        <f>IF(AND('Mapa final'!#REF!="Muy Alta",'Mapa final'!#REF!="Catastrófico"),CONCATENATE("R1C",'Mapa final'!#REF!),"")</f>
        <v>#REF!</v>
      </c>
      <c r="AM6" s="35" t="e">
        <f>IF(AND('Mapa final'!#REF!="Muy Alta",'Mapa final'!#REF!="Catastrófico"),CONCATENATE("R1C",'Mapa final'!#REF!),"")</f>
        <v>#REF!</v>
      </c>
      <c r="AN6" s="67"/>
      <c r="AO6" s="603" t="s">
        <v>77</v>
      </c>
      <c r="AP6" s="604"/>
      <c r="AQ6" s="604"/>
      <c r="AR6" s="604"/>
      <c r="AS6" s="604"/>
      <c r="AT6" s="605"/>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545"/>
      <c r="C7" s="545"/>
      <c r="D7" s="546"/>
      <c r="E7" s="586"/>
      <c r="F7" s="587"/>
      <c r="G7" s="587"/>
      <c r="H7" s="587"/>
      <c r="I7" s="588"/>
      <c r="J7" s="36" t="str">
        <f>IF(AND('Mapa final'!$AB$15="Muy Alta",'Mapa final'!$AD$15="Leve"),CONCATENATE("R2C",'Mapa final'!$R$15),"")</f>
        <v/>
      </c>
      <c r="K7" s="37" t="str">
        <f>IF(AND('Mapa final'!$AB$16="Muy Alta",'Mapa final'!$AD$16="Leve"),CONCATENATE("R2C",'Mapa final'!$R$16),"")</f>
        <v/>
      </c>
      <c r="L7" s="37" t="str">
        <f>IF(AND('Mapa final'!$AB$17="Muy Alta",'Mapa final'!$AD$17="Leve"),CONCATENATE("R2C",'Mapa final'!$R$17),"")</f>
        <v/>
      </c>
      <c r="M7" s="37" t="str">
        <f>IF(AND('Mapa final'!$AB$18="Muy Alta",'Mapa final'!$AD$18="Leve"),CONCATENATE("R2C",'Mapa final'!$R$18),"")</f>
        <v/>
      </c>
      <c r="N7" s="37" t="str">
        <f>IF(AND('Mapa final'!$AB$19="Muy Alta",'Mapa final'!$AD$19="Leve"),CONCATENATE("R2C",'Mapa final'!$R$19),"")</f>
        <v/>
      </c>
      <c r="O7" s="38" t="str">
        <f>IF(AND('Mapa final'!$AB$20="Muy Alta",'Mapa final'!$AD$20="Leve"),CONCATENATE("R2C",'Mapa final'!$R$20),"")</f>
        <v/>
      </c>
      <c r="P7" s="36" t="str">
        <f>IF(AND('Mapa final'!$AB$15="Muy Alta",'Mapa final'!$AD$15="Menor"),CONCATENATE("R2C",'Mapa final'!$R$15),"")</f>
        <v>R2C1</v>
      </c>
      <c r="Q7" s="37" t="str">
        <f>IF(AND('Mapa final'!$AB$16="Muy Alta",'Mapa final'!$AD$16="Menor"),CONCATENATE("R2C",'Mapa final'!$R$16),"")</f>
        <v>R2C2</v>
      </c>
      <c r="R7" s="37" t="str">
        <f>IF(AND('Mapa final'!$AB$17="Muy Alta",'Mapa final'!$AD$17="Menor"),CONCATENATE("R2C",'Mapa final'!$R$17),"")</f>
        <v/>
      </c>
      <c r="S7" s="37" t="str">
        <f>IF(AND('Mapa final'!$AB$18="Muy Alta",'Mapa final'!$AD$18="Menor"),CONCATENATE("R2C",'Mapa final'!$R$18),"")</f>
        <v/>
      </c>
      <c r="T7" s="37" t="str">
        <f>IF(AND('Mapa final'!$AB$19="Muy Alta",'Mapa final'!$AD$19="Menor"),CONCATENATE("R2C",'Mapa final'!$R$19),"")</f>
        <v/>
      </c>
      <c r="U7" s="38" t="str">
        <f>IF(AND('Mapa final'!$AB$20="Muy Alta",'Mapa final'!$AD$20="Menor"),CONCATENATE("R2C",'Mapa final'!$R$20),"")</f>
        <v/>
      </c>
      <c r="V7" s="36" t="str">
        <f>IF(AND('Mapa final'!$AB$15="Muy Alta",'Mapa final'!$AD$15="Moderado"),CONCATENATE("R2C",'Mapa final'!$R$15),"")</f>
        <v/>
      </c>
      <c r="W7" s="37" t="str">
        <f>IF(AND('Mapa final'!$AB$16="Muy Alta",'Mapa final'!$AD$16="Moderado"),CONCATENATE("R2C",'Mapa final'!$R$16),"")</f>
        <v/>
      </c>
      <c r="X7" s="37" t="str">
        <f>IF(AND('Mapa final'!$AB$17="Muy Alta",'Mapa final'!$AD$17="Moderado"),CONCATENATE("R2C",'Mapa final'!$R$17),"")</f>
        <v/>
      </c>
      <c r="Y7" s="37" t="str">
        <f>IF(AND('Mapa final'!$AB$18="Muy Alta",'Mapa final'!$AD$18="Moderado"),CONCATENATE("R2C",'Mapa final'!$R$18),"")</f>
        <v/>
      </c>
      <c r="Z7" s="37" t="str">
        <f>IF(AND('Mapa final'!$AB$19="Muy Alta",'Mapa final'!$AD$19="Moderado"),CONCATENATE("R2C",'Mapa final'!$R$19),"")</f>
        <v/>
      </c>
      <c r="AA7" s="38" t="str">
        <f>IF(AND('Mapa final'!$AB$20="Muy Alta",'Mapa final'!$AD$20="Moderado"),CONCATENATE("R2C",'Mapa final'!$R$20),"")</f>
        <v/>
      </c>
      <c r="AB7" s="36" t="str">
        <f>IF(AND('Mapa final'!$AB$15="Muy Alta",'Mapa final'!$AD$15="Mayor"),CONCATENATE("R2C",'Mapa final'!$R$15),"")</f>
        <v/>
      </c>
      <c r="AC7" s="37" t="str">
        <f>IF(AND('Mapa final'!$AB$16="Muy Alta",'Mapa final'!$AD$16="Mayor"),CONCATENATE("R2C",'Mapa final'!$R$16),"")</f>
        <v/>
      </c>
      <c r="AD7" s="37" t="str">
        <f>IF(AND('Mapa final'!$AB$17="Muy Alta",'Mapa final'!$AD$17="Mayor"),CONCATENATE("R2C",'Mapa final'!$R$17),"")</f>
        <v/>
      </c>
      <c r="AE7" s="37" t="str">
        <f>IF(AND('Mapa final'!$AB$18="Muy Alta",'Mapa final'!$AD$18="Mayor"),CONCATENATE("R2C",'Mapa final'!$R$18),"")</f>
        <v/>
      </c>
      <c r="AF7" s="37" t="str">
        <f>IF(AND('Mapa final'!$AB$19="Muy Alta",'Mapa final'!$AD$19="Mayor"),CONCATENATE("R2C",'Mapa final'!$R$19),"")</f>
        <v/>
      </c>
      <c r="AG7" s="38" t="str">
        <f>IF(AND('Mapa final'!$AB$20="Muy Alta",'Mapa final'!$AD$20="Mayor"),CONCATENATE("R2C",'Mapa final'!$R$20),"")</f>
        <v/>
      </c>
      <c r="AH7" s="39" t="str">
        <f>IF(AND('Mapa final'!$AB$15="Muy Alta",'Mapa final'!$AD$15="Catastrófico"),CONCATENATE("R2C",'Mapa final'!$R$15),"")</f>
        <v/>
      </c>
      <c r="AI7" s="40" t="str">
        <f>IF(AND('Mapa final'!$AB$16="Muy Alta",'Mapa final'!$AD$16="Catastrófico"),CONCATENATE("R2C",'Mapa final'!$R$16),"")</f>
        <v/>
      </c>
      <c r="AJ7" s="40" t="str">
        <f>IF(AND('Mapa final'!$AB$17="Muy Alta",'Mapa final'!$AD$17="Catastrófico"),CONCATENATE("R2C",'Mapa final'!$R$17),"")</f>
        <v/>
      </c>
      <c r="AK7" s="40" t="str">
        <f>IF(AND('Mapa final'!$AB$18="Muy Alta",'Mapa final'!$AD$18="Catastrófico"),CONCATENATE("R2C",'Mapa final'!$R$18),"")</f>
        <v/>
      </c>
      <c r="AL7" s="40" t="str">
        <f>IF(AND('Mapa final'!$AB$19="Muy Alta",'Mapa final'!$AD$19="Catastrófico"),CONCATENATE("R2C",'Mapa final'!$R$19),"")</f>
        <v/>
      </c>
      <c r="AM7" s="41" t="str">
        <f>IF(AND('Mapa final'!$AB$20="Muy Alta",'Mapa final'!$AD$20="Catastrófico"),CONCATENATE("R2C",'Mapa final'!$R$20),"")</f>
        <v/>
      </c>
      <c r="AN7" s="67"/>
      <c r="AO7" s="606"/>
      <c r="AP7" s="607"/>
      <c r="AQ7" s="607"/>
      <c r="AR7" s="607"/>
      <c r="AS7" s="607"/>
      <c r="AT7" s="608"/>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545"/>
      <c r="C8" s="545"/>
      <c r="D8" s="546"/>
      <c r="E8" s="586"/>
      <c r="F8" s="587"/>
      <c r="G8" s="587"/>
      <c r="H8" s="587"/>
      <c r="I8" s="588"/>
      <c r="J8" s="36" t="str">
        <f>IF(AND('Mapa final'!$AB$21="Muy Alta",'Mapa final'!$AD$21="Leve"),CONCATENATE("R3C",'Mapa final'!$R$21),"")</f>
        <v/>
      </c>
      <c r="K8" s="37" t="str">
        <f>IF(AND('Mapa final'!$AB$22="Muy Alta",'Mapa final'!$AD$22="Leve"),CONCATENATE("R3C",'Mapa final'!$R$22),"")</f>
        <v/>
      </c>
      <c r="L8" s="37" t="str">
        <f>IF(AND('Mapa final'!$AB$23="Muy Alta",'Mapa final'!$AD$23="Leve"),CONCATENATE("R3C",'Mapa final'!$R$23),"")</f>
        <v/>
      </c>
      <c r="M8" s="37" t="str">
        <f>IF(AND('Mapa final'!$AB$24="Muy Alta",'Mapa final'!$AD$24="Leve"),CONCATENATE("R3C",'Mapa final'!$R$24),"")</f>
        <v/>
      </c>
      <c r="N8" s="37" t="str">
        <f>IF(AND('Mapa final'!$AB$25="Muy Alta",'Mapa final'!$AD$25="Leve"),CONCATENATE("R3C",'Mapa final'!$R$25),"")</f>
        <v/>
      </c>
      <c r="O8" s="38" t="str">
        <f>IF(AND('Mapa final'!$AB$26="Muy Alta",'Mapa final'!$AD$26="Leve"),CONCATENATE("R3C",'Mapa final'!$R$26),"")</f>
        <v/>
      </c>
      <c r="P8" s="36" t="str">
        <f>IF(AND('Mapa final'!$AB$21="Muy Alta",'Mapa final'!$AD$21="Menor"),CONCATENATE("R3C",'Mapa final'!$R$21),"")</f>
        <v/>
      </c>
      <c r="Q8" s="37" t="str">
        <f>IF(AND('Mapa final'!$AB$22="Muy Alta",'Mapa final'!$AD$22="Menor"),CONCATENATE("R3C",'Mapa final'!$R$22),"")</f>
        <v/>
      </c>
      <c r="R8" s="37" t="str">
        <f>IF(AND('Mapa final'!$AB$23="Muy Alta",'Mapa final'!$AD$23="Menor"),CONCATENATE("R3C",'Mapa final'!$R$23),"")</f>
        <v/>
      </c>
      <c r="S8" s="37" t="str">
        <f>IF(AND('Mapa final'!$AB$24="Muy Alta",'Mapa final'!$AD$24="Menor"),CONCATENATE("R3C",'Mapa final'!$R$24),"")</f>
        <v/>
      </c>
      <c r="T8" s="37" t="str">
        <f>IF(AND('Mapa final'!$AB$25="Muy Alta",'Mapa final'!$AD$25="Menor"),CONCATENATE("R3C",'Mapa final'!$R$25),"")</f>
        <v/>
      </c>
      <c r="U8" s="38" t="str">
        <f>IF(AND('Mapa final'!$AB$26="Muy Alta",'Mapa final'!$AD$26="Menor"),CONCATENATE("R3C",'Mapa final'!$R$26),"")</f>
        <v/>
      </c>
      <c r="V8" s="36" t="str">
        <f>IF(AND('Mapa final'!$AB$21="Muy Alta",'Mapa final'!$AD$21="Moderado"),CONCATENATE("R3C",'Mapa final'!$R$21),"")</f>
        <v/>
      </c>
      <c r="W8" s="37" t="str">
        <f>IF(AND('Mapa final'!$AB$22="Muy Alta",'Mapa final'!$AD$22="Moderado"),CONCATENATE("R3C",'Mapa final'!$R$22),"")</f>
        <v/>
      </c>
      <c r="X8" s="37" t="str">
        <f>IF(AND('Mapa final'!$AB$23="Muy Alta",'Mapa final'!$AD$23="Moderado"),CONCATENATE("R3C",'Mapa final'!$R$23),"")</f>
        <v/>
      </c>
      <c r="Y8" s="37" t="str">
        <f>IF(AND('Mapa final'!$AB$24="Muy Alta",'Mapa final'!$AD$24="Moderado"),CONCATENATE("R3C",'Mapa final'!$R$24),"")</f>
        <v/>
      </c>
      <c r="Z8" s="37" t="str">
        <f>IF(AND('Mapa final'!$AB$25="Muy Alta",'Mapa final'!$AD$25="Moderado"),CONCATENATE("R3C",'Mapa final'!$R$25),"")</f>
        <v/>
      </c>
      <c r="AA8" s="38" t="str">
        <f>IF(AND('Mapa final'!$AB$26="Muy Alta",'Mapa final'!$AD$26="Moderado"),CONCATENATE("R3C",'Mapa final'!$R$26),"")</f>
        <v/>
      </c>
      <c r="AB8" s="36" t="str">
        <f>IF(AND('Mapa final'!$AB$21="Muy Alta",'Mapa final'!$AD$21="Mayor"),CONCATENATE("R3C",'Mapa final'!$R$21),"")</f>
        <v/>
      </c>
      <c r="AC8" s="37" t="str">
        <f>IF(AND('Mapa final'!$AB$22="Muy Alta",'Mapa final'!$AD$22="Mayor"),CONCATENATE("R3C",'Mapa final'!$R$22),"")</f>
        <v/>
      </c>
      <c r="AD8" s="37" t="str">
        <f>IF(AND('Mapa final'!$AB$23="Muy Alta",'Mapa final'!$AD$23="Mayor"),CONCATENATE("R3C",'Mapa final'!$R$23),"")</f>
        <v/>
      </c>
      <c r="AE8" s="37" t="str">
        <f>IF(AND('Mapa final'!$AB$24="Muy Alta",'Mapa final'!$AD$24="Mayor"),CONCATENATE("R3C",'Mapa final'!$R$24),"")</f>
        <v/>
      </c>
      <c r="AF8" s="37" t="str">
        <f>IF(AND('Mapa final'!$AB$25="Muy Alta",'Mapa final'!$AD$25="Mayor"),CONCATENATE("R3C",'Mapa final'!$R$25),"")</f>
        <v/>
      </c>
      <c r="AG8" s="38" t="str">
        <f>IF(AND('Mapa final'!$AB$26="Muy Alta",'Mapa final'!$AD$26="Mayor"),CONCATENATE("R3C",'Mapa final'!$R$26),"")</f>
        <v/>
      </c>
      <c r="AH8" s="39" t="str">
        <f>IF(AND('Mapa final'!$AB$21="Muy Alta",'Mapa final'!$AD$21="Catastrófico"),CONCATENATE("R3C",'Mapa final'!$R$21),"")</f>
        <v/>
      </c>
      <c r="AI8" s="40" t="str">
        <f>IF(AND('Mapa final'!$AB$22="Muy Alta",'Mapa final'!$AD$22="Catastrófico"),CONCATENATE("R3C",'Mapa final'!$R$22),"")</f>
        <v/>
      </c>
      <c r="AJ8" s="40" t="str">
        <f>IF(AND('Mapa final'!$AB$23="Muy Alta",'Mapa final'!$AD$23="Catastrófico"),CONCATENATE("R3C",'Mapa final'!$R$23),"")</f>
        <v/>
      </c>
      <c r="AK8" s="40" t="str">
        <f>IF(AND('Mapa final'!$AB$24="Muy Alta",'Mapa final'!$AD$24="Catastrófico"),CONCATENATE("R3C",'Mapa final'!$R$24),"")</f>
        <v/>
      </c>
      <c r="AL8" s="40" t="str">
        <f>IF(AND('Mapa final'!$AB$25="Muy Alta",'Mapa final'!$AD$25="Catastrófico"),CONCATENATE("R3C",'Mapa final'!$R$25),"")</f>
        <v/>
      </c>
      <c r="AM8" s="41" t="str">
        <f>IF(AND('Mapa final'!$AB$26="Muy Alta",'Mapa final'!$AD$26="Catastrófico"),CONCATENATE("R3C",'Mapa final'!$R$26),"")</f>
        <v/>
      </c>
      <c r="AN8" s="67"/>
      <c r="AO8" s="606"/>
      <c r="AP8" s="607"/>
      <c r="AQ8" s="607"/>
      <c r="AR8" s="607"/>
      <c r="AS8" s="607"/>
      <c r="AT8" s="608"/>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545"/>
      <c r="C9" s="545"/>
      <c r="D9" s="546"/>
      <c r="E9" s="586"/>
      <c r="F9" s="587"/>
      <c r="G9" s="587"/>
      <c r="H9" s="587"/>
      <c r="I9" s="588"/>
      <c r="J9" s="36" t="str">
        <f>IF(AND('Mapa final'!$AB$27="Muy Alta",'Mapa final'!$AD$27="Leve"),CONCATENATE("R4C",'Mapa final'!$R$27),"")</f>
        <v/>
      </c>
      <c r="K9" s="37" t="str">
        <f>IF(AND('Mapa final'!$AB$28="Muy Alta",'Mapa final'!$AD$28="Leve"),CONCATENATE("R4C",'Mapa final'!$R$28),"")</f>
        <v/>
      </c>
      <c r="L9" s="37" t="str">
        <f>IF(AND('Mapa final'!$AB$29="Muy Alta",'Mapa final'!$AD$29="Leve"),CONCATENATE("R4C",'Mapa final'!$R$29),"")</f>
        <v/>
      </c>
      <c r="M9" s="37" t="str">
        <f>IF(AND('Mapa final'!$AB$30="Muy Alta",'Mapa final'!$AD$30="Leve"),CONCATENATE("R4C",'Mapa final'!$R$30),"")</f>
        <v/>
      </c>
      <c r="N9" s="37" t="str">
        <f>IF(AND('Mapa final'!$AB$31="Muy Alta",'Mapa final'!$AD$31="Leve"),CONCATENATE("R4C",'Mapa final'!$R$31),"")</f>
        <v/>
      </c>
      <c r="O9" s="38" t="str">
        <f>IF(AND('Mapa final'!$AB$32="Muy Alta",'Mapa final'!$AD$32="Leve"),CONCATENATE("R4C",'Mapa final'!$R$32),"")</f>
        <v/>
      </c>
      <c r="P9" s="36" t="str">
        <f>IF(AND('Mapa final'!$AB$27="Muy Alta",'Mapa final'!$AD$27="Menor"),CONCATENATE("R4C",'Mapa final'!$R$27),"")</f>
        <v/>
      </c>
      <c r="Q9" s="37" t="str">
        <f>IF(AND('Mapa final'!$AB$28="Muy Alta",'Mapa final'!$AD$28="Menor"),CONCATENATE("R4C",'Mapa final'!$R$28),"")</f>
        <v/>
      </c>
      <c r="R9" s="37" t="str">
        <f>IF(AND('Mapa final'!$AB$29="Muy Alta",'Mapa final'!$AD$29="Menor"),CONCATENATE("R4C",'Mapa final'!$R$29),"")</f>
        <v/>
      </c>
      <c r="S9" s="37" t="str">
        <f>IF(AND('Mapa final'!$AB$30="Muy Alta",'Mapa final'!$AD$30="Menor"),CONCATENATE("R4C",'Mapa final'!$R$30),"")</f>
        <v/>
      </c>
      <c r="T9" s="37" t="str">
        <f>IF(AND('Mapa final'!$AB$31="Muy Alta",'Mapa final'!$AD$31="Menor"),CONCATENATE("R4C",'Mapa final'!$R$31),"")</f>
        <v/>
      </c>
      <c r="U9" s="38" t="str">
        <f>IF(AND('Mapa final'!$AB$32="Muy Alta",'Mapa final'!$AD$32="Menor"),CONCATENATE("R4C",'Mapa final'!$R$32),"")</f>
        <v/>
      </c>
      <c r="V9" s="36" t="str">
        <f>IF(AND('Mapa final'!$AB$27="Muy Alta",'Mapa final'!$AD$27="Moderado"),CONCATENATE("R4C",'Mapa final'!$R$27),"")</f>
        <v/>
      </c>
      <c r="W9" s="37" t="str">
        <f>IF(AND('Mapa final'!$AB$28="Muy Alta",'Mapa final'!$AD$28="Moderado"),CONCATENATE("R4C",'Mapa final'!$R$28),"")</f>
        <v/>
      </c>
      <c r="X9" s="37" t="str">
        <f>IF(AND('Mapa final'!$AB$29="Muy Alta",'Mapa final'!$AD$29="Moderado"),CONCATENATE("R4C",'Mapa final'!$R$29),"")</f>
        <v/>
      </c>
      <c r="Y9" s="37" t="str">
        <f>IF(AND('Mapa final'!$AB$30="Muy Alta",'Mapa final'!$AD$30="Moderado"),CONCATENATE("R4C",'Mapa final'!$R$30),"")</f>
        <v/>
      </c>
      <c r="Z9" s="37" t="str">
        <f>IF(AND('Mapa final'!$AB$31="Muy Alta",'Mapa final'!$AD$31="Moderado"),CONCATENATE("R4C",'Mapa final'!$R$31),"")</f>
        <v/>
      </c>
      <c r="AA9" s="38" t="str">
        <f>IF(AND('Mapa final'!$AB$32="Muy Alta",'Mapa final'!$AD$32="Moderado"),CONCATENATE("R4C",'Mapa final'!$R$32),"")</f>
        <v/>
      </c>
      <c r="AB9" s="36" t="str">
        <f>IF(AND('Mapa final'!$AB$27="Muy Alta",'Mapa final'!$AD$27="Mayor"),CONCATENATE("R4C",'Mapa final'!$R$27),"")</f>
        <v/>
      </c>
      <c r="AC9" s="37" t="str">
        <f>IF(AND('Mapa final'!$AB$28="Muy Alta",'Mapa final'!$AD$28="Mayor"),CONCATENATE("R4C",'Mapa final'!$R$28),"")</f>
        <v/>
      </c>
      <c r="AD9" s="37" t="str">
        <f>IF(AND('Mapa final'!$AB$29="Muy Alta",'Mapa final'!$AD$29="Mayor"),CONCATENATE("R4C",'Mapa final'!$R$29),"")</f>
        <v/>
      </c>
      <c r="AE9" s="37" t="str">
        <f>IF(AND('Mapa final'!$AB$30="Muy Alta",'Mapa final'!$AD$30="Mayor"),CONCATENATE("R4C",'Mapa final'!$R$30),"")</f>
        <v/>
      </c>
      <c r="AF9" s="37" t="str">
        <f>IF(AND('Mapa final'!$AB$31="Muy Alta",'Mapa final'!$AD$31="Mayor"),CONCATENATE("R4C",'Mapa final'!$R$31),"")</f>
        <v/>
      </c>
      <c r="AG9" s="38" t="str">
        <f>IF(AND('Mapa final'!$AB$32="Muy Alta",'Mapa final'!$AD$32="Mayor"),CONCATENATE("R4C",'Mapa final'!$R$32),"")</f>
        <v/>
      </c>
      <c r="AH9" s="39" t="str">
        <f>IF(AND('Mapa final'!$AB$27="Muy Alta",'Mapa final'!$AD$27="Catastrófico"),CONCATENATE("R4C",'Mapa final'!$R$27),"")</f>
        <v/>
      </c>
      <c r="AI9" s="40" t="str">
        <f>IF(AND('Mapa final'!$AB$28="Muy Alta",'Mapa final'!$AD$28="Catastrófico"),CONCATENATE("R4C",'Mapa final'!$R$28),"")</f>
        <v/>
      </c>
      <c r="AJ9" s="40" t="str">
        <f>IF(AND('Mapa final'!$AB$29="Muy Alta",'Mapa final'!$AD$29="Catastrófico"),CONCATENATE("R4C",'Mapa final'!$R$29),"")</f>
        <v/>
      </c>
      <c r="AK9" s="40" t="str">
        <f>IF(AND('Mapa final'!$AB$30="Muy Alta",'Mapa final'!$AD$30="Catastrófico"),CONCATENATE("R4C",'Mapa final'!$R$30),"")</f>
        <v/>
      </c>
      <c r="AL9" s="40" t="str">
        <f>IF(AND('Mapa final'!$AB$31="Muy Alta",'Mapa final'!$AD$31="Catastrófico"),CONCATENATE("R4C",'Mapa final'!$R$31),"")</f>
        <v/>
      </c>
      <c r="AM9" s="41" t="str">
        <f>IF(AND('Mapa final'!$AB$32="Muy Alta",'Mapa final'!$AD$32="Catastrófico"),CONCATENATE("R4C",'Mapa final'!$R$32),"")</f>
        <v/>
      </c>
      <c r="AN9" s="67"/>
      <c r="AO9" s="606"/>
      <c r="AP9" s="607"/>
      <c r="AQ9" s="607"/>
      <c r="AR9" s="607"/>
      <c r="AS9" s="607"/>
      <c r="AT9" s="608"/>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545"/>
      <c r="C10" s="545"/>
      <c r="D10" s="546"/>
      <c r="E10" s="586"/>
      <c r="F10" s="587"/>
      <c r="G10" s="587"/>
      <c r="H10" s="587"/>
      <c r="I10" s="588"/>
      <c r="J10" s="36" t="str">
        <f>IF(AND('Mapa final'!$AB$33="Muy Alta",'Mapa final'!$AD$33="Leve"),CONCATENATE("R5C",'Mapa final'!$R$33),"")</f>
        <v/>
      </c>
      <c r="K10" s="37" t="str">
        <f>IF(AND('Mapa final'!$AB$34="Muy Alta",'Mapa final'!$AD$34="Leve"),CONCATENATE("R5C",'Mapa final'!$R$34),"")</f>
        <v/>
      </c>
      <c r="L10" s="37" t="str">
        <f>IF(AND('Mapa final'!$AB$35="Muy Alta",'Mapa final'!$AD$35="Leve"),CONCATENATE("R5C",'Mapa final'!$R$35),"")</f>
        <v/>
      </c>
      <c r="M10" s="37" t="str">
        <f>IF(AND('Mapa final'!$AB$36="Muy Alta",'Mapa final'!$AD$36="Leve"),CONCATENATE("R5C",'Mapa final'!$R$36),"")</f>
        <v/>
      </c>
      <c r="N10" s="37" t="str">
        <f>IF(AND('Mapa final'!$AB$37="Muy Alta",'Mapa final'!$AD$37="Leve"),CONCATENATE("R5C",'Mapa final'!$R$37),"")</f>
        <v/>
      </c>
      <c r="O10" s="38" t="str">
        <f>IF(AND('Mapa final'!$AB$38="Muy Alta",'Mapa final'!$AD$38="Leve"),CONCATENATE("R5C",'Mapa final'!$R$38),"")</f>
        <v/>
      </c>
      <c r="P10" s="36" t="str">
        <f>IF(AND('Mapa final'!$AB$33="Muy Alta",'Mapa final'!$AD$33="Menor"),CONCATENATE("R5C",'Mapa final'!$R$33),"")</f>
        <v/>
      </c>
      <c r="Q10" s="37" t="str">
        <f>IF(AND('Mapa final'!$AB$34="Muy Alta",'Mapa final'!$AD$34="Menor"),CONCATENATE("R5C",'Mapa final'!$R$34),"")</f>
        <v/>
      </c>
      <c r="R10" s="37" t="str">
        <f>IF(AND('Mapa final'!$AB$35="Muy Alta",'Mapa final'!$AD$35="Menor"),CONCATENATE("R5C",'Mapa final'!$R$35),"")</f>
        <v/>
      </c>
      <c r="S10" s="37" t="str">
        <f>IF(AND('Mapa final'!$AB$36="Muy Alta",'Mapa final'!$AD$36="Menor"),CONCATENATE("R5C",'Mapa final'!$R$36),"")</f>
        <v/>
      </c>
      <c r="T10" s="37" t="str">
        <f>IF(AND('Mapa final'!$AB$37="Muy Alta",'Mapa final'!$AD$37="Menor"),CONCATENATE("R5C",'Mapa final'!$R$37),"")</f>
        <v/>
      </c>
      <c r="U10" s="38" t="str">
        <f>IF(AND('Mapa final'!$AB$38="Muy Alta",'Mapa final'!$AD$38="Menor"),CONCATENATE("R5C",'Mapa final'!$R$38),"")</f>
        <v/>
      </c>
      <c r="V10" s="36" t="str">
        <f>IF(AND('Mapa final'!$AB$33="Muy Alta",'Mapa final'!$AD$33="Moderado"),CONCATENATE("R5C",'Mapa final'!$R$33),"")</f>
        <v/>
      </c>
      <c r="W10" s="37" t="str">
        <f>IF(AND('Mapa final'!$AB$34="Muy Alta",'Mapa final'!$AD$34="Moderado"),CONCATENATE("R5C",'Mapa final'!$R$34),"")</f>
        <v/>
      </c>
      <c r="X10" s="37" t="str">
        <f>IF(AND('Mapa final'!$AB$35="Muy Alta",'Mapa final'!$AD$35="Moderado"),CONCATENATE("R5C",'Mapa final'!$R$35),"")</f>
        <v/>
      </c>
      <c r="Y10" s="37" t="str">
        <f>IF(AND('Mapa final'!$AB$36="Muy Alta",'Mapa final'!$AD$36="Moderado"),CONCATENATE("R5C",'Mapa final'!$R$36),"")</f>
        <v/>
      </c>
      <c r="Z10" s="37" t="str">
        <f>IF(AND('Mapa final'!$AB$37="Muy Alta",'Mapa final'!$AD$37="Moderado"),CONCATENATE("R5C",'Mapa final'!$R$37),"")</f>
        <v/>
      </c>
      <c r="AA10" s="38" t="str">
        <f>IF(AND('Mapa final'!$AB$38="Muy Alta",'Mapa final'!$AD$38="Moderado"),CONCATENATE("R5C",'Mapa final'!$R$38),"")</f>
        <v/>
      </c>
      <c r="AB10" s="36" t="str">
        <f>IF(AND('Mapa final'!$AB$33="Muy Alta",'Mapa final'!$AD$33="Mayor"),CONCATENATE("R5C",'Mapa final'!$R$33),"")</f>
        <v/>
      </c>
      <c r="AC10" s="37" t="str">
        <f>IF(AND('Mapa final'!$AB$34="Muy Alta",'Mapa final'!$AD$34="Mayor"),CONCATENATE("R5C",'Mapa final'!$R$34),"")</f>
        <v/>
      </c>
      <c r="AD10" s="37" t="str">
        <f>IF(AND('Mapa final'!$AB$35="Muy Alta",'Mapa final'!$AD$35="Mayor"),CONCATENATE("R5C",'Mapa final'!$R$35),"")</f>
        <v/>
      </c>
      <c r="AE10" s="37" t="str">
        <f>IF(AND('Mapa final'!$AB$36="Muy Alta",'Mapa final'!$AD$36="Mayor"),CONCATENATE("R5C",'Mapa final'!$R$36),"")</f>
        <v/>
      </c>
      <c r="AF10" s="37" t="str">
        <f>IF(AND('Mapa final'!$AB$37="Muy Alta",'Mapa final'!$AD$37="Mayor"),CONCATENATE("R5C",'Mapa final'!$R$37),"")</f>
        <v/>
      </c>
      <c r="AG10" s="38" t="str">
        <f>IF(AND('Mapa final'!$AB$38="Muy Alta",'Mapa final'!$AD$38="Mayor"),CONCATENATE("R5C",'Mapa final'!$R$38),"")</f>
        <v/>
      </c>
      <c r="AH10" s="39" t="str">
        <f>IF(AND('Mapa final'!$AB$33="Muy Alta",'Mapa final'!$AD$33="Catastrófico"),CONCATENATE("R5C",'Mapa final'!$R$33),"")</f>
        <v/>
      </c>
      <c r="AI10" s="40" t="str">
        <f>IF(AND('Mapa final'!$AB$34="Muy Alta",'Mapa final'!$AD$34="Catastrófico"),CONCATENATE("R5C",'Mapa final'!$R$34),"")</f>
        <v/>
      </c>
      <c r="AJ10" s="40" t="str">
        <f>IF(AND('Mapa final'!$AB$35="Muy Alta",'Mapa final'!$AD$35="Catastrófico"),CONCATENATE("R5C",'Mapa final'!$R$35),"")</f>
        <v/>
      </c>
      <c r="AK10" s="40" t="str">
        <f>IF(AND('Mapa final'!$AB$36="Muy Alta",'Mapa final'!$AD$36="Catastrófico"),CONCATENATE("R5C",'Mapa final'!$R$36),"")</f>
        <v/>
      </c>
      <c r="AL10" s="40" t="str">
        <f>IF(AND('Mapa final'!$AB$37="Muy Alta",'Mapa final'!$AD$37="Catastrófico"),CONCATENATE("R5C",'Mapa final'!$R$37),"")</f>
        <v/>
      </c>
      <c r="AM10" s="41" t="str">
        <f>IF(AND('Mapa final'!$AB$38="Muy Alta",'Mapa final'!$AD$38="Catastrófico"),CONCATENATE("R5C",'Mapa final'!$R$38),"")</f>
        <v/>
      </c>
      <c r="AN10" s="67"/>
      <c r="AO10" s="606"/>
      <c r="AP10" s="607"/>
      <c r="AQ10" s="607"/>
      <c r="AR10" s="607"/>
      <c r="AS10" s="607"/>
      <c r="AT10" s="608"/>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545"/>
      <c r="C11" s="545"/>
      <c r="D11" s="546"/>
      <c r="E11" s="586"/>
      <c r="F11" s="587"/>
      <c r="G11" s="587"/>
      <c r="H11" s="587"/>
      <c r="I11" s="588"/>
      <c r="J11" s="36" t="str">
        <f>IF(AND('Mapa final'!$AB$39="Muy Alta",'Mapa final'!$AD$39="Leve"),CONCATENATE("R6C",'Mapa final'!$R$39),"")</f>
        <v/>
      </c>
      <c r="K11" s="37" t="str">
        <f>IF(AND('Mapa final'!$AB$40="Muy Alta",'Mapa final'!$AD$40="Leve"),CONCATENATE("R6C",'Mapa final'!$R$40),"")</f>
        <v/>
      </c>
      <c r="L11" s="37" t="str">
        <f>IF(AND('Mapa final'!$AB$41="Muy Alta",'Mapa final'!$AD$41="Leve"),CONCATENATE("R6C",'Mapa final'!$R$41),"")</f>
        <v/>
      </c>
      <c r="M11" s="37" t="str">
        <f>IF(AND('Mapa final'!$AB$42="Muy Alta",'Mapa final'!$AD$42="Leve"),CONCATENATE("R6C",'Mapa final'!$R$42),"")</f>
        <v/>
      </c>
      <c r="N11" s="37" t="str">
        <f>IF(AND('Mapa final'!$AB$43="Muy Alta",'Mapa final'!$AD$43="Leve"),CONCATENATE("R6C",'Mapa final'!$R$43),"")</f>
        <v/>
      </c>
      <c r="O11" s="38" t="str">
        <f>IF(AND('Mapa final'!$AB$44="Muy Alta",'Mapa final'!$AD$44="Leve"),CONCATENATE("R6C",'Mapa final'!$R$44),"")</f>
        <v/>
      </c>
      <c r="P11" s="36" t="str">
        <f>IF(AND('Mapa final'!$AB$39="Muy Alta",'Mapa final'!$AD$39="Menor"),CONCATENATE("R6C",'Mapa final'!$R$39),"")</f>
        <v/>
      </c>
      <c r="Q11" s="37" t="str">
        <f>IF(AND('Mapa final'!$AB$40="Muy Alta",'Mapa final'!$AD$40="Menor"),CONCATENATE("R6C",'Mapa final'!$R$40),"")</f>
        <v/>
      </c>
      <c r="R11" s="37" t="str">
        <f>IF(AND('Mapa final'!$AB$41="Muy Alta",'Mapa final'!$AD$41="Menor"),CONCATENATE("R6C",'Mapa final'!$R$41),"")</f>
        <v/>
      </c>
      <c r="S11" s="37" t="str">
        <f>IF(AND('Mapa final'!$AB$42="Muy Alta",'Mapa final'!$AD$42="Menor"),CONCATENATE("R6C",'Mapa final'!$R$42),"")</f>
        <v/>
      </c>
      <c r="T11" s="37" t="str">
        <f>IF(AND('Mapa final'!$AB$43="Muy Alta",'Mapa final'!$AD$43="Menor"),CONCATENATE("R6C",'Mapa final'!$R$43),"")</f>
        <v/>
      </c>
      <c r="U11" s="38" t="str">
        <f>IF(AND('Mapa final'!$AB$44="Muy Alta",'Mapa final'!$AD$44="Menor"),CONCATENATE("R6C",'Mapa final'!$R$44),"")</f>
        <v/>
      </c>
      <c r="V11" s="36" t="str">
        <f>IF(AND('Mapa final'!$AB$39="Muy Alta",'Mapa final'!$AD$39="Moderado"),CONCATENATE("R6C",'Mapa final'!$R$39),"")</f>
        <v/>
      </c>
      <c r="W11" s="37" t="str">
        <f>IF(AND('Mapa final'!$AB$40="Muy Alta",'Mapa final'!$AD$40="Moderado"),CONCATENATE("R6C",'Mapa final'!$R$40),"")</f>
        <v/>
      </c>
      <c r="X11" s="37" t="str">
        <f>IF(AND('Mapa final'!$AB$41="Muy Alta",'Mapa final'!$AD$41="Moderado"),CONCATENATE("R6C",'Mapa final'!$R$41),"")</f>
        <v/>
      </c>
      <c r="Y11" s="37" t="str">
        <f>IF(AND('Mapa final'!$AB$42="Muy Alta",'Mapa final'!$AD$42="Moderado"),CONCATENATE("R6C",'Mapa final'!$R$42),"")</f>
        <v/>
      </c>
      <c r="Z11" s="37" t="str">
        <f>IF(AND('Mapa final'!$AB$43="Muy Alta",'Mapa final'!$AD$43="Moderado"),CONCATENATE("R6C",'Mapa final'!$R$43),"")</f>
        <v/>
      </c>
      <c r="AA11" s="38" t="str">
        <f>IF(AND('Mapa final'!$AB$44="Muy Alta",'Mapa final'!$AD$44="Moderado"),CONCATENATE("R6C",'Mapa final'!$R$44),"")</f>
        <v/>
      </c>
      <c r="AB11" s="36" t="str">
        <f>IF(AND('Mapa final'!$AB$39="Muy Alta",'Mapa final'!$AD$39="Mayor"),CONCATENATE("R6C",'Mapa final'!$R$39),"")</f>
        <v/>
      </c>
      <c r="AC11" s="37" t="str">
        <f>IF(AND('Mapa final'!$AB$40="Muy Alta",'Mapa final'!$AD$40="Mayor"),CONCATENATE("R6C",'Mapa final'!$R$40),"")</f>
        <v/>
      </c>
      <c r="AD11" s="37" t="str">
        <f>IF(AND('Mapa final'!$AB$41="Muy Alta",'Mapa final'!$AD$41="Mayor"),CONCATENATE("R6C",'Mapa final'!$R$41),"")</f>
        <v/>
      </c>
      <c r="AE11" s="37" t="str">
        <f>IF(AND('Mapa final'!$AB$42="Muy Alta",'Mapa final'!$AD$42="Mayor"),CONCATENATE("R6C",'Mapa final'!$R$42),"")</f>
        <v/>
      </c>
      <c r="AF11" s="37" t="str">
        <f>IF(AND('Mapa final'!$AB$43="Muy Alta",'Mapa final'!$AD$43="Mayor"),CONCATENATE("R6C",'Mapa final'!$R$43),"")</f>
        <v/>
      </c>
      <c r="AG11" s="38" t="str">
        <f>IF(AND('Mapa final'!$AB$44="Muy Alta",'Mapa final'!$AD$44="Mayor"),CONCATENATE("R6C",'Mapa final'!$R$44),"")</f>
        <v/>
      </c>
      <c r="AH11" s="39" t="str">
        <f>IF(AND('Mapa final'!$AB$39="Muy Alta",'Mapa final'!$AD$39="Catastrófico"),CONCATENATE("R6C",'Mapa final'!$R$39),"")</f>
        <v/>
      </c>
      <c r="AI11" s="40" t="str">
        <f>IF(AND('Mapa final'!$AB$40="Muy Alta",'Mapa final'!$AD$40="Catastrófico"),CONCATENATE("R6C",'Mapa final'!$R$40),"")</f>
        <v/>
      </c>
      <c r="AJ11" s="40" t="str">
        <f>IF(AND('Mapa final'!$AB$41="Muy Alta",'Mapa final'!$AD$41="Catastrófico"),CONCATENATE("R6C",'Mapa final'!$R$41),"")</f>
        <v/>
      </c>
      <c r="AK11" s="40" t="str">
        <f>IF(AND('Mapa final'!$AB$42="Muy Alta",'Mapa final'!$AD$42="Catastrófico"),CONCATENATE("R6C",'Mapa final'!$R$42),"")</f>
        <v/>
      </c>
      <c r="AL11" s="40" t="str">
        <f>IF(AND('Mapa final'!$AB$43="Muy Alta",'Mapa final'!$AD$43="Catastrófico"),CONCATENATE("R6C",'Mapa final'!$R$43),"")</f>
        <v/>
      </c>
      <c r="AM11" s="41" t="str">
        <f>IF(AND('Mapa final'!$AB$44="Muy Alta",'Mapa final'!$AD$44="Catastrófico"),CONCATENATE("R6C",'Mapa final'!$R$44),"")</f>
        <v/>
      </c>
      <c r="AN11" s="67"/>
      <c r="AO11" s="606"/>
      <c r="AP11" s="607"/>
      <c r="AQ11" s="607"/>
      <c r="AR11" s="607"/>
      <c r="AS11" s="607"/>
      <c r="AT11" s="608"/>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545"/>
      <c r="C12" s="545"/>
      <c r="D12" s="546"/>
      <c r="E12" s="586"/>
      <c r="F12" s="587"/>
      <c r="G12" s="587"/>
      <c r="H12" s="587"/>
      <c r="I12" s="588"/>
      <c r="J12" s="36" t="str">
        <f>IF(AND('Mapa final'!$AB$45="Muy Alta",'Mapa final'!$AD$45="Leve"),CONCATENATE("R7C",'Mapa final'!$R$45),"")</f>
        <v/>
      </c>
      <c r="K12" s="37" t="str">
        <f>IF(AND('Mapa final'!$AB$46="Muy Alta",'Mapa final'!$AD$46="Leve"),CONCATENATE("R7C",'Mapa final'!$R$46),"")</f>
        <v/>
      </c>
      <c r="L12" s="37" t="str">
        <f>IF(AND('Mapa final'!$AB$47="Muy Alta",'Mapa final'!$AD$47="Leve"),CONCATENATE("R7C",'Mapa final'!$R$47),"")</f>
        <v/>
      </c>
      <c r="M12" s="37" t="str">
        <f>IF(AND('Mapa final'!$AB$48="Muy Alta",'Mapa final'!$AD$48="Leve"),CONCATENATE("R7C",'Mapa final'!$R$48),"")</f>
        <v/>
      </c>
      <c r="N12" s="37" t="str">
        <f>IF(AND('Mapa final'!$AB$49="Muy Alta",'Mapa final'!$AD$49="Leve"),CONCATENATE("R7C",'Mapa final'!$R$49),"")</f>
        <v/>
      </c>
      <c r="O12" s="38" t="str">
        <f>IF(AND('Mapa final'!$AB$50="Muy Alta",'Mapa final'!$AD$50="Leve"),CONCATENATE("R7C",'Mapa final'!$R$50),"")</f>
        <v/>
      </c>
      <c r="P12" s="36" t="str">
        <f>IF(AND('Mapa final'!$AB$45="Muy Alta",'Mapa final'!$AD$45="Menor"),CONCATENATE("R7C",'Mapa final'!$R$45),"")</f>
        <v/>
      </c>
      <c r="Q12" s="37" t="str">
        <f>IF(AND('Mapa final'!$AB$46="Muy Alta",'Mapa final'!$AD$46="Menor"),CONCATENATE("R7C",'Mapa final'!$R$46),"")</f>
        <v/>
      </c>
      <c r="R12" s="37" t="str">
        <f>IF(AND('Mapa final'!$AB$47="Muy Alta",'Mapa final'!$AD$47="Menor"),CONCATENATE("R7C",'Mapa final'!$R$47),"")</f>
        <v/>
      </c>
      <c r="S12" s="37" t="str">
        <f>IF(AND('Mapa final'!$AB$48="Muy Alta",'Mapa final'!$AD$48="Menor"),CONCATENATE("R7C",'Mapa final'!$R$48),"")</f>
        <v/>
      </c>
      <c r="T12" s="37" t="str">
        <f>IF(AND('Mapa final'!$AB$49="Muy Alta",'Mapa final'!$AD$49="Menor"),CONCATENATE("R7C",'Mapa final'!$R$49),"")</f>
        <v/>
      </c>
      <c r="U12" s="38" t="str">
        <f>IF(AND('Mapa final'!$AB$50="Muy Alta",'Mapa final'!$AD$50="Menor"),CONCATENATE("R7C",'Mapa final'!$R$50),"")</f>
        <v/>
      </c>
      <c r="V12" s="36" t="str">
        <f>IF(AND('Mapa final'!$AB$45="Muy Alta",'Mapa final'!$AD$45="Moderado"),CONCATENATE("R7C",'Mapa final'!$R$45),"")</f>
        <v/>
      </c>
      <c r="W12" s="37" t="str">
        <f>IF(AND('Mapa final'!$AB$46="Muy Alta",'Mapa final'!$AD$46="Moderado"),CONCATENATE("R7C",'Mapa final'!$R$46),"")</f>
        <v/>
      </c>
      <c r="X12" s="37" t="str">
        <f>IF(AND('Mapa final'!$AB$47="Muy Alta",'Mapa final'!$AD$47="Moderado"),CONCATENATE("R7C",'Mapa final'!$R$47),"")</f>
        <v/>
      </c>
      <c r="Y12" s="37" t="str">
        <f>IF(AND('Mapa final'!$AB$48="Muy Alta",'Mapa final'!$AD$48="Moderado"),CONCATENATE("R7C",'Mapa final'!$R$48),"")</f>
        <v/>
      </c>
      <c r="Z12" s="37" t="str">
        <f>IF(AND('Mapa final'!$AB$49="Muy Alta",'Mapa final'!$AD$49="Moderado"),CONCATENATE("R7C",'Mapa final'!$R$49),"")</f>
        <v/>
      </c>
      <c r="AA12" s="38" t="str">
        <f>IF(AND('Mapa final'!$AB$50="Muy Alta",'Mapa final'!$AD$50="Moderado"),CONCATENATE("R7C",'Mapa final'!$R$50),"")</f>
        <v/>
      </c>
      <c r="AB12" s="36" t="str">
        <f>IF(AND('Mapa final'!$AB$45="Muy Alta",'Mapa final'!$AD$45="Mayor"),CONCATENATE("R7C",'Mapa final'!$R$45),"")</f>
        <v/>
      </c>
      <c r="AC12" s="37" t="str">
        <f>IF(AND('Mapa final'!$AB$46="Muy Alta",'Mapa final'!$AD$46="Mayor"),CONCATENATE("R7C",'Mapa final'!$R$46),"")</f>
        <v/>
      </c>
      <c r="AD12" s="37" t="str">
        <f>IF(AND('Mapa final'!$AB$47="Muy Alta",'Mapa final'!$AD$47="Mayor"),CONCATENATE("R7C",'Mapa final'!$R$47),"")</f>
        <v/>
      </c>
      <c r="AE12" s="37" t="str">
        <f>IF(AND('Mapa final'!$AB$48="Muy Alta",'Mapa final'!$AD$48="Mayor"),CONCATENATE("R7C",'Mapa final'!$R$48),"")</f>
        <v/>
      </c>
      <c r="AF12" s="37" t="str">
        <f>IF(AND('Mapa final'!$AB$49="Muy Alta",'Mapa final'!$AD$49="Mayor"),CONCATENATE("R7C",'Mapa final'!$R$49),"")</f>
        <v/>
      </c>
      <c r="AG12" s="38" t="str">
        <f>IF(AND('Mapa final'!$AB$50="Muy Alta",'Mapa final'!$AD$50="Mayor"),CONCATENATE("R7C",'Mapa final'!$R$50),"")</f>
        <v/>
      </c>
      <c r="AH12" s="39" t="str">
        <f>IF(AND('Mapa final'!$AB$45="Muy Alta",'Mapa final'!$AD$45="Catastrófico"),CONCATENATE("R7C",'Mapa final'!$R$45),"")</f>
        <v/>
      </c>
      <c r="AI12" s="40" t="str">
        <f>IF(AND('Mapa final'!$AB$46="Muy Alta",'Mapa final'!$AD$46="Catastrófico"),CONCATENATE("R7C",'Mapa final'!$R$46),"")</f>
        <v/>
      </c>
      <c r="AJ12" s="40" t="str">
        <f>IF(AND('Mapa final'!$AB$47="Muy Alta",'Mapa final'!$AD$47="Catastrófico"),CONCATENATE("R7C",'Mapa final'!$R$47),"")</f>
        <v/>
      </c>
      <c r="AK12" s="40" t="str">
        <f>IF(AND('Mapa final'!$AB$48="Muy Alta",'Mapa final'!$AD$48="Catastrófico"),CONCATENATE("R7C",'Mapa final'!$R$48),"")</f>
        <v/>
      </c>
      <c r="AL12" s="40" t="str">
        <f>IF(AND('Mapa final'!$AB$49="Muy Alta",'Mapa final'!$AD$49="Catastrófico"),CONCATENATE("R7C",'Mapa final'!$R$49),"")</f>
        <v/>
      </c>
      <c r="AM12" s="41" t="str">
        <f>IF(AND('Mapa final'!$AB$50="Muy Alta",'Mapa final'!$AD$50="Catastrófico"),CONCATENATE("R7C",'Mapa final'!$R$50),"")</f>
        <v/>
      </c>
      <c r="AN12" s="67"/>
      <c r="AO12" s="606"/>
      <c r="AP12" s="607"/>
      <c r="AQ12" s="607"/>
      <c r="AR12" s="607"/>
      <c r="AS12" s="607"/>
      <c r="AT12" s="608"/>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545"/>
      <c r="C13" s="545"/>
      <c r="D13" s="546"/>
      <c r="E13" s="586"/>
      <c r="F13" s="587"/>
      <c r="G13" s="587"/>
      <c r="H13" s="587"/>
      <c r="I13" s="588"/>
      <c r="J13" s="36" t="str">
        <f>IF(AND('Mapa final'!$AB$51="Muy Alta",'Mapa final'!$AD$51="Leve"),CONCATENATE("R8C",'Mapa final'!$R$51),"")</f>
        <v/>
      </c>
      <c r="K13" s="37" t="str">
        <f>IF(AND('Mapa final'!$AB$52="Muy Alta",'Mapa final'!$AD$52="Leve"),CONCATENATE("R8C",'Mapa final'!$R$52),"")</f>
        <v/>
      </c>
      <c r="L13" s="37" t="str">
        <f>IF(AND('Mapa final'!$AB$53="Muy Alta",'Mapa final'!$AD$53="Leve"),CONCATENATE("R8C",'Mapa final'!$R$53),"")</f>
        <v/>
      </c>
      <c r="M13" s="37" t="str">
        <f>IF(AND('Mapa final'!$AB$54="Muy Alta",'Mapa final'!$AD$54="Leve"),CONCATENATE("R8C",'Mapa final'!$R$54),"")</f>
        <v/>
      </c>
      <c r="N13" s="37" t="str">
        <f>IF(AND('Mapa final'!$AB$55="Muy Alta",'Mapa final'!$AD$55="Leve"),CONCATENATE("R8C",'Mapa final'!$R$55),"")</f>
        <v/>
      </c>
      <c r="O13" s="38" t="str">
        <f>IF(AND('Mapa final'!$AB$56="Muy Alta",'Mapa final'!$AD$56="Leve"),CONCATENATE("R8C",'Mapa final'!$R$56),"")</f>
        <v/>
      </c>
      <c r="P13" s="36" t="str">
        <f>IF(AND('Mapa final'!$AB$51="Muy Alta",'Mapa final'!$AD$51="Menor"),CONCATENATE("R8C",'Mapa final'!$R$51),"")</f>
        <v/>
      </c>
      <c r="Q13" s="37" t="str">
        <f>IF(AND('Mapa final'!$AB$52="Muy Alta",'Mapa final'!$AD$52="Menor"),CONCATENATE("R8C",'Mapa final'!$R$52),"")</f>
        <v/>
      </c>
      <c r="R13" s="37" t="str">
        <f>IF(AND('Mapa final'!$AB$53="Muy Alta",'Mapa final'!$AD$53="Menor"),CONCATENATE("R8C",'Mapa final'!$R$53),"")</f>
        <v/>
      </c>
      <c r="S13" s="37" t="str">
        <f>IF(AND('Mapa final'!$AB$54="Muy Alta",'Mapa final'!$AD$54="Menor"),CONCATENATE("R8C",'Mapa final'!$R$54),"")</f>
        <v/>
      </c>
      <c r="T13" s="37" t="str">
        <f>IF(AND('Mapa final'!$AB$55="Muy Alta",'Mapa final'!$AD$55="Menor"),CONCATENATE("R8C",'Mapa final'!$R$55),"")</f>
        <v/>
      </c>
      <c r="U13" s="38" t="str">
        <f>IF(AND('Mapa final'!$AB$56="Muy Alta",'Mapa final'!$AD$56="Menor"),CONCATENATE("R8C",'Mapa final'!$R$56),"")</f>
        <v/>
      </c>
      <c r="V13" s="36" t="str">
        <f>IF(AND('Mapa final'!$AB$51="Muy Alta",'Mapa final'!$AD$51="Moderado"),CONCATENATE("R8C",'Mapa final'!$R$51),"")</f>
        <v/>
      </c>
      <c r="W13" s="37" t="str">
        <f>IF(AND('Mapa final'!$AB$52="Muy Alta",'Mapa final'!$AD$52="Moderado"),CONCATENATE("R8C",'Mapa final'!$R$52),"")</f>
        <v/>
      </c>
      <c r="X13" s="37" t="str">
        <f>IF(AND('Mapa final'!$AB$53="Muy Alta",'Mapa final'!$AD$53="Moderado"),CONCATENATE("R8C",'Mapa final'!$R$53),"")</f>
        <v/>
      </c>
      <c r="Y13" s="37" t="str">
        <f>IF(AND('Mapa final'!$AB$54="Muy Alta",'Mapa final'!$AD$54="Moderado"),CONCATENATE("R8C",'Mapa final'!$R$54),"")</f>
        <v/>
      </c>
      <c r="Z13" s="37" t="str">
        <f>IF(AND('Mapa final'!$AB$55="Muy Alta",'Mapa final'!$AD$55="Moderado"),CONCATENATE("R8C",'Mapa final'!$R$55),"")</f>
        <v/>
      </c>
      <c r="AA13" s="38" t="str">
        <f>IF(AND('Mapa final'!$AB$56="Muy Alta",'Mapa final'!$AD$56="Moderado"),CONCATENATE("R8C",'Mapa final'!$R$56),"")</f>
        <v/>
      </c>
      <c r="AB13" s="36" t="str">
        <f>IF(AND('Mapa final'!$AB$51="Muy Alta",'Mapa final'!$AD$51="Mayor"),CONCATENATE("R8C",'Mapa final'!$R$51),"")</f>
        <v/>
      </c>
      <c r="AC13" s="37" t="str">
        <f>IF(AND('Mapa final'!$AB$52="Muy Alta",'Mapa final'!$AD$52="Mayor"),CONCATENATE("R8C",'Mapa final'!$R$52),"")</f>
        <v/>
      </c>
      <c r="AD13" s="37" t="str">
        <f>IF(AND('Mapa final'!$AB$53="Muy Alta",'Mapa final'!$AD$53="Mayor"),CONCATENATE("R8C",'Mapa final'!$R$53),"")</f>
        <v/>
      </c>
      <c r="AE13" s="37" t="str">
        <f>IF(AND('Mapa final'!$AB$54="Muy Alta",'Mapa final'!$AD$54="Mayor"),CONCATENATE("R8C",'Mapa final'!$R$54),"")</f>
        <v/>
      </c>
      <c r="AF13" s="37" t="str">
        <f>IF(AND('Mapa final'!$AB$55="Muy Alta",'Mapa final'!$AD$55="Mayor"),CONCATENATE("R8C",'Mapa final'!$R$55),"")</f>
        <v/>
      </c>
      <c r="AG13" s="38" t="str">
        <f>IF(AND('Mapa final'!$AB$56="Muy Alta",'Mapa final'!$AD$56="Mayor"),CONCATENATE("R8C",'Mapa final'!$R$56),"")</f>
        <v/>
      </c>
      <c r="AH13" s="39" t="str">
        <f>IF(AND('Mapa final'!$AB$51="Muy Alta",'Mapa final'!$AD$51="Catastrófico"),CONCATENATE("R8C",'Mapa final'!$R$51),"")</f>
        <v/>
      </c>
      <c r="AI13" s="40" t="str">
        <f>IF(AND('Mapa final'!$AB$52="Muy Alta",'Mapa final'!$AD$52="Catastrófico"),CONCATENATE("R8C",'Mapa final'!$R$52),"")</f>
        <v/>
      </c>
      <c r="AJ13" s="40" t="str">
        <f>IF(AND('Mapa final'!$AB$53="Muy Alta",'Mapa final'!$AD$53="Catastrófico"),CONCATENATE("R8C",'Mapa final'!$R$53),"")</f>
        <v/>
      </c>
      <c r="AK13" s="40" t="str">
        <f>IF(AND('Mapa final'!$AB$54="Muy Alta",'Mapa final'!$AD$54="Catastrófico"),CONCATENATE("R8C",'Mapa final'!$R$54),"")</f>
        <v/>
      </c>
      <c r="AL13" s="40" t="str">
        <f>IF(AND('Mapa final'!$AB$55="Muy Alta",'Mapa final'!$AD$55="Catastrófico"),CONCATENATE("R8C",'Mapa final'!$R$55),"")</f>
        <v/>
      </c>
      <c r="AM13" s="41" t="str">
        <f>IF(AND('Mapa final'!$AB$56="Muy Alta",'Mapa final'!$AD$56="Catastrófico"),CONCATENATE("R8C",'Mapa final'!$R$56),"")</f>
        <v/>
      </c>
      <c r="AN13" s="67"/>
      <c r="AO13" s="606"/>
      <c r="AP13" s="607"/>
      <c r="AQ13" s="607"/>
      <c r="AR13" s="607"/>
      <c r="AS13" s="607"/>
      <c r="AT13" s="608"/>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545"/>
      <c r="C14" s="545"/>
      <c r="D14" s="546"/>
      <c r="E14" s="586"/>
      <c r="F14" s="587"/>
      <c r="G14" s="587"/>
      <c r="H14" s="587"/>
      <c r="I14" s="588"/>
      <c r="J14" s="36" t="str">
        <f>IF(AND('Mapa final'!$AB$57="Muy Alta",'Mapa final'!$AD$57="Leve"),CONCATENATE("R9C",'Mapa final'!$R$57),"")</f>
        <v/>
      </c>
      <c r="K14" s="37" t="str">
        <f>IF(AND('Mapa final'!$AB$58="Muy Alta",'Mapa final'!$AD$58="Leve"),CONCATENATE("R9C",'Mapa final'!$R$58),"")</f>
        <v/>
      </c>
      <c r="L14" s="37" t="str">
        <f>IF(AND('Mapa final'!$AB$59="Muy Alta",'Mapa final'!$AD$59="Leve"),CONCATENATE("R9C",'Mapa final'!$R$59),"")</f>
        <v/>
      </c>
      <c r="M14" s="37" t="str">
        <f>IF(AND('Mapa final'!$AB$60="Muy Alta",'Mapa final'!$AD$60="Leve"),CONCATENATE("R9C",'Mapa final'!$R$60),"")</f>
        <v/>
      </c>
      <c r="N14" s="37" t="str">
        <f>IF(AND('Mapa final'!$AB$61="Muy Alta",'Mapa final'!$AD$61="Leve"),CONCATENATE("R9C",'Mapa final'!$R$61),"")</f>
        <v/>
      </c>
      <c r="O14" s="38" t="str">
        <f>IF(AND('Mapa final'!$AB$62="Muy Alta",'Mapa final'!$AD$62="Leve"),CONCATENATE("R9C",'Mapa final'!$R$62),"")</f>
        <v/>
      </c>
      <c r="P14" s="36" t="str">
        <f>IF(AND('Mapa final'!$AB$57="Muy Alta",'Mapa final'!$AD$57="Menor"),CONCATENATE("R9C",'Mapa final'!$R$57),"")</f>
        <v/>
      </c>
      <c r="Q14" s="37" t="str">
        <f>IF(AND('Mapa final'!$AB$58="Muy Alta",'Mapa final'!$AD$58="Menor"),CONCATENATE("R9C",'Mapa final'!$R$58),"")</f>
        <v/>
      </c>
      <c r="R14" s="37" t="str">
        <f>IF(AND('Mapa final'!$AB$59="Muy Alta",'Mapa final'!$AD$59="Menor"),CONCATENATE("R9C",'Mapa final'!$R$59),"")</f>
        <v/>
      </c>
      <c r="S14" s="37" t="str">
        <f>IF(AND('Mapa final'!$AB$60="Muy Alta",'Mapa final'!$AD$60="Menor"),CONCATENATE("R9C",'Mapa final'!$R$60),"")</f>
        <v/>
      </c>
      <c r="T14" s="37" t="str">
        <f>IF(AND('Mapa final'!$AB$61="Muy Alta",'Mapa final'!$AD$61="Menor"),CONCATENATE("R9C",'Mapa final'!$R$61),"")</f>
        <v/>
      </c>
      <c r="U14" s="38" t="str">
        <f>IF(AND('Mapa final'!$AB$62="Muy Alta",'Mapa final'!$AD$62="Menor"),CONCATENATE("R9C",'Mapa final'!$R$62),"")</f>
        <v/>
      </c>
      <c r="V14" s="36" t="str">
        <f>IF(AND('Mapa final'!$AB$57="Muy Alta",'Mapa final'!$AD$57="Moderado"),CONCATENATE("R9C",'Mapa final'!$R$57),"")</f>
        <v/>
      </c>
      <c r="W14" s="37" t="str">
        <f>IF(AND('Mapa final'!$AB$58="Muy Alta",'Mapa final'!$AD$58="Moderado"),CONCATENATE("R9C",'Mapa final'!$R$58),"")</f>
        <v/>
      </c>
      <c r="X14" s="37" t="str">
        <f>IF(AND('Mapa final'!$AB$59="Muy Alta",'Mapa final'!$AD$59="Moderado"),CONCATENATE("R9C",'Mapa final'!$R$59),"")</f>
        <v/>
      </c>
      <c r="Y14" s="37" t="str">
        <f>IF(AND('Mapa final'!$AB$60="Muy Alta",'Mapa final'!$AD$60="Moderado"),CONCATENATE("R9C",'Mapa final'!$R$60),"")</f>
        <v/>
      </c>
      <c r="Z14" s="37" t="str">
        <f>IF(AND('Mapa final'!$AB$61="Muy Alta",'Mapa final'!$AD$61="Moderado"),CONCATENATE("R9C",'Mapa final'!$R$61),"")</f>
        <v/>
      </c>
      <c r="AA14" s="38" t="str">
        <f>IF(AND('Mapa final'!$AB$62="Muy Alta",'Mapa final'!$AD$62="Moderado"),CONCATENATE("R9C",'Mapa final'!$R$62),"")</f>
        <v/>
      </c>
      <c r="AB14" s="36" t="str">
        <f>IF(AND('Mapa final'!$AB$57="Muy Alta",'Mapa final'!$AD$57="Mayor"),CONCATENATE("R9C",'Mapa final'!$R$57),"")</f>
        <v/>
      </c>
      <c r="AC14" s="37" t="str">
        <f>IF(AND('Mapa final'!$AB$58="Muy Alta",'Mapa final'!$AD$58="Mayor"),CONCATENATE("R9C",'Mapa final'!$R$58),"")</f>
        <v/>
      </c>
      <c r="AD14" s="37" t="str">
        <f>IF(AND('Mapa final'!$AB$59="Muy Alta",'Mapa final'!$AD$59="Mayor"),CONCATENATE("R9C",'Mapa final'!$R$59),"")</f>
        <v/>
      </c>
      <c r="AE14" s="37" t="str">
        <f>IF(AND('Mapa final'!$AB$60="Muy Alta",'Mapa final'!$AD$60="Mayor"),CONCATENATE("R9C",'Mapa final'!$R$60),"")</f>
        <v/>
      </c>
      <c r="AF14" s="37" t="str">
        <f>IF(AND('Mapa final'!$AB$61="Muy Alta",'Mapa final'!$AD$61="Mayor"),CONCATENATE("R9C",'Mapa final'!$R$61),"")</f>
        <v/>
      </c>
      <c r="AG14" s="38" t="str">
        <f>IF(AND('Mapa final'!$AB$62="Muy Alta",'Mapa final'!$AD$62="Mayor"),CONCATENATE("R9C",'Mapa final'!$R$62),"")</f>
        <v/>
      </c>
      <c r="AH14" s="39" t="str">
        <f>IF(AND('Mapa final'!$AB$57="Muy Alta",'Mapa final'!$AD$57="Catastrófico"),CONCATENATE("R9C",'Mapa final'!$R$57),"")</f>
        <v/>
      </c>
      <c r="AI14" s="40" t="str">
        <f>IF(AND('Mapa final'!$AB$58="Muy Alta",'Mapa final'!$AD$58="Catastrófico"),CONCATENATE("R9C",'Mapa final'!$R$58),"")</f>
        <v/>
      </c>
      <c r="AJ14" s="40" t="str">
        <f>IF(AND('Mapa final'!$AB$59="Muy Alta",'Mapa final'!$AD$59="Catastrófico"),CONCATENATE("R9C",'Mapa final'!$R$59),"")</f>
        <v/>
      </c>
      <c r="AK14" s="40" t="str">
        <f>IF(AND('Mapa final'!$AB$60="Muy Alta",'Mapa final'!$AD$60="Catastrófico"),CONCATENATE("R9C",'Mapa final'!$R$60),"")</f>
        <v/>
      </c>
      <c r="AL14" s="40" t="str">
        <f>IF(AND('Mapa final'!$AB$61="Muy Alta",'Mapa final'!$AD$61="Catastrófico"),CONCATENATE("R9C",'Mapa final'!$R$61),"")</f>
        <v/>
      </c>
      <c r="AM14" s="41" t="str">
        <f>IF(AND('Mapa final'!$AB$62="Muy Alta",'Mapa final'!$AD$62="Catastrófico"),CONCATENATE("R9C",'Mapa final'!$R$62),"")</f>
        <v/>
      </c>
      <c r="AN14" s="67"/>
      <c r="AO14" s="606"/>
      <c r="AP14" s="607"/>
      <c r="AQ14" s="607"/>
      <c r="AR14" s="607"/>
      <c r="AS14" s="607"/>
      <c r="AT14" s="608"/>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545"/>
      <c r="C15" s="545"/>
      <c r="D15" s="546"/>
      <c r="E15" s="589"/>
      <c r="F15" s="590"/>
      <c r="G15" s="590"/>
      <c r="H15" s="590"/>
      <c r="I15" s="591"/>
      <c r="J15" s="42" t="str">
        <f>IF(AND('Mapa final'!$AB$63="Muy Alta",'Mapa final'!$AD$63="Leve"),CONCATENATE("R10C",'Mapa final'!$R$63),"")</f>
        <v/>
      </c>
      <c r="K15" s="43" t="str">
        <f>IF(AND('Mapa final'!$AB$64="Muy Alta",'Mapa final'!$AD$64="Leve"),CONCATENATE("R10C",'Mapa final'!$R$64),"")</f>
        <v/>
      </c>
      <c r="L15" s="43" t="str">
        <f>IF(AND('Mapa final'!$AB$65="Muy Alta",'Mapa final'!$AD$65="Leve"),CONCATENATE("R10C",'Mapa final'!$R$65),"")</f>
        <v/>
      </c>
      <c r="M15" s="43" t="str">
        <f>IF(AND('Mapa final'!$AB$66="Muy Alta",'Mapa final'!$AD$66="Leve"),CONCATENATE("R10C",'Mapa final'!$R$66),"")</f>
        <v/>
      </c>
      <c r="N15" s="43" t="str">
        <f>IF(AND('Mapa final'!$AB$67="Muy Alta",'Mapa final'!$AD$67="Leve"),CONCATENATE("R10C",'Mapa final'!$R$67),"")</f>
        <v/>
      </c>
      <c r="O15" s="44" t="str">
        <f>IF(AND('Mapa final'!$AB$68="Muy Alta",'Mapa final'!$AD$68="Leve"),CONCATENATE("R10C",'Mapa final'!$R$68),"")</f>
        <v/>
      </c>
      <c r="P15" s="36" t="str">
        <f>IF(AND('Mapa final'!$AB$63="Muy Alta",'Mapa final'!$AD$63="Menor"),CONCATENATE("R10C",'Mapa final'!$R$63),"")</f>
        <v/>
      </c>
      <c r="Q15" s="37" t="str">
        <f>IF(AND('Mapa final'!$AB$64="Muy Alta",'Mapa final'!$AD$64="Menor"),CONCATENATE("R10C",'Mapa final'!$R$64),"")</f>
        <v/>
      </c>
      <c r="R15" s="37" t="str">
        <f>IF(AND('Mapa final'!$AB$65="Muy Alta",'Mapa final'!$AD$65="Menor"),CONCATENATE("R10C",'Mapa final'!$R$65),"")</f>
        <v/>
      </c>
      <c r="S15" s="37" t="str">
        <f>IF(AND('Mapa final'!$AB$66="Muy Alta",'Mapa final'!$AD$66="Menor"),CONCATENATE("R10C",'Mapa final'!$R$66),"")</f>
        <v/>
      </c>
      <c r="T15" s="37" t="str">
        <f>IF(AND('Mapa final'!$AB$67="Muy Alta",'Mapa final'!$AD$67="Menor"),CONCATENATE("R10C",'Mapa final'!$R$67),"")</f>
        <v/>
      </c>
      <c r="U15" s="38" t="str">
        <f>IF(AND('Mapa final'!$AB$68="Muy Alta",'Mapa final'!$AD$68="Menor"),CONCATENATE("R10C",'Mapa final'!$R$68),"")</f>
        <v/>
      </c>
      <c r="V15" s="42" t="str">
        <f>IF(AND('Mapa final'!$AB$63="Muy Alta",'Mapa final'!$AD$63="Moderado"),CONCATENATE("R10C",'Mapa final'!$R$63),"")</f>
        <v/>
      </c>
      <c r="W15" s="43" t="str">
        <f>IF(AND('Mapa final'!$AB$64="Muy Alta",'Mapa final'!$AD$64="Moderado"),CONCATENATE("R10C",'Mapa final'!$R$64),"")</f>
        <v/>
      </c>
      <c r="X15" s="43" t="str">
        <f>IF(AND('Mapa final'!$AB$65="Muy Alta",'Mapa final'!$AD$65="Moderado"),CONCATENATE("R10C",'Mapa final'!$R$65),"")</f>
        <v/>
      </c>
      <c r="Y15" s="43" t="str">
        <f>IF(AND('Mapa final'!$AB$66="Muy Alta",'Mapa final'!$AD$66="Moderado"),CONCATENATE("R10C",'Mapa final'!$R$66),"")</f>
        <v/>
      </c>
      <c r="Z15" s="43" t="str">
        <f>IF(AND('Mapa final'!$AB$67="Muy Alta",'Mapa final'!$AD$67="Moderado"),CONCATENATE("R10C",'Mapa final'!$R$67),"")</f>
        <v/>
      </c>
      <c r="AA15" s="44" t="str">
        <f>IF(AND('Mapa final'!$AB$68="Muy Alta",'Mapa final'!$AD$68="Moderado"),CONCATENATE("R10C",'Mapa final'!$R$68),"")</f>
        <v/>
      </c>
      <c r="AB15" s="36" t="str">
        <f>IF(AND('Mapa final'!$AB$63="Muy Alta",'Mapa final'!$AD$63="Mayor"),CONCATENATE("R10C",'Mapa final'!$R$63),"")</f>
        <v/>
      </c>
      <c r="AC15" s="37" t="str">
        <f>IF(AND('Mapa final'!$AB$64="Muy Alta",'Mapa final'!$AD$64="Mayor"),CONCATENATE("R10C",'Mapa final'!$R$64),"")</f>
        <v/>
      </c>
      <c r="AD15" s="37" t="str">
        <f>IF(AND('Mapa final'!$AB$65="Muy Alta",'Mapa final'!$AD$65="Mayor"),CONCATENATE("R10C",'Mapa final'!$R$65),"")</f>
        <v/>
      </c>
      <c r="AE15" s="37" t="str">
        <f>IF(AND('Mapa final'!$AB$66="Muy Alta",'Mapa final'!$AD$66="Mayor"),CONCATENATE("R10C",'Mapa final'!$R$66),"")</f>
        <v/>
      </c>
      <c r="AF15" s="37" t="str">
        <f>IF(AND('Mapa final'!$AB$67="Muy Alta",'Mapa final'!$AD$67="Mayor"),CONCATENATE("R10C",'Mapa final'!$R$67),"")</f>
        <v/>
      </c>
      <c r="AG15" s="38" t="str">
        <f>IF(AND('Mapa final'!$AB$68="Muy Alta",'Mapa final'!$AD$68="Mayor"),CONCATENATE("R10C",'Mapa final'!$R$68),"")</f>
        <v/>
      </c>
      <c r="AH15" s="45" t="str">
        <f>IF(AND('Mapa final'!$AB$63="Muy Alta",'Mapa final'!$AD$63="Catastrófico"),CONCATENATE("R10C",'Mapa final'!$R$63),"")</f>
        <v/>
      </c>
      <c r="AI15" s="46" t="str">
        <f>IF(AND('Mapa final'!$AB$64="Muy Alta",'Mapa final'!$AD$64="Catastrófico"),CONCATENATE("R10C",'Mapa final'!$R$64),"")</f>
        <v/>
      </c>
      <c r="AJ15" s="46" t="str">
        <f>IF(AND('Mapa final'!$AB$65="Muy Alta",'Mapa final'!$AD$65="Catastrófico"),CONCATENATE("R10C",'Mapa final'!$R$65),"")</f>
        <v/>
      </c>
      <c r="AK15" s="46" t="str">
        <f>IF(AND('Mapa final'!$AB$66="Muy Alta",'Mapa final'!$AD$66="Catastrófico"),CONCATENATE("R10C",'Mapa final'!$R$66),"")</f>
        <v/>
      </c>
      <c r="AL15" s="46" t="str">
        <f>IF(AND('Mapa final'!$AB$67="Muy Alta",'Mapa final'!$AD$67="Catastrófico"),CONCATENATE("R10C",'Mapa final'!$R$67),"")</f>
        <v/>
      </c>
      <c r="AM15" s="47" t="str">
        <f>IF(AND('Mapa final'!$AB$68="Muy Alta",'Mapa final'!$AD$68="Catastrófico"),CONCATENATE("R10C",'Mapa final'!$R$68),"")</f>
        <v/>
      </c>
      <c r="AN15" s="67"/>
      <c r="AO15" s="609"/>
      <c r="AP15" s="610"/>
      <c r="AQ15" s="610"/>
      <c r="AR15" s="610"/>
      <c r="AS15" s="610"/>
      <c r="AT15" s="611"/>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545"/>
      <c r="C16" s="545"/>
      <c r="D16" s="546"/>
      <c r="E16" s="583" t="s">
        <v>109</v>
      </c>
      <c r="F16" s="584"/>
      <c r="G16" s="584"/>
      <c r="H16" s="584"/>
      <c r="I16" s="584"/>
      <c r="J16" s="48" t="str">
        <f>IF(AND('Mapa final'!$AB$10="Alta",'Mapa final'!$AD$10="Leve"),CONCATENATE("R1C",'Mapa final'!$R$10),"")</f>
        <v/>
      </c>
      <c r="K16" s="49" t="str">
        <f>IF(AND('Mapa final'!$AB$11="Alta",'Mapa final'!$AD$11="Leve"),CONCATENATE("R1C",'Mapa final'!$R$11),"")</f>
        <v/>
      </c>
      <c r="L16" s="49" t="str">
        <f>IF(AND('Mapa final'!$AB$13="Alta",'Mapa final'!$AD$13="Leve"),CONCATENATE("R1C",'Mapa final'!$R$13),"")</f>
        <v/>
      </c>
      <c r="M16" s="49" t="str">
        <f>IF(AND('Mapa final'!$AB$14="Alta",'Mapa final'!$AD$14="Leve"),CONCATENATE("R1C",'Mapa final'!$R$14),"")</f>
        <v/>
      </c>
      <c r="N16" s="49" t="e">
        <f>IF(AND('Mapa final'!#REF!="Alta",'Mapa final'!#REF!="Leve"),CONCATENATE("R1C",'Mapa final'!#REF!),"")</f>
        <v>#REF!</v>
      </c>
      <c r="O16" s="50" t="e">
        <f>IF(AND('Mapa final'!#REF!="Alta",'Mapa final'!#REF!="Leve"),CONCATENATE("R1C",'Mapa final'!#REF!),"")</f>
        <v>#REF!</v>
      </c>
      <c r="P16" s="48" t="str">
        <f>IF(AND('Mapa final'!$AB$10="Alta",'Mapa final'!$AD$10="Menor"),CONCATENATE("R1C",'Mapa final'!$R$10),"")</f>
        <v/>
      </c>
      <c r="Q16" s="49" t="str">
        <f>IF(AND('Mapa final'!$AB$11="Alta",'Mapa final'!$AD$11="Menor"),CONCATENATE("R1C",'Mapa final'!$R$11),"")</f>
        <v/>
      </c>
      <c r="R16" s="49" t="str">
        <f>IF(AND('Mapa final'!$AB$13="Alta",'Mapa final'!$AD$13="Menor"),CONCATENATE("R1C",'Mapa final'!$R$13),"")</f>
        <v/>
      </c>
      <c r="S16" s="49" t="str">
        <f>IF(AND('Mapa final'!$AB$14="Alta",'Mapa final'!$AD$14="Menor"),CONCATENATE("R1C",'Mapa final'!$R$14),"")</f>
        <v/>
      </c>
      <c r="T16" s="49" t="e">
        <f>IF(AND('Mapa final'!#REF!="Alta",'Mapa final'!#REF!="Menor"),CONCATENATE("R1C",'Mapa final'!#REF!),"")</f>
        <v>#REF!</v>
      </c>
      <c r="U16" s="50" t="e">
        <f>IF(AND('Mapa final'!#REF!="Alta",'Mapa final'!#REF!="Menor"),CONCATENATE("R1C",'Mapa final'!#REF!),"")</f>
        <v>#REF!</v>
      </c>
      <c r="V16" s="30" t="str">
        <f>IF(AND('Mapa final'!$AB$10="Alta",'Mapa final'!$AD$10="Moderado"),CONCATENATE("R1C",'Mapa final'!$R$10),"")</f>
        <v/>
      </c>
      <c r="W16" s="31" t="str">
        <f>IF(AND('Mapa final'!$AB$11="Alta",'Mapa final'!$AD$11="Moderado"),CONCATENATE("R1C",'Mapa final'!$R$11),"")</f>
        <v/>
      </c>
      <c r="X16" s="31" t="str">
        <f>IF(AND('Mapa final'!$AB$13="Alta",'Mapa final'!$AD$13="Moderado"),CONCATENATE("R1C",'Mapa final'!$R$13),"")</f>
        <v/>
      </c>
      <c r="Y16" s="31" t="str">
        <f>IF(AND('Mapa final'!$AB$14="Alta",'Mapa final'!$AD$14="Moderado"),CONCATENATE("R1C",'Mapa final'!$R$14),"")</f>
        <v/>
      </c>
      <c r="Z16" s="31" t="e">
        <f>IF(AND('Mapa final'!#REF!="Alta",'Mapa final'!#REF!="Moderado"),CONCATENATE("R1C",'Mapa final'!#REF!),"")</f>
        <v>#REF!</v>
      </c>
      <c r="AA16" s="32" t="e">
        <f>IF(AND('Mapa final'!#REF!="Alta",'Mapa final'!#REF!="Moderado"),CONCATENATE("R1C",'Mapa final'!#REF!),"")</f>
        <v>#REF!</v>
      </c>
      <c r="AB16" s="30" t="str">
        <f>IF(AND('Mapa final'!$AB$10="Alta",'Mapa final'!$AD$10="Mayor"),CONCATENATE("R1C",'Mapa final'!$R$10),"")</f>
        <v/>
      </c>
      <c r="AC16" s="31" t="str">
        <f>IF(AND('Mapa final'!$AB$11="Alta",'Mapa final'!$AD$11="Mayor"),CONCATENATE("R1C",'Mapa final'!$R$11),"")</f>
        <v/>
      </c>
      <c r="AD16" s="31" t="str">
        <f>IF(AND('Mapa final'!$AB$13="Alta",'Mapa final'!$AD$13="Mayor"),CONCATENATE("R1C",'Mapa final'!$R$13),"")</f>
        <v/>
      </c>
      <c r="AE16" s="31" t="str">
        <f>IF(AND('Mapa final'!$AB$14="Alta",'Mapa final'!$AD$14="Mayor"),CONCATENATE("R1C",'Mapa final'!$R$14),"")</f>
        <v/>
      </c>
      <c r="AF16" s="31" t="e">
        <f>IF(AND('Mapa final'!#REF!="Alta",'Mapa final'!#REF!="Mayor"),CONCATENATE("R1C",'Mapa final'!#REF!),"")</f>
        <v>#REF!</v>
      </c>
      <c r="AG16" s="32" t="e">
        <f>IF(AND('Mapa final'!#REF!="Alta",'Mapa final'!#REF!="Mayor"),CONCATENATE("R1C",'Mapa final'!#REF!),"")</f>
        <v>#REF!</v>
      </c>
      <c r="AH16" s="33" t="str">
        <f>IF(AND('Mapa final'!$AB$10="Alta",'Mapa final'!$AD$10="Catastrófico"),CONCATENATE("R1C",'Mapa final'!$R$10),"")</f>
        <v/>
      </c>
      <c r="AI16" s="34" t="str">
        <f>IF(AND('Mapa final'!$AB$11="Alta",'Mapa final'!$AD$11="Catastrófico"),CONCATENATE("R1C",'Mapa final'!$R$11),"")</f>
        <v/>
      </c>
      <c r="AJ16" s="34" t="str">
        <f>IF(AND('Mapa final'!$AB$13="Alta",'Mapa final'!$AD$13="Catastrófico"),CONCATENATE("R1C",'Mapa final'!$R$13),"")</f>
        <v/>
      </c>
      <c r="AK16" s="34" t="str">
        <f>IF(AND('Mapa final'!$AB$14="Alta",'Mapa final'!$AD$14="Catastrófico"),CONCATENATE("R1C",'Mapa final'!$R$14),"")</f>
        <v/>
      </c>
      <c r="AL16" s="34" t="e">
        <f>IF(AND('Mapa final'!#REF!="Alta",'Mapa final'!#REF!="Catastrófico"),CONCATENATE("R1C",'Mapa final'!#REF!),"")</f>
        <v>#REF!</v>
      </c>
      <c r="AM16" s="35" t="e">
        <f>IF(AND('Mapa final'!#REF!="Alta",'Mapa final'!#REF!="Catastrófico"),CONCATENATE("R1C",'Mapa final'!#REF!),"")</f>
        <v>#REF!</v>
      </c>
      <c r="AN16" s="67"/>
      <c r="AO16" s="593" t="s">
        <v>78</v>
      </c>
      <c r="AP16" s="594"/>
      <c r="AQ16" s="594"/>
      <c r="AR16" s="594"/>
      <c r="AS16" s="594"/>
      <c r="AT16" s="595"/>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545"/>
      <c r="C17" s="545"/>
      <c r="D17" s="546"/>
      <c r="E17" s="602"/>
      <c r="F17" s="587"/>
      <c r="G17" s="587"/>
      <c r="H17" s="587"/>
      <c r="I17" s="587"/>
      <c r="J17" s="51" t="str">
        <f>IF(AND('Mapa final'!$AB$15="Alta",'Mapa final'!$AD$15="Leve"),CONCATENATE("R2C",'Mapa final'!$R$15),"")</f>
        <v/>
      </c>
      <c r="K17" s="52" t="str">
        <f>IF(AND('Mapa final'!$AB$16="Alta",'Mapa final'!$AD$16="Leve"),CONCATENATE("R2C",'Mapa final'!$R$16),"")</f>
        <v/>
      </c>
      <c r="L17" s="52" t="str">
        <f>IF(AND('Mapa final'!$AB$17="Alta",'Mapa final'!$AD$17="Leve"),CONCATENATE("R2C",'Mapa final'!$R$17),"")</f>
        <v/>
      </c>
      <c r="M17" s="52" t="str">
        <f>IF(AND('Mapa final'!$AB$18="Alta",'Mapa final'!$AD$18="Leve"),CONCATENATE("R2C",'Mapa final'!$R$18),"")</f>
        <v/>
      </c>
      <c r="N17" s="52" t="str">
        <f>IF(AND('Mapa final'!$AB$19="Alta",'Mapa final'!$AD$19="Leve"),CONCATENATE("R2C",'Mapa final'!$R$19),"")</f>
        <v/>
      </c>
      <c r="O17" s="53" t="str">
        <f>IF(AND('Mapa final'!$AB$20="Alta",'Mapa final'!$AD$20="Leve"),CONCATENATE("R2C",'Mapa final'!$R$20),"")</f>
        <v/>
      </c>
      <c r="P17" s="51" t="str">
        <f>IF(AND('Mapa final'!$AB$15="Alta",'Mapa final'!$AD$15="Menor"),CONCATENATE("R2C",'Mapa final'!$R$15),"")</f>
        <v/>
      </c>
      <c r="Q17" s="52" t="str">
        <f>IF(AND('Mapa final'!$AB$16="Alta",'Mapa final'!$AD$16="Menor"),CONCATENATE("R2C",'Mapa final'!$R$16),"")</f>
        <v/>
      </c>
      <c r="R17" s="52" t="str">
        <f>IF(AND('Mapa final'!$AB$17="Alta",'Mapa final'!$AD$17="Menor"),CONCATENATE("R2C",'Mapa final'!$R$17),"")</f>
        <v/>
      </c>
      <c r="S17" s="52" t="str">
        <f>IF(AND('Mapa final'!$AB$18="Alta",'Mapa final'!$AD$18="Menor"),CONCATENATE("R2C",'Mapa final'!$R$18),"")</f>
        <v/>
      </c>
      <c r="T17" s="52" t="str">
        <f>IF(AND('Mapa final'!$AB$19="Alta",'Mapa final'!$AD$19="Menor"),CONCATENATE("R2C",'Mapa final'!$R$19),"")</f>
        <v/>
      </c>
      <c r="U17" s="53" t="str">
        <f>IF(AND('Mapa final'!$AB$20="Alta",'Mapa final'!$AD$20="Menor"),CONCATENATE("R2C",'Mapa final'!$R$20),"")</f>
        <v/>
      </c>
      <c r="V17" s="36" t="str">
        <f>IF(AND('Mapa final'!$AB$15="Alta",'Mapa final'!$AD$15="Moderado"),CONCATENATE("R2C",'Mapa final'!$R$15),"")</f>
        <v/>
      </c>
      <c r="W17" s="37" t="str">
        <f>IF(AND('Mapa final'!$AB$16="Alta",'Mapa final'!$AD$16="Moderado"),CONCATENATE("R2C",'Mapa final'!$R$16),"")</f>
        <v/>
      </c>
      <c r="X17" s="37" t="str">
        <f>IF(AND('Mapa final'!$AB$17="Alta",'Mapa final'!$AD$17="Moderado"),CONCATENATE("R2C",'Mapa final'!$R$17),"")</f>
        <v/>
      </c>
      <c r="Y17" s="37" t="str">
        <f>IF(AND('Mapa final'!$AB$18="Alta",'Mapa final'!$AD$18="Moderado"),CONCATENATE("R2C",'Mapa final'!$R$18),"")</f>
        <v/>
      </c>
      <c r="Z17" s="37" t="str">
        <f>IF(AND('Mapa final'!$AB$19="Alta",'Mapa final'!$AD$19="Moderado"),CONCATENATE("R2C",'Mapa final'!$R$19),"")</f>
        <v/>
      </c>
      <c r="AA17" s="38" t="str">
        <f>IF(AND('Mapa final'!$AB$20="Alta",'Mapa final'!$AD$20="Moderado"),CONCATENATE("R2C",'Mapa final'!$R$20),"")</f>
        <v/>
      </c>
      <c r="AB17" s="36" t="str">
        <f>IF(AND('Mapa final'!$AB$15="Alta",'Mapa final'!$AD$15="Mayor"),CONCATENATE("R2C",'Mapa final'!$R$15),"")</f>
        <v/>
      </c>
      <c r="AC17" s="37" t="str">
        <f>IF(AND('Mapa final'!$AB$16="Alta",'Mapa final'!$AD$16="Mayor"),CONCATENATE("R2C",'Mapa final'!$R$16),"")</f>
        <v/>
      </c>
      <c r="AD17" s="37" t="str">
        <f>IF(AND('Mapa final'!$AB$17="Alta",'Mapa final'!$AD$17="Mayor"),CONCATENATE("R2C",'Mapa final'!$R$17),"")</f>
        <v/>
      </c>
      <c r="AE17" s="37" t="str">
        <f>IF(AND('Mapa final'!$AB$18="Alta",'Mapa final'!$AD$18="Mayor"),CONCATENATE("R2C",'Mapa final'!$R$18),"")</f>
        <v/>
      </c>
      <c r="AF17" s="37" t="str">
        <f>IF(AND('Mapa final'!$AB$19="Alta",'Mapa final'!$AD$19="Mayor"),CONCATENATE("R2C",'Mapa final'!$R$19),"")</f>
        <v/>
      </c>
      <c r="AG17" s="38" t="str">
        <f>IF(AND('Mapa final'!$AB$20="Alta",'Mapa final'!$AD$20="Mayor"),CONCATENATE("R2C",'Mapa final'!$R$20),"")</f>
        <v/>
      </c>
      <c r="AH17" s="39" t="str">
        <f>IF(AND('Mapa final'!$AB$15="Alta",'Mapa final'!$AD$15="Catastrófico"),CONCATENATE("R2C",'Mapa final'!$R$15),"")</f>
        <v/>
      </c>
      <c r="AI17" s="40" t="str">
        <f>IF(AND('Mapa final'!$AB$16="Alta",'Mapa final'!$AD$16="Catastrófico"),CONCATENATE("R2C",'Mapa final'!$R$16),"")</f>
        <v/>
      </c>
      <c r="AJ17" s="40" t="str">
        <f>IF(AND('Mapa final'!$AB$17="Alta",'Mapa final'!$AD$17="Catastrófico"),CONCATENATE("R2C",'Mapa final'!$R$17),"")</f>
        <v/>
      </c>
      <c r="AK17" s="40" t="str">
        <f>IF(AND('Mapa final'!$AB$18="Alta",'Mapa final'!$AD$18="Catastrófico"),CONCATENATE("R2C",'Mapa final'!$R$18),"")</f>
        <v/>
      </c>
      <c r="AL17" s="40" t="str">
        <f>IF(AND('Mapa final'!$AB$19="Alta",'Mapa final'!$AD$19="Catastrófico"),CONCATENATE("R2C",'Mapa final'!$R$19),"")</f>
        <v/>
      </c>
      <c r="AM17" s="41" t="str">
        <f>IF(AND('Mapa final'!$AB$20="Alta",'Mapa final'!$AD$20="Catastrófico"),CONCATENATE("R2C",'Mapa final'!$R$20),"")</f>
        <v/>
      </c>
      <c r="AN17" s="67"/>
      <c r="AO17" s="596"/>
      <c r="AP17" s="597"/>
      <c r="AQ17" s="597"/>
      <c r="AR17" s="597"/>
      <c r="AS17" s="597"/>
      <c r="AT17" s="598"/>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545"/>
      <c r="C18" s="545"/>
      <c r="D18" s="546"/>
      <c r="E18" s="586"/>
      <c r="F18" s="587"/>
      <c r="G18" s="587"/>
      <c r="H18" s="587"/>
      <c r="I18" s="587"/>
      <c r="J18" s="51" t="str">
        <f>IF(AND('Mapa final'!$AB$21="Alta",'Mapa final'!$AD$21="Leve"),CONCATENATE("R3C",'Mapa final'!$R$21),"")</f>
        <v/>
      </c>
      <c r="K18" s="52" t="str">
        <f>IF(AND('Mapa final'!$AB$22="Alta",'Mapa final'!$AD$22="Leve"),CONCATENATE("R3C",'Mapa final'!$R$22),"")</f>
        <v/>
      </c>
      <c r="L18" s="52" t="str">
        <f>IF(AND('Mapa final'!$AB$23="Alta",'Mapa final'!$AD$23="Leve"),CONCATENATE("R3C",'Mapa final'!$R$23),"")</f>
        <v/>
      </c>
      <c r="M18" s="52" t="str">
        <f>IF(AND('Mapa final'!$AB$24="Alta",'Mapa final'!$AD$24="Leve"),CONCATENATE("R3C",'Mapa final'!$R$24),"")</f>
        <v/>
      </c>
      <c r="N18" s="52" t="str">
        <f>IF(AND('Mapa final'!$AB$25="Alta",'Mapa final'!$AD$25="Leve"),CONCATENATE("R3C",'Mapa final'!$R$25),"")</f>
        <v/>
      </c>
      <c r="O18" s="53" t="str">
        <f>IF(AND('Mapa final'!$AB$26="Alta",'Mapa final'!$AD$26="Leve"),CONCATENATE("R3C",'Mapa final'!$R$26),"")</f>
        <v/>
      </c>
      <c r="P18" s="51" t="str">
        <f>IF(AND('Mapa final'!$AB$21="Alta",'Mapa final'!$AD$21="Menor"),CONCATENATE("R3C",'Mapa final'!$R$21),"")</f>
        <v/>
      </c>
      <c r="Q18" s="52" t="str">
        <f>IF(AND('Mapa final'!$AB$22="Alta",'Mapa final'!$AD$22="Menor"),CONCATENATE("R3C",'Mapa final'!$R$22),"")</f>
        <v/>
      </c>
      <c r="R18" s="52" t="str">
        <f>IF(AND('Mapa final'!$AB$23="Alta",'Mapa final'!$AD$23="Menor"),CONCATENATE("R3C",'Mapa final'!$R$23),"")</f>
        <v/>
      </c>
      <c r="S18" s="52" t="str">
        <f>IF(AND('Mapa final'!$AB$24="Alta",'Mapa final'!$AD$24="Menor"),CONCATENATE("R3C",'Mapa final'!$R$24),"")</f>
        <v/>
      </c>
      <c r="T18" s="52" t="str">
        <f>IF(AND('Mapa final'!$AB$25="Alta",'Mapa final'!$AD$25="Menor"),CONCATENATE("R3C",'Mapa final'!$R$25),"")</f>
        <v/>
      </c>
      <c r="U18" s="53" t="str">
        <f>IF(AND('Mapa final'!$AB$26="Alta",'Mapa final'!$AD$26="Menor"),CONCATENATE("R3C",'Mapa final'!$R$26),"")</f>
        <v/>
      </c>
      <c r="V18" s="36" t="str">
        <f>IF(AND('Mapa final'!$AB$21="Alta",'Mapa final'!$AD$21="Moderado"),CONCATENATE("R3C",'Mapa final'!$R$21),"")</f>
        <v/>
      </c>
      <c r="W18" s="37" t="str">
        <f>IF(AND('Mapa final'!$AB$22="Alta",'Mapa final'!$AD$22="Moderado"),CONCATENATE("R3C",'Mapa final'!$R$22),"")</f>
        <v/>
      </c>
      <c r="X18" s="37" t="str">
        <f>IF(AND('Mapa final'!$AB$23="Alta",'Mapa final'!$AD$23="Moderado"),CONCATENATE("R3C",'Mapa final'!$R$23),"")</f>
        <v/>
      </c>
      <c r="Y18" s="37" t="str">
        <f>IF(AND('Mapa final'!$AB$24="Alta",'Mapa final'!$AD$24="Moderado"),CONCATENATE("R3C",'Mapa final'!$R$24),"")</f>
        <v/>
      </c>
      <c r="Z18" s="37" t="str">
        <f>IF(AND('Mapa final'!$AB$25="Alta",'Mapa final'!$AD$25="Moderado"),CONCATENATE("R3C",'Mapa final'!$R$25),"")</f>
        <v/>
      </c>
      <c r="AA18" s="38" t="str">
        <f>IF(AND('Mapa final'!$AB$26="Alta",'Mapa final'!$AD$26="Moderado"),CONCATENATE("R3C",'Mapa final'!$R$26),"")</f>
        <v/>
      </c>
      <c r="AB18" s="36" t="str">
        <f>IF(AND('Mapa final'!$AB$21="Alta",'Mapa final'!$AD$21="Mayor"),CONCATENATE("R3C",'Mapa final'!$R$21),"")</f>
        <v/>
      </c>
      <c r="AC18" s="37" t="str">
        <f>IF(AND('Mapa final'!$AB$22="Alta",'Mapa final'!$AD$22="Mayor"),CONCATENATE("R3C",'Mapa final'!$R$22),"")</f>
        <v/>
      </c>
      <c r="AD18" s="37" t="str">
        <f>IF(AND('Mapa final'!$AB$23="Alta",'Mapa final'!$AD$23="Mayor"),CONCATENATE("R3C",'Mapa final'!$R$23),"")</f>
        <v/>
      </c>
      <c r="AE18" s="37" t="str">
        <f>IF(AND('Mapa final'!$AB$24="Alta",'Mapa final'!$AD$24="Mayor"),CONCATENATE("R3C",'Mapa final'!$R$24),"")</f>
        <v/>
      </c>
      <c r="AF18" s="37" t="str">
        <f>IF(AND('Mapa final'!$AB$25="Alta",'Mapa final'!$AD$25="Mayor"),CONCATENATE("R3C",'Mapa final'!$R$25),"")</f>
        <v/>
      </c>
      <c r="AG18" s="38" t="str">
        <f>IF(AND('Mapa final'!$AB$26="Alta",'Mapa final'!$AD$26="Mayor"),CONCATENATE("R3C",'Mapa final'!$R$26),"")</f>
        <v/>
      </c>
      <c r="AH18" s="39" t="str">
        <f>IF(AND('Mapa final'!$AB$21="Alta",'Mapa final'!$AD$21="Catastrófico"),CONCATENATE("R3C",'Mapa final'!$R$21),"")</f>
        <v/>
      </c>
      <c r="AI18" s="40" t="str">
        <f>IF(AND('Mapa final'!$AB$22="Alta",'Mapa final'!$AD$22="Catastrófico"),CONCATENATE("R3C",'Mapa final'!$R$22),"")</f>
        <v/>
      </c>
      <c r="AJ18" s="40" t="str">
        <f>IF(AND('Mapa final'!$AB$23="Alta",'Mapa final'!$AD$23="Catastrófico"),CONCATENATE("R3C",'Mapa final'!$R$23),"")</f>
        <v/>
      </c>
      <c r="AK18" s="40" t="str">
        <f>IF(AND('Mapa final'!$AB$24="Alta",'Mapa final'!$AD$24="Catastrófico"),CONCATENATE("R3C",'Mapa final'!$R$24),"")</f>
        <v/>
      </c>
      <c r="AL18" s="40" t="str">
        <f>IF(AND('Mapa final'!$AB$25="Alta",'Mapa final'!$AD$25="Catastrófico"),CONCATENATE("R3C",'Mapa final'!$R$25),"")</f>
        <v/>
      </c>
      <c r="AM18" s="41" t="str">
        <f>IF(AND('Mapa final'!$AB$26="Alta",'Mapa final'!$AD$26="Catastrófico"),CONCATENATE("R3C",'Mapa final'!$R$26),"")</f>
        <v/>
      </c>
      <c r="AN18" s="67"/>
      <c r="AO18" s="596"/>
      <c r="AP18" s="597"/>
      <c r="AQ18" s="597"/>
      <c r="AR18" s="597"/>
      <c r="AS18" s="597"/>
      <c r="AT18" s="598"/>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545"/>
      <c r="C19" s="545"/>
      <c r="D19" s="546"/>
      <c r="E19" s="586"/>
      <c r="F19" s="587"/>
      <c r="G19" s="587"/>
      <c r="H19" s="587"/>
      <c r="I19" s="587"/>
      <c r="J19" s="51" t="str">
        <f>IF(AND('Mapa final'!$AB$27="Alta",'Mapa final'!$AD$27="Leve"),CONCATENATE("R4C",'Mapa final'!$R$27),"")</f>
        <v/>
      </c>
      <c r="K19" s="52" t="str">
        <f>IF(AND('Mapa final'!$AB$28="Alta",'Mapa final'!$AD$28="Leve"),CONCATENATE("R4C",'Mapa final'!$R$28),"")</f>
        <v/>
      </c>
      <c r="L19" s="52" t="str">
        <f>IF(AND('Mapa final'!$AB$29="Alta",'Mapa final'!$AD$29="Leve"),CONCATENATE("R4C",'Mapa final'!$R$29),"")</f>
        <v/>
      </c>
      <c r="M19" s="52" t="str">
        <f>IF(AND('Mapa final'!$AB$30="Alta",'Mapa final'!$AD$30="Leve"),CONCATENATE("R4C",'Mapa final'!$R$30),"")</f>
        <v/>
      </c>
      <c r="N19" s="52" t="str">
        <f>IF(AND('Mapa final'!$AB$31="Alta",'Mapa final'!$AD$31="Leve"),CONCATENATE("R4C",'Mapa final'!$R$31),"")</f>
        <v/>
      </c>
      <c r="O19" s="53" t="str">
        <f>IF(AND('Mapa final'!$AB$32="Alta",'Mapa final'!$AD$32="Leve"),CONCATENATE("R4C",'Mapa final'!$R$32),"")</f>
        <v/>
      </c>
      <c r="P19" s="51" t="str">
        <f>IF(AND('Mapa final'!$AB$27="Alta",'Mapa final'!$AD$27="Menor"),CONCATENATE("R4C",'Mapa final'!$R$27),"")</f>
        <v/>
      </c>
      <c r="Q19" s="52" t="str">
        <f>IF(AND('Mapa final'!$AB$28="Alta",'Mapa final'!$AD$28="Menor"),CONCATENATE("R4C",'Mapa final'!$R$28),"")</f>
        <v/>
      </c>
      <c r="R19" s="52" t="str">
        <f>IF(AND('Mapa final'!$AB$29="Alta",'Mapa final'!$AD$29="Menor"),CONCATENATE("R4C",'Mapa final'!$R$29),"")</f>
        <v/>
      </c>
      <c r="S19" s="52" t="str">
        <f>IF(AND('Mapa final'!$AB$30="Alta",'Mapa final'!$AD$30="Menor"),CONCATENATE("R4C",'Mapa final'!$R$30),"")</f>
        <v/>
      </c>
      <c r="T19" s="52" t="str">
        <f>IF(AND('Mapa final'!$AB$31="Alta",'Mapa final'!$AD$31="Menor"),CONCATENATE("R4C",'Mapa final'!$R$31),"")</f>
        <v/>
      </c>
      <c r="U19" s="53" t="str">
        <f>IF(AND('Mapa final'!$AB$32="Alta",'Mapa final'!$AD$32="Menor"),CONCATENATE("R4C",'Mapa final'!$R$32),"")</f>
        <v/>
      </c>
      <c r="V19" s="36" t="str">
        <f>IF(AND('Mapa final'!$AB$27="Alta",'Mapa final'!$AD$27="Moderado"),CONCATENATE("R4C",'Mapa final'!$R$27),"")</f>
        <v/>
      </c>
      <c r="W19" s="37" t="str">
        <f>IF(AND('Mapa final'!$AB$28="Alta",'Mapa final'!$AD$28="Moderado"),CONCATENATE("R4C",'Mapa final'!$R$28),"")</f>
        <v/>
      </c>
      <c r="X19" s="37" t="str">
        <f>IF(AND('Mapa final'!$AB$29="Alta",'Mapa final'!$AD$29="Moderado"),CONCATENATE("R4C",'Mapa final'!$R$29),"")</f>
        <v/>
      </c>
      <c r="Y19" s="37" t="str">
        <f>IF(AND('Mapa final'!$AB$30="Alta",'Mapa final'!$AD$30="Moderado"),CONCATENATE("R4C",'Mapa final'!$R$30),"")</f>
        <v/>
      </c>
      <c r="Z19" s="37" t="str">
        <f>IF(AND('Mapa final'!$AB$31="Alta",'Mapa final'!$AD$31="Moderado"),CONCATENATE("R4C",'Mapa final'!$R$31),"")</f>
        <v/>
      </c>
      <c r="AA19" s="38" t="str">
        <f>IF(AND('Mapa final'!$AB$32="Alta",'Mapa final'!$AD$32="Moderado"),CONCATENATE("R4C",'Mapa final'!$R$32),"")</f>
        <v/>
      </c>
      <c r="AB19" s="36" t="str">
        <f>IF(AND('Mapa final'!$AB$27="Alta",'Mapa final'!$AD$27="Mayor"),CONCATENATE("R4C",'Mapa final'!$R$27),"")</f>
        <v/>
      </c>
      <c r="AC19" s="37" t="str">
        <f>IF(AND('Mapa final'!$AB$28="Alta",'Mapa final'!$AD$28="Mayor"),CONCATENATE("R4C",'Mapa final'!$R$28),"")</f>
        <v/>
      </c>
      <c r="AD19" s="37" t="str">
        <f>IF(AND('Mapa final'!$AB$29="Alta",'Mapa final'!$AD$29="Mayor"),CONCATENATE("R4C",'Mapa final'!$R$29),"")</f>
        <v/>
      </c>
      <c r="AE19" s="37" t="str">
        <f>IF(AND('Mapa final'!$AB$30="Alta",'Mapa final'!$AD$30="Mayor"),CONCATENATE("R4C",'Mapa final'!$R$30),"")</f>
        <v/>
      </c>
      <c r="AF19" s="37" t="str">
        <f>IF(AND('Mapa final'!$AB$31="Alta",'Mapa final'!$AD$31="Mayor"),CONCATENATE("R4C",'Mapa final'!$R$31),"")</f>
        <v/>
      </c>
      <c r="AG19" s="38" t="str">
        <f>IF(AND('Mapa final'!$AB$32="Alta",'Mapa final'!$AD$32="Mayor"),CONCATENATE("R4C",'Mapa final'!$R$32),"")</f>
        <v/>
      </c>
      <c r="AH19" s="39" t="str">
        <f>IF(AND('Mapa final'!$AB$27="Alta",'Mapa final'!$AD$27="Catastrófico"),CONCATENATE("R4C",'Mapa final'!$R$27),"")</f>
        <v/>
      </c>
      <c r="AI19" s="40" t="str">
        <f>IF(AND('Mapa final'!$AB$28="Alta",'Mapa final'!$AD$28="Catastrófico"),CONCATENATE("R4C",'Mapa final'!$R$28),"")</f>
        <v/>
      </c>
      <c r="AJ19" s="40" t="str">
        <f>IF(AND('Mapa final'!$AB$29="Alta",'Mapa final'!$AD$29="Catastrófico"),CONCATENATE("R4C",'Mapa final'!$R$29),"")</f>
        <v/>
      </c>
      <c r="AK19" s="40" t="str">
        <f>IF(AND('Mapa final'!$AB$30="Alta",'Mapa final'!$AD$30="Catastrófico"),CONCATENATE("R4C",'Mapa final'!$R$30),"")</f>
        <v/>
      </c>
      <c r="AL19" s="40" t="str">
        <f>IF(AND('Mapa final'!$AB$31="Alta",'Mapa final'!$AD$31="Catastrófico"),CONCATENATE("R4C",'Mapa final'!$R$31),"")</f>
        <v/>
      </c>
      <c r="AM19" s="41" t="str">
        <f>IF(AND('Mapa final'!$AB$32="Alta",'Mapa final'!$AD$32="Catastrófico"),CONCATENATE("R4C",'Mapa final'!$R$32),"")</f>
        <v/>
      </c>
      <c r="AN19" s="67"/>
      <c r="AO19" s="596"/>
      <c r="AP19" s="597"/>
      <c r="AQ19" s="597"/>
      <c r="AR19" s="597"/>
      <c r="AS19" s="597"/>
      <c r="AT19" s="598"/>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545"/>
      <c r="C20" s="545"/>
      <c r="D20" s="546"/>
      <c r="E20" s="586"/>
      <c r="F20" s="587"/>
      <c r="G20" s="587"/>
      <c r="H20" s="587"/>
      <c r="I20" s="587"/>
      <c r="J20" s="51" t="str">
        <f>IF(AND('Mapa final'!$AB$33="Alta",'Mapa final'!$AD$33="Leve"),CONCATENATE("R5C",'Mapa final'!$R$33),"")</f>
        <v/>
      </c>
      <c r="K20" s="52" t="str">
        <f>IF(AND('Mapa final'!$AB$34="Alta",'Mapa final'!$AD$34="Leve"),CONCATENATE("R5C",'Mapa final'!$R$34),"")</f>
        <v/>
      </c>
      <c r="L20" s="52" t="str">
        <f>IF(AND('Mapa final'!$AB$35="Alta",'Mapa final'!$AD$35="Leve"),CONCATENATE("R5C",'Mapa final'!$R$35),"")</f>
        <v/>
      </c>
      <c r="M20" s="52" t="str">
        <f>IF(AND('Mapa final'!$AB$36="Alta",'Mapa final'!$AD$36="Leve"),CONCATENATE("R5C",'Mapa final'!$R$36),"")</f>
        <v/>
      </c>
      <c r="N20" s="52" t="str">
        <f>IF(AND('Mapa final'!$AB$37="Alta",'Mapa final'!$AD$37="Leve"),CONCATENATE("R5C",'Mapa final'!$R$37),"")</f>
        <v/>
      </c>
      <c r="O20" s="53" t="str">
        <f>IF(AND('Mapa final'!$AB$38="Alta",'Mapa final'!$AD$38="Leve"),CONCATENATE("R5C",'Mapa final'!$R$38),"")</f>
        <v/>
      </c>
      <c r="P20" s="51" t="str">
        <f>IF(AND('Mapa final'!$AB$33="Alta",'Mapa final'!$AD$33="Menor"),CONCATENATE("R5C",'Mapa final'!$R$33),"")</f>
        <v/>
      </c>
      <c r="Q20" s="52" t="str">
        <f>IF(AND('Mapa final'!$AB$34="Alta",'Mapa final'!$AD$34="Menor"),CONCATENATE("R5C",'Mapa final'!$R$34),"")</f>
        <v/>
      </c>
      <c r="R20" s="52" t="str">
        <f>IF(AND('Mapa final'!$AB$35="Alta",'Mapa final'!$AD$35="Menor"),CONCATENATE("R5C",'Mapa final'!$R$35),"")</f>
        <v/>
      </c>
      <c r="S20" s="52" t="str">
        <f>IF(AND('Mapa final'!$AB$36="Alta",'Mapa final'!$AD$36="Menor"),CONCATENATE("R5C",'Mapa final'!$R$36),"")</f>
        <v/>
      </c>
      <c r="T20" s="52" t="str">
        <f>IF(AND('Mapa final'!$AB$37="Alta",'Mapa final'!$AD$37="Menor"),CONCATENATE("R5C",'Mapa final'!$R$37),"")</f>
        <v/>
      </c>
      <c r="U20" s="53" t="str">
        <f>IF(AND('Mapa final'!$AB$38="Alta",'Mapa final'!$AD$38="Menor"),CONCATENATE("R5C",'Mapa final'!$R$38),"")</f>
        <v/>
      </c>
      <c r="V20" s="36" t="str">
        <f>IF(AND('Mapa final'!$AB$33="Alta",'Mapa final'!$AD$33="Moderado"),CONCATENATE("R5C",'Mapa final'!$R$33),"")</f>
        <v/>
      </c>
      <c r="W20" s="37" t="str">
        <f>IF(AND('Mapa final'!$AB$34="Alta",'Mapa final'!$AD$34="Moderado"),CONCATENATE("R5C",'Mapa final'!$R$34),"")</f>
        <v/>
      </c>
      <c r="X20" s="37" t="str">
        <f>IF(AND('Mapa final'!$AB$35="Alta",'Mapa final'!$AD$35="Moderado"),CONCATENATE("R5C",'Mapa final'!$R$35),"")</f>
        <v/>
      </c>
      <c r="Y20" s="37" t="str">
        <f>IF(AND('Mapa final'!$AB$36="Alta",'Mapa final'!$AD$36="Moderado"),CONCATENATE("R5C",'Mapa final'!$R$36),"")</f>
        <v/>
      </c>
      <c r="Z20" s="37" t="str">
        <f>IF(AND('Mapa final'!$AB$37="Alta",'Mapa final'!$AD$37="Moderado"),CONCATENATE("R5C",'Mapa final'!$R$37),"")</f>
        <v/>
      </c>
      <c r="AA20" s="38" t="str">
        <f>IF(AND('Mapa final'!$AB$38="Alta",'Mapa final'!$AD$38="Moderado"),CONCATENATE("R5C",'Mapa final'!$R$38),"")</f>
        <v/>
      </c>
      <c r="AB20" s="36" t="str">
        <f>IF(AND('Mapa final'!$AB$33="Alta",'Mapa final'!$AD$33="Mayor"),CONCATENATE("R5C",'Mapa final'!$R$33),"")</f>
        <v/>
      </c>
      <c r="AC20" s="37" t="str">
        <f>IF(AND('Mapa final'!$AB$34="Alta",'Mapa final'!$AD$34="Mayor"),CONCATENATE("R5C",'Mapa final'!$R$34),"")</f>
        <v/>
      </c>
      <c r="AD20" s="37" t="str">
        <f>IF(AND('Mapa final'!$AB$35="Alta",'Mapa final'!$AD$35="Mayor"),CONCATENATE("R5C",'Mapa final'!$R$35),"")</f>
        <v/>
      </c>
      <c r="AE20" s="37" t="str">
        <f>IF(AND('Mapa final'!$AB$36="Alta",'Mapa final'!$AD$36="Mayor"),CONCATENATE("R5C",'Mapa final'!$R$36),"")</f>
        <v/>
      </c>
      <c r="AF20" s="37" t="str">
        <f>IF(AND('Mapa final'!$AB$37="Alta",'Mapa final'!$AD$37="Mayor"),CONCATENATE("R5C",'Mapa final'!$R$37),"")</f>
        <v/>
      </c>
      <c r="AG20" s="38" t="str">
        <f>IF(AND('Mapa final'!$AB$38="Alta",'Mapa final'!$AD$38="Mayor"),CONCATENATE("R5C",'Mapa final'!$R$38),"")</f>
        <v/>
      </c>
      <c r="AH20" s="39" t="str">
        <f>IF(AND('Mapa final'!$AB$33="Alta",'Mapa final'!$AD$33="Catastrófico"),CONCATENATE("R5C",'Mapa final'!$R$33),"")</f>
        <v/>
      </c>
      <c r="AI20" s="40" t="str">
        <f>IF(AND('Mapa final'!$AB$34="Alta",'Mapa final'!$AD$34="Catastrófico"),CONCATENATE("R5C",'Mapa final'!$R$34),"")</f>
        <v/>
      </c>
      <c r="AJ20" s="40" t="str">
        <f>IF(AND('Mapa final'!$AB$35="Alta",'Mapa final'!$AD$35="Catastrófico"),CONCATENATE("R5C",'Mapa final'!$R$35),"")</f>
        <v/>
      </c>
      <c r="AK20" s="40" t="str">
        <f>IF(AND('Mapa final'!$AB$36="Alta",'Mapa final'!$AD$36="Catastrófico"),CONCATENATE("R5C",'Mapa final'!$R$36),"")</f>
        <v/>
      </c>
      <c r="AL20" s="40" t="str">
        <f>IF(AND('Mapa final'!$AB$37="Alta",'Mapa final'!$AD$37="Catastrófico"),CONCATENATE("R5C",'Mapa final'!$R$37),"")</f>
        <v/>
      </c>
      <c r="AM20" s="41" t="str">
        <f>IF(AND('Mapa final'!$AB$38="Alta",'Mapa final'!$AD$38="Catastrófico"),CONCATENATE("R5C",'Mapa final'!$R$38),"")</f>
        <v/>
      </c>
      <c r="AN20" s="67"/>
      <c r="AO20" s="596"/>
      <c r="AP20" s="597"/>
      <c r="AQ20" s="597"/>
      <c r="AR20" s="597"/>
      <c r="AS20" s="597"/>
      <c r="AT20" s="598"/>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545"/>
      <c r="C21" s="545"/>
      <c r="D21" s="546"/>
      <c r="E21" s="586"/>
      <c r="F21" s="587"/>
      <c r="G21" s="587"/>
      <c r="H21" s="587"/>
      <c r="I21" s="587"/>
      <c r="J21" s="51" t="str">
        <f>IF(AND('Mapa final'!$AB$39="Alta",'Mapa final'!$AD$39="Leve"),CONCATENATE("R6C",'Mapa final'!$R$39),"")</f>
        <v/>
      </c>
      <c r="K21" s="52" t="str">
        <f>IF(AND('Mapa final'!$AB$40="Alta",'Mapa final'!$AD$40="Leve"),CONCATENATE("R6C",'Mapa final'!$R$40),"")</f>
        <v/>
      </c>
      <c r="L21" s="52" t="str">
        <f>IF(AND('Mapa final'!$AB$41="Alta",'Mapa final'!$AD$41="Leve"),CONCATENATE("R6C",'Mapa final'!$R$41),"")</f>
        <v/>
      </c>
      <c r="M21" s="52" t="str">
        <f>IF(AND('Mapa final'!$AB$42="Alta",'Mapa final'!$AD$42="Leve"),CONCATENATE("R6C",'Mapa final'!$R$42),"")</f>
        <v/>
      </c>
      <c r="N21" s="52" t="str">
        <f>IF(AND('Mapa final'!$AB$43="Alta",'Mapa final'!$AD$43="Leve"),CONCATENATE("R6C",'Mapa final'!$R$43),"")</f>
        <v/>
      </c>
      <c r="O21" s="53" t="str">
        <f>IF(AND('Mapa final'!$AB$44="Alta",'Mapa final'!$AD$44="Leve"),CONCATENATE("R6C",'Mapa final'!$R$44),"")</f>
        <v/>
      </c>
      <c r="P21" s="51" t="str">
        <f>IF(AND('Mapa final'!$AB$39="Alta",'Mapa final'!$AD$39="Menor"),CONCATENATE("R6C",'Mapa final'!$R$39),"")</f>
        <v/>
      </c>
      <c r="Q21" s="52" t="str">
        <f>IF(AND('Mapa final'!$AB$40="Alta",'Mapa final'!$AD$40="Menor"),CONCATENATE("R6C",'Mapa final'!$R$40),"")</f>
        <v/>
      </c>
      <c r="R21" s="52" t="str">
        <f>IF(AND('Mapa final'!$AB$41="Alta",'Mapa final'!$AD$41="Menor"),CONCATENATE("R6C",'Mapa final'!$R$41),"")</f>
        <v/>
      </c>
      <c r="S21" s="52" t="str">
        <f>IF(AND('Mapa final'!$AB$42="Alta",'Mapa final'!$AD$42="Menor"),CONCATENATE("R6C",'Mapa final'!$R$42),"")</f>
        <v/>
      </c>
      <c r="T21" s="52" t="str">
        <f>IF(AND('Mapa final'!$AB$43="Alta",'Mapa final'!$AD$43="Menor"),CONCATENATE("R6C",'Mapa final'!$R$43),"")</f>
        <v/>
      </c>
      <c r="U21" s="53" t="str">
        <f>IF(AND('Mapa final'!$AB$44="Alta",'Mapa final'!$AD$44="Menor"),CONCATENATE("R6C",'Mapa final'!$R$44),"")</f>
        <v/>
      </c>
      <c r="V21" s="36" t="str">
        <f>IF(AND('Mapa final'!$AB$39="Alta",'Mapa final'!$AD$39="Moderado"),CONCATENATE("R6C",'Mapa final'!$R$39),"")</f>
        <v/>
      </c>
      <c r="W21" s="37" t="str">
        <f>IF(AND('Mapa final'!$AB$40="Alta",'Mapa final'!$AD$40="Moderado"),CONCATENATE("R6C",'Mapa final'!$R$40),"")</f>
        <v/>
      </c>
      <c r="X21" s="37" t="str">
        <f>IF(AND('Mapa final'!$AB$41="Alta",'Mapa final'!$AD$41="Moderado"),CONCATENATE("R6C",'Mapa final'!$R$41),"")</f>
        <v/>
      </c>
      <c r="Y21" s="37" t="str">
        <f>IF(AND('Mapa final'!$AB$42="Alta",'Mapa final'!$AD$42="Moderado"),CONCATENATE("R6C",'Mapa final'!$R$42),"")</f>
        <v/>
      </c>
      <c r="Z21" s="37" t="str">
        <f>IF(AND('Mapa final'!$AB$43="Alta",'Mapa final'!$AD$43="Moderado"),CONCATENATE("R6C",'Mapa final'!$R$43),"")</f>
        <v/>
      </c>
      <c r="AA21" s="38" t="str">
        <f>IF(AND('Mapa final'!$AB$44="Alta",'Mapa final'!$AD$44="Moderado"),CONCATENATE("R6C",'Mapa final'!$R$44),"")</f>
        <v/>
      </c>
      <c r="AB21" s="36" t="str">
        <f>IF(AND('Mapa final'!$AB$39="Alta",'Mapa final'!$AD$39="Mayor"),CONCATENATE("R6C",'Mapa final'!$R$39),"")</f>
        <v/>
      </c>
      <c r="AC21" s="37" t="str">
        <f>IF(AND('Mapa final'!$AB$40="Alta",'Mapa final'!$AD$40="Mayor"),CONCATENATE("R6C",'Mapa final'!$R$40),"")</f>
        <v/>
      </c>
      <c r="AD21" s="37" t="str">
        <f>IF(AND('Mapa final'!$AB$41="Alta",'Mapa final'!$AD$41="Mayor"),CONCATENATE("R6C",'Mapa final'!$R$41),"")</f>
        <v/>
      </c>
      <c r="AE21" s="37" t="str">
        <f>IF(AND('Mapa final'!$AB$42="Alta",'Mapa final'!$AD$42="Mayor"),CONCATENATE("R6C",'Mapa final'!$R$42),"")</f>
        <v/>
      </c>
      <c r="AF21" s="37" t="str">
        <f>IF(AND('Mapa final'!$AB$43="Alta",'Mapa final'!$AD$43="Mayor"),CONCATENATE("R6C",'Mapa final'!$R$43),"")</f>
        <v/>
      </c>
      <c r="AG21" s="38" t="str">
        <f>IF(AND('Mapa final'!$AB$44="Alta",'Mapa final'!$AD$44="Mayor"),CONCATENATE("R6C",'Mapa final'!$R$44),"")</f>
        <v/>
      </c>
      <c r="AH21" s="39" t="str">
        <f>IF(AND('Mapa final'!$AB$39="Alta",'Mapa final'!$AD$39="Catastrófico"),CONCATENATE("R6C",'Mapa final'!$R$39),"")</f>
        <v/>
      </c>
      <c r="AI21" s="40" t="str">
        <f>IF(AND('Mapa final'!$AB$40="Alta",'Mapa final'!$AD$40="Catastrófico"),CONCATENATE("R6C",'Mapa final'!$R$40),"")</f>
        <v/>
      </c>
      <c r="AJ21" s="40" t="str">
        <f>IF(AND('Mapa final'!$AB$41="Alta",'Mapa final'!$AD$41="Catastrófico"),CONCATENATE("R6C",'Mapa final'!$R$41),"")</f>
        <v/>
      </c>
      <c r="AK21" s="40" t="str">
        <f>IF(AND('Mapa final'!$AB$42="Alta",'Mapa final'!$AD$42="Catastrófico"),CONCATENATE("R6C",'Mapa final'!$R$42),"")</f>
        <v/>
      </c>
      <c r="AL21" s="40" t="str">
        <f>IF(AND('Mapa final'!$AB$43="Alta",'Mapa final'!$AD$43="Catastrófico"),CONCATENATE("R6C",'Mapa final'!$R$43),"")</f>
        <v/>
      </c>
      <c r="AM21" s="41" t="str">
        <f>IF(AND('Mapa final'!$AB$44="Alta",'Mapa final'!$AD$44="Catastrófico"),CONCATENATE("R6C",'Mapa final'!$R$44),"")</f>
        <v/>
      </c>
      <c r="AN21" s="67"/>
      <c r="AO21" s="596"/>
      <c r="AP21" s="597"/>
      <c r="AQ21" s="597"/>
      <c r="AR21" s="597"/>
      <c r="AS21" s="597"/>
      <c r="AT21" s="598"/>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545"/>
      <c r="C22" s="545"/>
      <c r="D22" s="546"/>
      <c r="E22" s="586"/>
      <c r="F22" s="587"/>
      <c r="G22" s="587"/>
      <c r="H22" s="587"/>
      <c r="I22" s="587"/>
      <c r="J22" s="51" t="str">
        <f>IF(AND('Mapa final'!$AB$45="Alta",'Mapa final'!$AD$45="Leve"),CONCATENATE("R7C",'Mapa final'!$R$45),"")</f>
        <v/>
      </c>
      <c r="K22" s="52" t="str">
        <f>IF(AND('Mapa final'!$AB$46="Alta",'Mapa final'!$AD$46="Leve"),CONCATENATE("R7C",'Mapa final'!$R$46),"")</f>
        <v/>
      </c>
      <c r="L22" s="52" t="str">
        <f>IF(AND('Mapa final'!$AB$47="Alta",'Mapa final'!$AD$47="Leve"),CONCATENATE("R7C",'Mapa final'!$R$47),"")</f>
        <v/>
      </c>
      <c r="M22" s="52" t="str">
        <f>IF(AND('Mapa final'!$AB$48="Alta",'Mapa final'!$AD$48="Leve"),CONCATENATE("R7C",'Mapa final'!$R$48),"")</f>
        <v/>
      </c>
      <c r="N22" s="52" t="str">
        <f>IF(AND('Mapa final'!$AB$49="Alta",'Mapa final'!$AD$49="Leve"),CONCATENATE("R7C",'Mapa final'!$R$49),"")</f>
        <v/>
      </c>
      <c r="O22" s="53" t="str">
        <f>IF(AND('Mapa final'!$AB$50="Alta",'Mapa final'!$AD$50="Leve"),CONCATENATE("R7C",'Mapa final'!$R$50),"")</f>
        <v/>
      </c>
      <c r="P22" s="51" t="str">
        <f>IF(AND('Mapa final'!$AB$45="Alta",'Mapa final'!$AD$45="Menor"),CONCATENATE("R7C",'Mapa final'!$R$45),"")</f>
        <v/>
      </c>
      <c r="Q22" s="52" t="str">
        <f>IF(AND('Mapa final'!$AB$46="Alta",'Mapa final'!$AD$46="Menor"),CONCATENATE("R7C",'Mapa final'!$R$46),"")</f>
        <v/>
      </c>
      <c r="R22" s="52" t="str">
        <f>IF(AND('Mapa final'!$AB$47="Alta",'Mapa final'!$AD$47="Menor"),CONCATENATE("R7C",'Mapa final'!$R$47),"")</f>
        <v/>
      </c>
      <c r="S22" s="52" t="str">
        <f>IF(AND('Mapa final'!$AB$48="Alta",'Mapa final'!$AD$48="Menor"),CONCATENATE("R7C",'Mapa final'!$R$48),"")</f>
        <v/>
      </c>
      <c r="T22" s="52" t="str">
        <f>IF(AND('Mapa final'!$AB$49="Alta",'Mapa final'!$AD$49="Menor"),CONCATENATE("R7C",'Mapa final'!$R$49),"")</f>
        <v/>
      </c>
      <c r="U22" s="53" t="str">
        <f>IF(AND('Mapa final'!$AB$50="Alta",'Mapa final'!$AD$50="Menor"),CONCATENATE("R7C",'Mapa final'!$R$50),"")</f>
        <v/>
      </c>
      <c r="V22" s="36" t="str">
        <f>IF(AND('Mapa final'!$AB$45="Alta",'Mapa final'!$AD$45="Moderado"),CONCATENATE("R7C",'Mapa final'!$R$45),"")</f>
        <v/>
      </c>
      <c r="W22" s="37" t="str">
        <f>IF(AND('Mapa final'!$AB$46="Alta",'Mapa final'!$AD$46="Moderado"),CONCATENATE("R7C",'Mapa final'!$R$46),"")</f>
        <v/>
      </c>
      <c r="X22" s="37" t="str">
        <f>IF(AND('Mapa final'!$AB$47="Alta",'Mapa final'!$AD$47="Moderado"),CONCATENATE("R7C",'Mapa final'!$R$47),"")</f>
        <v/>
      </c>
      <c r="Y22" s="37" t="str">
        <f>IF(AND('Mapa final'!$AB$48="Alta",'Mapa final'!$AD$48="Moderado"),CONCATENATE("R7C",'Mapa final'!$R$48),"")</f>
        <v/>
      </c>
      <c r="Z22" s="37" t="str">
        <f>IF(AND('Mapa final'!$AB$49="Alta",'Mapa final'!$AD$49="Moderado"),CONCATENATE("R7C",'Mapa final'!$R$49),"")</f>
        <v/>
      </c>
      <c r="AA22" s="38" t="str">
        <f>IF(AND('Mapa final'!$AB$50="Alta",'Mapa final'!$AD$50="Moderado"),CONCATENATE("R7C",'Mapa final'!$R$50),"")</f>
        <v/>
      </c>
      <c r="AB22" s="36" t="str">
        <f>IF(AND('Mapa final'!$AB$45="Alta",'Mapa final'!$AD$45="Mayor"),CONCATENATE("R7C",'Mapa final'!$R$45),"")</f>
        <v/>
      </c>
      <c r="AC22" s="37" t="str">
        <f>IF(AND('Mapa final'!$AB$46="Alta",'Mapa final'!$AD$46="Mayor"),CONCATENATE("R7C",'Mapa final'!$R$46),"")</f>
        <v/>
      </c>
      <c r="AD22" s="37" t="str">
        <f>IF(AND('Mapa final'!$AB$47="Alta",'Mapa final'!$AD$47="Mayor"),CONCATENATE("R7C",'Mapa final'!$R$47),"")</f>
        <v/>
      </c>
      <c r="AE22" s="37" t="str">
        <f>IF(AND('Mapa final'!$AB$48="Alta",'Mapa final'!$AD$48="Mayor"),CONCATENATE("R7C",'Mapa final'!$R$48),"")</f>
        <v/>
      </c>
      <c r="AF22" s="37" t="str">
        <f>IF(AND('Mapa final'!$AB$49="Alta",'Mapa final'!$AD$49="Mayor"),CONCATENATE("R7C",'Mapa final'!$R$49),"")</f>
        <v/>
      </c>
      <c r="AG22" s="38" t="str">
        <f>IF(AND('Mapa final'!$AB$50="Alta",'Mapa final'!$AD$50="Mayor"),CONCATENATE("R7C",'Mapa final'!$R$50),"")</f>
        <v/>
      </c>
      <c r="AH22" s="39" t="str">
        <f>IF(AND('Mapa final'!$AB$45="Alta",'Mapa final'!$AD$45="Catastrófico"),CONCATENATE("R7C",'Mapa final'!$R$45),"")</f>
        <v/>
      </c>
      <c r="AI22" s="40" t="str">
        <f>IF(AND('Mapa final'!$AB$46="Alta",'Mapa final'!$AD$46="Catastrófico"),CONCATENATE("R7C",'Mapa final'!$R$46),"")</f>
        <v/>
      </c>
      <c r="AJ22" s="40" t="str">
        <f>IF(AND('Mapa final'!$AB$47="Alta",'Mapa final'!$AD$47="Catastrófico"),CONCATENATE("R7C",'Mapa final'!$R$47),"")</f>
        <v/>
      </c>
      <c r="AK22" s="40" t="str">
        <f>IF(AND('Mapa final'!$AB$48="Alta",'Mapa final'!$AD$48="Catastrófico"),CONCATENATE("R7C",'Mapa final'!$R$48),"")</f>
        <v/>
      </c>
      <c r="AL22" s="40" t="str">
        <f>IF(AND('Mapa final'!$AB$49="Alta",'Mapa final'!$AD$49="Catastrófico"),CONCATENATE("R7C",'Mapa final'!$R$49),"")</f>
        <v/>
      </c>
      <c r="AM22" s="41" t="str">
        <f>IF(AND('Mapa final'!$AB$50="Alta",'Mapa final'!$AD$50="Catastrófico"),CONCATENATE("R7C",'Mapa final'!$R$50),"")</f>
        <v/>
      </c>
      <c r="AN22" s="67"/>
      <c r="AO22" s="596"/>
      <c r="AP22" s="597"/>
      <c r="AQ22" s="597"/>
      <c r="AR22" s="597"/>
      <c r="AS22" s="597"/>
      <c r="AT22" s="598"/>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545"/>
      <c r="C23" s="545"/>
      <c r="D23" s="546"/>
      <c r="E23" s="586"/>
      <c r="F23" s="587"/>
      <c r="G23" s="587"/>
      <c r="H23" s="587"/>
      <c r="I23" s="587"/>
      <c r="J23" s="51" t="str">
        <f>IF(AND('Mapa final'!$AB$51="Alta",'Mapa final'!$AD$51="Leve"),CONCATENATE("R8C",'Mapa final'!$R$51),"")</f>
        <v/>
      </c>
      <c r="K23" s="52" t="str">
        <f>IF(AND('Mapa final'!$AB$52="Alta",'Mapa final'!$AD$52="Leve"),CONCATENATE("R8C",'Mapa final'!$R$52),"")</f>
        <v/>
      </c>
      <c r="L23" s="52" t="str">
        <f>IF(AND('Mapa final'!$AB$53="Alta",'Mapa final'!$AD$53="Leve"),CONCATENATE("R8C",'Mapa final'!$R$53),"")</f>
        <v/>
      </c>
      <c r="M23" s="52" t="str">
        <f>IF(AND('Mapa final'!$AB$54="Alta",'Mapa final'!$AD$54="Leve"),CONCATENATE("R8C",'Mapa final'!$R$54),"")</f>
        <v/>
      </c>
      <c r="N23" s="52" t="str">
        <f>IF(AND('Mapa final'!$AB$55="Alta",'Mapa final'!$AD$55="Leve"),CONCATENATE("R8C",'Mapa final'!$R$55),"")</f>
        <v/>
      </c>
      <c r="O23" s="53" t="str">
        <f>IF(AND('Mapa final'!$AB$56="Alta",'Mapa final'!$AD$56="Leve"),CONCATENATE("R8C",'Mapa final'!$R$56),"")</f>
        <v/>
      </c>
      <c r="P23" s="51" t="str">
        <f>IF(AND('Mapa final'!$AB$51="Alta",'Mapa final'!$AD$51="Menor"),CONCATENATE("R8C",'Mapa final'!$R$51),"")</f>
        <v/>
      </c>
      <c r="Q23" s="52" t="str">
        <f>IF(AND('Mapa final'!$AB$52="Alta",'Mapa final'!$AD$52="Menor"),CONCATENATE("R8C",'Mapa final'!$R$52),"")</f>
        <v/>
      </c>
      <c r="R23" s="52" t="str">
        <f>IF(AND('Mapa final'!$AB$53="Alta",'Mapa final'!$AD$53="Menor"),CONCATENATE("R8C",'Mapa final'!$R$53),"")</f>
        <v/>
      </c>
      <c r="S23" s="52" t="str">
        <f>IF(AND('Mapa final'!$AB$54="Alta",'Mapa final'!$AD$54="Menor"),CONCATENATE("R8C",'Mapa final'!$R$54),"")</f>
        <v/>
      </c>
      <c r="T23" s="52" t="str">
        <f>IF(AND('Mapa final'!$AB$55="Alta",'Mapa final'!$AD$55="Menor"),CONCATENATE("R8C",'Mapa final'!$R$55),"")</f>
        <v/>
      </c>
      <c r="U23" s="53" t="str">
        <f>IF(AND('Mapa final'!$AB$56="Alta",'Mapa final'!$AD$56="Menor"),CONCATENATE("R8C",'Mapa final'!$R$56),"")</f>
        <v/>
      </c>
      <c r="V23" s="36" t="str">
        <f>IF(AND('Mapa final'!$AB$51="Alta",'Mapa final'!$AD$51="Moderado"),CONCATENATE("R8C",'Mapa final'!$R$51),"")</f>
        <v/>
      </c>
      <c r="W23" s="37" t="str">
        <f>IF(AND('Mapa final'!$AB$52="Alta",'Mapa final'!$AD$52="Moderado"),CONCATENATE("R8C",'Mapa final'!$R$52),"")</f>
        <v/>
      </c>
      <c r="X23" s="37" t="str">
        <f>IF(AND('Mapa final'!$AB$53="Alta",'Mapa final'!$AD$53="Moderado"),CONCATENATE("R8C",'Mapa final'!$R$53),"")</f>
        <v/>
      </c>
      <c r="Y23" s="37" t="str">
        <f>IF(AND('Mapa final'!$AB$54="Alta",'Mapa final'!$AD$54="Moderado"),CONCATENATE("R8C",'Mapa final'!$R$54),"")</f>
        <v/>
      </c>
      <c r="Z23" s="37" t="str">
        <f>IF(AND('Mapa final'!$AB$55="Alta",'Mapa final'!$AD$55="Moderado"),CONCATENATE("R8C",'Mapa final'!$R$55),"")</f>
        <v/>
      </c>
      <c r="AA23" s="38" t="str">
        <f>IF(AND('Mapa final'!$AB$56="Alta",'Mapa final'!$AD$56="Moderado"),CONCATENATE("R8C",'Mapa final'!$R$56),"")</f>
        <v/>
      </c>
      <c r="AB23" s="36" t="str">
        <f>IF(AND('Mapa final'!$AB$51="Alta",'Mapa final'!$AD$51="Mayor"),CONCATENATE("R8C",'Mapa final'!$R$51),"")</f>
        <v/>
      </c>
      <c r="AC23" s="37" t="str">
        <f>IF(AND('Mapa final'!$AB$52="Alta",'Mapa final'!$AD$52="Mayor"),CONCATENATE("R8C",'Mapa final'!$R$52),"")</f>
        <v/>
      </c>
      <c r="AD23" s="37" t="str">
        <f>IF(AND('Mapa final'!$AB$53="Alta",'Mapa final'!$AD$53="Mayor"),CONCATENATE("R8C",'Mapa final'!$R$53),"")</f>
        <v/>
      </c>
      <c r="AE23" s="37" t="str">
        <f>IF(AND('Mapa final'!$AB$54="Alta",'Mapa final'!$AD$54="Mayor"),CONCATENATE("R8C",'Mapa final'!$R$54),"")</f>
        <v/>
      </c>
      <c r="AF23" s="37" t="str">
        <f>IF(AND('Mapa final'!$AB$55="Alta",'Mapa final'!$AD$55="Mayor"),CONCATENATE("R8C",'Mapa final'!$R$55),"")</f>
        <v/>
      </c>
      <c r="AG23" s="38" t="str">
        <f>IF(AND('Mapa final'!$AB$56="Alta",'Mapa final'!$AD$56="Mayor"),CONCATENATE("R8C",'Mapa final'!$R$56),"")</f>
        <v/>
      </c>
      <c r="AH23" s="39" t="str">
        <f>IF(AND('Mapa final'!$AB$51="Alta",'Mapa final'!$AD$51="Catastrófico"),CONCATENATE("R8C",'Mapa final'!$R$51),"")</f>
        <v/>
      </c>
      <c r="AI23" s="40" t="str">
        <f>IF(AND('Mapa final'!$AB$52="Alta",'Mapa final'!$AD$52="Catastrófico"),CONCATENATE("R8C",'Mapa final'!$R$52),"")</f>
        <v/>
      </c>
      <c r="AJ23" s="40" t="str">
        <f>IF(AND('Mapa final'!$AB$53="Alta",'Mapa final'!$AD$53="Catastrófico"),CONCATENATE("R8C",'Mapa final'!$R$53),"")</f>
        <v/>
      </c>
      <c r="AK23" s="40" t="str">
        <f>IF(AND('Mapa final'!$AB$54="Alta",'Mapa final'!$AD$54="Catastrófico"),CONCATENATE("R8C",'Mapa final'!$R$54),"")</f>
        <v/>
      </c>
      <c r="AL23" s="40" t="str">
        <f>IF(AND('Mapa final'!$AB$55="Alta",'Mapa final'!$AD$55="Catastrófico"),CONCATENATE("R8C",'Mapa final'!$R$55),"")</f>
        <v/>
      </c>
      <c r="AM23" s="41" t="str">
        <f>IF(AND('Mapa final'!$AB$56="Alta",'Mapa final'!$AD$56="Catastrófico"),CONCATENATE("R8C",'Mapa final'!$R$56),"")</f>
        <v/>
      </c>
      <c r="AN23" s="67"/>
      <c r="AO23" s="596"/>
      <c r="AP23" s="597"/>
      <c r="AQ23" s="597"/>
      <c r="AR23" s="597"/>
      <c r="AS23" s="597"/>
      <c r="AT23" s="598"/>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545"/>
      <c r="C24" s="545"/>
      <c r="D24" s="546"/>
      <c r="E24" s="586"/>
      <c r="F24" s="587"/>
      <c r="G24" s="587"/>
      <c r="H24" s="587"/>
      <c r="I24" s="587"/>
      <c r="J24" s="51" t="str">
        <f>IF(AND('Mapa final'!$AB$57="Alta",'Mapa final'!$AD$57="Leve"),CONCATENATE("R9C",'Mapa final'!$R$57),"")</f>
        <v/>
      </c>
      <c r="K24" s="52" t="str">
        <f>IF(AND('Mapa final'!$AB$58="Alta",'Mapa final'!$AD$58="Leve"),CONCATENATE("R9C",'Mapa final'!$R$58),"")</f>
        <v/>
      </c>
      <c r="L24" s="52" t="str">
        <f>IF(AND('Mapa final'!$AB$59="Alta",'Mapa final'!$AD$59="Leve"),CONCATENATE("R9C",'Mapa final'!$R$59),"")</f>
        <v/>
      </c>
      <c r="M24" s="52" t="str">
        <f>IF(AND('Mapa final'!$AB$60="Alta",'Mapa final'!$AD$60="Leve"),CONCATENATE("R9C",'Mapa final'!$R$60),"")</f>
        <v/>
      </c>
      <c r="N24" s="52" t="str">
        <f>IF(AND('Mapa final'!$AB$61="Alta",'Mapa final'!$AD$61="Leve"),CONCATENATE("R9C",'Mapa final'!$R$61),"")</f>
        <v/>
      </c>
      <c r="O24" s="53" t="str">
        <f>IF(AND('Mapa final'!$AB$62="Alta",'Mapa final'!$AD$62="Leve"),CONCATENATE("R9C",'Mapa final'!$R$62),"")</f>
        <v/>
      </c>
      <c r="P24" s="51" t="str">
        <f>IF(AND('Mapa final'!$AB$57="Alta",'Mapa final'!$AD$57="Menor"),CONCATENATE("R9C",'Mapa final'!$R$57),"")</f>
        <v/>
      </c>
      <c r="Q24" s="52" t="str">
        <f>IF(AND('Mapa final'!$AB$58="Alta",'Mapa final'!$AD$58="Menor"),CONCATENATE("R9C",'Mapa final'!$R$58),"")</f>
        <v/>
      </c>
      <c r="R24" s="52" t="str">
        <f>IF(AND('Mapa final'!$AB$59="Alta",'Mapa final'!$AD$59="Menor"),CONCATENATE("R9C",'Mapa final'!$R$59),"")</f>
        <v/>
      </c>
      <c r="S24" s="52" t="str">
        <f>IF(AND('Mapa final'!$AB$60="Alta",'Mapa final'!$AD$60="Menor"),CONCATENATE("R9C",'Mapa final'!$R$60),"")</f>
        <v/>
      </c>
      <c r="T24" s="52" t="str">
        <f>IF(AND('Mapa final'!$AB$61="Alta",'Mapa final'!$AD$61="Menor"),CONCATENATE("R9C",'Mapa final'!$R$61),"")</f>
        <v/>
      </c>
      <c r="U24" s="53" t="str">
        <f>IF(AND('Mapa final'!$AB$62="Alta",'Mapa final'!$AD$62="Menor"),CONCATENATE("R9C",'Mapa final'!$R$62),"")</f>
        <v/>
      </c>
      <c r="V24" s="36" t="str">
        <f>IF(AND('Mapa final'!$AB$57="Alta",'Mapa final'!$AD$57="Moderado"),CONCATENATE("R9C",'Mapa final'!$R$57),"")</f>
        <v/>
      </c>
      <c r="W24" s="37" t="str">
        <f>IF(AND('Mapa final'!$AB$58="Alta",'Mapa final'!$AD$58="Moderado"),CONCATENATE("R9C",'Mapa final'!$R$58),"")</f>
        <v/>
      </c>
      <c r="X24" s="37" t="str">
        <f>IF(AND('Mapa final'!$AB$59="Alta",'Mapa final'!$AD$59="Moderado"),CONCATENATE("R9C",'Mapa final'!$R$59),"")</f>
        <v/>
      </c>
      <c r="Y24" s="37" t="str">
        <f>IF(AND('Mapa final'!$AB$60="Alta",'Mapa final'!$AD$60="Moderado"),CONCATENATE("R9C",'Mapa final'!$R$60),"")</f>
        <v/>
      </c>
      <c r="Z24" s="37" t="str">
        <f>IF(AND('Mapa final'!$AB$61="Alta",'Mapa final'!$AD$61="Moderado"),CONCATENATE("R9C",'Mapa final'!$R$61),"")</f>
        <v/>
      </c>
      <c r="AA24" s="38" t="str">
        <f>IF(AND('Mapa final'!$AB$62="Alta",'Mapa final'!$AD$62="Moderado"),CONCATENATE("R9C",'Mapa final'!$R$62),"")</f>
        <v/>
      </c>
      <c r="AB24" s="36" t="str">
        <f>IF(AND('Mapa final'!$AB$57="Alta",'Mapa final'!$AD$57="Mayor"),CONCATENATE("R9C",'Mapa final'!$R$57),"")</f>
        <v/>
      </c>
      <c r="AC24" s="37" t="str">
        <f>IF(AND('Mapa final'!$AB$58="Alta",'Mapa final'!$AD$58="Mayor"),CONCATENATE("R9C",'Mapa final'!$R$58),"")</f>
        <v/>
      </c>
      <c r="AD24" s="37" t="str">
        <f>IF(AND('Mapa final'!$AB$59="Alta",'Mapa final'!$AD$59="Mayor"),CONCATENATE("R9C",'Mapa final'!$R$59),"")</f>
        <v/>
      </c>
      <c r="AE24" s="37" t="str">
        <f>IF(AND('Mapa final'!$AB$60="Alta",'Mapa final'!$AD$60="Mayor"),CONCATENATE("R9C",'Mapa final'!$R$60),"")</f>
        <v/>
      </c>
      <c r="AF24" s="37" t="str">
        <f>IF(AND('Mapa final'!$AB$61="Alta",'Mapa final'!$AD$61="Mayor"),CONCATENATE("R9C",'Mapa final'!$R$61),"")</f>
        <v/>
      </c>
      <c r="AG24" s="38" t="str">
        <f>IF(AND('Mapa final'!$AB$62="Alta",'Mapa final'!$AD$62="Mayor"),CONCATENATE("R9C",'Mapa final'!$R$62),"")</f>
        <v/>
      </c>
      <c r="AH24" s="39" t="str">
        <f>IF(AND('Mapa final'!$AB$57="Alta",'Mapa final'!$AD$57="Catastrófico"),CONCATENATE("R9C",'Mapa final'!$R$57),"")</f>
        <v/>
      </c>
      <c r="AI24" s="40" t="str">
        <f>IF(AND('Mapa final'!$AB$58="Alta",'Mapa final'!$AD$58="Catastrófico"),CONCATENATE("R9C",'Mapa final'!$R$58),"")</f>
        <v/>
      </c>
      <c r="AJ24" s="40" t="str">
        <f>IF(AND('Mapa final'!$AB$59="Alta",'Mapa final'!$AD$59="Catastrófico"),CONCATENATE("R9C",'Mapa final'!$R$59),"")</f>
        <v/>
      </c>
      <c r="AK24" s="40" t="str">
        <f>IF(AND('Mapa final'!$AB$60="Alta",'Mapa final'!$AD$60="Catastrófico"),CONCATENATE("R9C",'Mapa final'!$R$60),"")</f>
        <v/>
      </c>
      <c r="AL24" s="40" t="str">
        <f>IF(AND('Mapa final'!$AB$61="Alta",'Mapa final'!$AD$61="Catastrófico"),CONCATENATE("R9C",'Mapa final'!$R$61),"")</f>
        <v/>
      </c>
      <c r="AM24" s="41" t="str">
        <f>IF(AND('Mapa final'!$AB$62="Alta",'Mapa final'!$AD$62="Catastrófico"),CONCATENATE("R9C",'Mapa final'!$R$62),"")</f>
        <v/>
      </c>
      <c r="AN24" s="67"/>
      <c r="AO24" s="596"/>
      <c r="AP24" s="597"/>
      <c r="AQ24" s="597"/>
      <c r="AR24" s="597"/>
      <c r="AS24" s="597"/>
      <c r="AT24" s="598"/>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545"/>
      <c r="C25" s="545"/>
      <c r="D25" s="546"/>
      <c r="E25" s="589"/>
      <c r="F25" s="590"/>
      <c r="G25" s="590"/>
      <c r="H25" s="590"/>
      <c r="I25" s="590"/>
      <c r="J25" s="54" t="str">
        <f>IF(AND('Mapa final'!$AB$63="Alta",'Mapa final'!$AD$63="Leve"),CONCATENATE("R10C",'Mapa final'!$R$63),"")</f>
        <v/>
      </c>
      <c r="K25" s="55" t="str">
        <f>IF(AND('Mapa final'!$AB$64="Alta",'Mapa final'!$AD$64="Leve"),CONCATENATE("R10C",'Mapa final'!$R$64),"")</f>
        <v/>
      </c>
      <c r="L25" s="55" t="str">
        <f>IF(AND('Mapa final'!$AB$65="Alta",'Mapa final'!$AD$65="Leve"),CONCATENATE("R10C",'Mapa final'!$R$65),"")</f>
        <v/>
      </c>
      <c r="M25" s="55" t="str">
        <f>IF(AND('Mapa final'!$AB$66="Alta",'Mapa final'!$AD$66="Leve"),CONCATENATE("R10C",'Mapa final'!$R$66),"")</f>
        <v/>
      </c>
      <c r="N25" s="55" t="str">
        <f>IF(AND('Mapa final'!$AB$67="Alta",'Mapa final'!$AD$67="Leve"),CONCATENATE("R10C",'Mapa final'!$R$67),"")</f>
        <v/>
      </c>
      <c r="O25" s="56" t="str">
        <f>IF(AND('Mapa final'!$AB$68="Alta",'Mapa final'!$AD$68="Leve"),CONCATENATE("R10C",'Mapa final'!$R$68),"")</f>
        <v/>
      </c>
      <c r="P25" s="54" t="str">
        <f>IF(AND('Mapa final'!$AB$63="Alta",'Mapa final'!$AD$63="Menor"),CONCATENATE("R10C",'Mapa final'!$R$63),"")</f>
        <v/>
      </c>
      <c r="Q25" s="55" t="str">
        <f>IF(AND('Mapa final'!$AB$64="Alta",'Mapa final'!$AD$64="Menor"),CONCATENATE("R10C",'Mapa final'!$R$64),"")</f>
        <v/>
      </c>
      <c r="R25" s="55" t="str">
        <f>IF(AND('Mapa final'!$AB$65="Alta",'Mapa final'!$AD$65="Menor"),CONCATENATE("R10C",'Mapa final'!$R$65),"")</f>
        <v/>
      </c>
      <c r="S25" s="55" t="str">
        <f>IF(AND('Mapa final'!$AB$66="Alta",'Mapa final'!$AD$66="Menor"),CONCATENATE("R10C",'Mapa final'!$R$66),"")</f>
        <v/>
      </c>
      <c r="T25" s="55" t="str">
        <f>IF(AND('Mapa final'!$AB$67="Alta",'Mapa final'!$AD$67="Menor"),CONCATENATE("R10C",'Mapa final'!$R$67),"")</f>
        <v/>
      </c>
      <c r="U25" s="56" t="str">
        <f>IF(AND('Mapa final'!$AB$68="Alta",'Mapa final'!$AD$68="Menor"),CONCATENATE("R10C",'Mapa final'!$R$68),"")</f>
        <v/>
      </c>
      <c r="V25" s="42" t="str">
        <f>IF(AND('Mapa final'!$AB$63="Alta",'Mapa final'!$AD$63="Moderado"),CONCATENATE("R10C",'Mapa final'!$R$63),"")</f>
        <v/>
      </c>
      <c r="W25" s="43" t="str">
        <f>IF(AND('Mapa final'!$AB$64="Alta",'Mapa final'!$AD$64="Moderado"),CONCATENATE("R10C",'Mapa final'!$R$64),"")</f>
        <v/>
      </c>
      <c r="X25" s="43" t="str">
        <f>IF(AND('Mapa final'!$AB$65="Alta",'Mapa final'!$AD$65="Moderado"),CONCATENATE("R10C",'Mapa final'!$R$65),"")</f>
        <v/>
      </c>
      <c r="Y25" s="43" t="str">
        <f>IF(AND('Mapa final'!$AB$66="Alta",'Mapa final'!$AD$66="Moderado"),CONCATENATE("R10C",'Mapa final'!$R$66),"")</f>
        <v/>
      </c>
      <c r="Z25" s="43" t="str">
        <f>IF(AND('Mapa final'!$AB$67="Alta",'Mapa final'!$AD$67="Moderado"),CONCATENATE("R10C",'Mapa final'!$R$67),"")</f>
        <v/>
      </c>
      <c r="AA25" s="44" t="str">
        <f>IF(AND('Mapa final'!$AB$68="Alta",'Mapa final'!$AD$68="Moderado"),CONCATENATE("R10C",'Mapa final'!$R$68),"")</f>
        <v/>
      </c>
      <c r="AB25" s="42" t="str">
        <f>IF(AND('Mapa final'!$AB$63="Alta",'Mapa final'!$AD$63="Mayor"),CONCATENATE("R10C",'Mapa final'!$R$63),"")</f>
        <v/>
      </c>
      <c r="AC25" s="43" t="str">
        <f>IF(AND('Mapa final'!$AB$64="Alta",'Mapa final'!$AD$64="Mayor"),CONCATENATE("R10C",'Mapa final'!$R$64),"")</f>
        <v/>
      </c>
      <c r="AD25" s="43" t="str">
        <f>IF(AND('Mapa final'!$AB$65="Alta",'Mapa final'!$AD$65="Mayor"),CONCATENATE("R10C",'Mapa final'!$R$65),"")</f>
        <v/>
      </c>
      <c r="AE25" s="43" t="str">
        <f>IF(AND('Mapa final'!$AB$66="Alta",'Mapa final'!$AD$66="Mayor"),CONCATENATE("R10C",'Mapa final'!$R$66),"")</f>
        <v/>
      </c>
      <c r="AF25" s="43" t="str">
        <f>IF(AND('Mapa final'!$AB$67="Alta",'Mapa final'!$AD$67="Mayor"),CONCATENATE("R10C",'Mapa final'!$R$67),"")</f>
        <v/>
      </c>
      <c r="AG25" s="44" t="str">
        <f>IF(AND('Mapa final'!$AB$68="Alta",'Mapa final'!$AD$68="Mayor"),CONCATENATE("R10C",'Mapa final'!$R$68),"")</f>
        <v/>
      </c>
      <c r="AH25" s="45" t="str">
        <f>IF(AND('Mapa final'!$AB$63="Alta",'Mapa final'!$AD$63="Catastrófico"),CONCATENATE("R10C",'Mapa final'!$R$63),"")</f>
        <v/>
      </c>
      <c r="AI25" s="46" t="str">
        <f>IF(AND('Mapa final'!$AB$64="Alta",'Mapa final'!$AD$64="Catastrófico"),CONCATENATE("R10C",'Mapa final'!$R$64),"")</f>
        <v/>
      </c>
      <c r="AJ25" s="46" t="str">
        <f>IF(AND('Mapa final'!$AB$65="Alta",'Mapa final'!$AD$65="Catastrófico"),CONCATENATE("R10C",'Mapa final'!$R$65),"")</f>
        <v/>
      </c>
      <c r="AK25" s="46" t="str">
        <f>IF(AND('Mapa final'!$AB$66="Alta",'Mapa final'!$AD$66="Catastrófico"),CONCATENATE("R10C",'Mapa final'!$R$66),"")</f>
        <v/>
      </c>
      <c r="AL25" s="46" t="str">
        <f>IF(AND('Mapa final'!$AB$67="Alta",'Mapa final'!$AD$67="Catastrófico"),CONCATENATE("R10C",'Mapa final'!$R$67),"")</f>
        <v/>
      </c>
      <c r="AM25" s="47" t="str">
        <f>IF(AND('Mapa final'!$AB$68="Alta",'Mapa final'!$AD$68="Catastrófico"),CONCATENATE("R10C",'Mapa final'!$R$68),"")</f>
        <v/>
      </c>
      <c r="AN25" s="67"/>
      <c r="AO25" s="599"/>
      <c r="AP25" s="600"/>
      <c r="AQ25" s="600"/>
      <c r="AR25" s="600"/>
      <c r="AS25" s="600"/>
      <c r="AT25" s="601"/>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545"/>
      <c r="C26" s="545"/>
      <c r="D26" s="546"/>
      <c r="E26" s="583" t="s">
        <v>111</v>
      </c>
      <c r="F26" s="584"/>
      <c r="G26" s="584"/>
      <c r="H26" s="584"/>
      <c r="I26" s="585"/>
      <c r="J26" s="48" t="str">
        <f>IF(AND('Mapa final'!$AB$10="Media",'Mapa final'!$AD$10="Leve"),CONCATENATE("R1C",'Mapa final'!$R$10),"")</f>
        <v/>
      </c>
      <c r="K26" s="49" t="str">
        <f>IF(AND('Mapa final'!$AB$11="Media",'Mapa final'!$AD$11="Leve"),CONCATENATE("R1C",'Mapa final'!$R$11),"")</f>
        <v/>
      </c>
      <c r="L26" s="49" t="str">
        <f>IF(AND('Mapa final'!$AB$13="Media",'Mapa final'!$AD$13="Leve"),CONCATENATE("R1C",'Mapa final'!$R$13),"")</f>
        <v/>
      </c>
      <c r="M26" s="49" t="str">
        <f>IF(AND('Mapa final'!$AB$14="Media",'Mapa final'!$AD$14="Leve"),CONCATENATE("R1C",'Mapa final'!$R$14),"")</f>
        <v/>
      </c>
      <c r="N26" s="49" t="e">
        <f>IF(AND('Mapa final'!#REF!="Media",'Mapa final'!#REF!="Leve"),CONCATENATE("R1C",'Mapa final'!#REF!),"")</f>
        <v>#REF!</v>
      </c>
      <c r="O26" s="50" t="e">
        <f>IF(AND('Mapa final'!#REF!="Media",'Mapa final'!#REF!="Leve"),CONCATENATE("R1C",'Mapa final'!#REF!),"")</f>
        <v>#REF!</v>
      </c>
      <c r="P26" s="48" t="str">
        <f>IF(AND('Mapa final'!$AB$10="Media",'Mapa final'!$AD$10="Menor"),CONCATENATE("R1C",'Mapa final'!$R$10),"")</f>
        <v/>
      </c>
      <c r="Q26" s="49" t="str">
        <f>IF(AND('Mapa final'!$AB$11="Media",'Mapa final'!$AD$11="Menor"),CONCATENATE("R1C",'Mapa final'!$R$11),"")</f>
        <v/>
      </c>
      <c r="R26" s="49" t="str">
        <f>IF(AND('Mapa final'!$AB$13="Media",'Mapa final'!$AD$13="Menor"),CONCATENATE("R1C",'Mapa final'!$R$13),"")</f>
        <v/>
      </c>
      <c r="S26" s="49" t="str">
        <f>IF(AND('Mapa final'!$AB$14="Media",'Mapa final'!$AD$14="Menor"),CONCATENATE("R1C",'Mapa final'!$R$14),"")</f>
        <v/>
      </c>
      <c r="T26" s="49" t="e">
        <f>IF(AND('Mapa final'!#REF!="Media",'Mapa final'!#REF!="Menor"),CONCATENATE("R1C",'Mapa final'!#REF!),"")</f>
        <v>#REF!</v>
      </c>
      <c r="U26" s="50" t="e">
        <f>IF(AND('Mapa final'!#REF!="Media",'Mapa final'!#REF!="Menor"),CONCATENATE("R1C",'Mapa final'!#REF!),"")</f>
        <v>#REF!</v>
      </c>
      <c r="V26" s="48" t="str">
        <f>IF(AND('Mapa final'!$AB$10="Media",'Mapa final'!$AD$10="Moderado"),CONCATENATE("R1C",'Mapa final'!$R$10),"")</f>
        <v/>
      </c>
      <c r="W26" s="49" t="str">
        <f>IF(AND('Mapa final'!$AB$11="Media",'Mapa final'!$AD$11="Moderado"),CONCATENATE("R1C",'Mapa final'!$R$11),"")</f>
        <v/>
      </c>
      <c r="X26" s="49" t="str">
        <f>IF(AND('Mapa final'!$AB$13="Media",'Mapa final'!$AD$13="Moderado"),CONCATENATE("R1C",'Mapa final'!$R$13),"")</f>
        <v/>
      </c>
      <c r="Y26" s="49" t="str">
        <f>IF(AND('Mapa final'!$AB$14="Media",'Mapa final'!$AD$14="Moderado"),CONCATENATE("R1C",'Mapa final'!$R$14),"")</f>
        <v/>
      </c>
      <c r="Z26" s="49" t="e">
        <f>IF(AND('Mapa final'!#REF!="Media",'Mapa final'!#REF!="Moderado"),CONCATENATE("R1C",'Mapa final'!#REF!),"")</f>
        <v>#REF!</v>
      </c>
      <c r="AA26" s="50" t="e">
        <f>IF(AND('Mapa final'!#REF!="Media",'Mapa final'!#REF!="Moderado"),CONCATENATE("R1C",'Mapa final'!#REF!),"")</f>
        <v>#REF!</v>
      </c>
      <c r="AB26" s="30" t="str">
        <f>IF(AND('Mapa final'!$AB$10="Media",'Mapa final'!$AD$10="Mayor"),CONCATENATE("R1C",'Mapa final'!$R$10),"")</f>
        <v/>
      </c>
      <c r="AC26" s="31" t="str">
        <f>IF(AND('Mapa final'!$AB$11="Media",'Mapa final'!$AD$11="Mayor"),CONCATENATE("R1C",'Mapa final'!$R$11),"")</f>
        <v/>
      </c>
      <c r="AD26" s="31" t="str">
        <f>IF(AND('Mapa final'!$AB$13="Media",'Mapa final'!$AD$13="Mayor"),CONCATENATE("R1C",'Mapa final'!$R$13),"")</f>
        <v/>
      </c>
      <c r="AE26" s="31" t="str">
        <f>IF(AND('Mapa final'!$AB$14="Media",'Mapa final'!$AD$14="Mayor"),CONCATENATE("R1C",'Mapa final'!$R$14),"")</f>
        <v/>
      </c>
      <c r="AF26" s="31" t="e">
        <f>IF(AND('Mapa final'!#REF!="Media",'Mapa final'!#REF!="Mayor"),CONCATENATE("R1C",'Mapa final'!#REF!),"")</f>
        <v>#REF!</v>
      </c>
      <c r="AG26" s="32" t="e">
        <f>IF(AND('Mapa final'!#REF!="Media",'Mapa final'!#REF!="Mayor"),CONCATENATE("R1C",'Mapa final'!#REF!),"")</f>
        <v>#REF!</v>
      </c>
      <c r="AH26" s="33" t="str">
        <f>IF(AND('Mapa final'!$AB$10="Media",'Mapa final'!$AD$10="Catastrófico"),CONCATENATE("R1C",'Mapa final'!$R$10),"")</f>
        <v/>
      </c>
      <c r="AI26" s="34" t="str">
        <f>IF(AND('Mapa final'!$AB$11="Media",'Mapa final'!$AD$11="Catastrófico"),CONCATENATE("R1C",'Mapa final'!$R$11),"")</f>
        <v/>
      </c>
      <c r="AJ26" s="34" t="str">
        <f>IF(AND('Mapa final'!$AB$13="Media",'Mapa final'!$AD$13="Catastrófico"),CONCATENATE("R1C",'Mapa final'!$R$13),"")</f>
        <v/>
      </c>
      <c r="AK26" s="34" t="str">
        <f>IF(AND('Mapa final'!$AB$14="Media",'Mapa final'!$AD$14="Catastrófico"),CONCATENATE("R1C",'Mapa final'!$R$14),"")</f>
        <v/>
      </c>
      <c r="AL26" s="34" t="e">
        <f>IF(AND('Mapa final'!#REF!="Media",'Mapa final'!#REF!="Catastrófico"),CONCATENATE("R1C",'Mapa final'!#REF!),"")</f>
        <v>#REF!</v>
      </c>
      <c r="AM26" s="35" t="e">
        <f>IF(AND('Mapa final'!#REF!="Media",'Mapa final'!#REF!="Catastrófico"),CONCATENATE("R1C",'Mapa final'!#REF!),"")</f>
        <v>#REF!</v>
      </c>
      <c r="AN26" s="67"/>
      <c r="AO26" s="623" t="s">
        <v>79</v>
      </c>
      <c r="AP26" s="624"/>
      <c r="AQ26" s="624"/>
      <c r="AR26" s="624"/>
      <c r="AS26" s="624"/>
      <c r="AT26" s="625"/>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545"/>
      <c r="C27" s="545"/>
      <c r="D27" s="546"/>
      <c r="E27" s="602"/>
      <c r="F27" s="587"/>
      <c r="G27" s="587"/>
      <c r="H27" s="587"/>
      <c r="I27" s="588"/>
      <c r="J27" s="51" t="str">
        <f>IF(AND('Mapa final'!$AB$15="Media",'Mapa final'!$AD$15="Leve"),CONCATENATE("R2C",'Mapa final'!$R$15),"")</f>
        <v/>
      </c>
      <c r="K27" s="52" t="str">
        <f>IF(AND('Mapa final'!$AB$16="Media",'Mapa final'!$AD$16="Leve"),CONCATENATE("R2C",'Mapa final'!$R$16),"")</f>
        <v/>
      </c>
      <c r="L27" s="52" t="str">
        <f>IF(AND('Mapa final'!$AB$17="Media",'Mapa final'!$AD$17="Leve"),CONCATENATE("R2C",'Mapa final'!$R$17),"")</f>
        <v/>
      </c>
      <c r="M27" s="52" t="str">
        <f>IF(AND('Mapa final'!$AB$18="Media",'Mapa final'!$AD$18="Leve"),CONCATENATE("R2C",'Mapa final'!$R$18),"")</f>
        <v/>
      </c>
      <c r="N27" s="52" t="str">
        <f>IF(AND('Mapa final'!$AB$19="Media",'Mapa final'!$AD$19="Leve"),CONCATENATE("R2C",'Mapa final'!$R$19),"")</f>
        <v/>
      </c>
      <c r="O27" s="53" t="str">
        <f>IF(AND('Mapa final'!$AB$20="Media",'Mapa final'!$AD$20="Leve"),CONCATENATE("R2C",'Mapa final'!$R$20),"")</f>
        <v/>
      </c>
      <c r="P27" s="51" t="str">
        <f>IF(AND('Mapa final'!$AB$15="Media",'Mapa final'!$AD$15="Menor"),CONCATENATE("R2C",'Mapa final'!$R$15),"")</f>
        <v/>
      </c>
      <c r="Q27" s="52" t="str">
        <f>IF(AND('Mapa final'!$AB$16="Media",'Mapa final'!$AD$16="Menor"),CONCATENATE("R2C",'Mapa final'!$R$16),"")</f>
        <v/>
      </c>
      <c r="R27" s="52" t="str">
        <f>IF(AND('Mapa final'!$AB$17="Media",'Mapa final'!$AD$17="Menor"),CONCATENATE("R2C",'Mapa final'!$R$17),"")</f>
        <v/>
      </c>
      <c r="S27" s="52" t="str">
        <f>IF(AND('Mapa final'!$AB$18="Media",'Mapa final'!$AD$18="Menor"),CONCATENATE("R2C",'Mapa final'!$R$18),"")</f>
        <v/>
      </c>
      <c r="T27" s="52" t="str">
        <f>IF(AND('Mapa final'!$AB$19="Media",'Mapa final'!$AD$19="Menor"),CONCATENATE("R2C",'Mapa final'!$R$19),"")</f>
        <v/>
      </c>
      <c r="U27" s="53" t="str">
        <f>IF(AND('Mapa final'!$AB$20="Media",'Mapa final'!$AD$20="Menor"),CONCATENATE("R2C",'Mapa final'!$R$20),"")</f>
        <v/>
      </c>
      <c r="V27" s="51" t="str">
        <f>IF(AND('Mapa final'!$AB$15="Media",'Mapa final'!$AD$15="Moderado"),CONCATENATE("R2C",'Mapa final'!$R$15),"")</f>
        <v/>
      </c>
      <c r="W27" s="52" t="str">
        <f>IF(AND('Mapa final'!$AB$16="Media",'Mapa final'!$AD$16="Moderado"),CONCATENATE("R2C",'Mapa final'!$R$16),"")</f>
        <v/>
      </c>
      <c r="X27" s="52" t="str">
        <f>IF(AND('Mapa final'!$AB$17="Media",'Mapa final'!$AD$17="Moderado"),CONCATENATE("R2C",'Mapa final'!$R$17),"")</f>
        <v/>
      </c>
      <c r="Y27" s="52" t="str">
        <f>IF(AND('Mapa final'!$AB$18="Media",'Mapa final'!$AD$18="Moderado"),CONCATENATE("R2C",'Mapa final'!$R$18),"")</f>
        <v/>
      </c>
      <c r="Z27" s="52" t="str">
        <f>IF(AND('Mapa final'!$AB$19="Media",'Mapa final'!$AD$19="Moderado"),CONCATENATE("R2C",'Mapa final'!$R$19),"")</f>
        <v/>
      </c>
      <c r="AA27" s="53" t="str">
        <f>IF(AND('Mapa final'!$AB$20="Media",'Mapa final'!$AD$20="Moderado"),CONCATENATE("R2C",'Mapa final'!$R$20),"")</f>
        <v/>
      </c>
      <c r="AB27" s="36" t="str">
        <f>IF(AND('Mapa final'!$AB$15="Media",'Mapa final'!$AD$15="Mayor"),CONCATENATE("R2C",'Mapa final'!$R$15),"")</f>
        <v/>
      </c>
      <c r="AC27" s="37" t="str">
        <f>IF(AND('Mapa final'!$AB$16="Media",'Mapa final'!$AD$16="Mayor"),CONCATENATE("R2C",'Mapa final'!$R$16),"")</f>
        <v/>
      </c>
      <c r="AD27" s="37" t="str">
        <f>IF(AND('Mapa final'!$AB$17="Media",'Mapa final'!$AD$17="Mayor"),CONCATENATE("R2C",'Mapa final'!$R$17),"")</f>
        <v/>
      </c>
      <c r="AE27" s="37" t="str">
        <f>IF(AND('Mapa final'!$AB$18="Media",'Mapa final'!$AD$18="Mayor"),CONCATENATE("R2C",'Mapa final'!$R$18),"")</f>
        <v/>
      </c>
      <c r="AF27" s="37" t="str">
        <f>IF(AND('Mapa final'!$AB$19="Media",'Mapa final'!$AD$19="Mayor"),CONCATENATE("R2C",'Mapa final'!$R$19),"")</f>
        <v/>
      </c>
      <c r="AG27" s="38" t="str">
        <f>IF(AND('Mapa final'!$AB$20="Media",'Mapa final'!$AD$20="Mayor"),CONCATENATE("R2C",'Mapa final'!$R$20),"")</f>
        <v/>
      </c>
      <c r="AH27" s="39" t="str">
        <f>IF(AND('Mapa final'!$AB$15="Media",'Mapa final'!$AD$15="Catastrófico"),CONCATENATE("R2C",'Mapa final'!$R$15),"")</f>
        <v/>
      </c>
      <c r="AI27" s="40" t="str">
        <f>IF(AND('Mapa final'!$AB$16="Media",'Mapa final'!$AD$16="Catastrófico"),CONCATENATE("R2C",'Mapa final'!$R$16),"")</f>
        <v/>
      </c>
      <c r="AJ27" s="40" t="str">
        <f>IF(AND('Mapa final'!$AB$17="Media",'Mapa final'!$AD$17="Catastrófico"),CONCATENATE("R2C",'Mapa final'!$R$17),"")</f>
        <v/>
      </c>
      <c r="AK27" s="40" t="str">
        <f>IF(AND('Mapa final'!$AB$18="Media",'Mapa final'!$AD$18="Catastrófico"),CONCATENATE("R2C",'Mapa final'!$R$18),"")</f>
        <v/>
      </c>
      <c r="AL27" s="40" t="str">
        <f>IF(AND('Mapa final'!$AB$19="Media",'Mapa final'!$AD$19="Catastrófico"),CONCATENATE("R2C",'Mapa final'!$R$19),"")</f>
        <v/>
      </c>
      <c r="AM27" s="41" t="str">
        <f>IF(AND('Mapa final'!$AB$20="Media",'Mapa final'!$AD$20="Catastrófico"),CONCATENATE("R2C",'Mapa final'!$R$20),"")</f>
        <v/>
      </c>
      <c r="AN27" s="67"/>
      <c r="AO27" s="626"/>
      <c r="AP27" s="627"/>
      <c r="AQ27" s="627"/>
      <c r="AR27" s="627"/>
      <c r="AS27" s="627"/>
      <c r="AT27" s="628"/>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545"/>
      <c r="C28" s="545"/>
      <c r="D28" s="546"/>
      <c r="E28" s="586"/>
      <c r="F28" s="587"/>
      <c r="G28" s="587"/>
      <c r="H28" s="587"/>
      <c r="I28" s="588"/>
      <c r="J28" s="51" t="str">
        <f>IF(AND('Mapa final'!$AB$21="Media",'Mapa final'!$AD$21="Leve"),CONCATENATE("R3C",'Mapa final'!$R$21),"")</f>
        <v/>
      </c>
      <c r="K28" s="52" t="str">
        <f>IF(AND('Mapa final'!$AB$22="Media",'Mapa final'!$AD$22="Leve"),CONCATENATE("R3C",'Mapa final'!$R$22),"")</f>
        <v/>
      </c>
      <c r="L28" s="52" t="str">
        <f>IF(AND('Mapa final'!$AB$23="Media",'Mapa final'!$AD$23="Leve"),CONCATENATE("R3C",'Mapa final'!$R$23),"")</f>
        <v/>
      </c>
      <c r="M28" s="52" t="str">
        <f>IF(AND('Mapa final'!$AB$24="Media",'Mapa final'!$AD$24="Leve"),CONCATENATE("R3C",'Mapa final'!$R$24),"")</f>
        <v/>
      </c>
      <c r="N28" s="52" t="str">
        <f>IF(AND('Mapa final'!$AB$25="Media",'Mapa final'!$AD$25="Leve"),CONCATENATE("R3C",'Mapa final'!$R$25),"")</f>
        <v/>
      </c>
      <c r="O28" s="53" t="str">
        <f>IF(AND('Mapa final'!$AB$26="Media",'Mapa final'!$AD$26="Leve"),CONCATENATE("R3C",'Mapa final'!$R$26),"")</f>
        <v/>
      </c>
      <c r="P28" s="51" t="str">
        <f>IF(AND('Mapa final'!$AB$21="Media",'Mapa final'!$AD$21="Menor"),CONCATENATE("R3C",'Mapa final'!$R$21),"")</f>
        <v/>
      </c>
      <c r="Q28" s="52" t="str">
        <f>IF(AND('Mapa final'!$AB$22="Media",'Mapa final'!$AD$22="Menor"),CONCATENATE("R3C",'Mapa final'!$R$22),"")</f>
        <v/>
      </c>
      <c r="R28" s="52" t="str">
        <f>IF(AND('Mapa final'!$AB$23="Media",'Mapa final'!$AD$23="Menor"),CONCATENATE("R3C",'Mapa final'!$R$23),"")</f>
        <v/>
      </c>
      <c r="S28" s="52" t="str">
        <f>IF(AND('Mapa final'!$AB$24="Media",'Mapa final'!$AD$24="Menor"),CONCATENATE("R3C",'Mapa final'!$R$24),"")</f>
        <v/>
      </c>
      <c r="T28" s="52" t="str">
        <f>IF(AND('Mapa final'!$AB$25="Media",'Mapa final'!$AD$25="Menor"),CONCATENATE("R3C",'Mapa final'!$R$25),"")</f>
        <v/>
      </c>
      <c r="U28" s="53" t="str">
        <f>IF(AND('Mapa final'!$AB$26="Media",'Mapa final'!$AD$26="Menor"),CONCATENATE("R3C",'Mapa final'!$R$26),"")</f>
        <v/>
      </c>
      <c r="V28" s="51" t="str">
        <f>IF(AND('Mapa final'!$AB$21="Media",'Mapa final'!$AD$21="Moderado"),CONCATENATE("R3C",'Mapa final'!$R$21),"")</f>
        <v/>
      </c>
      <c r="W28" s="52" t="str">
        <f>IF(AND('Mapa final'!$AB$22="Media",'Mapa final'!$AD$22="Moderado"),CONCATENATE("R3C",'Mapa final'!$R$22),"")</f>
        <v/>
      </c>
      <c r="X28" s="52" t="str">
        <f>IF(AND('Mapa final'!$AB$23="Media",'Mapa final'!$AD$23="Moderado"),CONCATENATE("R3C",'Mapa final'!$R$23),"")</f>
        <v/>
      </c>
      <c r="Y28" s="52" t="str">
        <f>IF(AND('Mapa final'!$AB$24="Media",'Mapa final'!$AD$24="Moderado"),CONCATENATE("R3C",'Mapa final'!$R$24),"")</f>
        <v/>
      </c>
      <c r="Z28" s="52" t="str">
        <f>IF(AND('Mapa final'!$AB$25="Media",'Mapa final'!$AD$25="Moderado"),CONCATENATE("R3C",'Mapa final'!$R$25),"")</f>
        <v/>
      </c>
      <c r="AA28" s="53" t="str">
        <f>IF(AND('Mapa final'!$AB$26="Media",'Mapa final'!$AD$26="Moderado"),CONCATENATE("R3C",'Mapa final'!$R$26),"")</f>
        <v/>
      </c>
      <c r="AB28" s="36" t="str">
        <f>IF(AND('Mapa final'!$AB$21="Media",'Mapa final'!$AD$21="Mayor"),CONCATENATE("R3C",'Mapa final'!$R$21),"")</f>
        <v/>
      </c>
      <c r="AC28" s="37" t="str">
        <f>IF(AND('Mapa final'!$AB$22="Media",'Mapa final'!$AD$22="Mayor"),CONCATENATE("R3C",'Mapa final'!$R$22),"")</f>
        <v/>
      </c>
      <c r="AD28" s="37" t="str">
        <f>IF(AND('Mapa final'!$AB$23="Media",'Mapa final'!$AD$23="Mayor"),CONCATENATE("R3C",'Mapa final'!$R$23),"")</f>
        <v/>
      </c>
      <c r="AE28" s="37" t="str">
        <f>IF(AND('Mapa final'!$AB$24="Media",'Mapa final'!$AD$24="Mayor"),CONCATENATE("R3C",'Mapa final'!$R$24),"")</f>
        <v/>
      </c>
      <c r="AF28" s="37" t="str">
        <f>IF(AND('Mapa final'!$AB$25="Media",'Mapa final'!$AD$25="Mayor"),CONCATENATE("R3C",'Mapa final'!$R$25),"")</f>
        <v/>
      </c>
      <c r="AG28" s="38" t="str">
        <f>IF(AND('Mapa final'!$AB$26="Media",'Mapa final'!$AD$26="Mayor"),CONCATENATE("R3C",'Mapa final'!$R$26),"")</f>
        <v/>
      </c>
      <c r="AH28" s="39" t="str">
        <f>IF(AND('Mapa final'!$AB$21="Media",'Mapa final'!$AD$21="Catastrófico"),CONCATENATE("R3C",'Mapa final'!$R$21),"")</f>
        <v/>
      </c>
      <c r="AI28" s="40" t="str">
        <f>IF(AND('Mapa final'!$AB$22="Media",'Mapa final'!$AD$22="Catastrófico"),CONCATENATE("R3C",'Mapa final'!$R$22),"")</f>
        <v/>
      </c>
      <c r="AJ28" s="40" t="str">
        <f>IF(AND('Mapa final'!$AB$23="Media",'Mapa final'!$AD$23="Catastrófico"),CONCATENATE("R3C",'Mapa final'!$R$23),"")</f>
        <v/>
      </c>
      <c r="AK28" s="40" t="str">
        <f>IF(AND('Mapa final'!$AB$24="Media",'Mapa final'!$AD$24="Catastrófico"),CONCATENATE("R3C",'Mapa final'!$R$24),"")</f>
        <v/>
      </c>
      <c r="AL28" s="40" t="str">
        <f>IF(AND('Mapa final'!$AB$25="Media",'Mapa final'!$AD$25="Catastrófico"),CONCATENATE("R3C",'Mapa final'!$R$25),"")</f>
        <v/>
      </c>
      <c r="AM28" s="41" t="str">
        <f>IF(AND('Mapa final'!$AB$26="Media",'Mapa final'!$AD$26="Catastrófico"),CONCATENATE("R3C",'Mapa final'!$R$26),"")</f>
        <v/>
      </c>
      <c r="AN28" s="67"/>
      <c r="AO28" s="626"/>
      <c r="AP28" s="627"/>
      <c r="AQ28" s="627"/>
      <c r="AR28" s="627"/>
      <c r="AS28" s="627"/>
      <c r="AT28" s="628"/>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545"/>
      <c r="C29" s="545"/>
      <c r="D29" s="546"/>
      <c r="E29" s="586"/>
      <c r="F29" s="587"/>
      <c r="G29" s="587"/>
      <c r="H29" s="587"/>
      <c r="I29" s="588"/>
      <c r="J29" s="51" t="str">
        <f>IF(AND('Mapa final'!$AB$27="Media",'Mapa final'!$AD$27="Leve"),CONCATENATE("R4C",'Mapa final'!$R$27),"")</f>
        <v/>
      </c>
      <c r="K29" s="52" t="str">
        <f>IF(AND('Mapa final'!$AB$28="Media",'Mapa final'!$AD$28="Leve"),CONCATENATE("R4C",'Mapa final'!$R$28),"")</f>
        <v/>
      </c>
      <c r="L29" s="52" t="str">
        <f>IF(AND('Mapa final'!$AB$29="Media",'Mapa final'!$AD$29="Leve"),CONCATENATE("R4C",'Mapa final'!$R$29),"")</f>
        <v/>
      </c>
      <c r="M29" s="52" t="str">
        <f>IF(AND('Mapa final'!$AB$30="Media",'Mapa final'!$AD$30="Leve"),CONCATENATE("R4C",'Mapa final'!$R$30),"")</f>
        <v/>
      </c>
      <c r="N29" s="52" t="str">
        <f>IF(AND('Mapa final'!$AB$31="Media",'Mapa final'!$AD$31="Leve"),CONCATENATE("R4C",'Mapa final'!$R$31),"")</f>
        <v/>
      </c>
      <c r="O29" s="53" t="str">
        <f>IF(AND('Mapa final'!$AB$32="Media",'Mapa final'!$AD$32="Leve"),CONCATENATE("R4C",'Mapa final'!$R$32),"")</f>
        <v/>
      </c>
      <c r="P29" s="51" t="str">
        <f>IF(AND('Mapa final'!$AB$27="Media",'Mapa final'!$AD$27="Menor"),CONCATENATE("R4C",'Mapa final'!$R$27),"")</f>
        <v/>
      </c>
      <c r="Q29" s="52" t="str">
        <f>IF(AND('Mapa final'!$AB$28="Media",'Mapa final'!$AD$28="Menor"),CONCATENATE("R4C",'Mapa final'!$R$28),"")</f>
        <v/>
      </c>
      <c r="R29" s="52" t="str">
        <f>IF(AND('Mapa final'!$AB$29="Media",'Mapa final'!$AD$29="Menor"),CONCATENATE("R4C",'Mapa final'!$R$29),"")</f>
        <v/>
      </c>
      <c r="S29" s="52" t="str">
        <f>IF(AND('Mapa final'!$AB$30="Media",'Mapa final'!$AD$30="Menor"),CONCATENATE("R4C",'Mapa final'!$R$30),"")</f>
        <v/>
      </c>
      <c r="T29" s="52" t="str">
        <f>IF(AND('Mapa final'!$AB$31="Media",'Mapa final'!$AD$31="Menor"),CONCATENATE("R4C",'Mapa final'!$R$31),"")</f>
        <v/>
      </c>
      <c r="U29" s="53" t="str">
        <f>IF(AND('Mapa final'!$AB$32="Media",'Mapa final'!$AD$32="Menor"),CONCATENATE("R4C",'Mapa final'!$R$32),"")</f>
        <v/>
      </c>
      <c r="V29" s="51" t="str">
        <f>IF(AND('Mapa final'!$AB$27="Media",'Mapa final'!$AD$27="Moderado"),CONCATENATE("R4C",'Mapa final'!$R$27),"")</f>
        <v/>
      </c>
      <c r="W29" s="52" t="str">
        <f>IF(AND('Mapa final'!$AB$28="Media",'Mapa final'!$AD$28="Moderado"),CONCATENATE("R4C",'Mapa final'!$R$28),"")</f>
        <v/>
      </c>
      <c r="X29" s="52" t="str">
        <f>IF(AND('Mapa final'!$AB$29="Media",'Mapa final'!$AD$29="Moderado"),CONCATENATE("R4C",'Mapa final'!$R$29),"")</f>
        <v/>
      </c>
      <c r="Y29" s="52" t="str">
        <f>IF(AND('Mapa final'!$AB$30="Media",'Mapa final'!$AD$30="Moderado"),CONCATENATE("R4C",'Mapa final'!$R$30),"")</f>
        <v/>
      </c>
      <c r="Z29" s="52" t="str">
        <f>IF(AND('Mapa final'!$AB$31="Media",'Mapa final'!$AD$31="Moderado"),CONCATENATE("R4C",'Mapa final'!$R$31),"")</f>
        <v/>
      </c>
      <c r="AA29" s="53" t="str">
        <f>IF(AND('Mapa final'!$AB$32="Media",'Mapa final'!$AD$32="Moderado"),CONCATENATE("R4C",'Mapa final'!$R$32),"")</f>
        <v/>
      </c>
      <c r="AB29" s="36" t="str">
        <f>IF(AND('Mapa final'!$AB$27="Media",'Mapa final'!$AD$27="Mayor"),CONCATENATE("R4C",'Mapa final'!$R$27),"")</f>
        <v/>
      </c>
      <c r="AC29" s="37" t="str">
        <f>IF(AND('Mapa final'!$AB$28="Media",'Mapa final'!$AD$28="Mayor"),CONCATENATE("R4C",'Mapa final'!$R$28),"")</f>
        <v/>
      </c>
      <c r="AD29" s="37" t="str">
        <f>IF(AND('Mapa final'!$AB$29="Media",'Mapa final'!$AD$29="Mayor"),CONCATENATE("R4C",'Mapa final'!$R$29),"")</f>
        <v/>
      </c>
      <c r="AE29" s="37" t="str">
        <f>IF(AND('Mapa final'!$AB$30="Media",'Mapa final'!$AD$30="Mayor"),CONCATENATE("R4C",'Mapa final'!$R$30),"")</f>
        <v/>
      </c>
      <c r="AF29" s="37" t="str">
        <f>IF(AND('Mapa final'!$AB$31="Media",'Mapa final'!$AD$31="Mayor"),CONCATENATE("R4C",'Mapa final'!$R$31),"")</f>
        <v/>
      </c>
      <c r="AG29" s="38" t="str">
        <f>IF(AND('Mapa final'!$AB$32="Media",'Mapa final'!$AD$32="Mayor"),CONCATENATE("R4C",'Mapa final'!$R$32),"")</f>
        <v/>
      </c>
      <c r="AH29" s="39" t="str">
        <f>IF(AND('Mapa final'!$AB$27="Media",'Mapa final'!$AD$27="Catastrófico"),CONCATENATE("R4C",'Mapa final'!$R$27),"")</f>
        <v/>
      </c>
      <c r="AI29" s="40" t="str">
        <f>IF(AND('Mapa final'!$AB$28="Media",'Mapa final'!$AD$28="Catastrófico"),CONCATENATE("R4C",'Mapa final'!$R$28),"")</f>
        <v/>
      </c>
      <c r="AJ29" s="40" t="str">
        <f>IF(AND('Mapa final'!$AB$29="Media",'Mapa final'!$AD$29="Catastrófico"),CONCATENATE("R4C",'Mapa final'!$R$29),"")</f>
        <v/>
      </c>
      <c r="AK29" s="40" t="str">
        <f>IF(AND('Mapa final'!$AB$30="Media",'Mapa final'!$AD$30="Catastrófico"),CONCATENATE("R4C",'Mapa final'!$R$30),"")</f>
        <v/>
      </c>
      <c r="AL29" s="40" t="str">
        <f>IF(AND('Mapa final'!$AB$31="Media",'Mapa final'!$AD$31="Catastrófico"),CONCATENATE("R4C",'Mapa final'!$R$31),"")</f>
        <v/>
      </c>
      <c r="AM29" s="41" t="str">
        <f>IF(AND('Mapa final'!$AB$32="Media",'Mapa final'!$AD$32="Catastrófico"),CONCATENATE("R4C",'Mapa final'!$R$32),"")</f>
        <v/>
      </c>
      <c r="AN29" s="67"/>
      <c r="AO29" s="626"/>
      <c r="AP29" s="627"/>
      <c r="AQ29" s="627"/>
      <c r="AR29" s="627"/>
      <c r="AS29" s="627"/>
      <c r="AT29" s="628"/>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545"/>
      <c r="C30" s="545"/>
      <c r="D30" s="546"/>
      <c r="E30" s="586"/>
      <c r="F30" s="587"/>
      <c r="G30" s="587"/>
      <c r="H30" s="587"/>
      <c r="I30" s="588"/>
      <c r="J30" s="51" t="str">
        <f>IF(AND('Mapa final'!$AB$33="Media",'Mapa final'!$AD$33="Leve"),CONCATENATE("R5C",'Mapa final'!$R$33),"")</f>
        <v/>
      </c>
      <c r="K30" s="52" t="str">
        <f>IF(AND('Mapa final'!$AB$34="Media",'Mapa final'!$AD$34="Leve"),CONCATENATE("R5C",'Mapa final'!$R$34),"")</f>
        <v/>
      </c>
      <c r="L30" s="52" t="str">
        <f>IF(AND('Mapa final'!$AB$35="Media",'Mapa final'!$AD$35="Leve"),CONCATENATE("R5C",'Mapa final'!$R$35),"")</f>
        <v/>
      </c>
      <c r="M30" s="52" t="str">
        <f>IF(AND('Mapa final'!$AB$36="Media",'Mapa final'!$AD$36="Leve"),CONCATENATE("R5C",'Mapa final'!$R$36),"")</f>
        <v/>
      </c>
      <c r="N30" s="52" t="str">
        <f>IF(AND('Mapa final'!$AB$37="Media",'Mapa final'!$AD$37="Leve"),CONCATENATE("R5C",'Mapa final'!$R$37),"")</f>
        <v/>
      </c>
      <c r="O30" s="53" t="str">
        <f>IF(AND('Mapa final'!$AB$38="Media",'Mapa final'!$AD$38="Leve"),CONCATENATE("R5C",'Mapa final'!$R$38),"")</f>
        <v/>
      </c>
      <c r="P30" s="51" t="str">
        <f>IF(AND('Mapa final'!$AB$33="Media",'Mapa final'!$AD$33="Menor"),CONCATENATE("R5C",'Mapa final'!$R$33),"")</f>
        <v/>
      </c>
      <c r="Q30" s="52" t="str">
        <f>IF(AND('Mapa final'!$AB$34="Media",'Mapa final'!$AD$34="Menor"),CONCATENATE("R5C",'Mapa final'!$R$34),"")</f>
        <v/>
      </c>
      <c r="R30" s="52" t="str">
        <f>IF(AND('Mapa final'!$AB$35="Media",'Mapa final'!$AD$35="Menor"),CONCATENATE("R5C",'Mapa final'!$R$35),"")</f>
        <v/>
      </c>
      <c r="S30" s="52" t="str">
        <f>IF(AND('Mapa final'!$AB$36="Media",'Mapa final'!$AD$36="Menor"),CONCATENATE("R5C",'Mapa final'!$R$36),"")</f>
        <v/>
      </c>
      <c r="T30" s="52" t="str">
        <f>IF(AND('Mapa final'!$AB$37="Media",'Mapa final'!$AD$37="Menor"),CONCATENATE("R5C",'Mapa final'!$R$37),"")</f>
        <v/>
      </c>
      <c r="U30" s="53" t="str">
        <f>IF(AND('Mapa final'!$AB$38="Media",'Mapa final'!$AD$38="Menor"),CONCATENATE("R5C",'Mapa final'!$R$38),"")</f>
        <v/>
      </c>
      <c r="V30" s="51" t="str">
        <f>IF(AND('Mapa final'!$AB$33="Media",'Mapa final'!$AD$33="Moderado"),CONCATENATE("R5C",'Mapa final'!$R$33),"")</f>
        <v/>
      </c>
      <c r="W30" s="52" t="str">
        <f>IF(AND('Mapa final'!$AB$34="Media",'Mapa final'!$AD$34="Moderado"),CONCATENATE("R5C",'Mapa final'!$R$34),"")</f>
        <v/>
      </c>
      <c r="X30" s="52" t="str">
        <f>IF(AND('Mapa final'!$AB$35="Media",'Mapa final'!$AD$35="Moderado"),CONCATENATE("R5C",'Mapa final'!$R$35),"")</f>
        <v/>
      </c>
      <c r="Y30" s="52" t="str">
        <f>IF(AND('Mapa final'!$AB$36="Media",'Mapa final'!$AD$36="Moderado"),CONCATENATE("R5C",'Mapa final'!$R$36),"")</f>
        <v/>
      </c>
      <c r="Z30" s="52" t="str">
        <f>IF(AND('Mapa final'!$AB$37="Media",'Mapa final'!$AD$37="Moderado"),CONCATENATE("R5C",'Mapa final'!$R$37),"")</f>
        <v/>
      </c>
      <c r="AA30" s="53" t="str">
        <f>IF(AND('Mapa final'!$AB$38="Media",'Mapa final'!$AD$38="Moderado"),CONCATENATE("R5C",'Mapa final'!$R$38),"")</f>
        <v/>
      </c>
      <c r="AB30" s="36" t="str">
        <f>IF(AND('Mapa final'!$AB$33="Media",'Mapa final'!$AD$33="Mayor"),CONCATENATE("R5C",'Mapa final'!$R$33),"")</f>
        <v/>
      </c>
      <c r="AC30" s="37" t="str">
        <f>IF(AND('Mapa final'!$AB$34="Media",'Mapa final'!$AD$34="Mayor"),CONCATENATE("R5C",'Mapa final'!$R$34),"")</f>
        <v/>
      </c>
      <c r="AD30" s="37" t="str">
        <f>IF(AND('Mapa final'!$AB$35="Media",'Mapa final'!$AD$35="Mayor"),CONCATENATE("R5C",'Mapa final'!$R$35),"")</f>
        <v/>
      </c>
      <c r="AE30" s="37" t="str">
        <f>IF(AND('Mapa final'!$AB$36="Media",'Mapa final'!$AD$36="Mayor"),CONCATENATE("R5C",'Mapa final'!$R$36),"")</f>
        <v/>
      </c>
      <c r="AF30" s="37" t="str">
        <f>IF(AND('Mapa final'!$AB$37="Media",'Mapa final'!$AD$37="Mayor"),CONCATENATE("R5C",'Mapa final'!$R$37),"")</f>
        <v/>
      </c>
      <c r="AG30" s="38" t="str">
        <f>IF(AND('Mapa final'!$AB$38="Media",'Mapa final'!$AD$38="Mayor"),CONCATENATE("R5C",'Mapa final'!$R$38),"")</f>
        <v/>
      </c>
      <c r="AH30" s="39" t="str">
        <f>IF(AND('Mapa final'!$AB$33="Media",'Mapa final'!$AD$33="Catastrófico"),CONCATENATE("R5C",'Mapa final'!$R$33),"")</f>
        <v/>
      </c>
      <c r="AI30" s="40" t="str">
        <f>IF(AND('Mapa final'!$AB$34="Media",'Mapa final'!$AD$34="Catastrófico"),CONCATENATE("R5C",'Mapa final'!$R$34),"")</f>
        <v/>
      </c>
      <c r="AJ30" s="40" t="str">
        <f>IF(AND('Mapa final'!$AB$35="Media",'Mapa final'!$AD$35="Catastrófico"),CONCATENATE("R5C",'Mapa final'!$R$35),"")</f>
        <v/>
      </c>
      <c r="AK30" s="40" t="str">
        <f>IF(AND('Mapa final'!$AB$36="Media",'Mapa final'!$AD$36="Catastrófico"),CONCATENATE("R5C",'Mapa final'!$R$36),"")</f>
        <v/>
      </c>
      <c r="AL30" s="40" t="str">
        <f>IF(AND('Mapa final'!$AB$37="Media",'Mapa final'!$AD$37="Catastrófico"),CONCATENATE("R5C",'Mapa final'!$R$37),"")</f>
        <v/>
      </c>
      <c r="AM30" s="41" t="str">
        <f>IF(AND('Mapa final'!$AB$38="Media",'Mapa final'!$AD$38="Catastrófico"),CONCATENATE("R5C",'Mapa final'!$R$38),"")</f>
        <v/>
      </c>
      <c r="AN30" s="67"/>
      <c r="AO30" s="626"/>
      <c r="AP30" s="627"/>
      <c r="AQ30" s="627"/>
      <c r="AR30" s="627"/>
      <c r="AS30" s="627"/>
      <c r="AT30" s="628"/>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545"/>
      <c r="C31" s="545"/>
      <c r="D31" s="546"/>
      <c r="E31" s="586"/>
      <c r="F31" s="587"/>
      <c r="G31" s="587"/>
      <c r="H31" s="587"/>
      <c r="I31" s="588"/>
      <c r="J31" s="51" t="str">
        <f>IF(AND('Mapa final'!$AB$39="Media",'Mapa final'!$AD$39="Leve"),CONCATENATE("R6C",'Mapa final'!$R$39),"")</f>
        <v/>
      </c>
      <c r="K31" s="52" t="str">
        <f>IF(AND('Mapa final'!$AB$40="Media",'Mapa final'!$AD$40="Leve"),CONCATENATE("R6C",'Mapa final'!$R$40),"")</f>
        <v/>
      </c>
      <c r="L31" s="52" t="str">
        <f>IF(AND('Mapa final'!$AB$41="Media",'Mapa final'!$AD$41="Leve"),CONCATENATE("R6C",'Mapa final'!$R$41),"")</f>
        <v/>
      </c>
      <c r="M31" s="52" t="str">
        <f>IF(AND('Mapa final'!$AB$42="Media",'Mapa final'!$AD$42="Leve"),CONCATENATE("R6C",'Mapa final'!$R$42),"")</f>
        <v/>
      </c>
      <c r="N31" s="52" t="str">
        <f>IF(AND('Mapa final'!$AB$43="Media",'Mapa final'!$AD$43="Leve"),CONCATENATE("R6C",'Mapa final'!$R$43),"")</f>
        <v/>
      </c>
      <c r="O31" s="53" t="str">
        <f>IF(AND('Mapa final'!$AB$44="Media",'Mapa final'!$AD$44="Leve"),CONCATENATE("R6C",'Mapa final'!$R$44),"")</f>
        <v/>
      </c>
      <c r="P31" s="51" t="str">
        <f>IF(AND('Mapa final'!$AB$39="Media",'Mapa final'!$AD$39="Menor"),CONCATENATE("R6C",'Mapa final'!$R$39),"")</f>
        <v/>
      </c>
      <c r="Q31" s="52" t="str">
        <f>IF(AND('Mapa final'!$AB$40="Media",'Mapa final'!$AD$40="Menor"),CONCATENATE("R6C",'Mapa final'!$R$40),"")</f>
        <v/>
      </c>
      <c r="R31" s="52" t="str">
        <f>IF(AND('Mapa final'!$AB$41="Media",'Mapa final'!$AD$41="Menor"),CONCATENATE("R6C",'Mapa final'!$R$41),"")</f>
        <v/>
      </c>
      <c r="S31" s="52" t="str">
        <f>IF(AND('Mapa final'!$AB$42="Media",'Mapa final'!$AD$42="Menor"),CONCATENATE("R6C",'Mapa final'!$R$42),"")</f>
        <v/>
      </c>
      <c r="T31" s="52" t="str">
        <f>IF(AND('Mapa final'!$AB$43="Media",'Mapa final'!$AD$43="Menor"),CONCATENATE("R6C",'Mapa final'!$R$43),"")</f>
        <v/>
      </c>
      <c r="U31" s="53" t="str">
        <f>IF(AND('Mapa final'!$AB$44="Media",'Mapa final'!$AD$44="Menor"),CONCATENATE("R6C",'Mapa final'!$R$44),"")</f>
        <v/>
      </c>
      <c r="V31" s="51" t="str">
        <f>IF(AND('Mapa final'!$AB$39="Media",'Mapa final'!$AD$39="Moderado"),CONCATENATE("R6C",'Mapa final'!$R$39),"")</f>
        <v/>
      </c>
      <c r="W31" s="52" t="str">
        <f>IF(AND('Mapa final'!$AB$40="Media",'Mapa final'!$AD$40="Moderado"),CONCATENATE("R6C",'Mapa final'!$R$40),"")</f>
        <v/>
      </c>
      <c r="X31" s="52" t="str">
        <f>IF(AND('Mapa final'!$AB$41="Media",'Mapa final'!$AD$41="Moderado"),CONCATENATE("R6C",'Mapa final'!$R$41),"")</f>
        <v/>
      </c>
      <c r="Y31" s="52" t="str">
        <f>IF(AND('Mapa final'!$AB$42="Media",'Mapa final'!$AD$42="Moderado"),CONCATENATE("R6C",'Mapa final'!$R$42),"")</f>
        <v/>
      </c>
      <c r="Z31" s="52" t="str">
        <f>IF(AND('Mapa final'!$AB$43="Media",'Mapa final'!$AD$43="Moderado"),CONCATENATE("R6C",'Mapa final'!$R$43),"")</f>
        <v/>
      </c>
      <c r="AA31" s="53" t="str">
        <f>IF(AND('Mapa final'!$AB$44="Media",'Mapa final'!$AD$44="Moderado"),CONCATENATE("R6C",'Mapa final'!$R$44),"")</f>
        <v/>
      </c>
      <c r="AB31" s="36" t="str">
        <f>IF(AND('Mapa final'!$AB$39="Media",'Mapa final'!$AD$39="Mayor"),CONCATENATE("R6C",'Mapa final'!$R$39),"")</f>
        <v/>
      </c>
      <c r="AC31" s="37" t="str">
        <f>IF(AND('Mapa final'!$AB$40="Media",'Mapa final'!$AD$40="Mayor"),CONCATENATE("R6C",'Mapa final'!$R$40),"")</f>
        <v/>
      </c>
      <c r="AD31" s="37" t="str">
        <f>IF(AND('Mapa final'!$AB$41="Media",'Mapa final'!$AD$41="Mayor"),CONCATENATE("R6C",'Mapa final'!$R$41),"")</f>
        <v/>
      </c>
      <c r="AE31" s="37" t="str">
        <f>IF(AND('Mapa final'!$AB$42="Media",'Mapa final'!$AD$42="Mayor"),CONCATENATE("R6C",'Mapa final'!$R$42),"")</f>
        <v/>
      </c>
      <c r="AF31" s="37" t="str">
        <f>IF(AND('Mapa final'!$AB$43="Media",'Mapa final'!$AD$43="Mayor"),CONCATENATE("R6C",'Mapa final'!$R$43),"")</f>
        <v/>
      </c>
      <c r="AG31" s="38" t="str">
        <f>IF(AND('Mapa final'!$AB$44="Media",'Mapa final'!$AD$44="Mayor"),CONCATENATE("R6C",'Mapa final'!$R$44),"")</f>
        <v/>
      </c>
      <c r="AH31" s="39" t="str">
        <f>IF(AND('Mapa final'!$AB$39="Media",'Mapa final'!$AD$39="Catastrófico"),CONCATENATE("R6C",'Mapa final'!$R$39),"")</f>
        <v/>
      </c>
      <c r="AI31" s="40" t="str">
        <f>IF(AND('Mapa final'!$AB$40="Media",'Mapa final'!$AD$40="Catastrófico"),CONCATENATE("R6C",'Mapa final'!$R$40),"")</f>
        <v/>
      </c>
      <c r="AJ31" s="40" t="str">
        <f>IF(AND('Mapa final'!$AB$41="Media",'Mapa final'!$AD$41="Catastrófico"),CONCATENATE("R6C",'Mapa final'!$R$41),"")</f>
        <v/>
      </c>
      <c r="AK31" s="40" t="str">
        <f>IF(AND('Mapa final'!$AB$42="Media",'Mapa final'!$AD$42="Catastrófico"),CONCATENATE("R6C",'Mapa final'!$R$42),"")</f>
        <v/>
      </c>
      <c r="AL31" s="40" t="str">
        <f>IF(AND('Mapa final'!$AB$43="Media",'Mapa final'!$AD$43="Catastrófico"),CONCATENATE("R6C",'Mapa final'!$R$43),"")</f>
        <v/>
      </c>
      <c r="AM31" s="41" t="str">
        <f>IF(AND('Mapa final'!$AB$44="Media",'Mapa final'!$AD$44="Catastrófico"),CONCATENATE("R6C",'Mapa final'!$R$44),"")</f>
        <v/>
      </c>
      <c r="AN31" s="67"/>
      <c r="AO31" s="626"/>
      <c r="AP31" s="627"/>
      <c r="AQ31" s="627"/>
      <c r="AR31" s="627"/>
      <c r="AS31" s="627"/>
      <c r="AT31" s="628"/>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545"/>
      <c r="C32" s="545"/>
      <c r="D32" s="546"/>
      <c r="E32" s="586"/>
      <c r="F32" s="587"/>
      <c r="G32" s="587"/>
      <c r="H32" s="587"/>
      <c r="I32" s="588"/>
      <c r="J32" s="51" t="str">
        <f>IF(AND('Mapa final'!$AB$45="Media",'Mapa final'!$AD$45="Leve"),CONCATENATE("R7C",'Mapa final'!$R$45),"")</f>
        <v/>
      </c>
      <c r="K32" s="52" t="str">
        <f>IF(AND('Mapa final'!$AB$46="Media",'Mapa final'!$AD$46="Leve"),CONCATENATE("R7C",'Mapa final'!$R$46),"")</f>
        <v/>
      </c>
      <c r="L32" s="52" t="str">
        <f>IF(AND('Mapa final'!$AB$47="Media",'Mapa final'!$AD$47="Leve"),CONCATENATE("R7C",'Mapa final'!$R$47),"")</f>
        <v/>
      </c>
      <c r="M32" s="52" t="str">
        <f>IF(AND('Mapa final'!$AB$48="Media",'Mapa final'!$AD$48="Leve"),CONCATENATE("R7C",'Mapa final'!$R$48),"")</f>
        <v/>
      </c>
      <c r="N32" s="52" t="str">
        <f>IF(AND('Mapa final'!$AB$49="Media",'Mapa final'!$AD$49="Leve"),CONCATENATE("R7C",'Mapa final'!$R$49),"")</f>
        <v/>
      </c>
      <c r="O32" s="53" t="str">
        <f>IF(AND('Mapa final'!$AB$50="Media",'Mapa final'!$AD$50="Leve"),CONCATENATE("R7C",'Mapa final'!$R$50),"")</f>
        <v/>
      </c>
      <c r="P32" s="51" t="str">
        <f>IF(AND('Mapa final'!$AB$45="Media",'Mapa final'!$AD$45="Menor"),CONCATENATE("R7C",'Mapa final'!$R$45),"")</f>
        <v/>
      </c>
      <c r="Q32" s="52" t="str">
        <f>IF(AND('Mapa final'!$AB$46="Media",'Mapa final'!$AD$46="Menor"),CONCATENATE("R7C",'Mapa final'!$R$46),"")</f>
        <v/>
      </c>
      <c r="R32" s="52" t="str">
        <f>IF(AND('Mapa final'!$AB$47="Media",'Mapa final'!$AD$47="Menor"),CONCATENATE("R7C",'Mapa final'!$R$47),"")</f>
        <v/>
      </c>
      <c r="S32" s="52" t="str">
        <f>IF(AND('Mapa final'!$AB$48="Media",'Mapa final'!$AD$48="Menor"),CONCATENATE("R7C",'Mapa final'!$R$48),"")</f>
        <v/>
      </c>
      <c r="T32" s="52" t="str">
        <f>IF(AND('Mapa final'!$AB$49="Media",'Mapa final'!$AD$49="Menor"),CONCATENATE("R7C",'Mapa final'!$R$49),"")</f>
        <v/>
      </c>
      <c r="U32" s="53" t="str">
        <f>IF(AND('Mapa final'!$AB$50="Media",'Mapa final'!$AD$50="Menor"),CONCATENATE("R7C",'Mapa final'!$R$50),"")</f>
        <v/>
      </c>
      <c r="V32" s="51" t="str">
        <f>IF(AND('Mapa final'!$AB$45="Media",'Mapa final'!$AD$45="Moderado"),CONCATENATE("R7C",'Mapa final'!$R$45),"")</f>
        <v/>
      </c>
      <c r="W32" s="52" t="str">
        <f>IF(AND('Mapa final'!$AB$46="Media",'Mapa final'!$AD$46="Moderado"),CONCATENATE("R7C",'Mapa final'!$R$46),"")</f>
        <v/>
      </c>
      <c r="X32" s="52" t="str">
        <f>IF(AND('Mapa final'!$AB$47="Media",'Mapa final'!$AD$47="Moderado"),CONCATENATE("R7C",'Mapa final'!$R$47),"")</f>
        <v/>
      </c>
      <c r="Y32" s="52" t="str">
        <f>IF(AND('Mapa final'!$AB$48="Media",'Mapa final'!$AD$48="Moderado"),CONCATENATE("R7C",'Mapa final'!$R$48),"")</f>
        <v/>
      </c>
      <c r="Z32" s="52" t="str">
        <f>IF(AND('Mapa final'!$AB$49="Media",'Mapa final'!$AD$49="Moderado"),CONCATENATE("R7C",'Mapa final'!$R$49),"")</f>
        <v/>
      </c>
      <c r="AA32" s="53" t="str">
        <f>IF(AND('Mapa final'!$AB$50="Media",'Mapa final'!$AD$50="Moderado"),CONCATENATE("R7C",'Mapa final'!$R$50),"")</f>
        <v/>
      </c>
      <c r="AB32" s="36" t="str">
        <f>IF(AND('Mapa final'!$AB$45="Media",'Mapa final'!$AD$45="Mayor"),CONCATENATE("R7C",'Mapa final'!$R$45),"")</f>
        <v/>
      </c>
      <c r="AC32" s="37" t="str">
        <f>IF(AND('Mapa final'!$AB$46="Media",'Mapa final'!$AD$46="Mayor"),CONCATENATE("R7C",'Mapa final'!$R$46),"")</f>
        <v/>
      </c>
      <c r="AD32" s="37" t="str">
        <f>IF(AND('Mapa final'!$AB$47="Media",'Mapa final'!$AD$47="Mayor"),CONCATENATE("R7C",'Mapa final'!$R$47),"")</f>
        <v/>
      </c>
      <c r="AE32" s="37" t="str">
        <f>IF(AND('Mapa final'!$AB$48="Media",'Mapa final'!$AD$48="Mayor"),CONCATENATE("R7C",'Mapa final'!$R$48),"")</f>
        <v/>
      </c>
      <c r="AF32" s="37" t="str">
        <f>IF(AND('Mapa final'!$AB$49="Media",'Mapa final'!$AD$49="Mayor"),CONCATENATE("R7C",'Mapa final'!$R$49),"")</f>
        <v/>
      </c>
      <c r="AG32" s="38" t="str">
        <f>IF(AND('Mapa final'!$AB$50="Media",'Mapa final'!$AD$50="Mayor"),CONCATENATE("R7C",'Mapa final'!$R$50),"")</f>
        <v/>
      </c>
      <c r="AH32" s="39" t="str">
        <f>IF(AND('Mapa final'!$AB$45="Media",'Mapa final'!$AD$45="Catastrófico"),CONCATENATE("R7C",'Mapa final'!$R$45),"")</f>
        <v/>
      </c>
      <c r="AI32" s="40" t="str">
        <f>IF(AND('Mapa final'!$AB$46="Media",'Mapa final'!$AD$46="Catastrófico"),CONCATENATE("R7C",'Mapa final'!$R$46),"")</f>
        <v/>
      </c>
      <c r="AJ32" s="40" t="str">
        <f>IF(AND('Mapa final'!$AB$47="Media",'Mapa final'!$AD$47="Catastrófico"),CONCATENATE("R7C",'Mapa final'!$R$47),"")</f>
        <v/>
      </c>
      <c r="AK32" s="40" t="str">
        <f>IF(AND('Mapa final'!$AB$48="Media",'Mapa final'!$AD$48="Catastrófico"),CONCATENATE("R7C",'Mapa final'!$R$48),"")</f>
        <v/>
      </c>
      <c r="AL32" s="40" t="str">
        <f>IF(AND('Mapa final'!$AB$49="Media",'Mapa final'!$AD$49="Catastrófico"),CONCATENATE("R7C",'Mapa final'!$R$49),"")</f>
        <v/>
      </c>
      <c r="AM32" s="41" t="str">
        <f>IF(AND('Mapa final'!$AB$50="Media",'Mapa final'!$AD$50="Catastrófico"),CONCATENATE("R7C",'Mapa final'!$R$50),"")</f>
        <v/>
      </c>
      <c r="AN32" s="67"/>
      <c r="AO32" s="626"/>
      <c r="AP32" s="627"/>
      <c r="AQ32" s="627"/>
      <c r="AR32" s="627"/>
      <c r="AS32" s="627"/>
      <c r="AT32" s="628"/>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545"/>
      <c r="C33" s="545"/>
      <c r="D33" s="546"/>
      <c r="E33" s="586"/>
      <c r="F33" s="587"/>
      <c r="G33" s="587"/>
      <c r="H33" s="587"/>
      <c r="I33" s="588"/>
      <c r="J33" s="51" t="str">
        <f>IF(AND('Mapa final'!$AB$51="Media",'Mapa final'!$AD$51="Leve"),CONCATENATE("R8C",'Mapa final'!$R$51),"")</f>
        <v/>
      </c>
      <c r="K33" s="52" t="str">
        <f>IF(AND('Mapa final'!$AB$52="Media",'Mapa final'!$AD$52="Leve"),CONCATENATE("R8C",'Mapa final'!$R$52),"")</f>
        <v/>
      </c>
      <c r="L33" s="52" t="str">
        <f>IF(AND('Mapa final'!$AB$53="Media",'Mapa final'!$AD$53="Leve"),CONCATENATE("R8C",'Mapa final'!$R$53),"")</f>
        <v/>
      </c>
      <c r="M33" s="52" t="str">
        <f>IF(AND('Mapa final'!$AB$54="Media",'Mapa final'!$AD$54="Leve"),CONCATENATE("R8C",'Mapa final'!$R$54),"")</f>
        <v/>
      </c>
      <c r="N33" s="52" t="str">
        <f>IF(AND('Mapa final'!$AB$55="Media",'Mapa final'!$AD$55="Leve"),CONCATENATE("R8C",'Mapa final'!$R$55),"")</f>
        <v/>
      </c>
      <c r="O33" s="53" t="str">
        <f>IF(AND('Mapa final'!$AB$56="Media",'Mapa final'!$AD$56="Leve"),CONCATENATE("R8C",'Mapa final'!$R$56),"")</f>
        <v/>
      </c>
      <c r="P33" s="51" t="str">
        <f>IF(AND('Mapa final'!$AB$51="Media",'Mapa final'!$AD$51="Menor"),CONCATENATE("R8C",'Mapa final'!$R$51),"")</f>
        <v/>
      </c>
      <c r="Q33" s="52" t="str">
        <f>IF(AND('Mapa final'!$AB$52="Media",'Mapa final'!$AD$52="Menor"),CONCATENATE("R8C",'Mapa final'!$R$52),"")</f>
        <v/>
      </c>
      <c r="R33" s="52" t="str">
        <f>IF(AND('Mapa final'!$AB$53="Media",'Mapa final'!$AD$53="Menor"),CONCATENATE("R8C",'Mapa final'!$R$53),"")</f>
        <v/>
      </c>
      <c r="S33" s="52" t="str">
        <f>IF(AND('Mapa final'!$AB$54="Media",'Mapa final'!$AD$54="Menor"),CONCATENATE("R8C",'Mapa final'!$R$54),"")</f>
        <v/>
      </c>
      <c r="T33" s="52" t="str">
        <f>IF(AND('Mapa final'!$AB$55="Media",'Mapa final'!$AD$55="Menor"),CONCATENATE("R8C",'Mapa final'!$R$55),"")</f>
        <v/>
      </c>
      <c r="U33" s="53" t="str">
        <f>IF(AND('Mapa final'!$AB$56="Media",'Mapa final'!$AD$56="Menor"),CONCATENATE("R8C",'Mapa final'!$R$56),"")</f>
        <v/>
      </c>
      <c r="V33" s="51" t="str">
        <f>IF(AND('Mapa final'!$AB$51="Media",'Mapa final'!$AD$51="Moderado"),CONCATENATE("R8C",'Mapa final'!$R$51),"")</f>
        <v/>
      </c>
      <c r="W33" s="52" t="str">
        <f>IF(AND('Mapa final'!$AB$52="Media",'Mapa final'!$AD$52="Moderado"),CONCATENATE("R8C",'Mapa final'!$R$52),"")</f>
        <v/>
      </c>
      <c r="X33" s="52" t="str">
        <f>IF(AND('Mapa final'!$AB$53="Media",'Mapa final'!$AD$53="Moderado"),CONCATENATE("R8C",'Mapa final'!$R$53),"")</f>
        <v/>
      </c>
      <c r="Y33" s="52" t="str">
        <f>IF(AND('Mapa final'!$AB$54="Media",'Mapa final'!$AD$54="Moderado"),CONCATENATE("R8C",'Mapa final'!$R$54),"")</f>
        <v/>
      </c>
      <c r="Z33" s="52" t="str">
        <f>IF(AND('Mapa final'!$AB$55="Media",'Mapa final'!$AD$55="Moderado"),CONCATENATE("R8C",'Mapa final'!$R$55),"")</f>
        <v/>
      </c>
      <c r="AA33" s="53" t="str">
        <f>IF(AND('Mapa final'!$AB$56="Media",'Mapa final'!$AD$56="Moderado"),CONCATENATE("R8C",'Mapa final'!$R$56),"")</f>
        <v/>
      </c>
      <c r="AB33" s="36" t="str">
        <f>IF(AND('Mapa final'!$AB$51="Media",'Mapa final'!$AD$51="Mayor"),CONCATENATE("R8C",'Mapa final'!$R$51),"")</f>
        <v/>
      </c>
      <c r="AC33" s="37" t="str">
        <f>IF(AND('Mapa final'!$AB$52="Media",'Mapa final'!$AD$52="Mayor"),CONCATENATE("R8C",'Mapa final'!$R$52),"")</f>
        <v/>
      </c>
      <c r="AD33" s="37" t="str">
        <f>IF(AND('Mapa final'!$AB$53="Media",'Mapa final'!$AD$53="Mayor"),CONCATENATE("R8C",'Mapa final'!$R$53),"")</f>
        <v/>
      </c>
      <c r="AE33" s="37" t="str">
        <f>IF(AND('Mapa final'!$AB$54="Media",'Mapa final'!$AD$54="Mayor"),CONCATENATE("R8C",'Mapa final'!$R$54),"")</f>
        <v/>
      </c>
      <c r="AF33" s="37" t="str">
        <f>IF(AND('Mapa final'!$AB$55="Media",'Mapa final'!$AD$55="Mayor"),CONCATENATE("R8C",'Mapa final'!$R$55),"")</f>
        <v/>
      </c>
      <c r="AG33" s="38" t="str">
        <f>IF(AND('Mapa final'!$AB$56="Media",'Mapa final'!$AD$56="Mayor"),CONCATENATE("R8C",'Mapa final'!$R$56),"")</f>
        <v/>
      </c>
      <c r="AH33" s="39" t="str">
        <f>IF(AND('Mapa final'!$AB$51="Media",'Mapa final'!$AD$51="Catastrófico"),CONCATENATE("R8C",'Mapa final'!$R$51),"")</f>
        <v/>
      </c>
      <c r="AI33" s="40" t="str">
        <f>IF(AND('Mapa final'!$AB$52="Media",'Mapa final'!$AD$52="Catastrófico"),CONCATENATE("R8C",'Mapa final'!$R$52),"")</f>
        <v/>
      </c>
      <c r="AJ33" s="40" t="str">
        <f>IF(AND('Mapa final'!$AB$53="Media",'Mapa final'!$AD$53="Catastrófico"),CONCATENATE("R8C",'Mapa final'!$R$53),"")</f>
        <v/>
      </c>
      <c r="AK33" s="40" t="str">
        <f>IF(AND('Mapa final'!$AB$54="Media",'Mapa final'!$AD$54="Catastrófico"),CONCATENATE("R8C",'Mapa final'!$R$54),"")</f>
        <v/>
      </c>
      <c r="AL33" s="40" t="str">
        <f>IF(AND('Mapa final'!$AB$55="Media",'Mapa final'!$AD$55="Catastrófico"),CONCATENATE("R8C",'Mapa final'!$R$55),"")</f>
        <v/>
      </c>
      <c r="AM33" s="41" t="str">
        <f>IF(AND('Mapa final'!$AB$56="Media",'Mapa final'!$AD$56="Catastrófico"),CONCATENATE("R8C",'Mapa final'!$R$56),"")</f>
        <v/>
      </c>
      <c r="AN33" s="67"/>
      <c r="AO33" s="626"/>
      <c r="AP33" s="627"/>
      <c r="AQ33" s="627"/>
      <c r="AR33" s="627"/>
      <c r="AS33" s="627"/>
      <c r="AT33" s="628"/>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545"/>
      <c r="C34" s="545"/>
      <c r="D34" s="546"/>
      <c r="E34" s="586"/>
      <c r="F34" s="587"/>
      <c r="G34" s="587"/>
      <c r="H34" s="587"/>
      <c r="I34" s="588"/>
      <c r="J34" s="51" t="str">
        <f>IF(AND('Mapa final'!$AB$57="Media",'Mapa final'!$AD$57="Leve"),CONCATENATE("R9C",'Mapa final'!$R$57),"")</f>
        <v/>
      </c>
      <c r="K34" s="52" t="str">
        <f>IF(AND('Mapa final'!$AB$58="Media",'Mapa final'!$AD$58="Leve"),CONCATENATE("R9C",'Mapa final'!$R$58),"")</f>
        <v/>
      </c>
      <c r="L34" s="52" t="str">
        <f>IF(AND('Mapa final'!$AB$59="Media",'Mapa final'!$AD$59="Leve"),CONCATENATE("R9C",'Mapa final'!$R$59),"")</f>
        <v/>
      </c>
      <c r="M34" s="52" t="str">
        <f>IF(AND('Mapa final'!$AB$60="Media",'Mapa final'!$AD$60="Leve"),CONCATENATE("R9C",'Mapa final'!$R$60),"")</f>
        <v/>
      </c>
      <c r="N34" s="52" t="str">
        <f>IF(AND('Mapa final'!$AB$61="Media",'Mapa final'!$AD$61="Leve"),CONCATENATE("R9C",'Mapa final'!$R$61),"")</f>
        <v/>
      </c>
      <c r="O34" s="53" t="str">
        <f>IF(AND('Mapa final'!$AB$62="Media",'Mapa final'!$AD$62="Leve"),CONCATENATE("R9C",'Mapa final'!$R$62),"")</f>
        <v/>
      </c>
      <c r="P34" s="51" t="str">
        <f>IF(AND('Mapa final'!$AB$57="Media",'Mapa final'!$AD$57="Menor"),CONCATENATE("R9C",'Mapa final'!$R$57),"")</f>
        <v/>
      </c>
      <c r="Q34" s="52" t="str">
        <f>IF(AND('Mapa final'!$AB$58="Media",'Mapa final'!$AD$58="Menor"),CONCATENATE("R9C",'Mapa final'!$R$58),"")</f>
        <v/>
      </c>
      <c r="R34" s="52" t="str">
        <f>IF(AND('Mapa final'!$AB$59="Media",'Mapa final'!$AD$59="Menor"),CONCATENATE("R9C",'Mapa final'!$R$59),"")</f>
        <v/>
      </c>
      <c r="S34" s="52" t="str">
        <f>IF(AND('Mapa final'!$AB$60="Media",'Mapa final'!$AD$60="Menor"),CONCATENATE("R9C",'Mapa final'!$R$60),"")</f>
        <v/>
      </c>
      <c r="T34" s="52" t="str">
        <f>IF(AND('Mapa final'!$AB$61="Media",'Mapa final'!$AD$61="Menor"),CONCATENATE("R9C",'Mapa final'!$R$61),"")</f>
        <v/>
      </c>
      <c r="U34" s="53" t="str">
        <f>IF(AND('Mapa final'!$AB$62="Media",'Mapa final'!$AD$62="Menor"),CONCATENATE("R9C",'Mapa final'!$R$62),"")</f>
        <v/>
      </c>
      <c r="V34" s="51" t="str">
        <f>IF(AND('Mapa final'!$AB$57="Media",'Mapa final'!$AD$57="Moderado"),CONCATENATE("R9C",'Mapa final'!$R$57),"")</f>
        <v/>
      </c>
      <c r="W34" s="52" t="str">
        <f>IF(AND('Mapa final'!$AB$58="Media",'Mapa final'!$AD$58="Moderado"),CONCATENATE("R9C",'Mapa final'!$R$58),"")</f>
        <v/>
      </c>
      <c r="X34" s="52" t="str">
        <f>IF(AND('Mapa final'!$AB$59="Media",'Mapa final'!$AD$59="Moderado"),CONCATENATE("R9C",'Mapa final'!$R$59),"")</f>
        <v/>
      </c>
      <c r="Y34" s="52" t="str">
        <f>IF(AND('Mapa final'!$AB$60="Media",'Mapa final'!$AD$60="Moderado"),CONCATENATE("R9C",'Mapa final'!$R$60),"")</f>
        <v/>
      </c>
      <c r="Z34" s="52" t="str">
        <f>IF(AND('Mapa final'!$AB$61="Media",'Mapa final'!$AD$61="Moderado"),CONCATENATE("R9C",'Mapa final'!$R$61),"")</f>
        <v/>
      </c>
      <c r="AA34" s="53" t="str">
        <f>IF(AND('Mapa final'!$AB$62="Media",'Mapa final'!$AD$62="Moderado"),CONCATENATE("R9C",'Mapa final'!$R$62),"")</f>
        <v/>
      </c>
      <c r="AB34" s="36" t="str">
        <f>IF(AND('Mapa final'!$AB$57="Media",'Mapa final'!$AD$57="Mayor"),CONCATENATE("R9C",'Mapa final'!$R$57),"")</f>
        <v/>
      </c>
      <c r="AC34" s="37" t="str">
        <f>IF(AND('Mapa final'!$AB$58="Media",'Mapa final'!$AD$58="Mayor"),CONCATENATE("R9C",'Mapa final'!$R$58),"")</f>
        <v/>
      </c>
      <c r="AD34" s="37" t="str">
        <f>IF(AND('Mapa final'!$AB$59="Media",'Mapa final'!$AD$59="Mayor"),CONCATENATE("R9C",'Mapa final'!$R$59),"")</f>
        <v/>
      </c>
      <c r="AE34" s="37" t="str">
        <f>IF(AND('Mapa final'!$AB$60="Media",'Mapa final'!$AD$60="Mayor"),CONCATENATE("R9C",'Mapa final'!$R$60),"")</f>
        <v/>
      </c>
      <c r="AF34" s="37" t="str">
        <f>IF(AND('Mapa final'!$AB$61="Media",'Mapa final'!$AD$61="Mayor"),CONCATENATE("R9C",'Mapa final'!$R$61),"")</f>
        <v/>
      </c>
      <c r="AG34" s="38" t="str">
        <f>IF(AND('Mapa final'!$AB$62="Media",'Mapa final'!$AD$62="Mayor"),CONCATENATE("R9C",'Mapa final'!$R$62),"")</f>
        <v/>
      </c>
      <c r="AH34" s="39" t="str">
        <f>IF(AND('Mapa final'!$AB$57="Media",'Mapa final'!$AD$57="Catastrófico"),CONCATENATE("R9C",'Mapa final'!$R$57),"")</f>
        <v/>
      </c>
      <c r="AI34" s="40" t="str">
        <f>IF(AND('Mapa final'!$AB$58="Media",'Mapa final'!$AD$58="Catastrófico"),CONCATENATE("R9C",'Mapa final'!$R$58),"")</f>
        <v/>
      </c>
      <c r="AJ34" s="40" t="str">
        <f>IF(AND('Mapa final'!$AB$59="Media",'Mapa final'!$AD$59="Catastrófico"),CONCATENATE("R9C",'Mapa final'!$R$59),"")</f>
        <v/>
      </c>
      <c r="AK34" s="40" t="str">
        <f>IF(AND('Mapa final'!$AB$60="Media",'Mapa final'!$AD$60="Catastrófico"),CONCATENATE("R9C",'Mapa final'!$R$60),"")</f>
        <v/>
      </c>
      <c r="AL34" s="40" t="str">
        <f>IF(AND('Mapa final'!$AB$61="Media",'Mapa final'!$AD$61="Catastrófico"),CONCATENATE("R9C",'Mapa final'!$R$61),"")</f>
        <v/>
      </c>
      <c r="AM34" s="41" t="str">
        <f>IF(AND('Mapa final'!$AB$62="Media",'Mapa final'!$AD$62="Catastrófico"),CONCATENATE("R9C",'Mapa final'!$R$62),"")</f>
        <v/>
      </c>
      <c r="AN34" s="67"/>
      <c r="AO34" s="626"/>
      <c r="AP34" s="627"/>
      <c r="AQ34" s="627"/>
      <c r="AR34" s="627"/>
      <c r="AS34" s="627"/>
      <c r="AT34" s="628"/>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545"/>
      <c r="C35" s="545"/>
      <c r="D35" s="546"/>
      <c r="E35" s="589"/>
      <c r="F35" s="590"/>
      <c r="G35" s="590"/>
      <c r="H35" s="590"/>
      <c r="I35" s="591"/>
      <c r="J35" s="51" t="str">
        <f>IF(AND('Mapa final'!$AB$63="Media",'Mapa final'!$AD$63="Leve"),CONCATENATE("R10C",'Mapa final'!$R$63),"")</f>
        <v/>
      </c>
      <c r="K35" s="52" t="str">
        <f>IF(AND('Mapa final'!$AB$64="Media",'Mapa final'!$AD$64="Leve"),CONCATENATE("R10C",'Mapa final'!$R$64),"")</f>
        <v/>
      </c>
      <c r="L35" s="52" t="str">
        <f>IF(AND('Mapa final'!$AB$65="Media",'Mapa final'!$AD$65="Leve"),CONCATENATE("R10C",'Mapa final'!$R$65),"")</f>
        <v/>
      </c>
      <c r="M35" s="52" t="str">
        <f>IF(AND('Mapa final'!$AB$66="Media",'Mapa final'!$AD$66="Leve"),CONCATENATE("R10C",'Mapa final'!$R$66),"")</f>
        <v/>
      </c>
      <c r="N35" s="52" t="str">
        <f>IF(AND('Mapa final'!$AB$67="Media",'Mapa final'!$AD$67="Leve"),CONCATENATE("R10C",'Mapa final'!$R$67),"")</f>
        <v/>
      </c>
      <c r="O35" s="53" t="str">
        <f>IF(AND('Mapa final'!$AB$68="Media",'Mapa final'!$AD$68="Leve"),CONCATENATE("R10C",'Mapa final'!$R$68),"")</f>
        <v/>
      </c>
      <c r="P35" s="51" t="str">
        <f>IF(AND('Mapa final'!$AB$63="Media",'Mapa final'!$AD$63="Menor"),CONCATENATE("R10C",'Mapa final'!$R$63),"")</f>
        <v/>
      </c>
      <c r="Q35" s="52" t="str">
        <f>IF(AND('Mapa final'!$AB$64="Media",'Mapa final'!$AD$64="Menor"),CONCATENATE("R10C",'Mapa final'!$R$64),"")</f>
        <v/>
      </c>
      <c r="R35" s="52" t="str">
        <f>IF(AND('Mapa final'!$AB$65="Media",'Mapa final'!$AD$65="Menor"),CONCATENATE("R10C",'Mapa final'!$R$65),"")</f>
        <v/>
      </c>
      <c r="S35" s="52" t="str">
        <f>IF(AND('Mapa final'!$AB$66="Media",'Mapa final'!$AD$66="Menor"),CONCATENATE("R10C",'Mapa final'!$R$66),"")</f>
        <v/>
      </c>
      <c r="T35" s="52" t="str">
        <f>IF(AND('Mapa final'!$AB$67="Media",'Mapa final'!$AD$67="Menor"),CONCATENATE("R10C",'Mapa final'!$R$67),"")</f>
        <v/>
      </c>
      <c r="U35" s="53" t="str">
        <f>IF(AND('Mapa final'!$AB$68="Media",'Mapa final'!$AD$68="Menor"),CONCATENATE("R10C",'Mapa final'!$R$68),"")</f>
        <v/>
      </c>
      <c r="V35" s="51" t="str">
        <f>IF(AND('Mapa final'!$AB$63="Media",'Mapa final'!$AD$63="Moderado"),CONCATENATE("R10C",'Mapa final'!$R$63),"")</f>
        <v/>
      </c>
      <c r="W35" s="52" t="str">
        <f>IF(AND('Mapa final'!$AB$64="Media",'Mapa final'!$AD$64="Moderado"),CONCATENATE("R10C",'Mapa final'!$R$64),"")</f>
        <v/>
      </c>
      <c r="X35" s="52" t="str">
        <f>IF(AND('Mapa final'!$AB$65="Media",'Mapa final'!$AD$65="Moderado"),CONCATENATE("R10C",'Mapa final'!$R$65),"")</f>
        <v/>
      </c>
      <c r="Y35" s="52" t="str">
        <f>IF(AND('Mapa final'!$AB$66="Media",'Mapa final'!$AD$66="Moderado"),CONCATENATE("R10C",'Mapa final'!$R$66),"")</f>
        <v/>
      </c>
      <c r="Z35" s="52" t="str">
        <f>IF(AND('Mapa final'!$AB$67="Media",'Mapa final'!$AD$67="Moderado"),CONCATENATE("R10C",'Mapa final'!$R$67),"")</f>
        <v/>
      </c>
      <c r="AA35" s="53" t="str">
        <f>IF(AND('Mapa final'!$AB$68="Media",'Mapa final'!$AD$68="Moderado"),CONCATENATE("R10C",'Mapa final'!$R$68),"")</f>
        <v/>
      </c>
      <c r="AB35" s="42" t="str">
        <f>IF(AND('Mapa final'!$AB$63="Media",'Mapa final'!$AD$63="Mayor"),CONCATENATE("R10C",'Mapa final'!$R$63),"")</f>
        <v/>
      </c>
      <c r="AC35" s="43" t="str">
        <f>IF(AND('Mapa final'!$AB$64="Media",'Mapa final'!$AD$64="Mayor"),CONCATENATE("R10C",'Mapa final'!$R$64),"")</f>
        <v/>
      </c>
      <c r="AD35" s="43" t="str">
        <f>IF(AND('Mapa final'!$AB$65="Media",'Mapa final'!$AD$65="Mayor"),CONCATENATE("R10C",'Mapa final'!$R$65),"")</f>
        <v/>
      </c>
      <c r="AE35" s="43" t="str">
        <f>IF(AND('Mapa final'!$AB$66="Media",'Mapa final'!$AD$66="Mayor"),CONCATENATE("R10C",'Mapa final'!$R$66),"")</f>
        <v/>
      </c>
      <c r="AF35" s="43" t="str">
        <f>IF(AND('Mapa final'!$AB$67="Media",'Mapa final'!$AD$67="Mayor"),CONCATENATE("R10C",'Mapa final'!$R$67),"")</f>
        <v/>
      </c>
      <c r="AG35" s="44" t="str">
        <f>IF(AND('Mapa final'!$AB$68="Media",'Mapa final'!$AD$68="Mayor"),CONCATENATE("R10C",'Mapa final'!$R$68),"")</f>
        <v/>
      </c>
      <c r="AH35" s="45" t="str">
        <f>IF(AND('Mapa final'!$AB$63="Media",'Mapa final'!$AD$63="Catastrófico"),CONCATENATE("R10C",'Mapa final'!$R$63),"")</f>
        <v/>
      </c>
      <c r="AI35" s="46" t="str">
        <f>IF(AND('Mapa final'!$AB$64="Media",'Mapa final'!$AD$64="Catastrófico"),CONCATENATE("R10C",'Mapa final'!$R$64),"")</f>
        <v/>
      </c>
      <c r="AJ35" s="46" t="str">
        <f>IF(AND('Mapa final'!$AB$65="Media",'Mapa final'!$AD$65="Catastrófico"),CONCATENATE("R10C",'Mapa final'!$R$65),"")</f>
        <v/>
      </c>
      <c r="AK35" s="46" t="str">
        <f>IF(AND('Mapa final'!$AB$66="Media",'Mapa final'!$AD$66="Catastrófico"),CONCATENATE("R10C",'Mapa final'!$R$66),"")</f>
        <v/>
      </c>
      <c r="AL35" s="46" t="str">
        <f>IF(AND('Mapa final'!$AB$67="Media",'Mapa final'!$AD$67="Catastrófico"),CONCATENATE("R10C",'Mapa final'!$R$67),"")</f>
        <v/>
      </c>
      <c r="AM35" s="47" t="str">
        <f>IF(AND('Mapa final'!$AB$68="Media",'Mapa final'!$AD$68="Catastrófico"),CONCATENATE("R10C",'Mapa final'!$R$68),"")</f>
        <v/>
      </c>
      <c r="AN35" s="67"/>
      <c r="AO35" s="629"/>
      <c r="AP35" s="630"/>
      <c r="AQ35" s="630"/>
      <c r="AR35" s="630"/>
      <c r="AS35" s="630"/>
      <c r="AT35" s="631"/>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545"/>
      <c r="C36" s="545"/>
      <c r="D36" s="546"/>
      <c r="E36" s="583" t="s">
        <v>108</v>
      </c>
      <c r="F36" s="584"/>
      <c r="G36" s="584"/>
      <c r="H36" s="584"/>
      <c r="I36" s="584"/>
      <c r="J36" s="57" t="str">
        <f>IF(AND('Mapa final'!$AB$10="Baja",'Mapa final'!$AD$10="Leve"),CONCATENATE("R1C",'Mapa final'!$R$10),"")</f>
        <v/>
      </c>
      <c r="K36" s="58" t="str">
        <f>IF(AND('Mapa final'!$AB$11="Baja",'Mapa final'!$AD$11="Leve"),CONCATENATE("R1C",'Mapa final'!$R$11),"")</f>
        <v/>
      </c>
      <c r="L36" s="58" t="str">
        <f>IF(AND('Mapa final'!$AB$13="Baja",'Mapa final'!$AD$13="Leve"),CONCATENATE("R1C",'Mapa final'!$R$13),"")</f>
        <v/>
      </c>
      <c r="M36" s="58" t="str">
        <f>IF(AND('Mapa final'!$AB$14="Baja",'Mapa final'!$AD$14="Leve"),CONCATENATE("R1C",'Mapa final'!$R$14),"")</f>
        <v/>
      </c>
      <c r="N36" s="58" t="e">
        <f>IF(AND('Mapa final'!#REF!="Baja",'Mapa final'!#REF!="Leve"),CONCATENATE("R1C",'Mapa final'!#REF!),"")</f>
        <v>#REF!</v>
      </c>
      <c r="O36" s="59" t="e">
        <f>IF(AND('Mapa final'!#REF!="Baja",'Mapa final'!#REF!="Leve"),CONCATENATE("R1C",'Mapa final'!#REF!),"")</f>
        <v>#REF!</v>
      </c>
      <c r="P36" s="48" t="str">
        <f>IF(AND('Mapa final'!$AB$10="Baja",'Mapa final'!$AD$10="Menor"),CONCATENATE("R1C",'Mapa final'!$R$10),"")</f>
        <v/>
      </c>
      <c r="Q36" s="49" t="str">
        <f>IF(AND('Mapa final'!$AB$11="Baja",'Mapa final'!$AD$11="Menor"),CONCATENATE("R1C",'Mapa final'!$R$11),"")</f>
        <v/>
      </c>
      <c r="R36" s="49" t="str">
        <f>IF(AND('Mapa final'!$AB$13="Baja",'Mapa final'!$AD$13="Menor"),CONCATENATE("R1C",'Mapa final'!$R$13),"")</f>
        <v/>
      </c>
      <c r="S36" s="49" t="str">
        <f>IF(AND('Mapa final'!$AB$14="Baja",'Mapa final'!$AD$14="Menor"),CONCATENATE("R1C",'Mapa final'!$R$14),"")</f>
        <v/>
      </c>
      <c r="T36" s="49" t="e">
        <f>IF(AND('Mapa final'!#REF!="Baja",'Mapa final'!#REF!="Menor"),CONCATENATE("R1C",'Mapa final'!#REF!),"")</f>
        <v>#REF!</v>
      </c>
      <c r="U36" s="50" t="e">
        <f>IF(AND('Mapa final'!#REF!="Baja",'Mapa final'!#REF!="Menor"),CONCATENATE("R1C",'Mapa final'!#REF!),"")</f>
        <v>#REF!</v>
      </c>
      <c r="V36" s="48" t="str">
        <f>IF(AND('Mapa final'!$AB$10="Baja",'Mapa final'!$AD$10="Moderado"),CONCATENATE("R1C",'Mapa final'!$R$10),"")</f>
        <v/>
      </c>
      <c r="W36" s="49" t="str">
        <f>IF(AND('Mapa final'!$AB$11="Baja",'Mapa final'!$AD$11="Moderado"),CONCATENATE("R1C",'Mapa final'!$R$11),"")</f>
        <v/>
      </c>
      <c r="X36" s="49" t="str">
        <f>IF(AND('Mapa final'!$AB$13="Baja",'Mapa final'!$AD$13="Moderado"),CONCATENATE("R1C",'Mapa final'!$R$13),"")</f>
        <v/>
      </c>
      <c r="Y36" s="49" t="str">
        <f>IF(AND('Mapa final'!$AB$14="Baja",'Mapa final'!$AD$14="Moderado"),CONCATENATE("R1C",'Mapa final'!$R$14),"")</f>
        <v/>
      </c>
      <c r="Z36" s="49" t="e">
        <f>IF(AND('Mapa final'!#REF!="Baja",'Mapa final'!#REF!="Moderado"),CONCATENATE("R1C",'Mapa final'!#REF!),"")</f>
        <v>#REF!</v>
      </c>
      <c r="AA36" s="50" t="e">
        <f>IF(AND('Mapa final'!#REF!="Baja",'Mapa final'!#REF!="Moderado"),CONCATENATE("R1C",'Mapa final'!#REF!),"")</f>
        <v>#REF!</v>
      </c>
      <c r="AB36" s="30" t="str">
        <f>IF(AND('Mapa final'!$AB$10="Baja",'Mapa final'!$AD$10="Mayor"),CONCATENATE("R1C",'Mapa final'!$R$10),"")</f>
        <v/>
      </c>
      <c r="AC36" s="31" t="str">
        <f>IF(AND('Mapa final'!$AB$11="Baja",'Mapa final'!$AD$11="Mayor"),CONCATENATE("R1C",'Mapa final'!$R$11),"")</f>
        <v/>
      </c>
      <c r="AD36" s="31" t="str">
        <f>IF(AND('Mapa final'!$AB$13="Baja",'Mapa final'!$AD$13="Mayor"),CONCATENATE("R1C",'Mapa final'!$R$13),"")</f>
        <v/>
      </c>
      <c r="AE36" s="31" t="str">
        <f>IF(AND('Mapa final'!$AB$14="Baja",'Mapa final'!$AD$14="Mayor"),CONCATENATE("R1C",'Mapa final'!$R$14),"")</f>
        <v/>
      </c>
      <c r="AF36" s="31" t="e">
        <f>IF(AND('Mapa final'!#REF!="Baja",'Mapa final'!#REF!="Mayor"),CONCATENATE("R1C",'Mapa final'!#REF!),"")</f>
        <v>#REF!</v>
      </c>
      <c r="AG36" s="32" t="e">
        <f>IF(AND('Mapa final'!#REF!="Baja",'Mapa final'!#REF!="Mayor"),CONCATENATE("R1C",'Mapa final'!#REF!),"")</f>
        <v>#REF!</v>
      </c>
      <c r="AH36" s="33" t="str">
        <f>IF(AND('Mapa final'!$AB$10="Baja",'Mapa final'!$AD$10="Catastrófico"),CONCATENATE("R1C",'Mapa final'!$R$10),"")</f>
        <v/>
      </c>
      <c r="AI36" s="34" t="str">
        <f>IF(AND('Mapa final'!$AB$11="Baja",'Mapa final'!$AD$11="Catastrófico"),CONCATENATE("R1C",'Mapa final'!$R$11),"")</f>
        <v/>
      </c>
      <c r="AJ36" s="34" t="str">
        <f>IF(AND('Mapa final'!$AB$13="Baja",'Mapa final'!$AD$13="Catastrófico"),CONCATENATE("R1C",'Mapa final'!$R$13),"")</f>
        <v/>
      </c>
      <c r="AK36" s="34" t="str">
        <f>IF(AND('Mapa final'!$AB$14="Baja",'Mapa final'!$AD$14="Catastrófico"),CONCATENATE("R1C",'Mapa final'!$R$14),"")</f>
        <v/>
      </c>
      <c r="AL36" s="34" t="e">
        <f>IF(AND('Mapa final'!#REF!="Baja",'Mapa final'!#REF!="Catastrófico"),CONCATENATE("R1C",'Mapa final'!#REF!),"")</f>
        <v>#REF!</v>
      </c>
      <c r="AM36" s="35" t="e">
        <f>IF(AND('Mapa final'!#REF!="Baja",'Mapa final'!#REF!="Catastrófico"),CONCATENATE("R1C",'Mapa final'!#REF!),"")</f>
        <v>#REF!</v>
      </c>
      <c r="AN36" s="67"/>
      <c r="AO36" s="614" t="s">
        <v>80</v>
      </c>
      <c r="AP36" s="615"/>
      <c r="AQ36" s="615"/>
      <c r="AR36" s="615"/>
      <c r="AS36" s="615"/>
      <c r="AT36" s="616"/>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545"/>
      <c r="C37" s="545"/>
      <c r="D37" s="546"/>
      <c r="E37" s="602"/>
      <c r="F37" s="587"/>
      <c r="G37" s="587"/>
      <c r="H37" s="587"/>
      <c r="I37" s="587"/>
      <c r="J37" s="60" t="str">
        <f>IF(AND('Mapa final'!$AB$15="Baja",'Mapa final'!$AD$15="Leve"),CONCATENATE("R2C",'Mapa final'!$R$15),"")</f>
        <v/>
      </c>
      <c r="K37" s="61" t="str">
        <f>IF(AND('Mapa final'!$AB$16="Baja",'Mapa final'!$AD$16="Leve"),CONCATENATE("R2C",'Mapa final'!$R$16),"")</f>
        <v/>
      </c>
      <c r="L37" s="61" t="str">
        <f>IF(AND('Mapa final'!$AB$17="Baja",'Mapa final'!$AD$17="Leve"),CONCATENATE("R2C",'Mapa final'!$R$17),"")</f>
        <v/>
      </c>
      <c r="M37" s="61" t="str">
        <f>IF(AND('Mapa final'!$AB$18="Baja",'Mapa final'!$AD$18="Leve"),CONCATENATE("R2C",'Mapa final'!$R$18),"")</f>
        <v/>
      </c>
      <c r="N37" s="61" t="str">
        <f>IF(AND('Mapa final'!$AB$19="Baja",'Mapa final'!$AD$19="Leve"),CONCATENATE("R2C",'Mapa final'!$R$19),"")</f>
        <v/>
      </c>
      <c r="O37" s="62" t="str">
        <f>IF(AND('Mapa final'!$AB$20="Baja",'Mapa final'!$AD$20="Leve"),CONCATENATE("R2C",'Mapa final'!$R$20),"")</f>
        <v/>
      </c>
      <c r="P37" s="51" t="str">
        <f>IF(AND('Mapa final'!$AB$15="Baja",'Mapa final'!$AD$15="Menor"),CONCATENATE("R2C",'Mapa final'!$R$15),"")</f>
        <v/>
      </c>
      <c r="Q37" s="52" t="str">
        <f>IF(AND('Mapa final'!$AB$16="Baja",'Mapa final'!$AD$16="Menor"),CONCATENATE("R2C",'Mapa final'!$R$16),"")</f>
        <v/>
      </c>
      <c r="R37" s="52" t="str">
        <f>IF(AND('Mapa final'!$AB$17="Baja",'Mapa final'!$AD$17="Menor"),CONCATENATE("R2C",'Mapa final'!$R$17),"")</f>
        <v/>
      </c>
      <c r="S37" s="52" t="str">
        <f>IF(AND('Mapa final'!$AB$18="Baja",'Mapa final'!$AD$18="Menor"),CONCATENATE("R2C",'Mapa final'!$R$18),"")</f>
        <v/>
      </c>
      <c r="T37" s="52" t="str">
        <f>IF(AND('Mapa final'!$AB$19="Baja",'Mapa final'!$AD$19="Menor"),CONCATENATE("R2C",'Mapa final'!$R$19),"")</f>
        <v/>
      </c>
      <c r="U37" s="53" t="str">
        <f>IF(AND('Mapa final'!$AB$20="Baja",'Mapa final'!$AD$20="Menor"),CONCATENATE("R2C",'Mapa final'!$R$20),"")</f>
        <v/>
      </c>
      <c r="V37" s="51" t="str">
        <f>IF(AND('Mapa final'!$AB$15="Baja",'Mapa final'!$AD$15="Moderado"),CONCATENATE("R2C",'Mapa final'!$R$15),"")</f>
        <v/>
      </c>
      <c r="W37" s="52" t="str">
        <f>IF(AND('Mapa final'!$AB$16="Baja",'Mapa final'!$AD$16="Moderado"),CONCATENATE("R2C",'Mapa final'!$R$16),"")</f>
        <v/>
      </c>
      <c r="X37" s="52" t="str">
        <f>IF(AND('Mapa final'!$AB$17="Baja",'Mapa final'!$AD$17="Moderado"),CONCATENATE("R2C",'Mapa final'!$R$17),"")</f>
        <v/>
      </c>
      <c r="Y37" s="52" t="str">
        <f>IF(AND('Mapa final'!$AB$18="Baja",'Mapa final'!$AD$18="Moderado"),CONCATENATE("R2C",'Mapa final'!$R$18),"")</f>
        <v/>
      </c>
      <c r="Z37" s="52" t="str">
        <f>IF(AND('Mapa final'!$AB$19="Baja",'Mapa final'!$AD$19="Moderado"),CONCATENATE("R2C",'Mapa final'!$R$19),"")</f>
        <v/>
      </c>
      <c r="AA37" s="53" t="str">
        <f>IF(AND('Mapa final'!$AB$20="Baja",'Mapa final'!$AD$20="Moderado"),CONCATENATE("R2C",'Mapa final'!$R$20),"")</f>
        <v/>
      </c>
      <c r="AB37" s="36" t="str">
        <f>IF(AND('Mapa final'!$AB$15="Baja",'Mapa final'!$AD$15="Mayor"),CONCATENATE("R2C",'Mapa final'!$R$15),"")</f>
        <v/>
      </c>
      <c r="AC37" s="37" t="str">
        <f>IF(AND('Mapa final'!$AB$16="Baja",'Mapa final'!$AD$16="Mayor"),CONCATENATE("R2C",'Mapa final'!$R$16),"")</f>
        <v/>
      </c>
      <c r="AD37" s="37" t="str">
        <f>IF(AND('Mapa final'!$AB$17="Baja",'Mapa final'!$AD$17="Mayor"),CONCATENATE("R2C",'Mapa final'!$R$17),"")</f>
        <v/>
      </c>
      <c r="AE37" s="37" t="str">
        <f>IF(AND('Mapa final'!$AB$18="Baja",'Mapa final'!$AD$18="Mayor"),CONCATENATE("R2C",'Mapa final'!$R$18),"")</f>
        <v/>
      </c>
      <c r="AF37" s="37" t="str">
        <f>IF(AND('Mapa final'!$AB$19="Baja",'Mapa final'!$AD$19="Mayor"),CONCATENATE("R2C",'Mapa final'!$R$19),"")</f>
        <v/>
      </c>
      <c r="AG37" s="38" t="str">
        <f>IF(AND('Mapa final'!$AB$20="Baja",'Mapa final'!$AD$20="Mayor"),CONCATENATE("R2C",'Mapa final'!$R$20),"")</f>
        <v/>
      </c>
      <c r="AH37" s="39" t="str">
        <f>IF(AND('Mapa final'!$AB$15="Baja",'Mapa final'!$AD$15="Catastrófico"),CONCATENATE("R2C",'Mapa final'!$R$15),"")</f>
        <v/>
      </c>
      <c r="AI37" s="40" t="str">
        <f>IF(AND('Mapa final'!$AB$16="Baja",'Mapa final'!$AD$16="Catastrófico"),CONCATENATE("R2C",'Mapa final'!$R$16),"")</f>
        <v/>
      </c>
      <c r="AJ37" s="40" t="str">
        <f>IF(AND('Mapa final'!$AB$17="Baja",'Mapa final'!$AD$17="Catastrófico"),CONCATENATE("R2C",'Mapa final'!$R$17),"")</f>
        <v/>
      </c>
      <c r="AK37" s="40" t="str">
        <f>IF(AND('Mapa final'!$AB$18="Baja",'Mapa final'!$AD$18="Catastrófico"),CONCATENATE("R2C",'Mapa final'!$R$18),"")</f>
        <v/>
      </c>
      <c r="AL37" s="40" t="str">
        <f>IF(AND('Mapa final'!$AB$19="Baja",'Mapa final'!$AD$19="Catastrófico"),CONCATENATE("R2C",'Mapa final'!$R$19),"")</f>
        <v/>
      </c>
      <c r="AM37" s="41" t="str">
        <f>IF(AND('Mapa final'!$AB$20="Baja",'Mapa final'!$AD$20="Catastrófico"),CONCATENATE("R2C",'Mapa final'!$R$20),"")</f>
        <v/>
      </c>
      <c r="AN37" s="67"/>
      <c r="AO37" s="617"/>
      <c r="AP37" s="618"/>
      <c r="AQ37" s="618"/>
      <c r="AR37" s="618"/>
      <c r="AS37" s="618"/>
      <c r="AT37" s="619"/>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545"/>
      <c r="C38" s="545"/>
      <c r="D38" s="546"/>
      <c r="E38" s="586"/>
      <c r="F38" s="587"/>
      <c r="G38" s="587"/>
      <c r="H38" s="587"/>
      <c r="I38" s="587"/>
      <c r="J38" s="60" t="str">
        <f>IF(AND('Mapa final'!$AB$21="Baja",'Mapa final'!$AD$21="Leve"),CONCATENATE("R3C",'Mapa final'!$R$21),"")</f>
        <v/>
      </c>
      <c r="K38" s="61" t="str">
        <f>IF(AND('Mapa final'!$AB$22="Baja",'Mapa final'!$AD$22="Leve"),CONCATENATE("R3C",'Mapa final'!$R$22),"")</f>
        <v/>
      </c>
      <c r="L38" s="61" t="str">
        <f>IF(AND('Mapa final'!$AB$23="Baja",'Mapa final'!$AD$23="Leve"),CONCATENATE("R3C",'Mapa final'!$R$23),"")</f>
        <v/>
      </c>
      <c r="M38" s="61" t="str">
        <f>IF(AND('Mapa final'!$AB$24="Baja",'Mapa final'!$AD$24="Leve"),CONCATENATE("R3C",'Mapa final'!$R$24),"")</f>
        <v/>
      </c>
      <c r="N38" s="61" t="str">
        <f>IF(AND('Mapa final'!$AB$25="Baja",'Mapa final'!$AD$25="Leve"),CONCATENATE("R3C",'Mapa final'!$R$25),"")</f>
        <v/>
      </c>
      <c r="O38" s="62" t="str">
        <f>IF(AND('Mapa final'!$AB$26="Baja",'Mapa final'!$AD$26="Leve"),CONCATENATE("R3C",'Mapa final'!$R$26),"")</f>
        <v/>
      </c>
      <c r="P38" s="51" t="str">
        <f>IF(AND('Mapa final'!$AB$21="Baja",'Mapa final'!$AD$21="Menor"),CONCATENATE("R3C",'Mapa final'!$R$21),"")</f>
        <v/>
      </c>
      <c r="Q38" s="52" t="str">
        <f>IF(AND('Mapa final'!$AB$22="Baja",'Mapa final'!$AD$22="Menor"),CONCATENATE("R3C",'Mapa final'!$R$22),"")</f>
        <v/>
      </c>
      <c r="R38" s="52" t="str">
        <f>IF(AND('Mapa final'!$AB$23="Baja",'Mapa final'!$AD$23="Menor"),CONCATENATE("R3C",'Mapa final'!$R$23),"")</f>
        <v/>
      </c>
      <c r="S38" s="52" t="str">
        <f>IF(AND('Mapa final'!$AB$24="Baja",'Mapa final'!$AD$24="Menor"),CONCATENATE("R3C",'Mapa final'!$R$24),"")</f>
        <v/>
      </c>
      <c r="T38" s="52" t="str">
        <f>IF(AND('Mapa final'!$AB$25="Baja",'Mapa final'!$AD$25="Menor"),CONCATENATE("R3C",'Mapa final'!$R$25),"")</f>
        <v/>
      </c>
      <c r="U38" s="53" t="str">
        <f>IF(AND('Mapa final'!$AB$26="Baja",'Mapa final'!$AD$26="Menor"),CONCATENATE("R3C",'Mapa final'!$R$26),"")</f>
        <v/>
      </c>
      <c r="V38" s="51" t="str">
        <f>IF(AND('Mapa final'!$AB$21="Baja",'Mapa final'!$AD$21="Moderado"),CONCATENATE("R3C",'Mapa final'!$R$21),"")</f>
        <v/>
      </c>
      <c r="W38" s="52" t="str">
        <f>IF(AND('Mapa final'!$AB$22="Baja",'Mapa final'!$AD$22="Moderado"),CONCATENATE("R3C",'Mapa final'!$R$22),"")</f>
        <v/>
      </c>
      <c r="X38" s="52" t="str">
        <f>IF(AND('Mapa final'!$AB$23="Baja",'Mapa final'!$AD$23="Moderado"),CONCATENATE("R3C",'Mapa final'!$R$23),"")</f>
        <v/>
      </c>
      <c r="Y38" s="52" t="str">
        <f>IF(AND('Mapa final'!$AB$24="Baja",'Mapa final'!$AD$24="Moderado"),CONCATENATE("R3C",'Mapa final'!$R$24),"")</f>
        <v/>
      </c>
      <c r="Z38" s="52" t="str">
        <f>IF(AND('Mapa final'!$AB$25="Baja",'Mapa final'!$AD$25="Moderado"),CONCATENATE("R3C",'Mapa final'!$R$25),"")</f>
        <v/>
      </c>
      <c r="AA38" s="53" t="str">
        <f>IF(AND('Mapa final'!$AB$26="Baja",'Mapa final'!$AD$26="Moderado"),CONCATENATE("R3C",'Mapa final'!$R$26),"")</f>
        <v/>
      </c>
      <c r="AB38" s="36" t="str">
        <f>IF(AND('Mapa final'!$AB$21="Baja",'Mapa final'!$AD$21="Mayor"),CONCATENATE("R3C",'Mapa final'!$R$21),"")</f>
        <v/>
      </c>
      <c r="AC38" s="37" t="str">
        <f>IF(AND('Mapa final'!$AB$22="Baja",'Mapa final'!$AD$22="Mayor"),CONCATENATE("R3C",'Mapa final'!$R$22),"")</f>
        <v/>
      </c>
      <c r="AD38" s="37" t="str">
        <f>IF(AND('Mapa final'!$AB$23="Baja",'Mapa final'!$AD$23="Mayor"),CONCATENATE("R3C",'Mapa final'!$R$23),"")</f>
        <v/>
      </c>
      <c r="AE38" s="37" t="str">
        <f>IF(AND('Mapa final'!$AB$24="Baja",'Mapa final'!$AD$24="Mayor"),CONCATENATE("R3C",'Mapa final'!$R$24),"")</f>
        <v/>
      </c>
      <c r="AF38" s="37" t="str">
        <f>IF(AND('Mapa final'!$AB$25="Baja",'Mapa final'!$AD$25="Mayor"),CONCATENATE("R3C",'Mapa final'!$R$25),"")</f>
        <v/>
      </c>
      <c r="AG38" s="38" t="str">
        <f>IF(AND('Mapa final'!$AB$26="Baja",'Mapa final'!$AD$26="Mayor"),CONCATENATE("R3C",'Mapa final'!$R$26),"")</f>
        <v/>
      </c>
      <c r="AH38" s="39" t="str">
        <f>IF(AND('Mapa final'!$AB$21="Baja",'Mapa final'!$AD$21="Catastrófico"),CONCATENATE("R3C",'Mapa final'!$R$21),"")</f>
        <v/>
      </c>
      <c r="AI38" s="40" t="str">
        <f>IF(AND('Mapa final'!$AB$22="Baja",'Mapa final'!$AD$22="Catastrófico"),CONCATENATE("R3C",'Mapa final'!$R$22),"")</f>
        <v/>
      </c>
      <c r="AJ38" s="40" t="str">
        <f>IF(AND('Mapa final'!$AB$23="Baja",'Mapa final'!$AD$23="Catastrófico"),CONCATENATE("R3C",'Mapa final'!$R$23),"")</f>
        <v/>
      </c>
      <c r="AK38" s="40" t="str">
        <f>IF(AND('Mapa final'!$AB$24="Baja",'Mapa final'!$AD$24="Catastrófico"),CONCATENATE("R3C",'Mapa final'!$R$24),"")</f>
        <v/>
      </c>
      <c r="AL38" s="40" t="str">
        <f>IF(AND('Mapa final'!$AB$25="Baja",'Mapa final'!$AD$25="Catastrófico"),CONCATENATE("R3C",'Mapa final'!$R$25),"")</f>
        <v/>
      </c>
      <c r="AM38" s="41" t="str">
        <f>IF(AND('Mapa final'!$AB$26="Baja",'Mapa final'!$AD$26="Catastrófico"),CONCATENATE("R3C",'Mapa final'!$R$26),"")</f>
        <v/>
      </c>
      <c r="AN38" s="67"/>
      <c r="AO38" s="617"/>
      <c r="AP38" s="618"/>
      <c r="AQ38" s="618"/>
      <c r="AR38" s="618"/>
      <c r="AS38" s="618"/>
      <c r="AT38" s="619"/>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545"/>
      <c r="C39" s="545"/>
      <c r="D39" s="546"/>
      <c r="E39" s="586"/>
      <c r="F39" s="587"/>
      <c r="G39" s="587"/>
      <c r="H39" s="587"/>
      <c r="I39" s="587"/>
      <c r="J39" s="60" t="str">
        <f>IF(AND('Mapa final'!$AB$27="Baja",'Mapa final'!$AD$27="Leve"),CONCATENATE("R4C",'Mapa final'!$R$27),"")</f>
        <v/>
      </c>
      <c r="K39" s="61" t="str">
        <f>IF(AND('Mapa final'!$AB$28="Baja",'Mapa final'!$AD$28="Leve"),CONCATENATE("R4C",'Mapa final'!$R$28),"")</f>
        <v/>
      </c>
      <c r="L39" s="61" t="str">
        <f>IF(AND('Mapa final'!$AB$29="Baja",'Mapa final'!$AD$29="Leve"),CONCATENATE("R4C",'Mapa final'!$R$29),"")</f>
        <v/>
      </c>
      <c r="M39" s="61" t="str">
        <f>IF(AND('Mapa final'!$AB$30="Baja",'Mapa final'!$AD$30="Leve"),CONCATENATE("R4C",'Mapa final'!$R$30),"")</f>
        <v/>
      </c>
      <c r="N39" s="61" t="str">
        <f>IF(AND('Mapa final'!$AB$31="Baja",'Mapa final'!$AD$31="Leve"),CONCATENATE("R4C",'Mapa final'!$R$31),"")</f>
        <v/>
      </c>
      <c r="O39" s="62" t="str">
        <f>IF(AND('Mapa final'!$AB$32="Baja",'Mapa final'!$AD$32="Leve"),CONCATENATE("R4C",'Mapa final'!$R$32),"")</f>
        <v/>
      </c>
      <c r="P39" s="51" t="str">
        <f>IF(AND('Mapa final'!$AB$27="Baja",'Mapa final'!$AD$27="Menor"),CONCATENATE("R4C",'Mapa final'!$R$27),"")</f>
        <v/>
      </c>
      <c r="Q39" s="52" t="str">
        <f>IF(AND('Mapa final'!$AB$28="Baja",'Mapa final'!$AD$28="Menor"),CONCATENATE("R4C",'Mapa final'!$R$28),"")</f>
        <v/>
      </c>
      <c r="R39" s="52" t="str">
        <f>IF(AND('Mapa final'!$AB$29="Baja",'Mapa final'!$AD$29="Menor"),CONCATENATE("R4C",'Mapa final'!$R$29),"")</f>
        <v/>
      </c>
      <c r="S39" s="52" t="str">
        <f>IF(AND('Mapa final'!$AB$30="Baja",'Mapa final'!$AD$30="Menor"),CONCATENATE("R4C",'Mapa final'!$R$30),"")</f>
        <v/>
      </c>
      <c r="T39" s="52" t="str">
        <f>IF(AND('Mapa final'!$AB$31="Baja",'Mapa final'!$AD$31="Menor"),CONCATENATE("R4C",'Mapa final'!$R$31),"")</f>
        <v/>
      </c>
      <c r="U39" s="53" t="str">
        <f>IF(AND('Mapa final'!$AB$32="Baja",'Mapa final'!$AD$32="Menor"),CONCATENATE("R4C",'Mapa final'!$R$32),"")</f>
        <v/>
      </c>
      <c r="V39" s="51" t="str">
        <f>IF(AND('Mapa final'!$AB$27="Baja",'Mapa final'!$AD$27="Moderado"),CONCATENATE("R4C",'Mapa final'!$R$27),"")</f>
        <v/>
      </c>
      <c r="W39" s="52" t="str">
        <f>IF(AND('Mapa final'!$AB$28="Baja",'Mapa final'!$AD$28="Moderado"),CONCATENATE("R4C",'Mapa final'!$R$28),"")</f>
        <v/>
      </c>
      <c r="X39" s="52" t="str">
        <f>IF(AND('Mapa final'!$AB$29="Baja",'Mapa final'!$AD$29="Moderado"),CONCATENATE("R4C",'Mapa final'!$R$29),"")</f>
        <v/>
      </c>
      <c r="Y39" s="52" t="str">
        <f>IF(AND('Mapa final'!$AB$30="Baja",'Mapa final'!$AD$30="Moderado"),CONCATENATE("R4C",'Mapa final'!$R$30),"")</f>
        <v/>
      </c>
      <c r="Z39" s="52" t="str">
        <f>IF(AND('Mapa final'!$AB$31="Baja",'Mapa final'!$AD$31="Moderado"),CONCATENATE("R4C",'Mapa final'!$R$31),"")</f>
        <v/>
      </c>
      <c r="AA39" s="53" t="str">
        <f>IF(AND('Mapa final'!$AB$32="Baja",'Mapa final'!$AD$32="Moderado"),CONCATENATE("R4C",'Mapa final'!$R$32),"")</f>
        <v/>
      </c>
      <c r="AB39" s="36" t="str">
        <f>IF(AND('Mapa final'!$AB$27="Baja",'Mapa final'!$AD$27="Mayor"),CONCATENATE("R4C",'Mapa final'!$R$27),"")</f>
        <v/>
      </c>
      <c r="AC39" s="37" t="str">
        <f>IF(AND('Mapa final'!$AB$28="Baja",'Mapa final'!$AD$28="Mayor"),CONCATENATE("R4C",'Mapa final'!$R$28),"")</f>
        <v/>
      </c>
      <c r="AD39" s="37" t="str">
        <f>IF(AND('Mapa final'!$AB$29="Baja",'Mapa final'!$AD$29="Mayor"),CONCATENATE("R4C",'Mapa final'!$R$29),"")</f>
        <v/>
      </c>
      <c r="AE39" s="37" t="str">
        <f>IF(AND('Mapa final'!$AB$30="Baja",'Mapa final'!$AD$30="Mayor"),CONCATENATE("R4C",'Mapa final'!$R$30),"")</f>
        <v/>
      </c>
      <c r="AF39" s="37" t="str">
        <f>IF(AND('Mapa final'!$AB$31="Baja",'Mapa final'!$AD$31="Mayor"),CONCATENATE("R4C",'Mapa final'!$R$31),"")</f>
        <v/>
      </c>
      <c r="AG39" s="38" t="str">
        <f>IF(AND('Mapa final'!$AB$32="Baja",'Mapa final'!$AD$32="Mayor"),CONCATENATE("R4C",'Mapa final'!$R$32),"")</f>
        <v/>
      </c>
      <c r="AH39" s="39" t="str">
        <f>IF(AND('Mapa final'!$AB$27="Baja",'Mapa final'!$AD$27="Catastrófico"),CONCATENATE("R4C",'Mapa final'!$R$27),"")</f>
        <v/>
      </c>
      <c r="AI39" s="40" t="str">
        <f>IF(AND('Mapa final'!$AB$28="Baja",'Mapa final'!$AD$28="Catastrófico"),CONCATENATE("R4C",'Mapa final'!$R$28),"")</f>
        <v/>
      </c>
      <c r="AJ39" s="40" t="str">
        <f>IF(AND('Mapa final'!$AB$29="Baja",'Mapa final'!$AD$29="Catastrófico"),CONCATENATE("R4C",'Mapa final'!$R$29),"")</f>
        <v/>
      </c>
      <c r="AK39" s="40" t="str">
        <f>IF(AND('Mapa final'!$AB$30="Baja",'Mapa final'!$AD$30="Catastrófico"),CONCATENATE("R4C",'Mapa final'!$R$30),"")</f>
        <v/>
      </c>
      <c r="AL39" s="40" t="str">
        <f>IF(AND('Mapa final'!$AB$31="Baja",'Mapa final'!$AD$31="Catastrófico"),CONCATENATE("R4C",'Mapa final'!$R$31),"")</f>
        <v/>
      </c>
      <c r="AM39" s="41" t="str">
        <f>IF(AND('Mapa final'!$AB$32="Baja",'Mapa final'!$AD$32="Catastrófico"),CONCATENATE("R4C",'Mapa final'!$R$32),"")</f>
        <v/>
      </c>
      <c r="AN39" s="67"/>
      <c r="AO39" s="617"/>
      <c r="AP39" s="618"/>
      <c r="AQ39" s="618"/>
      <c r="AR39" s="618"/>
      <c r="AS39" s="618"/>
      <c r="AT39" s="619"/>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545"/>
      <c r="C40" s="545"/>
      <c r="D40" s="546"/>
      <c r="E40" s="586"/>
      <c r="F40" s="587"/>
      <c r="G40" s="587"/>
      <c r="H40" s="587"/>
      <c r="I40" s="587"/>
      <c r="J40" s="60" t="str">
        <f>IF(AND('Mapa final'!$AB$33="Baja",'Mapa final'!$AD$33="Leve"),CONCATENATE("R5C",'Mapa final'!$R$33),"")</f>
        <v/>
      </c>
      <c r="K40" s="61" t="str">
        <f>IF(AND('Mapa final'!$AB$34="Baja",'Mapa final'!$AD$34="Leve"),CONCATENATE("R5C",'Mapa final'!$R$34),"")</f>
        <v/>
      </c>
      <c r="L40" s="61" t="str">
        <f>IF(AND('Mapa final'!$AB$35="Baja",'Mapa final'!$AD$35="Leve"),CONCATENATE("R5C",'Mapa final'!$R$35),"")</f>
        <v/>
      </c>
      <c r="M40" s="61" t="str">
        <f>IF(AND('Mapa final'!$AB$36="Baja",'Mapa final'!$AD$36="Leve"),CONCATENATE("R5C",'Mapa final'!$R$36),"")</f>
        <v/>
      </c>
      <c r="N40" s="61" t="str">
        <f>IF(AND('Mapa final'!$AB$37="Baja",'Mapa final'!$AD$37="Leve"),CONCATENATE("R5C",'Mapa final'!$R$37),"")</f>
        <v/>
      </c>
      <c r="O40" s="62" t="str">
        <f>IF(AND('Mapa final'!$AB$38="Baja",'Mapa final'!$AD$38="Leve"),CONCATENATE("R5C",'Mapa final'!$R$38),"")</f>
        <v/>
      </c>
      <c r="P40" s="51" t="str">
        <f>IF(AND('Mapa final'!$AB$33="Baja",'Mapa final'!$AD$33="Menor"),CONCATENATE("R5C",'Mapa final'!$R$33),"")</f>
        <v/>
      </c>
      <c r="Q40" s="52" t="str">
        <f>IF(AND('Mapa final'!$AB$34="Baja",'Mapa final'!$AD$34="Menor"),CONCATENATE("R5C",'Mapa final'!$R$34),"")</f>
        <v/>
      </c>
      <c r="R40" s="52" t="str">
        <f>IF(AND('Mapa final'!$AB$35="Baja",'Mapa final'!$AD$35="Menor"),CONCATENATE("R5C",'Mapa final'!$R$35),"")</f>
        <v/>
      </c>
      <c r="S40" s="52" t="str">
        <f>IF(AND('Mapa final'!$AB$36="Baja",'Mapa final'!$AD$36="Menor"),CONCATENATE("R5C",'Mapa final'!$R$36),"")</f>
        <v/>
      </c>
      <c r="T40" s="52" t="str">
        <f>IF(AND('Mapa final'!$AB$37="Baja",'Mapa final'!$AD$37="Menor"),CONCATENATE("R5C",'Mapa final'!$R$37),"")</f>
        <v/>
      </c>
      <c r="U40" s="53" t="str">
        <f>IF(AND('Mapa final'!$AB$38="Baja",'Mapa final'!$AD$38="Menor"),CONCATENATE("R5C",'Mapa final'!$R$38),"")</f>
        <v/>
      </c>
      <c r="V40" s="51" t="str">
        <f>IF(AND('Mapa final'!$AB$33="Baja",'Mapa final'!$AD$33="Moderado"),CONCATENATE("R5C",'Mapa final'!$R$33),"")</f>
        <v/>
      </c>
      <c r="W40" s="52" t="str">
        <f>IF(AND('Mapa final'!$AB$34="Baja",'Mapa final'!$AD$34="Moderado"),CONCATENATE("R5C",'Mapa final'!$R$34),"")</f>
        <v/>
      </c>
      <c r="X40" s="52" t="str">
        <f>IF(AND('Mapa final'!$AB$35="Baja",'Mapa final'!$AD$35="Moderado"),CONCATENATE("R5C",'Mapa final'!$R$35),"")</f>
        <v/>
      </c>
      <c r="Y40" s="52" t="str">
        <f>IF(AND('Mapa final'!$AB$36="Baja",'Mapa final'!$AD$36="Moderado"),CONCATENATE("R5C",'Mapa final'!$R$36),"")</f>
        <v/>
      </c>
      <c r="Z40" s="52" t="str">
        <f>IF(AND('Mapa final'!$AB$37="Baja",'Mapa final'!$AD$37="Moderado"),CONCATENATE("R5C",'Mapa final'!$R$37),"")</f>
        <v/>
      </c>
      <c r="AA40" s="53" t="str">
        <f>IF(AND('Mapa final'!$AB$38="Baja",'Mapa final'!$AD$38="Moderado"),CONCATENATE("R5C",'Mapa final'!$R$38),"")</f>
        <v/>
      </c>
      <c r="AB40" s="36" t="str">
        <f>IF(AND('Mapa final'!$AB$33="Baja",'Mapa final'!$AD$33="Mayor"),CONCATENATE("R5C",'Mapa final'!$R$33),"")</f>
        <v/>
      </c>
      <c r="AC40" s="37" t="str">
        <f>IF(AND('Mapa final'!$AB$34="Baja",'Mapa final'!$AD$34="Mayor"),CONCATENATE("R5C",'Mapa final'!$R$34),"")</f>
        <v/>
      </c>
      <c r="AD40" s="37" t="str">
        <f>IF(AND('Mapa final'!$AB$35="Baja",'Mapa final'!$AD$35="Mayor"),CONCATENATE("R5C",'Mapa final'!$R$35),"")</f>
        <v/>
      </c>
      <c r="AE40" s="37" t="str">
        <f>IF(AND('Mapa final'!$AB$36="Baja",'Mapa final'!$AD$36="Mayor"),CONCATENATE("R5C",'Mapa final'!$R$36),"")</f>
        <v/>
      </c>
      <c r="AF40" s="37" t="str">
        <f>IF(AND('Mapa final'!$AB$37="Baja",'Mapa final'!$AD$37="Mayor"),CONCATENATE("R5C",'Mapa final'!$R$37),"")</f>
        <v/>
      </c>
      <c r="AG40" s="38" t="str">
        <f>IF(AND('Mapa final'!$AB$38="Baja",'Mapa final'!$AD$38="Mayor"),CONCATENATE("R5C",'Mapa final'!$R$38),"")</f>
        <v/>
      </c>
      <c r="AH40" s="39" t="str">
        <f>IF(AND('Mapa final'!$AB$33="Baja",'Mapa final'!$AD$33="Catastrófico"),CONCATENATE("R5C",'Mapa final'!$R$33),"")</f>
        <v/>
      </c>
      <c r="AI40" s="40" t="str">
        <f>IF(AND('Mapa final'!$AB$34="Baja",'Mapa final'!$AD$34="Catastrófico"),CONCATENATE("R5C",'Mapa final'!$R$34),"")</f>
        <v/>
      </c>
      <c r="AJ40" s="40" t="str">
        <f>IF(AND('Mapa final'!$AB$35="Baja",'Mapa final'!$AD$35="Catastrófico"),CONCATENATE("R5C",'Mapa final'!$R$35),"")</f>
        <v/>
      </c>
      <c r="AK40" s="40" t="str">
        <f>IF(AND('Mapa final'!$AB$36="Baja",'Mapa final'!$AD$36="Catastrófico"),CONCATENATE("R5C",'Mapa final'!$R$36),"")</f>
        <v/>
      </c>
      <c r="AL40" s="40" t="str">
        <f>IF(AND('Mapa final'!$AB$37="Baja",'Mapa final'!$AD$37="Catastrófico"),CONCATENATE("R5C",'Mapa final'!$R$37),"")</f>
        <v/>
      </c>
      <c r="AM40" s="41" t="str">
        <f>IF(AND('Mapa final'!$AB$38="Baja",'Mapa final'!$AD$38="Catastrófico"),CONCATENATE("R5C",'Mapa final'!$R$38),"")</f>
        <v/>
      </c>
      <c r="AN40" s="67"/>
      <c r="AO40" s="617"/>
      <c r="AP40" s="618"/>
      <c r="AQ40" s="618"/>
      <c r="AR40" s="618"/>
      <c r="AS40" s="618"/>
      <c r="AT40" s="619"/>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545"/>
      <c r="C41" s="545"/>
      <c r="D41" s="546"/>
      <c r="E41" s="586"/>
      <c r="F41" s="587"/>
      <c r="G41" s="587"/>
      <c r="H41" s="587"/>
      <c r="I41" s="587"/>
      <c r="J41" s="60" t="str">
        <f>IF(AND('Mapa final'!$AB$39="Baja",'Mapa final'!$AD$39="Leve"),CONCATENATE("R6C",'Mapa final'!$R$39),"")</f>
        <v/>
      </c>
      <c r="K41" s="61" t="str">
        <f>IF(AND('Mapa final'!$AB$40="Baja",'Mapa final'!$AD$40="Leve"),CONCATENATE("R6C",'Mapa final'!$R$40),"")</f>
        <v/>
      </c>
      <c r="L41" s="61" t="str">
        <f>IF(AND('Mapa final'!$AB$41="Baja",'Mapa final'!$AD$41="Leve"),CONCATENATE("R6C",'Mapa final'!$R$41),"")</f>
        <v/>
      </c>
      <c r="M41" s="61" t="str">
        <f>IF(AND('Mapa final'!$AB$42="Baja",'Mapa final'!$AD$42="Leve"),CONCATENATE("R6C",'Mapa final'!$R$42),"")</f>
        <v/>
      </c>
      <c r="N41" s="61" t="str">
        <f>IF(AND('Mapa final'!$AB$43="Baja",'Mapa final'!$AD$43="Leve"),CONCATENATE("R6C",'Mapa final'!$R$43),"")</f>
        <v/>
      </c>
      <c r="O41" s="62" t="str">
        <f>IF(AND('Mapa final'!$AB$44="Baja",'Mapa final'!$AD$44="Leve"),CONCATENATE("R6C",'Mapa final'!$R$44),"")</f>
        <v/>
      </c>
      <c r="P41" s="51" t="str">
        <f>IF(AND('Mapa final'!$AB$39="Baja",'Mapa final'!$AD$39="Menor"),CONCATENATE("R6C",'Mapa final'!$R$39),"")</f>
        <v/>
      </c>
      <c r="Q41" s="52" t="str">
        <f>IF(AND('Mapa final'!$AB$40="Baja",'Mapa final'!$AD$40="Menor"),CONCATENATE("R6C",'Mapa final'!$R$40),"")</f>
        <v/>
      </c>
      <c r="R41" s="52" t="str">
        <f>IF(AND('Mapa final'!$AB$41="Baja",'Mapa final'!$AD$41="Menor"),CONCATENATE("R6C",'Mapa final'!$R$41),"")</f>
        <v/>
      </c>
      <c r="S41" s="52" t="str">
        <f>IF(AND('Mapa final'!$AB$42="Baja",'Mapa final'!$AD$42="Menor"),CONCATENATE("R6C",'Mapa final'!$R$42),"")</f>
        <v/>
      </c>
      <c r="T41" s="52" t="str">
        <f>IF(AND('Mapa final'!$AB$43="Baja",'Mapa final'!$AD$43="Menor"),CONCATENATE("R6C",'Mapa final'!$R$43),"")</f>
        <v/>
      </c>
      <c r="U41" s="53" t="str">
        <f>IF(AND('Mapa final'!$AB$44="Baja",'Mapa final'!$AD$44="Menor"),CONCATENATE("R6C",'Mapa final'!$R$44),"")</f>
        <v/>
      </c>
      <c r="V41" s="51" t="str">
        <f>IF(AND('Mapa final'!$AB$39="Baja",'Mapa final'!$AD$39="Moderado"),CONCATENATE("R6C",'Mapa final'!$R$39),"")</f>
        <v/>
      </c>
      <c r="W41" s="52" t="str">
        <f>IF(AND('Mapa final'!$AB$40="Baja",'Mapa final'!$AD$40="Moderado"),CONCATENATE("R6C",'Mapa final'!$R$40),"")</f>
        <v/>
      </c>
      <c r="X41" s="52" t="str">
        <f>IF(AND('Mapa final'!$AB$41="Baja",'Mapa final'!$AD$41="Moderado"),CONCATENATE("R6C",'Mapa final'!$R$41),"")</f>
        <v/>
      </c>
      <c r="Y41" s="52" t="str">
        <f>IF(AND('Mapa final'!$AB$42="Baja",'Mapa final'!$AD$42="Moderado"),CONCATENATE("R6C",'Mapa final'!$R$42),"")</f>
        <v/>
      </c>
      <c r="Z41" s="52" t="str">
        <f>IF(AND('Mapa final'!$AB$43="Baja",'Mapa final'!$AD$43="Moderado"),CONCATENATE("R6C",'Mapa final'!$R$43),"")</f>
        <v/>
      </c>
      <c r="AA41" s="53" t="str">
        <f>IF(AND('Mapa final'!$AB$44="Baja",'Mapa final'!$AD$44="Moderado"),CONCATENATE("R6C",'Mapa final'!$R$44),"")</f>
        <v/>
      </c>
      <c r="AB41" s="36" t="str">
        <f>IF(AND('Mapa final'!$AB$39="Baja",'Mapa final'!$AD$39="Mayor"),CONCATENATE("R6C",'Mapa final'!$R$39),"")</f>
        <v/>
      </c>
      <c r="AC41" s="37" t="str">
        <f>IF(AND('Mapa final'!$AB$40="Baja",'Mapa final'!$AD$40="Mayor"),CONCATENATE("R6C",'Mapa final'!$R$40),"")</f>
        <v/>
      </c>
      <c r="AD41" s="37" t="str">
        <f>IF(AND('Mapa final'!$AB$41="Baja",'Mapa final'!$AD$41="Mayor"),CONCATENATE("R6C",'Mapa final'!$R$41),"")</f>
        <v/>
      </c>
      <c r="AE41" s="37" t="str">
        <f>IF(AND('Mapa final'!$AB$42="Baja",'Mapa final'!$AD$42="Mayor"),CONCATENATE("R6C",'Mapa final'!$R$42),"")</f>
        <v/>
      </c>
      <c r="AF41" s="37" t="str">
        <f>IF(AND('Mapa final'!$AB$43="Baja",'Mapa final'!$AD$43="Mayor"),CONCATENATE("R6C",'Mapa final'!$R$43),"")</f>
        <v/>
      </c>
      <c r="AG41" s="38" t="str">
        <f>IF(AND('Mapa final'!$AB$44="Baja",'Mapa final'!$AD$44="Mayor"),CONCATENATE("R6C",'Mapa final'!$R$44),"")</f>
        <v/>
      </c>
      <c r="AH41" s="39" t="str">
        <f>IF(AND('Mapa final'!$AB$39="Baja",'Mapa final'!$AD$39="Catastrófico"),CONCATENATE("R6C",'Mapa final'!$R$39),"")</f>
        <v/>
      </c>
      <c r="AI41" s="40" t="str">
        <f>IF(AND('Mapa final'!$AB$40="Baja",'Mapa final'!$AD$40="Catastrófico"),CONCATENATE("R6C",'Mapa final'!$R$40),"")</f>
        <v/>
      </c>
      <c r="AJ41" s="40" t="str">
        <f>IF(AND('Mapa final'!$AB$41="Baja",'Mapa final'!$AD$41="Catastrófico"),CONCATENATE("R6C",'Mapa final'!$R$41),"")</f>
        <v/>
      </c>
      <c r="AK41" s="40" t="str">
        <f>IF(AND('Mapa final'!$AB$42="Baja",'Mapa final'!$AD$42="Catastrófico"),CONCATENATE("R6C",'Mapa final'!$R$42),"")</f>
        <v/>
      </c>
      <c r="AL41" s="40" t="str">
        <f>IF(AND('Mapa final'!$AB$43="Baja",'Mapa final'!$AD$43="Catastrófico"),CONCATENATE("R6C",'Mapa final'!$R$43),"")</f>
        <v/>
      </c>
      <c r="AM41" s="41" t="str">
        <f>IF(AND('Mapa final'!$AB$44="Baja",'Mapa final'!$AD$44="Catastrófico"),CONCATENATE("R6C",'Mapa final'!$R$44),"")</f>
        <v/>
      </c>
      <c r="AN41" s="67"/>
      <c r="AO41" s="617"/>
      <c r="AP41" s="618"/>
      <c r="AQ41" s="618"/>
      <c r="AR41" s="618"/>
      <c r="AS41" s="618"/>
      <c r="AT41" s="619"/>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545"/>
      <c r="C42" s="545"/>
      <c r="D42" s="546"/>
      <c r="E42" s="586"/>
      <c r="F42" s="587"/>
      <c r="G42" s="587"/>
      <c r="H42" s="587"/>
      <c r="I42" s="587"/>
      <c r="J42" s="60" t="str">
        <f>IF(AND('Mapa final'!$AB$45="Baja",'Mapa final'!$AD$45="Leve"),CONCATENATE("R7C",'Mapa final'!$R$45),"")</f>
        <v/>
      </c>
      <c r="K42" s="61" t="str">
        <f>IF(AND('Mapa final'!$AB$46="Baja",'Mapa final'!$AD$46="Leve"),CONCATENATE("R7C",'Mapa final'!$R$46),"")</f>
        <v/>
      </c>
      <c r="L42" s="61" t="str">
        <f>IF(AND('Mapa final'!$AB$47="Baja",'Mapa final'!$AD$47="Leve"),CONCATENATE("R7C",'Mapa final'!$R$47),"")</f>
        <v/>
      </c>
      <c r="M42" s="61" t="str">
        <f>IF(AND('Mapa final'!$AB$48="Baja",'Mapa final'!$AD$48="Leve"),CONCATENATE("R7C",'Mapa final'!$R$48),"")</f>
        <v/>
      </c>
      <c r="N42" s="61" t="str">
        <f>IF(AND('Mapa final'!$AB$49="Baja",'Mapa final'!$AD$49="Leve"),CONCATENATE("R7C",'Mapa final'!$R$49),"")</f>
        <v/>
      </c>
      <c r="O42" s="62" t="str">
        <f>IF(AND('Mapa final'!$AB$50="Baja",'Mapa final'!$AD$50="Leve"),CONCATENATE("R7C",'Mapa final'!$R$50),"")</f>
        <v/>
      </c>
      <c r="P42" s="51" t="str">
        <f>IF(AND('Mapa final'!$AB$45="Baja",'Mapa final'!$AD$45="Menor"),CONCATENATE("R7C",'Mapa final'!$R$45),"")</f>
        <v/>
      </c>
      <c r="Q42" s="52" t="str">
        <f>IF(AND('Mapa final'!$AB$46="Baja",'Mapa final'!$AD$46="Menor"),CONCATENATE("R7C",'Mapa final'!$R$46),"")</f>
        <v/>
      </c>
      <c r="R42" s="52" t="str">
        <f>IF(AND('Mapa final'!$AB$47="Baja",'Mapa final'!$AD$47="Menor"),CONCATENATE("R7C",'Mapa final'!$R$47),"")</f>
        <v/>
      </c>
      <c r="S42" s="52" t="str">
        <f>IF(AND('Mapa final'!$AB$48="Baja",'Mapa final'!$AD$48="Menor"),CONCATENATE("R7C",'Mapa final'!$R$48),"")</f>
        <v/>
      </c>
      <c r="T42" s="52" t="str">
        <f>IF(AND('Mapa final'!$AB$49="Baja",'Mapa final'!$AD$49="Menor"),CONCATENATE("R7C",'Mapa final'!$R$49),"")</f>
        <v/>
      </c>
      <c r="U42" s="53" t="str">
        <f>IF(AND('Mapa final'!$AB$50="Baja",'Mapa final'!$AD$50="Menor"),CONCATENATE("R7C",'Mapa final'!$R$50),"")</f>
        <v/>
      </c>
      <c r="V42" s="51" t="str">
        <f>IF(AND('Mapa final'!$AB$45="Baja",'Mapa final'!$AD$45="Moderado"),CONCATENATE("R7C",'Mapa final'!$R$45),"")</f>
        <v/>
      </c>
      <c r="W42" s="52" t="str">
        <f>IF(AND('Mapa final'!$AB$46="Baja",'Mapa final'!$AD$46="Moderado"),CONCATENATE("R7C",'Mapa final'!$R$46),"")</f>
        <v/>
      </c>
      <c r="X42" s="52" t="str">
        <f>IF(AND('Mapa final'!$AB$47="Baja",'Mapa final'!$AD$47="Moderado"),CONCATENATE("R7C",'Mapa final'!$R$47),"")</f>
        <v/>
      </c>
      <c r="Y42" s="52" t="str">
        <f>IF(AND('Mapa final'!$AB$48="Baja",'Mapa final'!$AD$48="Moderado"),CONCATENATE("R7C",'Mapa final'!$R$48),"")</f>
        <v/>
      </c>
      <c r="Z42" s="52" t="str">
        <f>IF(AND('Mapa final'!$AB$49="Baja",'Mapa final'!$AD$49="Moderado"),CONCATENATE("R7C",'Mapa final'!$R$49),"")</f>
        <v/>
      </c>
      <c r="AA42" s="53" t="str">
        <f>IF(AND('Mapa final'!$AB$50="Baja",'Mapa final'!$AD$50="Moderado"),CONCATENATE("R7C",'Mapa final'!$R$50),"")</f>
        <v/>
      </c>
      <c r="AB42" s="36" t="str">
        <f>IF(AND('Mapa final'!$AB$45="Baja",'Mapa final'!$AD$45="Mayor"),CONCATENATE("R7C",'Mapa final'!$R$45),"")</f>
        <v/>
      </c>
      <c r="AC42" s="37" t="str">
        <f>IF(AND('Mapa final'!$AB$46="Baja",'Mapa final'!$AD$46="Mayor"),CONCATENATE("R7C",'Mapa final'!$R$46),"")</f>
        <v/>
      </c>
      <c r="AD42" s="37" t="str">
        <f>IF(AND('Mapa final'!$AB$47="Baja",'Mapa final'!$AD$47="Mayor"),CONCATENATE("R7C",'Mapa final'!$R$47),"")</f>
        <v/>
      </c>
      <c r="AE42" s="37" t="str">
        <f>IF(AND('Mapa final'!$AB$48="Baja",'Mapa final'!$AD$48="Mayor"),CONCATENATE("R7C",'Mapa final'!$R$48),"")</f>
        <v/>
      </c>
      <c r="AF42" s="37" t="str">
        <f>IF(AND('Mapa final'!$AB$49="Baja",'Mapa final'!$AD$49="Mayor"),CONCATENATE("R7C",'Mapa final'!$R$49),"")</f>
        <v/>
      </c>
      <c r="AG42" s="38" t="str">
        <f>IF(AND('Mapa final'!$AB$50="Baja",'Mapa final'!$AD$50="Mayor"),CONCATENATE("R7C",'Mapa final'!$R$50),"")</f>
        <v/>
      </c>
      <c r="AH42" s="39" t="str">
        <f>IF(AND('Mapa final'!$AB$45="Baja",'Mapa final'!$AD$45="Catastrófico"),CONCATENATE("R7C",'Mapa final'!$R$45),"")</f>
        <v/>
      </c>
      <c r="AI42" s="40" t="str">
        <f>IF(AND('Mapa final'!$AB$46="Baja",'Mapa final'!$AD$46="Catastrófico"),CONCATENATE("R7C",'Mapa final'!$R$46),"")</f>
        <v/>
      </c>
      <c r="AJ42" s="40" t="str">
        <f>IF(AND('Mapa final'!$AB$47="Baja",'Mapa final'!$AD$47="Catastrófico"),CONCATENATE("R7C",'Mapa final'!$R$47),"")</f>
        <v/>
      </c>
      <c r="AK42" s="40" t="str">
        <f>IF(AND('Mapa final'!$AB$48="Baja",'Mapa final'!$AD$48="Catastrófico"),CONCATENATE("R7C",'Mapa final'!$R$48),"")</f>
        <v/>
      </c>
      <c r="AL42" s="40" t="str">
        <f>IF(AND('Mapa final'!$AB$49="Baja",'Mapa final'!$AD$49="Catastrófico"),CONCATENATE("R7C",'Mapa final'!$R$49),"")</f>
        <v/>
      </c>
      <c r="AM42" s="41" t="str">
        <f>IF(AND('Mapa final'!$AB$50="Baja",'Mapa final'!$AD$50="Catastrófico"),CONCATENATE("R7C",'Mapa final'!$R$50),"")</f>
        <v/>
      </c>
      <c r="AN42" s="67"/>
      <c r="AO42" s="617"/>
      <c r="AP42" s="618"/>
      <c r="AQ42" s="618"/>
      <c r="AR42" s="618"/>
      <c r="AS42" s="618"/>
      <c r="AT42" s="619"/>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545"/>
      <c r="C43" s="545"/>
      <c r="D43" s="546"/>
      <c r="E43" s="586"/>
      <c r="F43" s="587"/>
      <c r="G43" s="587"/>
      <c r="H43" s="587"/>
      <c r="I43" s="587"/>
      <c r="J43" s="60" t="str">
        <f>IF(AND('Mapa final'!$AB$51="Baja",'Mapa final'!$AD$51="Leve"),CONCATENATE("R8C",'Mapa final'!$R$51),"")</f>
        <v/>
      </c>
      <c r="K43" s="61" t="str">
        <f>IF(AND('Mapa final'!$AB$52="Baja",'Mapa final'!$AD$52="Leve"),CONCATENATE("R8C",'Mapa final'!$R$52),"")</f>
        <v/>
      </c>
      <c r="L43" s="61" t="str">
        <f>IF(AND('Mapa final'!$AB$53="Baja",'Mapa final'!$AD$53="Leve"),CONCATENATE("R8C",'Mapa final'!$R$53),"")</f>
        <v/>
      </c>
      <c r="M43" s="61" t="str">
        <f>IF(AND('Mapa final'!$AB$54="Baja",'Mapa final'!$AD$54="Leve"),CONCATENATE("R8C",'Mapa final'!$R$54),"")</f>
        <v/>
      </c>
      <c r="N43" s="61" t="str">
        <f>IF(AND('Mapa final'!$AB$55="Baja",'Mapa final'!$AD$55="Leve"),CONCATENATE("R8C",'Mapa final'!$R$55),"")</f>
        <v/>
      </c>
      <c r="O43" s="62" t="str">
        <f>IF(AND('Mapa final'!$AB$56="Baja",'Mapa final'!$AD$56="Leve"),CONCATENATE("R8C",'Mapa final'!$R$56),"")</f>
        <v/>
      </c>
      <c r="P43" s="51" t="str">
        <f>IF(AND('Mapa final'!$AB$51="Baja",'Mapa final'!$AD$51="Menor"),CONCATENATE("R8C",'Mapa final'!$R$51),"")</f>
        <v/>
      </c>
      <c r="Q43" s="52" t="str">
        <f>IF(AND('Mapa final'!$AB$52="Baja",'Mapa final'!$AD$52="Menor"),CONCATENATE("R8C",'Mapa final'!$R$52),"")</f>
        <v/>
      </c>
      <c r="R43" s="52" t="str">
        <f>IF(AND('Mapa final'!$AB$53="Baja",'Mapa final'!$AD$53="Menor"),CONCATENATE("R8C",'Mapa final'!$R$53),"")</f>
        <v/>
      </c>
      <c r="S43" s="52" t="str">
        <f>IF(AND('Mapa final'!$AB$54="Baja",'Mapa final'!$AD$54="Menor"),CONCATENATE("R8C",'Mapa final'!$R$54),"")</f>
        <v/>
      </c>
      <c r="T43" s="52" t="str">
        <f>IF(AND('Mapa final'!$AB$55="Baja",'Mapa final'!$AD$55="Menor"),CONCATENATE("R8C",'Mapa final'!$R$55),"")</f>
        <v/>
      </c>
      <c r="U43" s="53" t="str">
        <f>IF(AND('Mapa final'!$AB$56="Baja",'Mapa final'!$AD$56="Menor"),CONCATENATE("R8C",'Mapa final'!$R$56),"")</f>
        <v/>
      </c>
      <c r="V43" s="51" t="str">
        <f>IF(AND('Mapa final'!$AB$51="Baja",'Mapa final'!$AD$51="Moderado"),CONCATENATE("R8C",'Mapa final'!$R$51),"")</f>
        <v/>
      </c>
      <c r="W43" s="52" t="str">
        <f>IF(AND('Mapa final'!$AB$52="Baja",'Mapa final'!$AD$52="Moderado"),CONCATENATE("R8C",'Mapa final'!$R$52),"")</f>
        <v/>
      </c>
      <c r="X43" s="52" t="str">
        <f>IF(AND('Mapa final'!$AB$53="Baja",'Mapa final'!$AD$53="Moderado"),CONCATENATE("R8C",'Mapa final'!$R$53),"")</f>
        <v/>
      </c>
      <c r="Y43" s="52" t="str">
        <f>IF(AND('Mapa final'!$AB$54="Baja",'Mapa final'!$AD$54="Moderado"),CONCATENATE("R8C",'Mapa final'!$R$54),"")</f>
        <v/>
      </c>
      <c r="Z43" s="52" t="str">
        <f>IF(AND('Mapa final'!$AB$55="Baja",'Mapa final'!$AD$55="Moderado"),CONCATENATE("R8C",'Mapa final'!$R$55),"")</f>
        <v/>
      </c>
      <c r="AA43" s="53" t="str">
        <f>IF(AND('Mapa final'!$AB$56="Baja",'Mapa final'!$AD$56="Moderado"),CONCATENATE("R8C",'Mapa final'!$R$56),"")</f>
        <v/>
      </c>
      <c r="AB43" s="36" t="str">
        <f>IF(AND('Mapa final'!$AB$51="Baja",'Mapa final'!$AD$51="Mayor"),CONCATENATE("R8C",'Mapa final'!$R$51),"")</f>
        <v/>
      </c>
      <c r="AC43" s="37" t="str">
        <f>IF(AND('Mapa final'!$AB$52="Baja",'Mapa final'!$AD$52="Mayor"),CONCATENATE("R8C",'Mapa final'!$R$52),"")</f>
        <v/>
      </c>
      <c r="AD43" s="37" t="str">
        <f>IF(AND('Mapa final'!$AB$53="Baja",'Mapa final'!$AD$53="Mayor"),CONCATENATE("R8C",'Mapa final'!$R$53),"")</f>
        <v/>
      </c>
      <c r="AE43" s="37" t="str">
        <f>IF(AND('Mapa final'!$AB$54="Baja",'Mapa final'!$AD$54="Mayor"),CONCATENATE("R8C",'Mapa final'!$R$54),"")</f>
        <v/>
      </c>
      <c r="AF43" s="37" t="str">
        <f>IF(AND('Mapa final'!$AB$55="Baja",'Mapa final'!$AD$55="Mayor"),CONCATENATE("R8C",'Mapa final'!$R$55),"")</f>
        <v/>
      </c>
      <c r="AG43" s="38" t="str">
        <f>IF(AND('Mapa final'!$AB$56="Baja",'Mapa final'!$AD$56="Mayor"),CONCATENATE("R8C",'Mapa final'!$R$56),"")</f>
        <v/>
      </c>
      <c r="AH43" s="39" t="str">
        <f>IF(AND('Mapa final'!$AB$51="Baja",'Mapa final'!$AD$51="Catastrófico"),CONCATENATE("R8C",'Mapa final'!$R$51),"")</f>
        <v/>
      </c>
      <c r="AI43" s="40" t="str">
        <f>IF(AND('Mapa final'!$AB$52="Baja",'Mapa final'!$AD$52="Catastrófico"),CONCATENATE("R8C",'Mapa final'!$R$52),"")</f>
        <v/>
      </c>
      <c r="AJ43" s="40" t="str">
        <f>IF(AND('Mapa final'!$AB$53="Baja",'Mapa final'!$AD$53="Catastrófico"),CONCATENATE("R8C",'Mapa final'!$R$53),"")</f>
        <v/>
      </c>
      <c r="AK43" s="40" t="str">
        <f>IF(AND('Mapa final'!$AB$54="Baja",'Mapa final'!$AD$54="Catastrófico"),CONCATENATE("R8C",'Mapa final'!$R$54),"")</f>
        <v/>
      </c>
      <c r="AL43" s="40" t="str">
        <f>IF(AND('Mapa final'!$AB$55="Baja",'Mapa final'!$AD$55="Catastrófico"),CONCATENATE("R8C",'Mapa final'!$R$55),"")</f>
        <v/>
      </c>
      <c r="AM43" s="41" t="str">
        <f>IF(AND('Mapa final'!$AB$56="Baja",'Mapa final'!$AD$56="Catastrófico"),CONCATENATE("R8C",'Mapa final'!$R$56),"")</f>
        <v/>
      </c>
      <c r="AN43" s="67"/>
      <c r="AO43" s="617"/>
      <c r="AP43" s="618"/>
      <c r="AQ43" s="618"/>
      <c r="AR43" s="618"/>
      <c r="AS43" s="618"/>
      <c r="AT43" s="619"/>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545"/>
      <c r="C44" s="545"/>
      <c r="D44" s="546"/>
      <c r="E44" s="586"/>
      <c r="F44" s="587"/>
      <c r="G44" s="587"/>
      <c r="H44" s="587"/>
      <c r="I44" s="587"/>
      <c r="J44" s="60" t="str">
        <f>IF(AND('Mapa final'!$AB$57="Baja",'Mapa final'!$AD$57="Leve"),CONCATENATE("R9C",'Mapa final'!$R$57),"")</f>
        <v/>
      </c>
      <c r="K44" s="61" t="str">
        <f>IF(AND('Mapa final'!$AB$58="Baja",'Mapa final'!$AD$58="Leve"),CONCATENATE("R9C",'Mapa final'!$R$58),"")</f>
        <v/>
      </c>
      <c r="L44" s="61" t="str">
        <f>IF(AND('Mapa final'!$AB$59="Baja",'Mapa final'!$AD$59="Leve"),CONCATENATE("R9C",'Mapa final'!$R$59),"")</f>
        <v/>
      </c>
      <c r="M44" s="61" t="str">
        <f>IF(AND('Mapa final'!$AB$60="Baja",'Mapa final'!$AD$60="Leve"),CONCATENATE("R9C",'Mapa final'!$R$60),"")</f>
        <v/>
      </c>
      <c r="N44" s="61" t="str">
        <f>IF(AND('Mapa final'!$AB$61="Baja",'Mapa final'!$AD$61="Leve"),CONCATENATE("R9C",'Mapa final'!$R$61),"")</f>
        <v/>
      </c>
      <c r="O44" s="62" t="str">
        <f>IF(AND('Mapa final'!$AB$62="Baja",'Mapa final'!$AD$62="Leve"),CONCATENATE("R9C",'Mapa final'!$R$62),"")</f>
        <v/>
      </c>
      <c r="P44" s="51" t="str">
        <f>IF(AND('Mapa final'!$AB$57="Baja",'Mapa final'!$AD$57="Menor"),CONCATENATE("R9C",'Mapa final'!$R$57),"")</f>
        <v/>
      </c>
      <c r="Q44" s="52" t="str">
        <f>IF(AND('Mapa final'!$AB$58="Baja",'Mapa final'!$AD$58="Menor"),CONCATENATE("R9C",'Mapa final'!$R$58),"")</f>
        <v/>
      </c>
      <c r="R44" s="52" t="str">
        <f>IF(AND('Mapa final'!$AB$59="Baja",'Mapa final'!$AD$59="Menor"),CONCATENATE("R9C",'Mapa final'!$R$59),"")</f>
        <v/>
      </c>
      <c r="S44" s="52" t="str">
        <f>IF(AND('Mapa final'!$AB$60="Baja",'Mapa final'!$AD$60="Menor"),CONCATENATE("R9C",'Mapa final'!$R$60),"")</f>
        <v/>
      </c>
      <c r="T44" s="52" t="str">
        <f>IF(AND('Mapa final'!$AB$61="Baja",'Mapa final'!$AD$61="Menor"),CONCATENATE("R9C",'Mapa final'!$R$61),"")</f>
        <v/>
      </c>
      <c r="U44" s="53" t="str">
        <f>IF(AND('Mapa final'!$AB$62="Baja",'Mapa final'!$AD$62="Menor"),CONCATENATE("R9C",'Mapa final'!$R$62),"")</f>
        <v/>
      </c>
      <c r="V44" s="51" t="str">
        <f>IF(AND('Mapa final'!$AB$57="Baja",'Mapa final'!$AD$57="Moderado"),CONCATENATE("R9C",'Mapa final'!$R$57),"")</f>
        <v/>
      </c>
      <c r="W44" s="52" t="str">
        <f>IF(AND('Mapa final'!$AB$58="Baja",'Mapa final'!$AD$58="Moderado"),CONCATENATE("R9C",'Mapa final'!$R$58),"")</f>
        <v/>
      </c>
      <c r="X44" s="52" t="str">
        <f>IF(AND('Mapa final'!$AB$59="Baja",'Mapa final'!$AD$59="Moderado"),CONCATENATE("R9C",'Mapa final'!$R$59),"")</f>
        <v/>
      </c>
      <c r="Y44" s="52" t="str">
        <f>IF(AND('Mapa final'!$AB$60="Baja",'Mapa final'!$AD$60="Moderado"),CONCATENATE("R9C",'Mapa final'!$R$60),"")</f>
        <v/>
      </c>
      <c r="Z44" s="52" t="str">
        <f>IF(AND('Mapa final'!$AB$61="Baja",'Mapa final'!$AD$61="Moderado"),CONCATENATE("R9C",'Mapa final'!$R$61),"")</f>
        <v/>
      </c>
      <c r="AA44" s="53" t="str">
        <f>IF(AND('Mapa final'!$AB$62="Baja",'Mapa final'!$AD$62="Moderado"),CONCATENATE("R9C",'Mapa final'!$R$62),"")</f>
        <v/>
      </c>
      <c r="AB44" s="36" t="str">
        <f>IF(AND('Mapa final'!$AB$57="Baja",'Mapa final'!$AD$57="Mayor"),CONCATENATE("R9C",'Mapa final'!$R$57),"")</f>
        <v/>
      </c>
      <c r="AC44" s="37" t="str">
        <f>IF(AND('Mapa final'!$AB$58="Baja",'Mapa final'!$AD$58="Mayor"),CONCATENATE("R9C",'Mapa final'!$R$58),"")</f>
        <v/>
      </c>
      <c r="AD44" s="37" t="str">
        <f>IF(AND('Mapa final'!$AB$59="Baja",'Mapa final'!$AD$59="Mayor"),CONCATENATE("R9C",'Mapa final'!$R$59),"")</f>
        <v/>
      </c>
      <c r="AE44" s="37" t="str">
        <f>IF(AND('Mapa final'!$AB$60="Baja",'Mapa final'!$AD$60="Mayor"),CONCATENATE("R9C",'Mapa final'!$R$60),"")</f>
        <v/>
      </c>
      <c r="AF44" s="37" t="str">
        <f>IF(AND('Mapa final'!$AB$61="Baja",'Mapa final'!$AD$61="Mayor"),CONCATENATE("R9C",'Mapa final'!$R$61),"")</f>
        <v/>
      </c>
      <c r="AG44" s="38" t="str">
        <f>IF(AND('Mapa final'!$AB$62="Baja",'Mapa final'!$AD$62="Mayor"),CONCATENATE("R9C",'Mapa final'!$R$62),"")</f>
        <v/>
      </c>
      <c r="AH44" s="39" t="str">
        <f>IF(AND('Mapa final'!$AB$57="Baja",'Mapa final'!$AD$57="Catastrófico"),CONCATENATE("R9C",'Mapa final'!$R$57),"")</f>
        <v/>
      </c>
      <c r="AI44" s="40" t="str">
        <f>IF(AND('Mapa final'!$AB$58="Baja",'Mapa final'!$AD$58="Catastrófico"),CONCATENATE("R9C",'Mapa final'!$R$58),"")</f>
        <v/>
      </c>
      <c r="AJ44" s="40" t="str">
        <f>IF(AND('Mapa final'!$AB$59="Baja",'Mapa final'!$AD$59="Catastrófico"),CONCATENATE("R9C",'Mapa final'!$R$59),"")</f>
        <v/>
      </c>
      <c r="AK44" s="40" t="str">
        <f>IF(AND('Mapa final'!$AB$60="Baja",'Mapa final'!$AD$60="Catastrófico"),CONCATENATE("R9C",'Mapa final'!$R$60),"")</f>
        <v/>
      </c>
      <c r="AL44" s="40" t="str">
        <f>IF(AND('Mapa final'!$AB$61="Baja",'Mapa final'!$AD$61="Catastrófico"),CONCATENATE("R9C",'Mapa final'!$R$61),"")</f>
        <v/>
      </c>
      <c r="AM44" s="41" t="str">
        <f>IF(AND('Mapa final'!$AB$62="Baja",'Mapa final'!$AD$62="Catastrófico"),CONCATENATE("R9C",'Mapa final'!$R$62),"")</f>
        <v/>
      </c>
      <c r="AN44" s="67"/>
      <c r="AO44" s="617"/>
      <c r="AP44" s="618"/>
      <c r="AQ44" s="618"/>
      <c r="AR44" s="618"/>
      <c r="AS44" s="618"/>
      <c r="AT44" s="619"/>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545"/>
      <c r="C45" s="545"/>
      <c r="D45" s="546"/>
      <c r="E45" s="589"/>
      <c r="F45" s="590"/>
      <c r="G45" s="590"/>
      <c r="H45" s="590"/>
      <c r="I45" s="590"/>
      <c r="J45" s="63" t="str">
        <f>IF(AND('Mapa final'!$AB$63="Baja",'Mapa final'!$AD$63="Leve"),CONCATENATE("R10C",'Mapa final'!$R$63),"")</f>
        <v/>
      </c>
      <c r="K45" s="64" t="str">
        <f>IF(AND('Mapa final'!$AB$64="Baja",'Mapa final'!$AD$64="Leve"),CONCATENATE("R10C",'Mapa final'!$R$64),"")</f>
        <v/>
      </c>
      <c r="L45" s="64" t="str">
        <f>IF(AND('Mapa final'!$AB$65="Baja",'Mapa final'!$AD$65="Leve"),CONCATENATE("R10C",'Mapa final'!$R$65),"")</f>
        <v/>
      </c>
      <c r="M45" s="64" t="str">
        <f>IF(AND('Mapa final'!$AB$66="Baja",'Mapa final'!$AD$66="Leve"),CONCATENATE("R10C",'Mapa final'!$R$66),"")</f>
        <v/>
      </c>
      <c r="N45" s="64" t="str">
        <f>IF(AND('Mapa final'!$AB$67="Baja",'Mapa final'!$AD$67="Leve"),CONCATENATE("R10C",'Mapa final'!$R$67),"")</f>
        <v/>
      </c>
      <c r="O45" s="65" t="str">
        <f>IF(AND('Mapa final'!$AB$68="Baja",'Mapa final'!$AD$68="Leve"),CONCATENATE("R10C",'Mapa final'!$R$68),"")</f>
        <v/>
      </c>
      <c r="P45" s="51" t="str">
        <f>IF(AND('Mapa final'!$AB$63="Baja",'Mapa final'!$AD$63="Menor"),CONCATENATE("R10C",'Mapa final'!$R$63),"")</f>
        <v/>
      </c>
      <c r="Q45" s="52" t="str">
        <f>IF(AND('Mapa final'!$AB$64="Baja",'Mapa final'!$AD$64="Menor"),CONCATENATE("R10C",'Mapa final'!$R$64),"")</f>
        <v/>
      </c>
      <c r="R45" s="52" t="str">
        <f>IF(AND('Mapa final'!$AB$65="Baja",'Mapa final'!$AD$65="Menor"),CONCATENATE("R10C",'Mapa final'!$R$65),"")</f>
        <v/>
      </c>
      <c r="S45" s="52" t="str">
        <f>IF(AND('Mapa final'!$AB$66="Baja",'Mapa final'!$AD$66="Menor"),CONCATENATE("R10C",'Mapa final'!$R$66),"")</f>
        <v/>
      </c>
      <c r="T45" s="52" t="str">
        <f>IF(AND('Mapa final'!$AB$67="Baja",'Mapa final'!$AD$67="Menor"),CONCATENATE("R10C",'Mapa final'!$R$67),"")</f>
        <v/>
      </c>
      <c r="U45" s="53" t="str">
        <f>IF(AND('Mapa final'!$AB$68="Baja",'Mapa final'!$AD$68="Menor"),CONCATENATE("R10C",'Mapa final'!$R$68),"")</f>
        <v/>
      </c>
      <c r="V45" s="54" t="str">
        <f>IF(AND('Mapa final'!$AB$63="Baja",'Mapa final'!$AD$63="Moderado"),CONCATENATE("R10C",'Mapa final'!$R$63),"")</f>
        <v/>
      </c>
      <c r="W45" s="55" t="str">
        <f>IF(AND('Mapa final'!$AB$64="Baja",'Mapa final'!$AD$64="Moderado"),CONCATENATE("R10C",'Mapa final'!$R$64),"")</f>
        <v/>
      </c>
      <c r="X45" s="55" t="str">
        <f>IF(AND('Mapa final'!$AB$65="Baja",'Mapa final'!$AD$65="Moderado"),CONCATENATE("R10C",'Mapa final'!$R$65),"")</f>
        <v/>
      </c>
      <c r="Y45" s="55" t="str">
        <f>IF(AND('Mapa final'!$AB$66="Baja",'Mapa final'!$AD$66="Moderado"),CONCATENATE("R10C",'Mapa final'!$R$66),"")</f>
        <v/>
      </c>
      <c r="Z45" s="55" t="str">
        <f>IF(AND('Mapa final'!$AB$67="Baja",'Mapa final'!$AD$67="Moderado"),CONCATENATE("R10C",'Mapa final'!$R$67),"")</f>
        <v/>
      </c>
      <c r="AA45" s="56" t="str">
        <f>IF(AND('Mapa final'!$AB$68="Baja",'Mapa final'!$AD$68="Moderado"),CONCATENATE("R10C",'Mapa final'!$R$68),"")</f>
        <v/>
      </c>
      <c r="AB45" s="42" t="str">
        <f>IF(AND('Mapa final'!$AB$63="Baja",'Mapa final'!$AD$63="Mayor"),CONCATENATE("R10C",'Mapa final'!$R$63),"")</f>
        <v/>
      </c>
      <c r="AC45" s="43" t="str">
        <f>IF(AND('Mapa final'!$AB$64="Baja",'Mapa final'!$AD$64="Mayor"),CONCATENATE("R10C",'Mapa final'!$R$64),"")</f>
        <v/>
      </c>
      <c r="AD45" s="43" t="str">
        <f>IF(AND('Mapa final'!$AB$65="Baja",'Mapa final'!$AD$65="Mayor"),CONCATENATE("R10C",'Mapa final'!$R$65),"")</f>
        <v/>
      </c>
      <c r="AE45" s="43" t="str">
        <f>IF(AND('Mapa final'!$AB$66="Baja",'Mapa final'!$AD$66="Mayor"),CONCATENATE("R10C",'Mapa final'!$R$66),"")</f>
        <v/>
      </c>
      <c r="AF45" s="43" t="str">
        <f>IF(AND('Mapa final'!$AB$67="Baja",'Mapa final'!$AD$67="Mayor"),CONCATENATE("R10C",'Mapa final'!$R$67),"")</f>
        <v/>
      </c>
      <c r="AG45" s="44" t="str">
        <f>IF(AND('Mapa final'!$AB$68="Baja",'Mapa final'!$AD$68="Mayor"),CONCATENATE("R10C",'Mapa final'!$R$68),"")</f>
        <v/>
      </c>
      <c r="AH45" s="45" t="str">
        <f>IF(AND('Mapa final'!$AB$63="Baja",'Mapa final'!$AD$63="Catastrófico"),CONCATENATE("R10C",'Mapa final'!$R$63),"")</f>
        <v/>
      </c>
      <c r="AI45" s="46" t="str">
        <f>IF(AND('Mapa final'!$AB$64="Baja",'Mapa final'!$AD$64="Catastrófico"),CONCATENATE("R10C",'Mapa final'!$R$64),"")</f>
        <v/>
      </c>
      <c r="AJ45" s="46" t="str">
        <f>IF(AND('Mapa final'!$AB$65="Baja",'Mapa final'!$AD$65="Catastrófico"),CONCATENATE("R10C",'Mapa final'!$R$65),"")</f>
        <v/>
      </c>
      <c r="AK45" s="46" t="str">
        <f>IF(AND('Mapa final'!$AB$66="Baja",'Mapa final'!$AD$66="Catastrófico"),CONCATENATE("R10C",'Mapa final'!$R$66),"")</f>
        <v/>
      </c>
      <c r="AL45" s="46" t="str">
        <f>IF(AND('Mapa final'!$AB$67="Baja",'Mapa final'!$AD$67="Catastrófico"),CONCATENATE("R10C",'Mapa final'!$R$67),"")</f>
        <v/>
      </c>
      <c r="AM45" s="47" t="str">
        <f>IF(AND('Mapa final'!$AB$68="Baja",'Mapa final'!$AD$68="Catastrófico"),CONCATENATE("R10C",'Mapa final'!$R$68),"")</f>
        <v/>
      </c>
      <c r="AN45" s="67"/>
      <c r="AO45" s="620"/>
      <c r="AP45" s="621"/>
      <c r="AQ45" s="621"/>
      <c r="AR45" s="621"/>
      <c r="AS45" s="621"/>
      <c r="AT45" s="622"/>
    </row>
    <row r="46" spans="1:80" ht="46.5" customHeight="1" x14ac:dyDescent="0.45">
      <c r="A46" s="67"/>
      <c r="B46" s="545"/>
      <c r="C46" s="545"/>
      <c r="D46" s="546"/>
      <c r="E46" s="583" t="s">
        <v>107</v>
      </c>
      <c r="F46" s="584"/>
      <c r="G46" s="584"/>
      <c r="H46" s="584"/>
      <c r="I46" s="585"/>
      <c r="J46" s="57" t="str">
        <f>IF(AND('Mapa final'!$AB$10="Muy Baja",'Mapa final'!$AD$10="Leve"),CONCATENATE("R1C",'Mapa final'!$R$10),"")</f>
        <v/>
      </c>
      <c r="K46" s="58" t="str">
        <f>IF(AND('Mapa final'!$AB$11="Muy Baja",'Mapa final'!$AD$11="Leve"),CONCATENATE("R1C",'Mapa final'!$R$11),"")</f>
        <v/>
      </c>
      <c r="L46" s="58" t="str">
        <f>IF(AND('Mapa final'!$AB$13="Muy Baja",'Mapa final'!$AD$13="Leve"),CONCATENATE("R1C",'Mapa final'!$R$13),"")</f>
        <v/>
      </c>
      <c r="M46" s="58" t="str">
        <f>IF(AND('Mapa final'!$AB$14="Muy Baja",'Mapa final'!$AD$14="Leve"),CONCATENATE("R1C",'Mapa final'!$R$14),"")</f>
        <v/>
      </c>
      <c r="N46" s="58" t="e">
        <f>IF(AND('Mapa final'!#REF!="Muy Baja",'Mapa final'!#REF!="Leve"),CONCATENATE("R1C",'Mapa final'!#REF!),"")</f>
        <v>#REF!</v>
      </c>
      <c r="O46" s="59" t="e">
        <f>IF(AND('Mapa final'!#REF!="Muy Baja",'Mapa final'!#REF!="Leve"),CONCATENATE("R1C",'Mapa final'!#REF!),"")</f>
        <v>#REF!</v>
      </c>
      <c r="P46" s="57" t="str">
        <f>IF(AND('Mapa final'!$AB$10="Muy Baja",'Mapa final'!$AD$10="Menor"),CONCATENATE("R1C",'Mapa final'!$R$10),"")</f>
        <v/>
      </c>
      <c r="Q46" s="58" t="str">
        <f>IF(AND('Mapa final'!$AB$11="Muy Baja",'Mapa final'!$AD$11="Menor"),CONCATENATE("R1C",'Mapa final'!$R$11),"")</f>
        <v/>
      </c>
      <c r="R46" s="58" t="str">
        <f>IF(AND('Mapa final'!$AB$13="Muy Baja",'Mapa final'!$AD$13="Menor"),CONCATENATE("R1C",'Mapa final'!$R$13),"")</f>
        <v/>
      </c>
      <c r="S46" s="58" t="str">
        <f>IF(AND('Mapa final'!$AB$14="Muy Baja",'Mapa final'!$AD$14="Menor"),CONCATENATE("R1C",'Mapa final'!$R$14),"")</f>
        <v/>
      </c>
      <c r="T46" s="58" t="e">
        <f>IF(AND('Mapa final'!#REF!="Muy Baja",'Mapa final'!#REF!="Menor"),CONCATENATE("R1C",'Mapa final'!#REF!),"")</f>
        <v>#REF!</v>
      </c>
      <c r="U46" s="59" t="e">
        <f>IF(AND('Mapa final'!#REF!="Muy Baja",'Mapa final'!#REF!="Menor"),CONCATENATE("R1C",'Mapa final'!#REF!),"")</f>
        <v>#REF!</v>
      </c>
      <c r="V46" s="48" t="str">
        <f>IF(AND('Mapa final'!$AB$10="Muy Baja",'Mapa final'!$AD$10="Moderado"),CONCATENATE("R1C",'Mapa final'!$R$10),"")</f>
        <v/>
      </c>
      <c r="W46" s="66" t="str">
        <f>IF(AND('Mapa final'!$AB$11="Muy Baja",'Mapa final'!$AD$11="Moderado"),CONCATENATE("R1C",'Mapa final'!$R$11),"")</f>
        <v/>
      </c>
      <c r="X46" s="49" t="str">
        <f>IF(AND('Mapa final'!$AB$13="Muy Baja",'Mapa final'!$AD$13="Moderado"),CONCATENATE("R1C",'Mapa final'!$R$13),"")</f>
        <v/>
      </c>
      <c r="Y46" s="49" t="str">
        <f>IF(AND('Mapa final'!$AB$14="Muy Baja",'Mapa final'!$AD$14="Moderado"),CONCATENATE("R1C",'Mapa final'!$R$14),"")</f>
        <v/>
      </c>
      <c r="Z46" s="49" t="e">
        <f>IF(AND('Mapa final'!#REF!="Muy Baja",'Mapa final'!#REF!="Moderado"),CONCATENATE("R1C",'Mapa final'!#REF!),"")</f>
        <v>#REF!</v>
      </c>
      <c r="AA46" s="50" t="e">
        <f>IF(AND('Mapa final'!#REF!="Muy Baja",'Mapa final'!#REF!="Moderado"),CONCATENATE("R1C",'Mapa final'!#REF!),"")</f>
        <v>#REF!</v>
      </c>
      <c r="AB46" s="30" t="str">
        <f>IF(AND('Mapa final'!$AB$10="Muy Baja",'Mapa final'!$AD$10="Mayor"),CONCATENATE("R1C",'Mapa final'!$R$10),"")</f>
        <v/>
      </c>
      <c r="AC46" s="31" t="str">
        <f>IF(AND('Mapa final'!$AB$11="Muy Baja",'Mapa final'!$AD$11="Mayor"),CONCATENATE("R1C",'Mapa final'!$R$11),"")</f>
        <v/>
      </c>
      <c r="AD46" s="31" t="str">
        <f>IF(AND('Mapa final'!$AB$13="Muy Baja",'Mapa final'!$AD$13="Mayor"),CONCATENATE("R1C",'Mapa final'!$R$13),"")</f>
        <v/>
      </c>
      <c r="AE46" s="31" t="str">
        <f>IF(AND('Mapa final'!$AB$14="Muy Baja",'Mapa final'!$AD$14="Mayor"),CONCATENATE("R1C",'Mapa final'!$R$14),"")</f>
        <v/>
      </c>
      <c r="AF46" s="31" t="e">
        <f>IF(AND('Mapa final'!#REF!="Muy Baja",'Mapa final'!#REF!="Mayor"),CONCATENATE("R1C",'Mapa final'!#REF!),"")</f>
        <v>#REF!</v>
      </c>
      <c r="AG46" s="32" t="e">
        <f>IF(AND('Mapa final'!#REF!="Muy Baja",'Mapa final'!#REF!="Mayor"),CONCATENATE("R1C",'Mapa final'!#REF!),"")</f>
        <v>#REF!</v>
      </c>
      <c r="AH46" s="33" t="str">
        <f>IF(AND('Mapa final'!$AB$10="Muy Baja",'Mapa final'!$AD$10="Catastrófico"),CONCATENATE("R1C",'Mapa final'!$R$10),"")</f>
        <v/>
      </c>
      <c r="AI46" s="34" t="str">
        <f>IF(AND('Mapa final'!$AB$11="Muy Baja",'Mapa final'!$AD$11="Catastrófico"),CONCATENATE("R1C",'Mapa final'!$R$11),"")</f>
        <v/>
      </c>
      <c r="AJ46" s="34" t="str">
        <f>IF(AND('Mapa final'!$AB$13="Muy Baja",'Mapa final'!$AD$13="Catastrófico"),CONCATENATE("R1C",'Mapa final'!$R$13),"")</f>
        <v/>
      </c>
      <c r="AK46" s="34" t="str">
        <f>IF(AND('Mapa final'!$AB$14="Muy Baja",'Mapa final'!$AD$14="Catastrófico"),CONCATENATE("R1C",'Mapa final'!$R$14),"")</f>
        <v/>
      </c>
      <c r="AL46" s="34" t="e">
        <f>IF(AND('Mapa final'!#REF!="Muy Baja",'Mapa final'!#REF!="Catastrófico"),CONCATENATE("R1C",'Mapa final'!#REF!),"")</f>
        <v>#REF!</v>
      </c>
      <c r="AM46" s="35" t="e">
        <f>IF(AND('Mapa final'!#REF!="Muy Baja",'Mapa final'!#REF!="Catastrófico"),CONCATENATE("R1C",'Mapa final'!#REF!),"")</f>
        <v>#REF!</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545"/>
      <c r="C47" s="545"/>
      <c r="D47" s="546"/>
      <c r="E47" s="602"/>
      <c r="F47" s="587"/>
      <c r="G47" s="587"/>
      <c r="H47" s="587"/>
      <c r="I47" s="588"/>
      <c r="J47" s="60" t="str">
        <f>IF(AND('Mapa final'!$AB$15="Muy Baja",'Mapa final'!$AD$15="Leve"),CONCATENATE("R2C",'Mapa final'!$R$15),"")</f>
        <v/>
      </c>
      <c r="K47" s="61" t="str">
        <f>IF(AND('Mapa final'!$AB$16="Muy Baja",'Mapa final'!$AD$16="Leve"),CONCATENATE("R2C",'Mapa final'!$R$16),"")</f>
        <v/>
      </c>
      <c r="L47" s="61" t="str">
        <f>IF(AND('Mapa final'!$AB$17="Muy Baja",'Mapa final'!$AD$17="Leve"),CONCATENATE("R2C",'Mapa final'!$R$17),"")</f>
        <v/>
      </c>
      <c r="M47" s="61" t="str">
        <f>IF(AND('Mapa final'!$AB$18="Muy Baja",'Mapa final'!$AD$18="Leve"),CONCATENATE("R2C",'Mapa final'!$R$18),"")</f>
        <v/>
      </c>
      <c r="N47" s="61" t="str">
        <f>IF(AND('Mapa final'!$AB$19="Muy Baja",'Mapa final'!$AD$19="Leve"),CONCATENATE("R2C",'Mapa final'!$R$19),"")</f>
        <v/>
      </c>
      <c r="O47" s="62" t="str">
        <f>IF(AND('Mapa final'!$AB$20="Muy Baja",'Mapa final'!$AD$20="Leve"),CONCATENATE("R2C",'Mapa final'!$R$20),"")</f>
        <v/>
      </c>
      <c r="P47" s="60" t="str">
        <f>IF(AND('Mapa final'!$AB$15="Muy Baja",'Mapa final'!$AD$15="Menor"),CONCATENATE("R2C",'Mapa final'!$R$15),"")</f>
        <v/>
      </c>
      <c r="Q47" s="61" t="str">
        <f>IF(AND('Mapa final'!$AB$16="Muy Baja",'Mapa final'!$AD$16="Menor"),CONCATENATE("R2C",'Mapa final'!$R$16),"")</f>
        <v/>
      </c>
      <c r="R47" s="61" t="str">
        <f>IF(AND('Mapa final'!$AB$17="Muy Baja",'Mapa final'!$AD$17="Menor"),CONCATENATE("R2C",'Mapa final'!$R$17),"")</f>
        <v/>
      </c>
      <c r="S47" s="61" t="str">
        <f>IF(AND('Mapa final'!$AB$18="Muy Baja",'Mapa final'!$AD$18="Menor"),CONCATENATE("R2C",'Mapa final'!$R$18),"")</f>
        <v/>
      </c>
      <c r="T47" s="61" t="str">
        <f>IF(AND('Mapa final'!$AB$19="Muy Baja",'Mapa final'!$AD$19="Menor"),CONCATENATE("R2C",'Mapa final'!$R$19),"")</f>
        <v/>
      </c>
      <c r="U47" s="62" t="str">
        <f>IF(AND('Mapa final'!$AB$20="Muy Baja",'Mapa final'!$AD$20="Menor"),CONCATENATE("R2C",'Mapa final'!$R$20),"")</f>
        <v/>
      </c>
      <c r="V47" s="51" t="str">
        <f>IF(AND('Mapa final'!$AB$15="Muy Baja",'Mapa final'!$AD$15="Moderado"),CONCATENATE("R2C",'Mapa final'!$R$15),"")</f>
        <v/>
      </c>
      <c r="W47" s="52" t="str">
        <f>IF(AND('Mapa final'!$AB$16="Muy Baja",'Mapa final'!$AD$16="Moderado"),CONCATENATE("R2C",'Mapa final'!$R$16),"")</f>
        <v/>
      </c>
      <c r="X47" s="52" t="str">
        <f>IF(AND('Mapa final'!$AB$17="Muy Baja",'Mapa final'!$AD$17="Moderado"),CONCATENATE("R2C",'Mapa final'!$R$17),"")</f>
        <v/>
      </c>
      <c r="Y47" s="52" t="str">
        <f>IF(AND('Mapa final'!$AB$18="Muy Baja",'Mapa final'!$AD$18="Moderado"),CONCATENATE("R2C",'Mapa final'!$R$18),"")</f>
        <v/>
      </c>
      <c r="Z47" s="52" t="str">
        <f>IF(AND('Mapa final'!$AB$19="Muy Baja",'Mapa final'!$AD$19="Moderado"),CONCATENATE("R2C",'Mapa final'!$R$19),"")</f>
        <v/>
      </c>
      <c r="AA47" s="53" t="str">
        <f>IF(AND('Mapa final'!$AB$20="Muy Baja",'Mapa final'!$AD$20="Moderado"),CONCATENATE("R2C",'Mapa final'!$R$20),"")</f>
        <v/>
      </c>
      <c r="AB47" s="36" t="str">
        <f>IF(AND('Mapa final'!$AB$15="Muy Baja",'Mapa final'!$AD$15="Mayor"),CONCATENATE("R2C",'Mapa final'!$R$15),"")</f>
        <v/>
      </c>
      <c r="AC47" s="37" t="str">
        <f>IF(AND('Mapa final'!$AB$16="Muy Baja",'Mapa final'!$AD$16="Mayor"),CONCATENATE("R2C",'Mapa final'!$R$16),"")</f>
        <v/>
      </c>
      <c r="AD47" s="37" t="str">
        <f>IF(AND('Mapa final'!$AB$17="Muy Baja",'Mapa final'!$AD$17="Mayor"),CONCATENATE("R2C",'Mapa final'!$R$17),"")</f>
        <v/>
      </c>
      <c r="AE47" s="37" t="str">
        <f>IF(AND('Mapa final'!$AB$18="Muy Baja",'Mapa final'!$AD$18="Mayor"),CONCATENATE("R2C",'Mapa final'!$R$18),"")</f>
        <v/>
      </c>
      <c r="AF47" s="37" t="str">
        <f>IF(AND('Mapa final'!$AB$19="Muy Baja",'Mapa final'!$AD$19="Mayor"),CONCATENATE("R2C",'Mapa final'!$R$19),"")</f>
        <v/>
      </c>
      <c r="AG47" s="38" t="str">
        <f>IF(AND('Mapa final'!$AB$20="Muy Baja",'Mapa final'!$AD$20="Mayor"),CONCATENATE("R2C",'Mapa final'!$R$20),"")</f>
        <v/>
      </c>
      <c r="AH47" s="39" t="str">
        <f>IF(AND('Mapa final'!$AB$15="Muy Baja",'Mapa final'!$AD$15="Catastrófico"),CONCATENATE("R2C",'Mapa final'!$R$15),"")</f>
        <v/>
      </c>
      <c r="AI47" s="40" t="str">
        <f>IF(AND('Mapa final'!$AB$16="Muy Baja",'Mapa final'!$AD$16="Catastrófico"),CONCATENATE("R2C",'Mapa final'!$R$16),"")</f>
        <v/>
      </c>
      <c r="AJ47" s="40" t="str">
        <f>IF(AND('Mapa final'!$AB$17="Muy Baja",'Mapa final'!$AD$17="Catastrófico"),CONCATENATE("R2C",'Mapa final'!$R$17),"")</f>
        <v/>
      </c>
      <c r="AK47" s="40" t="str">
        <f>IF(AND('Mapa final'!$AB$18="Muy Baja",'Mapa final'!$AD$18="Catastrófico"),CONCATENATE("R2C",'Mapa final'!$R$18),"")</f>
        <v/>
      </c>
      <c r="AL47" s="40" t="str">
        <f>IF(AND('Mapa final'!$AB$19="Muy Baja",'Mapa final'!$AD$19="Catastrófico"),CONCATENATE("R2C",'Mapa final'!$R$19),"")</f>
        <v/>
      </c>
      <c r="AM47" s="41" t="str">
        <f>IF(AND('Mapa final'!$AB$20="Muy Baja",'Mapa final'!$AD$20="Catastrófico"),CONCATENATE("R2C",'Mapa final'!$R$20),"")</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545"/>
      <c r="C48" s="545"/>
      <c r="D48" s="546"/>
      <c r="E48" s="602"/>
      <c r="F48" s="587"/>
      <c r="G48" s="587"/>
      <c r="H48" s="587"/>
      <c r="I48" s="588"/>
      <c r="J48" s="60" t="str">
        <f>IF(AND('Mapa final'!$AB$21="Muy Baja",'Mapa final'!$AD$21="Leve"),CONCATENATE("R3C",'Mapa final'!$R$21),"")</f>
        <v/>
      </c>
      <c r="K48" s="61" t="str">
        <f>IF(AND('Mapa final'!$AB$22="Muy Baja",'Mapa final'!$AD$22="Leve"),CONCATENATE("R3C",'Mapa final'!$R$22),"")</f>
        <v/>
      </c>
      <c r="L48" s="61" t="str">
        <f>IF(AND('Mapa final'!$AB$23="Muy Baja",'Mapa final'!$AD$23="Leve"),CONCATENATE("R3C",'Mapa final'!$R$23),"")</f>
        <v/>
      </c>
      <c r="M48" s="61" t="str">
        <f>IF(AND('Mapa final'!$AB$24="Muy Baja",'Mapa final'!$AD$24="Leve"),CONCATENATE("R3C",'Mapa final'!$R$24),"")</f>
        <v/>
      </c>
      <c r="N48" s="61" t="str">
        <f>IF(AND('Mapa final'!$AB$25="Muy Baja",'Mapa final'!$AD$25="Leve"),CONCATENATE("R3C",'Mapa final'!$R$25),"")</f>
        <v/>
      </c>
      <c r="O48" s="62" t="str">
        <f>IF(AND('Mapa final'!$AB$26="Muy Baja",'Mapa final'!$AD$26="Leve"),CONCATENATE("R3C",'Mapa final'!$R$26),"")</f>
        <v/>
      </c>
      <c r="P48" s="60" t="str">
        <f>IF(AND('Mapa final'!$AB$21="Muy Baja",'Mapa final'!$AD$21="Menor"),CONCATENATE("R3C",'Mapa final'!$R$21),"")</f>
        <v/>
      </c>
      <c r="Q48" s="61" t="str">
        <f>IF(AND('Mapa final'!$AB$22="Muy Baja",'Mapa final'!$AD$22="Menor"),CONCATENATE("R3C",'Mapa final'!$R$22),"")</f>
        <v/>
      </c>
      <c r="R48" s="61" t="str">
        <f>IF(AND('Mapa final'!$AB$23="Muy Baja",'Mapa final'!$AD$23="Menor"),CONCATENATE("R3C",'Mapa final'!$R$23),"")</f>
        <v/>
      </c>
      <c r="S48" s="61" t="str">
        <f>IF(AND('Mapa final'!$AB$24="Muy Baja",'Mapa final'!$AD$24="Menor"),CONCATENATE("R3C",'Mapa final'!$R$24),"")</f>
        <v/>
      </c>
      <c r="T48" s="61" t="str">
        <f>IF(AND('Mapa final'!$AB$25="Muy Baja",'Mapa final'!$AD$25="Menor"),CONCATENATE("R3C",'Mapa final'!$R$25),"")</f>
        <v/>
      </c>
      <c r="U48" s="62" t="str">
        <f>IF(AND('Mapa final'!$AB$26="Muy Baja",'Mapa final'!$AD$26="Menor"),CONCATENATE("R3C",'Mapa final'!$R$26),"")</f>
        <v/>
      </c>
      <c r="V48" s="51" t="str">
        <f>IF(AND('Mapa final'!$AB$21="Muy Baja",'Mapa final'!$AD$21="Moderado"),CONCATENATE("R3C",'Mapa final'!$R$21),"")</f>
        <v/>
      </c>
      <c r="W48" s="52" t="str">
        <f>IF(AND('Mapa final'!$AB$22="Muy Baja",'Mapa final'!$AD$22="Moderado"),CONCATENATE("R3C",'Mapa final'!$R$22),"")</f>
        <v/>
      </c>
      <c r="X48" s="52" t="str">
        <f>IF(AND('Mapa final'!$AB$23="Muy Baja",'Mapa final'!$AD$23="Moderado"),CONCATENATE("R3C",'Mapa final'!$R$23),"")</f>
        <v/>
      </c>
      <c r="Y48" s="52" t="str">
        <f>IF(AND('Mapa final'!$AB$24="Muy Baja",'Mapa final'!$AD$24="Moderado"),CONCATENATE("R3C",'Mapa final'!$R$24),"")</f>
        <v/>
      </c>
      <c r="Z48" s="52" t="str">
        <f>IF(AND('Mapa final'!$AB$25="Muy Baja",'Mapa final'!$AD$25="Moderado"),CONCATENATE("R3C",'Mapa final'!$R$25),"")</f>
        <v/>
      </c>
      <c r="AA48" s="53" t="str">
        <f>IF(AND('Mapa final'!$AB$26="Muy Baja",'Mapa final'!$AD$26="Moderado"),CONCATENATE("R3C",'Mapa final'!$R$26),"")</f>
        <v/>
      </c>
      <c r="AB48" s="36" t="str">
        <f>IF(AND('Mapa final'!$AB$21="Muy Baja",'Mapa final'!$AD$21="Mayor"),CONCATENATE("R3C",'Mapa final'!$R$21),"")</f>
        <v/>
      </c>
      <c r="AC48" s="37" t="str">
        <f>IF(AND('Mapa final'!$AB$22="Muy Baja",'Mapa final'!$AD$22="Mayor"),CONCATENATE("R3C",'Mapa final'!$R$22),"")</f>
        <v/>
      </c>
      <c r="AD48" s="37" t="str">
        <f>IF(AND('Mapa final'!$AB$23="Muy Baja",'Mapa final'!$AD$23="Mayor"),CONCATENATE("R3C",'Mapa final'!$R$23),"")</f>
        <v/>
      </c>
      <c r="AE48" s="37" t="str">
        <f>IF(AND('Mapa final'!$AB$24="Muy Baja",'Mapa final'!$AD$24="Mayor"),CONCATENATE("R3C",'Mapa final'!$R$24),"")</f>
        <v/>
      </c>
      <c r="AF48" s="37" t="str">
        <f>IF(AND('Mapa final'!$AB$25="Muy Baja",'Mapa final'!$AD$25="Mayor"),CONCATENATE("R3C",'Mapa final'!$R$25),"")</f>
        <v/>
      </c>
      <c r="AG48" s="38" t="str">
        <f>IF(AND('Mapa final'!$AB$26="Muy Baja",'Mapa final'!$AD$26="Mayor"),CONCATENATE("R3C",'Mapa final'!$R$26),"")</f>
        <v/>
      </c>
      <c r="AH48" s="39" t="str">
        <f>IF(AND('Mapa final'!$AB$21="Muy Baja",'Mapa final'!$AD$21="Catastrófico"),CONCATENATE("R3C",'Mapa final'!$R$21),"")</f>
        <v/>
      </c>
      <c r="AI48" s="40" t="str">
        <f>IF(AND('Mapa final'!$AB$22="Muy Baja",'Mapa final'!$AD$22="Catastrófico"),CONCATENATE("R3C",'Mapa final'!$R$22),"")</f>
        <v/>
      </c>
      <c r="AJ48" s="40" t="str">
        <f>IF(AND('Mapa final'!$AB$23="Muy Baja",'Mapa final'!$AD$23="Catastrófico"),CONCATENATE("R3C",'Mapa final'!$R$23),"")</f>
        <v/>
      </c>
      <c r="AK48" s="40" t="str">
        <f>IF(AND('Mapa final'!$AB$24="Muy Baja",'Mapa final'!$AD$24="Catastrófico"),CONCATENATE("R3C",'Mapa final'!$R$24),"")</f>
        <v/>
      </c>
      <c r="AL48" s="40" t="str">
        <f>IF(AND('Mapa final'!$AB$25="Muy Baja",'Mapa final'!$AD$25="Catastrófico"),CONCATENATE("R3C",'Mapa final'!$R$25),"")</f>
        <v/>
      </c>
      <c r="AM48" s="41" t="str">
        <f>IF(AND('Mapa final'!$AB$26="Muy Baja",'Mapa final'!$AD$26="Catastrófico"),CONCATENATE("R3C",'Mapa final'!$R$26),"")</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545"/>
      <c r="C49" s="545"/>
      <c r="D49" s="546"/>
      <c r="E49" s="586"/>
      <c r="F49" s="587"/>
      <c r="G49" s="587"/>
      <c r="H49" s="587"/>
      <c r="I49" s="588"/>
      <c r="J49" s="60" t="str">
        <f>IF(AND('Mapa final'!$AB$27="Muy Baja",'Mapa final'!$AD$27="Leve"),CONCATENATE("R4C",'Mapa final'!$R$27),"")</f>
        <v/>
      </c>
      <c r="K49" s="61" t="str">
        <f>IF(AND('Mapa final'!$AB$28="Muy Baja",'Mapa final'!$AD$28="Leve"),CONCATENATE("R4C",'Mapa final'!$R$28),"")</f>
        <v/>
      </c>
      <c r="L49" s="61" t="str">
        <f>IF(AND('Mapa final'!$AB$29="Muy Baja",'Mapa final'!$AD$29="Leve"),CONCATENATE("R4C",'Mapa final'!$R$29),"")</f>
        <v/>
      </c>
      <c r="M49" s="61" t="str">
        <f>IF(AND('Mapa final'!$AB$30="Muy Baja",'Mapa final'!$AD$30="Leve"),CONCATENATE("R4C",'Mapa final'!$R$30),"")</f>
        <v/>
      </c>
      <c r="N49" s="61" t="str">
        <f>IF(AND('Mapa final'!$AB$31="Muy Baja",'Mapa final'!$AD$31="Leve"),CONCATENATE("R4C",'Mapa final'!$R$31),"")</f>
        <v/>
      </c>
      <c r="O49" s="62" t="str">
        <f>IF(AND('Mapa final'!$AB$32="Muy Baja",'Mapa final'!$AD$32="Leve"),CONCATENATE("R4C",'Mapa final'!$R$32),"")</f>
        <v/>
      </c>
      <c r="P49" s="60" t="str">
        <f>IF(AND('Mapa final'!$AB$27="Muy Baja",'Mapa final'!$AD$27="Menor"),CONCATENATE("R4C",'Mapa final'!$R$27),"")</f>
        <v/>
      </c>
      <c r="Q49" s="61" t="str">
        <f>IF(AND('Mapa final'!$AB$28="Muy Baja",'Mapa final'!$AD$28="Menor"),CONCATENATE("R4C",'Mapa final'!$R$28),"")</f>
        <v/>
      </c>
      <c r="R49" s="61" t="str">
        <f>IF(AND('Mapa final'!$AB$29="Muy Baja",'Mapa final'!$AD$29="Menor"),CONCATENATE("R4C",'Mapa final'!$R$29),"")</f>
        <v/>
      </c>
      <c r="S49" s="61" t="str">
        <f>IF(AND('Mapa final'!$AB$30="Muy Baja",'Mapa final'!$AD$30="Menor"),CONCATENATE("R4C",'Mapa final'!$R$30),"")</f>
        <v/>
      </c>
      <c r="T49" s="61" t="str">
        <f>IF(AND('Mapa final'!$AB$31="Muy Baja",'Mapa final'!$AD$31="Menor"),CONCATENATE("R4C",'Mapa final'!$R$31),"")</f>
        <v/>
      </c>
      <c r="U49" s="62" t="str">
        <f>IF(AND('Mapa final'!$AB$32="Muy Baja",'Mapa final'!$AD$32="Menor"),CONCATENATE("R4C",'Mapa final'!$R$32),"")</f>
        <v/>
      </c>
      <c r="V49" s="51" t="str">
        <f>IF(AND('Mapa final'!$AB$27="Muy Baja",'Mapa final'!$AD$27="Moderado"),CONCATENATE("R4C",'Mapa final'!$R$27),"")</f>
        <v/>
      </c>
      <c r="W49" s="52" t="str">
        <f>IF(AND('Mapa final'!$AB$28="Muy Baja",'Mapa final'!$AD$28="Moderado"),CONCATENATE("R4C",'Mapa final'!$R$28),"")</f>
        <v/>
      </c>
      <c r="X49" s="52" t="str">
        <f>IF(AND('Mapa final'!$AB$29="Muy Baja",'Mapa final'!$AD$29="Moderado"),CONCATENATE("R4C",'Mapa final'!$R$29),"")</f>
        <v/>
      </c>
      <c r="Y49" s="52" t="str">
        <f>IF(AND('Mapa final'!$AB$30="Muy Baja",'Mapa final'!$AD$30="Moderado"),CONCATENATE("R4C",'Mapa final'!$R$30),"")</f>
        <v/>
      </c>
      <c r="Z49" s="52" t="str">
        <f>IF(AND('Mapa final'!$AB$31="Muy Baja",'Mapa final'!$AD$31="Moderado"),CONCATENATE("R4C",'Mapa final'!$R$31),"")</f>
        <v/>
      </c>
      <c r="AA49" s="53" t="str">
        <f>IF(AND('Mapa final'!$AB$32="Muy Baja",'Mapa final'!$AD$32="Moderado"),CONCATENATE("R4C",'Mapa final'!$R$32),"")</f>
        <v/>
      </c>
      <c r="AB49" s="36" t="str">
        <f>IF(AND('Mapa final'!$AB$27="Muy Baja",'Mapa final'!$AD$27="Mayor"),CONCATENATE("R4C",'Mapa final'!$R$27),"")</f>
        <v/>
      </c>
      <c r="AC49" s="37" t="str">
        <f>IF(AND('Mapa final'!$AB$28="Muy Baja",'Mapa final'!$AD$28="Mayor"),CONCATENATE("R4C",'Mapa final'!$R$28),"")</f>
        <v/>
      </c>
      <c r="AD49" s="37" t="str">
        <f>IF(AND('Mapa final'!$AB$29="Muy Baja",'Mapa final'!$AD$29="Mayor"),CONCATENATE("R4C",'Mapa final'!$R$29),"")</f>
        <v/>
      </c>
      <c r="AE49" s="37" t="str">
        <f>IF(AND('Mapa final'!$AB$30="Muy Baja",'Mapa final'!$AD$30="Mayor"),CONCATENATE("R4C",'Mapa final'!$R$30),"")</f>
        <v/>
      </c>
      <c r="AF49" s="37" t="str">
        <f>IF(AND('Mapa final'!$AB$31="Muy Baja",'Mapa final'!$AD$31="Mayor"),CONCATENATE("R4C",'Mapa final'!$R$31),"")</f>
        <v/>
      </c>
      <c r="AG49" s="38" t="str">
        <f>IF(AND('Mapa final'!$AB$32="Muy Baja",'Mapa final'!$AD$32="Mayor"),CONCATENATE("R4C",'Mapa final'!$R$32),"")</f>
        <v/>
      </c>
      <c r="AH49" s="39" t="str">
        <f>IF(AND('Mapa final'!$AB$27="Muy Baja",'Mapa final'!$AD$27="Catastrófico"),CONCATENATE("R4C",'Mapa final'!$R$27),"")</f>
        <v/>
      </c>
      <c r="AI49" s="40" t="str">
        <f>IF(AND('Mapa final'!$AB$28="Muy Baja",'Mapa final'!$AD$28="Catastrófico"),CONCATENATE("R4C",'Mapa final'!$R$28),"")</f>
        <v/>
      </c>
      <c r="AJ49" s="40" t="str">
        <f>IF(AND('Mapa final'!$AB$29="Muy Baja",'Mapa final'!$AD$29="Catastrófico"),CONCATENATE("R4C",'Mapa final'!$R$29),"")</f>
        <v/>
      </c>
      <c r="AK49" s="40" t="str">
        <f>IF(AND('Mapa final'!$AB$30="Muy Baja",'Mapa final'!$AD$30="Catastrófico"),CONCATENATE("R4C",'Mapa final'!$R$30),"")</f>
        <v/>
      </c>
      <c r="AL49" s="40" t="str">
        <f>IF(AND('Mapa final'!$AB$31="Muy Baja",'Mapa final'!$AD$31="Catastrófico"),CONCATENATE("R4C",'Mapa final'!$R$31),"")</f>
        <v/>
      </c>
      <c r="AM49" s="41" t="str">
        <f>IF(AND('Mapa final'!$AB$32="Muy Baja",'Mapa final'!$AD$32="Catastrófico"),CONCATENATE("R4C",'Mapa final'!$R$32),"")</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545"/>
      <c r="C50" s="545"/>
      <c r="D50" s="546"/>
      <c r="E50" s="586"/>
      <c r="F50" s="587"/>
      <c r="G50" s="587"/>
      <c r="H50" s="587"/>
      <c r="I50" s="588"/>
      <c r="J50" s="60" t="str">
        <f>IF(AND('Mapa final'!$AB$33="Muy Baja",'Mapa final'!$AD$33="Leve"),CONCATENATE("R5C",'Mapa final'!$R$33),"")</f>
        <v/>
      </c>
      <c r="K50" s="61" t="str">
        <f>IF(AND('Mapa final'!$AB$34="Muy Baja",'Mapa final'!$AD$34="Leve"),CONCATENATE("R5C",'Mapa final'!$R$34),"")</f>
        <v/>
      </c>
      <c r="L50" s="61" t="str">
        <f>IF(AND('Mapa final'!$AB$35="Muy Baja",'Mapa final'!$AD$35="Leve"),CONCATENATE("R5C",'Mapa final'!$R$35),"")</f>
        <v/>
      </c>
      <c r="M50" s="61" t="str">
        <f>IF(AND('Mapa final'!$AB$36="Muy Baja",'Mapa final'!$AD$36="Leve"),CONCATENATE("R5C",'Mapa final'!$R$36),"")</f>
        <v/>
      </c>
      <c r="N50" s="61" t="str">
        <f>IF(AND('Mapa final'!$AB$37="Muy Baja",'Mapa final'!$AD$37="Leve"),CONCATENATE("R5C",'Mapa final'!$R$37),"")</f>
        <v/>
      </c>
      <c r="O50" s="62" t="str">
        <f>IF(AND('Mapa final'!$AB$38="Muy Baja",'Mapa final'!$AD$38="Leve"),CONCATENATE("R5C",'Mapa final'!$R$38),"")</f>
        <v/>
      </c>
      <c r="P50" s="60" t="str">
        <f>IF(AND('Mapa final'!$AB$33="Muy Baja",'Mapa final'!$AD$33="Menor"),CONCATENATE("R5C",'Mapa final'!$R$33),"")</f>
        <v/>
      </c>
      <c r="Q50" s="61" t="str">
        <f>IF(AND('Mapa final'!$AB$34="Muy Baja",'Mapa final'!$AD$34="Menor"),CONCATENATE("R5C",'Mapa final'!$R$34),"")</f>
        <v/>
      </c>
      <c r="R50" s="61" t="str">
        <f>IF(AND('Mapa final'!$AB$35="Muy Baja",'Mapa final'!$AD$35="Menor"),CONCATENATE("R5C",'Mapa final'!$R$35),"")</f>
        <v/>
      </c>
      <c r="S50" s="61" t="str">
        <f>IF(AND('Mapa final'!$AB$36="Muy Baja",'Mapa final'!$AD$36="Menor"),CONCATENATE("R5C",'Mapa final'!$R$36),"")</f>
        <v/>
      </c>
      <c r="T50" s="61" t="str">
        <f>IF(AND('Mapa final'!$AB$37="Muy Baja",'Mapa final'!$AD$37="Menor"),CONCATENATE("R5C",'Mapa final'!$R$37),"")</f>
        <v/>
      </c>
      <c r="U50" s="62" t="str">
        <f>IF(AND('Mapa final'!$AB$38="Muy Baja",'Mapa final'!$AD$38="Menor"),CONCATENATE("R5C",'Mapa final'!$R$38),"")</f>
        <v/>
      </c>
      <c r="V50" s="51" t="str">
        <f>IF(AND('Mapa final'!$AB$33="Muy Baja",'Mapa final'!$AD$33="Moderado"),CONCATENATE("R5C",'Mapa final'!$R$33),"")</f>
        <v/>
      </c>
      <c r="W50" s="52" t="str">
        <f>IF(AND('Mapa final'!$AB$34="Muy Baja",'Mapa final'!$AD$34="Moderado"),CONCATENATE("R5C",'Mapa final'!$R$34),"")</f>
        <v/>
      </c>
      <c r="X50" s="52" t="str">
        <f>IF(AND('Mapa final'!$AB$35="Muy Baja",'Mapa final'!$AD$35="Moderado"),CONCATENATE("R5C",'Mapa final'!$R$35),"")</f>
        <v/>
      </c>
      <c r="Y50" s="52" t="str">
        <f>IF(AND('Mapa final'!$AB$36="Muy Baja",'Mapa final'!$AD$36="Moderado"),CONCATENATE("R5C",'Mapa final'!$R$36),"")</f>
        <v/>
      </c>
      <c r="Z50" s="52" t="str">
        <f>IF(AND('Mapa final'!$AB$37="Muy Baja",'Mapa final'!$AD$37="Moderado"),CONCATENATE("R5C",'Mapa final'!$R$37),"")</f>
        <v/>
      </c>
      <c r="AA50" s="53" t="str">
        <f>IF(AND('Mapa final'!$AB$38="Muy Baja",'Mapa final'!$AD$38="Moderado"),CONCATENATE("R5C",'Mapa final'!$R$38),"")</f>
        <v/>
      </c>
      <c r="AB50" s="36" t="str">
        <f>IF(AND('Mapa final'!$AB$33="Muy Baja",'Mapa final'!$AD$33="Mayor"),CONCATENATE("R5C",'Mapa final'!$R$33),"")</f>
        <v/>
      </c>
      <c r="AC50" s="37" t="str">
        <f>IF(AND('Mapa final'!$AB$34="Muy Baja",'Mapa final'!$AD$34="Mayor"),CONCATENATE("R5C",'Mapa final'!$R$34),"")</f>
        <v/>
      </c>
      <c r="AD50" s="37" t="str">
        <f>IF(AND('Mapa final'!$AB$35="Muy Baja",'Mapa final'!$AD$35="Mayor"),CONCATENATE("R5C",'Mapa final'!$R$35),"")</f>
        <v/>
      </c>
      <c r="AE50" s="37" t="str">
        <f>IF(AND('Mapa final'!$AB$36="Muy Baja",'Mapa final'!$AD$36="Mayor"),CONCATENATE("R5C",'Mapa final'!$R$36),"")</f>
        <v/>
      </c>
      <c r="AF50" s="37" t="str">
        <f>IF(AND('Mapa final'!$AB$37="Muy Baja",'Mapa final'!$AD$37="Mayor"),CONCATENATE("R5C",'Mapa final'!$R$37),"")</f>
        <v/>
      </c>
      <c r="AG50" s="38" t="str">
        <f>IF(AND('Mapa final'!$AB$38="Muy Baja",'Mapa final'!$AD$38="Mayor"),CONCATENATE("R5C",'Mapa final'!$R$38),"")</f>
        <v/>
      </c>
      <c r="AH50" s="39" t="str">
        <f>IF(AND('Mapa final'!$AB$33="Muy Baja",'Mapa final'!$AD$33="Catastrófico"),CONCATENATE("R5C",'Mapa final'!$R$33),"")</f>
        <v/>
      </c>
      <c r="AI50" s="40" t="str">
        <f>IF(AND('Mapa final'!$AB$34="Muy Baja",'Mapa final'!$AD$34="Catastrófico"),CONCATENATE("R5C",'Mapa final'!$R$34),"")</f>
        <v/>
      </c>
      <c r="AJ50" s="40" t="str">
        <f>IF(AND('Mapa final'!$AB$35="Muy Baja",'Mapa final'!$AD$35="Catastrófico"),CONCATENATE("R5C",'Mapa final'!$R$35),"")</f>
        <v/>
      </c>
      <c r="AK50" s="40" t="str">
        <f>IF(AND('Mapa final'!$AB$36="Muy Baja",'Mapa final'!$AD$36="Catastrófico"),CONCATENATE("R5C",'Mapa final'!$R$36),"")</f>
        <v/>
      </c>
      <c r="AL50" s="40" t="str">
        <f>IF(AND('Mapa final'!$AB$37="Muy Baja",'Mapa final'!$AD$37="Catastrófico"),CONCATENATE("R5C",'Mapa final'!$R$37),"")</f>
        <v/>
      </c>
      <c r="AM50" s="41" t="str">
        <f>IF(AND('Mapa final'!$AB$38="Muy Baja",'Mapa final'!$AD$38="Catastrófico"),CONCATENATE("R5C",'Mapa final'!$R$38),"")</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545"/>
      <c r="C51" s="545"/>
      <c r="D51" s="546"/>
      <c r="E51" s="586"/>
      <c r="F51" s="587"/>
      <c r="G51" s="587"/>
      <c r="H51" s="587"/>
      <c r="I51" s="588"/>
      <c r="J51" s="60" t="str">
        <f>IF(AND('Mapa final'!$AB$39="Muy Baja",'Mapa final'!$AD$39="Leve"),CONCATENATE("R6C",'Mapa final'!$R$39),"")</f>
        <v/>
      </c>
      <c r="K51" s="61" t="str">
        <f>IF(AND('Mapa final'!$AB$40="Muy Baja",'Mapa final'!$AD$40="Leve"),CONCATENATE("R6C",'Mapa final'!$R$40),"")</f>
        <v/>
      </c>
      <c r="L51" s="61" t="str">
        <f>IF(AND('Mapa final'!$AB$41="Muy Baja",'Mapa final'!$AD$41="Leve"),CONCATENATE("R6C",'Mapa final'!$R$41),"")</f>
        <v/>
      </c>
      <c r="M51" s="61" t="str">
        <f>IF(AND('Mapa final'!$AB$42="Muy Baja",'Mapa final'!$AD$42="Leve"),CONCATENATE("R6C",'Mapa final'!$R$42),"")</f>
        <v/>
      </c>
      <c r="N51" s="61" t="str">
        <f>IF(AND('Mapa final'!$AB$43="Muy Baja",'Mapa final'!$AD$43="Leve"),CONCATENATE("R6C",'Mapa final'!$R$43),"")</f>
        <v/>
      </c>
      <c r="O51" s="62" t="str">
        <f>IF(AND('Mapa final'!$AB$44="Muy Baja",'Mapa final'!$AD$44="Leve"),CONCATENATE("R6C",'Mapa final'!$R$44),"")</f>
        <v/>
      </c>
      <c r="P51" s="60" t="str">
        <f>IF(AND('Mapa final'!$AB$39="Muy Baja",'Mapa final'!$AD$39="Menor"),CONCATENATE("R6C",'Mapa final'!$R$39),"")</f>
        <v/>
      </c>
      <c r="Q51" s="61" t="str">
        <f>IF(AND('Mapa final'!$AB$40="Muy Baja",'Mapa final'!$AD$40="Menor"),CONCATENATE("R6C",'Mapa final'!$R$40),"")</f>
        <v/>
      </c>
      <c r="R51" s="61" t="str">
        <f>IF(AND('Mapa final'!$AB$41="Muy Baja",'Mapa final'!$AD$41="Menor"),CONCATENATE("R6C",'Mapa final'!$R$41),"")</f>
        <v/>
      </c>
      <c r="S51" s="61" t="str">
        <f>IF(AND('Mapa final'!$AB$42="Muy Baja",'Mapa final'!$AD$42="Menor"),CONCATENATE("R6C",'Mapa final'!$R$42),"")</f>
        <v/>
      </c>
      <c r="T51" s="61" t="str">
        <f>IF(AND('Mapa final'!$AB$43="Muy Baja",'Mapa final'!$AD$43="Menor"),CONCATENATE("R6C",'Mapa final'!$R$43),"")</f>
        <v/>
      </c>
      <c r="U51" s="62" t="str">
        <f>IF(AND('Mapa final'!$AB$44="Muy Baja",'Mapa final'!$AD$44="Menor"),CONCATENATE("R6C",'Mapa final'!$R$44),"")</f>
        <v/>
      </c>
      <c r="V51" s="51" t="str">
        <f>IF(AND('Mapa final'!$AB$39="Muy Baja",'Mapa final'!$AD$39="Moderado"),CONCATENATE("R6C",'Mapa final'!$R$39),"")</f>
        <v/>
      </c>
      <c r="W51" s="52" t="str">
        <f>IF(AND('Mapa final'!$AB$40="Muy Baja",'Mapa final'!$AD$40="Moderado"),CONCATENATE("R6C",'Mapa final'!$R$40),"")</f>
        <v/>
      </c>
      <c r="X51" s="52" t="str">
        <f>IF(AND('Mapa final'!$AB$41="Muy Baja",'Mapa final'!$AD$41="Moderado"),CONCATENATE("R6C",'Mapa final'!$R$41),"")</f>
        <v/>
      </c>
      <c r="Y51" s="52" t="str">
        <f>IF(AND('Mapa final'!$AB$42="Muy Baja",'Mapa final'!$AD$42="Moderado"),CONCATENATE("R6C",'Mapa final'!$R$42),"")</f>
        <v/>
      </c>
      <c r="Z51" s="52" t="str">
        <f>IF(AND('Mapa final'!$AB$43="Muy Baja",'Mapa final'!$AD$43="Moderado"),CONCATENATE("R6C",'Mapa final'!$R$43),"")</f>
        <v/>
      </c>
      <c r="AA51" s="53" t="str">
        <f>IF(AND('Mapa final'!$AB$44="Muy Baja",'Mapa final'!$AD$44="Moderado"),CONCATENATE("R6C",'Mapa final'!$R$44),"")</f>
        <v/>
      </c>
      <c r="AB51" s="36" t="str">
        <f>IF(AND('Mapa final'!$AB$39="Muy Baja",'Mapa final'!$AD$39="Mayor"),CONCATENATE("R6C",'Mapa final'!$R$39),"")</f>
        <v/>
      </c>
      <c r="AC51" s="37" t="str">
        <f>IF(AND('Mapa final'!$AB$40="Muy Baja",'Mapa final'!$AD$40="Mayor"),CONCATENATE("R6C",'Mapa final'!$R$40),"")</f>
        <v/>
      </c>
      <c r="AD51" s="37" t="str">
        <f>IF(AND('Mapa final'!$AB$41="Muy Baja",'Mapa final'!$AD$41="Mayor"),CONCATENATE("R6C",'Mapa final'!$R$41),"")</f>
        <v/>
      </c>
      <c r="AE51" s="37" t="str">
        <f>IF(AND('Mapa final'!$AB$42="Muy Baja",'Mapa final'!$AD$42="Mayor"),CONCATENATE("R6C",'Mapa final'!$R$42),"")</f>
        <v/>
      </c>
      <c r="AF51" s="37" t="str">
        <f>IF(AND('Mapa final'!$AB$43="Muy Baja",'Mapa final'!$AD$43="Mayor"),CONCATENATE("R6C",'Mapa final'!$R$43),"")</f>
        <v/>
      </c>
      <c r="AG51" s="38" t="str">
        <f>IF(AND('Mapa final'!$AB$44="Muy Baja",'Mapa final'!$AD$44="Mayor"),CONCATENATE("R6C",'Mapa final'!$R$44),"")</f>
        <v/>
      </c>
      <c r="AH51" s="39" t="str">
        <f>IF(AND('Mapa final'!$AB$39="Muy Baja",'Mapa final'!$AD$39="Catastrófico"),CONCATENATE("R6C",'Mapa final'!$R$39),"")</f>
        <v/>
      </c>
      <c r="AI51" s="40" t="str">
        <f>IF(AND('Mapa final'!$AB$40="Muy Baja",'Mapa final'!$AD$40="Catastrófico"),CONCATENATE("R6C",'Mapa final'!$R$40),"")</f>
        <v/>
      </c>
      <c r="AJ51" s="40" t="str">
        <f>IF(AND('Mapa final'!$AB$41="Muy Baja",'Mapa final'!$AD$41="Catastrófico"),CONCATENATE("R6C",'Mapa final'!$R$41),"")</f>
        <v/>
      </c>
      <c r="AK51" s="40" t="str">
        <f>IF(AND('Mapa final'!$AB$42="Muy Baja",'Mapa final'!$AD$42="Catastrófico"),CONCATENATE("R6C",'Mapa final'!$R$42),"")</f>
        <v/>
      </c>
      <c r="AL51" s="40" t="str">
        <f>IF(AND('Mapa final'!$AB$43="Muy Baja",'Mapa final'!$AD$43="Catastrófico"),CONCATENATE("R6C",'Mapa final'!$R$43),"")</f>
        <v/>
      </c>
      <c r="AM51" s="41" t="str">
        <f>IF(AND('Mapa final'!$AB$44="Muy Baja",'Mapa final'!$AD$44="Catastrófico"),CONCATENATE("R6C",'Mapa final'!$R$44),"")</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545"/>
      <c r="C52" s="545"/>
      <c r="D52" s="546"/>
      <c r="E52" s="586"/>
      <c r="F52" s="587"/>
      <c r="G52" s="587"/>
      <c r="H52" s="587"/>
      <c r="I52" s="588"/>
      <c r="J52" s="60" t="str">
        <f>IF(AND('Mapa final'!$AB$45="Muy Baja",'Mapa final'!$AD$45="Leve"),CONCATENATE("R7C",'Mapa final'!$R$45),"")</f>
        <v/>
      </c>
      <c r="K52" s="61" t="str">
        <f>IF(AND('Mapa final'!$AB$46="Muy Baja",'Mapa final'!$AD$46="Leve"),CONCATENATE("R7C",'Mapa final'!$R$46),"")</f>
        <v/>
      </c>
      <c r="L52" s="61" t="str">
        <f>IF(AND('Mapa final'!$AB$47="Muy Baja",'Mapa final'!$AD$47="Leve"),CONCATENATE("R7C",'Mapa final'!$R$47),"")</f>
        <v/>
      </c>
      <c r="M52" s="61" t="str">
        <f>IF(AND('Mapa final'!$AB$48="Muy Baja",'Mapa final'!$AD$48="Leve"),CONCATENATE("R7C",'Mapa final'!$R$48),"")</f>
        <v/>
      </c>
      <c r="N52" s="61" t="str">
        <f>IF(AND('Mapa final'!$AB$49="Muy Baja",'Mapa final'!$AD$49="Leve"),CONCATENATE("R7C",'Mapa final'!$R$49),"")</f>
        <v/>
      </c>
      <c r="O52" s="62" t="str">
        <f>IF(AND('Mapa final'!$AB$50="Muy Baja",'Mapa final'!$AD$50="Leve"),CONCATENATE("R7C",'Mapa final'!$R$50),"")</f>
        <v/>
      </c>
      <c r="P52" s="60" t="str">
        <f>IF(AND('Mapa final'!$AB$45="Muy Baja",'Mapa final'!$AD$45="Menor"),CONCATENATE("R7C",'Mapa final'!$R$45),"")</f>
        <v/>
      </c>
      <c r="Q52" s="61" t="str">
        <f>IF(AND('Mapa final'!$AB$46="Muy Baja",'Mapa final'!$AD$46="Menor"),CONCATENATE("R7C",'Mapa final'!$R$46),"")</f>
        <v/>
      </c>
      <c r="R52" s="61" t="str">
        <f>IF(AND('Mapa final'!$AB$47="Muy Baja",'Mapa final'!$AD$47="Menor"),CONCATENATE("R7C",'Mapa final'!$R$47),"")</f>
        <v/>
      </c>
      <c r="S52" s="61" t="str">
        <f>IF(AND('Mapa final'!$AB$48="Muy Baja",'Mapa final'!$AD$48="Menor"),CONCATENATE("R7C",'Mapa final'!$R$48),"")</f>
        <v/>
      </c>
      <c r="T52" s="61" t="str">
        <f>IF(AND('Mapa final'!$AB$49="Muy Baja",'Mapa final'!$AD$49="Menor"),CONCATENATE("R7C",'Mapa final'!$R$49),"")</f>
        <v/>
      </c>
      <c r="U52" s="62" t="str">
        <f>IF(AND('Mapa final'!$AB$50="Muy Baja",'Mapa final'!$AD$50="Menor"),CONCATENATE("R7C",'Mapa final'!$R$50),"")</f>
        <v/>
      </c>
      <c r="V52" s="51" t="str">
        <f>IF(AND('Mapa final'!$AB$45="Muy Baja",'Mapa final'!$AD$45="Moderado"),CONCATENATE("R7C",'Mapa final'!$R$45),"")</f>
        <v/>
      </c>
      <c r="W52" s="52" t="str">
        <f>IF(AND('Mapa final'!$AB$46="Muy Baja",'Mapa final'!$AD$46="Moderado"),CONCATENATE("R7C",'Mapa final'!$R$46),"")</f>
        <v/>
      </c>
      <c r="X52" s="52" t="str">
        <f>IF(AND('Mapa final'!$AB$47="Muy Baja",'Mapa final'!$AD$47="Moderado"),CONCATENATE("R7C",'Mapa final'!$R$47),"")</f>
        <v/>
      </c>
      <c r="Y52" s="52" t="str">
        <f>IF(AND('Mapa final'!$AB$48="Muy Baja",'Mapa final'!$AD$48="Moderado"),CONCATENATE("R7C",'Mapa final'!$R$48),"")</f>
        <v/>
      </c>
      <c r="Z52" s="52" t="str">
        <f>IF(AND('Mapa final'!$AB$49="Muy Baja",'Mapa final'!$AD$49="Moderado"),CONCATENATE("R7C",'Mapa final'!$R$49),"")</f>
        <v/>
      </c>
      <c r="AA52" s="53" t="str">
        <f>IF(AND('Mapa final'!$AB$50="Muy Baja",'Mapa final'!$AD$50="Moderado"),CONCATENATE("R7C",'Mapa final'!$R$50),"")</f>
        <v/>
      </c>
      <c r="AB52" s="36" t="str">
        <f>IF(AND('Mapa final'!$AB$45="Muy Baja",'Mapa final'!$AD$45="Mayor"),CONCATENATE("R7C",'Mapa final'!$R$45),"")</f>
        <v/>
      </c>
      <c r="AC52" s="37" t="str">
        <f>IF(AND('Mapa final'!$AB$46="Muy Baja",'Mapa final'!$AD$46="Mayor"),CONCATENATE("R7C",'Mapa final'!$R$46),"")</f>
        <v/>
      </c>
      <c r="AD52" s="37" t="str">
        <f>IF(AND('Mapa final'!$AB$47="Muy Baja",'Mapa final'!$AD$47="Mayor"),CONCATENATE("R7C",'Mapa final'!$R$47),"")</f>
        <v/>
      </c>
      <c r="AE52" s="37" t="str">
        <f>IF(AND('Mapa final'!$AB$48="Muy Baja",'Mapa final'!$AD$48="Mayor"),CONCATENATE("R7C",'Mapa final'!$R$48),"")</f>
        <v/>
      </c>
      <c r="AF52" s="37" t="str">
        <f>IF(AND('Mapa final'!$AB$49="Muy Baja",'Mapa final'!$AD$49="Mayor"),CONCATENATE("R7C",'Mapa final'!$R$49),"")</f>
        <v/>
      </c>
      <c r="AG52" s="38" t="str">
        <f>IF(AND('Mapa final'!$AB$50="Muy Baja",'Mapa final'!$AD$50="Mayor"),CONCATENATE("R7C",'Mapa final'!$R$50),"")</f>
        <v/>
      </c>
      <c r="AH52" s="39" t="str">
        <f>IF(AND('Mapa final'!$AB$45="Muy Baja",'Mapa final'!$AD$45="Catastrófico"),CONCATENATE("R7C",'Mapa final'!$R$45),"")</f>
        <v/>
      </c>
      <c r="AI52" s="40" t="str">
        <f>IF(AND('Mapa final'!$AB$46="Muy Baja",'Mapa final'!$AD$46="Catastrófico"),CONCATENATE("R7C",'Mapa final'!$R$46),"")</f>
        <v/>
      </c>
      <c r="AJ52" s="40" t="str">
        <f>IF(AND('Mapa final'!$AB$47="Muy Baja",'Mapa final'!$AD$47="Catastrófico"),CONCATENATE("R7C",'Mapa final'!$R$47),"")</f>
        <v/>
      </c>
      <c r="AK52" s="40" t="str">
        <f>IF(AND('Mapa final'!$AB$48="Muy Baja",'Mapa final'!$AD$48="Catastrófico"),CONCATENATE("R7C",'Mapa final'!$R$48),"")</f>
        <v/>
      </c>
      <c r="AL52" s="40" t="str">
        <f>IF(AND('Mapa final'!$AB$49="Muy Baja",'Mapa final'!$AD$49="Catastrófico"),CONCATENATE("R7C",'Mapa final'!$R$49),"")</f>
        <v/>
      </c>
      <c r="AM52" s="41" t="str">
        <f>IF(AND('Mapa final'!$AB$50="Muy Baja",'Mapa final'!$AD$50="Catastrófico"),CONCATENATE("R7C",'Mapa final'!$R$50),"")</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545"/>
      <c r="C53" s="545"/>
      <c r="D53" s="546"/>
      <c r="E53" s="586"/>
      <c r="F53" s="587"/>
      <c r="G53" s="587"/>
      <c r="H53" s="587"/>
      <c r="I53" s="588"/>
      <c r="J53" s="60" t="str">
        <f>IF(AND('Mapa final'!$AB$51="Muy Baja",'Mapa final'!$AD$51="Leve"),CONCATENATE("R8C",'Mapa final'!$R$51),"")</f>
        <v/>
      </c>
      <c r="K53" s="61" t="str">
        <f>IF(AND('Mapa final'!$AB$52="Muy Baja",'Mapa final'!$AD$52="Leve"),CONCATENATE("R8C",'Mapa final'!$R$52),"")</f>
        <v/>
      </c>
      <c r="L53" s="61" t="str">
        <f>IF(AND('Mapa final'!$AB$53="Muy Baja",'Mapa final'!$AD$53="Leve"),CONCATENATE("R8C",'Mapa final'!$R$53),"")</f>
        <v/>
      </c>
      <c r="M53" s="61" t="str">
        <f>IF(AND('Mapa final'!$AB$54="Muy Baja",'Mapa final'!$AD$54="Leve"),CONCATENATE("R8C",'Mapa final'!$R$54),"")</f>
        <v/>
      </c>
      <c r="N53" s="61" t="str">
        <f>IF(AND('Mapa final'!$AB$55="Muy Baja",'Mapa final'!$AD$55="Leve"),CONCATENATE("R8C",'Mapa final'!$R$55),"")</f>
        <v/>
      </c>
      <c r="O53" s="62" t="str">
        <f>IF(AND('Mapa final'!$AB$56="Muy Baja",'Mapa final'!$AD$56="Leve"),CONCATENATE("R8C",'Mapa final'!$R$56),"")</f>
        <v/>
      </c>
      <c r="P53" s="60" t="str">
        <f>IF(AND('Mapa final'!$AB$51="Muy Baja",'Mapa final'!$AD$51="Menor"),CONCATENATE("R8C",'Mapa final'!$R$51),"")</f>
        <v/>
      </c>
      <c r="Q53" s="61" t="str">
        <f>IF(AND('Mapa final'!$AB$52="Muy Baja",'Mapa final'!$AD$52="Menor"),CONCATENATE("R8C",'Mapa final'!$R$52),"")</f>
        <v/>
      </c>
      <c r="R53" s="61" t="str">
        <f>IF(AND('Mapa final'!$AB$53="Muy Baja",'Mapa final'!$AD$53="Menor"),CONCATENATE("R8C",'Mapa final'!$R$53),"")</f>
        <v/>
      </c>
      <c r="S53" s="61" t="str">
        <f>IF(AND('Mapa final'!$AB$54="Muy Baja",'Mapa final'!$AD$54="Menor"),CONCATENATE("R8C",'Mapa final'!$R$54),"")</f>
        <v/>
      </c>
      <c r="T53" s="61" t="str">
        <f>IF(AND('Mapa final'!$AB$55="Muy Baja",'Mapa final'!$AD$55="Menor"),CONCATENATE("R8C",'Mapa final'!$R$55),"")</f>
        <v/>
      </c>
      <c r="U53" s="62" t="str">
        <f>IF(AND('Mapa final'!$AB$56="Muy Baja",'Mapa final'!$AD$56="Menor"),CONCATENATE("R8C",'Mapa final'!$R$56),"")</f>
        <v/>
      </c>
      <c r="V53" s="51" t="str">
        <f>IF(AND('Mapa final'!$AB$51="Muy Baja",'Mapa final'!$AD$51="Moderado"),CONCATENATE("R8C",'Mapa final'!$R$51),"")</f>
        <v/>
      </c>
      <c r="W53" s="52" t="str">
        <f>IF(AND('Mapa final'!$AB$52="Muy Baja",'Mapa final'!$AD$52="Moderado"),CONCATENATE("R8C",'Mapa final'!$R$52),"")</f>
        <v/>
      </c>
      <c r="X53" s="52" t="str">
        <f>IF(AND('Mapa final'!$AB$53="Muy Baja",'Mapa final'!$AD$53="Moderado"),CONCATENATE("R8C",'Mapa final'!$R$53),"")</f>
        <v/>
      </c>
      <c r="Y53" s="52" t="str">
        <f>IF(AND('Mapa final'!$AB$54="Muy Baja",'Mapa final'!$AD$54="Moderado"),CONCATENATE("R8C",'Mapa final'!$R$54),"")</f>
        <v/>
      </c>
      <c r="Z53" s="52" t="str">
        <f>IF(AND('Mapa final'!$AB$55="Muy Baja",'Mapa final'!$AD$55="Moderado"),CONCATENATE("R8C",'Mapa final'!$R$55),"")</f>
        <v/>
      </c>
      <c r="AA53" s="53" t="str">
        <f>IF(AND('Mapa final'!$AB$56="Muy Baja",'Mapa final'!$AD$56="Moderado"),CONCATENATE("R8C",'Mapa final'!$R$56),"")</f>
        <v/>
      </c>
      <c r="AB53" s="36" t="str">
        <f>IF(AND('Mapa final'!$AB$51="Muy Baja",'Mapa final'!$AD$51="Mayor"),CONCATENATE("R8C",'Mapa final'!$R$51),"")</f>
        <v/>
      </c>
      <c r="AC53" s="37" t="str">
        <f>IF(AND('Mapa final'!$AB$52="Muy Baja",'Mapa final'!$AD$52="Mayor"),CONCATENATE("R8C",'Mapa final'!$R$52),"")</f>
        <v/>
      </c>
      <c r="AD53" s="37" t="str">
        <f>IF(AND('Mapa final'!$AB$53="Muy Baja",'Mapa final'!$AD$53="Mayor"),CONCATENATE("R8C",'Mapa final'!$R$53),"")</f>
        <v/>
      </c>
      <c r="AE53" s="37" t="str">
        <f>IF(AND('Mapa final'!$AB$54="Muy Baja",'Mapa final'!$AD$54="Mayor"),CONCATENATE("R8C",'Mapa final'!$R$54),"")</f>
        <v/>
      </c>
      <c r="AF53" s="37" t="str">
        <f>IF(AND('Mapa final'!$AB$55="Muy Baja",'Mapa final'!$AD$55="Mayor"),CONCATENATE("R8C",'Mapa final'!$R$55),"")</f>
        <v/>
      </c>
      <c r="AG53" s="38" t="str">
        <f>IF(AND('Mapa final'!$AB$56="Muy Baja",'Mapa final'!$AD$56="Mayor"),CONCATENATE("R8C",'Mapa final'!$R$56),"")</f>
        <v/>
      </c>
      <c r="AH53" s="39" t="str">
        <f>IF(AND('Mapa final'!$AB$51="Muy Baja",'Mapa final'!$AD$51="Catastrófico"),CONCATENATE("R8C",'Mapa final'!$R$51),"")</f>
        <v/>
      </c>
      <c r="AI53" s="40" t="str">
        <f>IF(AND('Mapa final'!$AB$52="Muy Baja",'Mapa final'!$AD$52="Catastrófico"),CONCATENATE("R8C",'Mapa final'!$R$52),"")</f>
        <v/>
      </c>
      <c r="AJ53" s="40" t="str">
        <f>IF(AND('Mapa final'!$AB$53="Muy Baja",'Mapa final'!$AD$53="Catastrófico"),CONCATENATE("R8C",'Mapa final'!$R$53),"")</f>
        <v/>
      </c>
      <c r="AK53" s="40" t="str">
        <f>IF(AND('Mapa final'!$AB$54="Muy Baja",'Mapa final'!$AD$54="Catastrófico"),CONCATENATE("R8C",'Mapa final'!$R$54),"")</f>
        <v/>
      </c>
      <c r="AL53" s="40" t="str">
        <f>IF(AND('Mapa final'!$AB$55="Muy Baja",'Mapa final'!$AD$55="Catastrófico"),CONCATENATE("R8C",'Mapa final'!$R$55),"")</f>
        <v/>
      </c>
      <c r="AM53" s="41" t="str">
        <f>IF(AND('Mapa final'!$AB$56="Muy Baja",'Mapa final'!$AD$56="Catastrófico"),CONCATENATE("R8C",'Mapa final'!$R$56),"")</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545"/>
      <c r="C54" s="545"/>
      <c r="D54" s="546"/>
      <c r="E54" s="586"/>
      <c r="F54" s="587"/>
      <c r="G54" s="587"/>
      <c r="H54" s="587"/>
      <c r="I54" s="588"/>
      <c r="J54" s="60" t="str">
        <f>IF(AND('Mapa final'!$AB$57="Muy Baja",'Mapa final'!$AD$57="Leve"),CONCATENATE("R9C",'Mapa final'!$R$57),"")</f>
        <v/>
      </c>
      <c r="K54" s="61" t="str">
        <f>IF(AND('Mapa final'!$AB$58="Muy Baja",'Mapa final'!$AD$58="Leve"),CONCATENATE("R9C",'Mapa final'!$R$58),"")</f>
        <v/>
      </c>
      <c r="L54" s="61" t="str">
        <f>IF(AND('Mapa final'!$AB$59="Muy Baja",'Mapa final'!$AD$59="Leve"),CONCATENATE("R9C",'Mapa final'!$R$59),"")</f>
        <v/>
      </c>
      <c r="M54" s="61" t="str">
        <f>IF(AND('Mapa final'!$AB$60="Muy Baja",'Mapa final'!$AD$60="Leve"),CONCATENATE("R9C",'Mapa final'!$R$60),"")</f>
        <v/>
      </c>
      <c r="N54" s="61" t="str">
        <f>IF(AND('Mapa final'!$AB$61="Muy Baja",'Mapa final'!$AD$61="Leve"),CONCATENATE("R9C",'Mapa final'!$R$61),"")</f>
        <v/>
      </c>
      <c r="O54" s="62" t="str">
        <f>IF(AND('Mapa final'!$AB$62="Muy Baja",'Mapa final'!$AD$62="Leve"),CONCATENATE("R9C",'Mapa final'!$R$62),"")</f>
        <v/>
      </c>
      <c r="P54" s="60" t="str">
        <f>IF(AND('Mapa final'!$AB$57="Muy Baja",'Mapa final'!$AD$57="Menor"),CONCATENATE("R9C",'Mapa final'!$R$57),"")</f>
        <v/>
      </c>
      <c r="Q54" s="61" t="str">
        <f>IF(AND('Mapa final'!$AB$58="Muy Baja",'Mapa final'!$AD$58="Menor"),CONCATENATE("R9C",'Mapa final'!$R$58),"")</f>
        <v/>
      </c>
      <c r="R54" s="61" t="str">
        <f>IF(AND('Mapa final'!$AB$59="Muy Baja",'Mapa final'!$AD$59="Menor"),CONCATENATE("R9C",'Mapa final'!$R$59),"")</f>
        <v/>
      </c>
      <c r="S54" s="61" t="str">
        <f>IF(AND('Mapa final'!$AB$60="Muy Baja",'Mapa final'!$AD$60="Menor"),CONCATENATE("R9C",'Mapa final'!$R$60),"")</f>
        <v/>
      </c>
      <c r="T54" s="61" t="str">
        <f>IF(AND('Mapa final'!$AB$61="Muy Baja",'Mapa final'!$AD$61="Menor"),CONCATENATE("R9C",'Mapa final'!$R$61),"")</f>
        <v/>
      </c>
      <c r="U54" s="62" t="str">
        <f>IF(AND('Mapa final'!$AB$62="Muy Baja",'Mapa final'!$AD$62="Menor"),CONCATENATE("R9C",'Mapa final'!$R$62),"")</f>
        <v/>
      </c>
      <c r="V54" s="51" t="str">
        <f>IF(AND('Mapa final'!$AB$57="Muy Baja",'Mapa final'!$AD$57="Moderado"),CONCATENATE("R9C",'Mapa final'!$R$57),"")</f>
        <v/>
      </c>
      <c r="W54" s="52" t="str">
        <f>IF(AND('Mapa final'!$AB$58="Muy Baja",'Mapa final'!$AD$58="Moderado"),CONCATENATE("R9C",'Mapa final'!$R$58),"")</f>
        <v/>
      </c>
      <c r="X54" s="52" t="str">
        <f>IF(AND('Mapa final'!$AB$59="Muy Baja",'Mapa final'!$AD$59="Moderado"),CONCATENATE("R9C",'Mapa final'!$R$59),"")</f>
        <v/>
      </c>
      <c r="Y54" s="52" t="str">
        <f>IF(AND('Mapa final'!$AB$60="Muy Baja",'Mapa final'!$AD$60="Moderado"),CONCATENATE("R9C",'Mapa final'!$R$60),"")</f>
        <v/>
      </c>
      <c r="Z54" s="52" t="str">
        <f>IF(AND('Mapa final'!$AB$61="Muy Baja",'Mapa final'!$AD$61="Moderado"),CONCATENATE("R9C",'Mapa final'!$R$61),"")</f>
        <v/>
      </c>
      <c r="AA54" s="53" t="str">
        <f>IF(AND('Mapa final'!$AB$62="Muy Baja",'Mapa final'!$AD$62="Moderado"),CONCATENATE("R9C",'Mapa final'!$R$62),"")</f>
        <v/>
      </c>
      <c r="AB54" s="36" t="str">
        <f>IF(AND('Mapa final'!$AB$57="Muy Baja",'Mapa final'!$AD$57="Mayor"),CONCATENATE("R9C",'Mapa final'!$R$57),"")</f>
        <v/>
      </c>
      <c r="AC54" s="37" t="str">
        <f>IF(AND('Mapa final'!$AB$58="Muy Baja",'Mapa final'!$AD$58="Mayor"),CONCATENATE("R9C",'Mapa final'!$R$58),"")</f>
        <v/>
      </c>
      <c r="AD54" s="37" t="str">
        <f>IF(AND('Mapa final'!$AB$59="Muy Baja",'Mapa final'!$AD$59="Mayor"),CONCATENATE("R9C",'Mapa final'!$R$59),"")</f>
        <v/>
      </c>
      <c r="AE54" s="37" t="str">
        <f>IF(AND('Mapa final'!$AB$60="Muy Baja",'Mapa final'!$AD$60="Mayor"),CONCATENATE("R9C",'Mapa final'!$R$60),"")</f>
        <v/>
      </c>
      <c r="AF54" s="37" t="str">
        <f>IF(AND('Mapa final'!$AB$61="Muy Baja",'Mapa final'!$AD$61="Mayor"),CONCATENATE("R9C",'Mapa final'!$R$61),"")</f>
        <v/>
      </c>
      <c r="AG54" s="38" t="str">
        <f>IF(AND('Mapa final'!$AB$62="Muy Baja",'Mapa final'!$AD$62="Mayor"),CONCATENATE("R9C",'Mapa final'!$R$62),"")</f>
        <v/>
      </c>
      <c r="AH54" s="39" t="str">
        <f>IF(AND('Mapa final'!$AB$57="Muy Baja",'Mapa final'!$AD$57="Catastrófico"),CONCATENATE("R9C",'Mapa final'!$R$57),"")</f>
        <v/>
      </c>
      <c r="AI54" s="40" t="str">
        <f>IF(AND('Mapa final'!$AB$58="Muy Baja",'Mapa final'!$AD$58="Catastrófico"),CONCATENATE("R9C",'Mapa final'!$R$58),"")</f>
        <v/>
      </c>
      <c r="AJ54" s="40" t="str">
        <f>IF(AND('Mapa final'!$AB$59="Muy Baja",'Mapa final'!$AD$59="Catastrófico"),CONCATENATE("R9C",'Mapa final'!$R$59),"")</f>
        <v/>
      </c>
      <c r="AK54" s="40" t="str">
        <f>IF(AND('Mapa final'!$AB$60="Muy Baja",'Mapa final'!$AD$60="Catastrófico"),CONCATENATE("R9C",'Mapa final'!$R$60),"")</f>
        <v/>
      </c>
      <c r="AL54" s="40" t="str">
        <f>IF(AND('Mapa final'!$AB$61="Muy Baja",'Mapa final'!$AD$61="Catastrófico"),CONCATENATE("R9C",'Mapa final'!$R$61),"")</f>
        <v/>
      </c>
      <c r="AM54" s="41" t="str">
        <f>IF(AND('Mapa final'!$AB$62="Muy Baja",'Mapa final'!$AD$62="Catastrófico"),CONCATENATE("R9C",'Mapa final'!$R$62),"")</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545"/>
      <c r="C55" s="545"/>
      <c r="D55" s="546"/>
      <c r="E55" s="589"/>
      <c r="F55" s="590"/>
      <c r="G55" s="590"/>
      <c r="H55" s="590"/>
      <c r="I55" s="591"/>
      <c r="J55" s="63" t="str">
        <f>IF(AND('Mapa final'!$AB$63="Muy Baja",'Mapa final'!$AD$63="Leve"),CONCATENATE("R10C",'Mapa final'!$R$63),"")</f>
        <v/>
      </c>
      <c r="K55" s="64" t="str">
        <f>IF(AND('Mapa final'!$AB$64="Muy Baja",'Mapa final'!$AD$64="Leve"),CONCATENATE("R10C",'Mapa final'!$R$64),"")</f>
        <v/>
      </c>
      <c r="L55" s="64" t="str">
        <f>IF(AND('Mapa final'!$AB$65="Muy Baja",'Mapa final'!$AD$65="Leve"),CONCATENATE("R10C",'Mapa final'!$R$65),"")</f>
        <v/>
      </c>
      <c r="M55" s="64" t="str">
        <f>IF(AND('Mapa final'!$AB$66="Muy Baja",'Mapa final'!$AD$66="Leve"),CONCATENATE("R10C",'Mapa final'!$R$66),"")</f>
        <v/>
      </c>
      <c r="N55" s="64" t="str">
        <f>IF(AND('Mapa final'!$AB$67="Muy Baja",'Mapa final'!$AD$67="Leve"),CONCATENATE("R10C",'Mapa final'!$R$67),"")</f>
        <v/>
      </c>
      <c r="O55" s="65" t="str">
        <f>IF(AND('Mapa final'!$AB$68="Muy Baja",'Mapa final'!$AD$68="Leve"),CONCATENATE("R10C",'Mapa final'!$R$68),"")</f>
        <v/>
      </c>
      <c r="P55" s="63" t="str">
        <f>IF(AND('Mapa final'!$AB$63="Muy Baja",'Mapa final'!$AD$63="Menor"),CONCATENATE("R10C",'Mapa final'!$R$63),"")</f>
        <v/>
      </c>
      <c r="Q55" s="64" t="str">
        <f>IF(AND('Mapa final'!$AB$64="Muy Baja",'Mapa final'!$AD$64="Menor"),CONCATENATE("R10C",'Mapa final'!$R$64),"")</f>
        <v/>
      </c>
      <c r="R55" s="64" t="str">
        <f>IF(AND('Mapa final'!$AB$65="Muy Baja",'Mapa final'!$AD$65="Menor"),CONCATENATE("R10C",'Mapa final'!$R$65),"")</f>
        <v/>
      </c>
      <c r="S55" s="64" t="str">
        <f>IF(AND('Mapa final'!$AB$66="Muy Baja",'Mapa final'!$AD$66="Menor"),CONCATENATE("R10C",'Mapa final'!$R$66),"")</f>
        <v/>
      </c>
      <c r="T55" s="64" t="str">
        <f>IF(AND('Mapa final'!$AB$67="Muy Baja",'Mapa final'!$AD$67="Menor"),CONCATENATE("R10C",'Mapa final'!$R$67),"")</f>
        <v/>
      </c>
      <c r="U55" s="65" t="str">
        <f>IF(AND('Mapa final'!$AB$68="Muy Baja",'Mapa final'!$AD$68="Menor"),CONCATENATE("R10C",'Mapa final'!$R$68),"")</f>
        <v/>
      </c>
      <c r="V55" s="54" t="str">
        <f>IF(AND('Mapa final'!$AB$63="Muy Baja",'Mapa final'!$AD$63="Moderado"),CONCATENATE("R10C",'Mapa final'!$R$63),"")</f>
        <v/>
      </c>
      <c r="W55" s="55" t="str">
        <f>IF(AND('Mapa final'!$AB$64="Muy Baja",'Mapa final'!$AD$64="Moderado"),CONCATENATE("R10C",'Mapa final'!$R$64),"")</f>
        <v/>
      </c>
      <c r="X55" s="55" t="str">
        <f>IF(AND('Mapa final'!$AB$65="Muy Baja",'Mapa final'!$AD$65="Moderado"),CONCATENATE("R10C",'Mapa final'!$R$65),"")</f>
        <v/>
      </c>
      <c r="Y55" s="55" t="str">
        <f>IF(AND('Mapa final'!$AB$66="Muy Baja",'Mapa final'!$AD$66="Moderado"),CONCATENATE("R10C",'Mapa final'!$R$66),"")</f>
        <v/>
      </c>
      <c r="Z55" s="55" t="str">
        <f>IF(AND('Mapa final'!$AB$67="Muy Baja",'Mapa final'!$AD$67="Moderado"),CONCATENATE("R10C",'Mapa final'!$R$67),"")</f>
        <v/>
      </c>
      <c r="AA55" s="56" t="str">
        <f>IF(AND('Mapa final'!$AB$68="Muy Baja",'Mapa final'!$AD$68="Moderado"),CONCATENATE("R10C",'Mapa final'!$R$68),"")</f>
        <v/>
      </c>
      <c r="AB55" s="42" t="str">
        <f>IF(AND('Mapa final'!$AB$63="Muy Baja",'Mapa final'!$AD$63="Mayor"),CONCATENATE("R10C",'Mapa final'!$R$63),"")</f>
        <v/>
      </c>
      <c r="AC55" s="43" t="str">
        <f>IF(AND('Mapa final'!$AB$64="Muy Baja",'Mapa final'!$AD$64="Mayor"),CONCATENATE("R10C",'Mapa final'!$R$64),"")</f>
        <v/>
      </c>
      <c r="AD55" s="43" t="str">
        <f>IF(AND('Mapa final'!$AB$65="Muy Baja",'Mapa final'!$AD$65="Mayor"),CONCATENATE("R10C",'Mapa final'!$R$65),"")</f>
        <v/>
      </c>
      <c r="AE55" s="43" t="str">
        <f>IF(AND('Mapa final'!$AB$66="Muy Baja",'Mapa final'!$AD$66="Mayor"),CONCATENATE("R10C",'Mapa final'!$R$66),"")</f>
        <v/>
      </c>
      <c r="AF55" s="43" t="str">
        <f>IF(AND('Mapa final'!$AB$67="Muy Baja",'Mapa final'!$AD$67="Mayor"),CONCATENATE("R10C",'Mapa final'!$R$67),"")</f>
        <v/>
      </c>
      <c r="AG55" s="44" t="str">
        <f>IF(AND('Mapa final'!$AB$68="Muy Baja",'Mapa final'!$AD$68="Mayor"),CONCATENATE("R10C",'Mapa final'!$R$68),"")</f>
        <v/>
      </c>
      <c r="AH55" s="45" t="str">
        <f>IF(AND('Mapa final'!$AB$63="Muy Baja",'Mapa final'!$AD$63="Catastrófico"),CONCATENATE("R10C",'Mapa final'!$R$63),"")</f>
        <v/>
      </c>
      <c r="AI55" s="46" t="str">
        <f>IF(AND('Mapa final'!$AB$64="Muy Baja",'Mapa final'!$AD$64="Catastrófico"),CONCATENATE("R10C",'Mapa final'!$R$64),"")</f>
        <v/>
      </c>
      <c r="AJ55" s="46" t="str">
        <f>IF(AND('Mapa final'!$AB$65="Muy Baja",'Mapa final'!$AD$65="Catastrófico"),CONCATENATE("R10C",'Mapa final'!$R$65),"")</f>
        <v/>
      </c>
      <c r="AK55" s="46" t="str">
        <f>IF(AND('Mapa final'!$AB$66="Muy Baja",'Mapa final'!$AD$66="Catastrófico"),CONCATENATE("R10C",'Mapa final'!$R$66),"")</f>
        <v/>
      </c>
      <c r="AL55" s="46" t="str">
        <f>IF(AND('Mapa final'!$AB$67="Muy Baja",'Mapa final'!$AD$67="Catastrófico"),CONCATENATE("R10C",'Mapa final'!$R$67),"")</f>
        <v/>
      </c>
      <c r="AM55" s="47" t="str">
        <f>IF(AND('Mapa final'!$AB$68="Muy Baja",'Mapa final'!$AD$68="Catastrófico"),CONCATENATE("R10C",'Mapa final'!$R$68),"")</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583" t="s">
        <v>106</v>
      </c>
      <c r="K56" s="584"/>
      <c r="L56" s="584"/>
      <c r="M56" s="584"/>
      <c r="N56" s="584"/>
      <c r="O56" s="585"/>
      <c r="P56" s="583" t="s">
        <v>105</v>
      </c>
      <c r="Q56" s="584"/>
      <c r="R56" s="584"/>
      <c r="S56" s="584"/>
      <c r="T56" s="584"/>
      <c r="U56" s="585"/>
      <c r="V56" s="583" t="s">
        <v>104</v>
      </c>
      <c r="W56" s="584"/>
      <c r="X56" s="584"/>
      <c r="Y56" s="584"/>
      <c r="Z56" s="584"/>
      <c r="AA56" s="585"/>
      <c r="AB56" s="583" t="s">
        <v>103</v>
      </c>
      <c r="AC56" s="592"/>
      <c r="AD56" s="584"/>
      <c r="AE56" s="584"/>
      <c r="AF56" s="584"/>
      <c r="AG56" s="585"/>
      <c r="AH56" s="583" t="s">
        <v>102</v>
      </c>
      <c r="AI56" s="584"/>
      <c r="AJ56" s="584"/>
      <c r="AK56" s="584"/>
      <c r="AL56" s="584"/>
      <c r="AM56" s="585"/>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586"/>
      <c r="K57" s="587"/>
      <c r="L57" s="587"/>
      <c r="M57" s="587"/>
      <c r="N57" s="587"/>
      <c r="O57" s="588"/>
      <c r="P57" s="586"/>
      <c r="Q57" s="587"/>
      <c r="R57" s="587"/>
      <c r="S57" s="587"/>
      <c r="T57" s="587"/>
      <c r="U57" s="588"/>
      <c r="V57" s="586"/>
      <c r="W57" s="587"/>
      <c r="X57" s="587"/>
      <c r="Y57" s="587"/>
      <c r="Z57" s="587"/>
      <c r="AA57" s="588"/>
      <c r="AB57" s="586"/>
      <c r="AC57" s="587"/>
      <c r="AD57" s="587"/>
      <c r="AE57" s="587"/>
      <c r="AF57" s="587"/>
      <c r="AG57" s="588"/>
      <c r="AH57" s="586"/>
      <c r="AI57" s="587"/>
      <c r="AJ57" s="587"/>
      <c r="AK57" s="587"/>
      <c r="AL57" s="587"/>
      <c r="AM57" s="588"/>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586"/>
      <c r="K58" s="587"/>
      <c r="L58" s="587"/>
      <c r="M58" s="587"/>
      <c r="N58" s="587"/>
      <c r="O58" s="588"/>
      <c r="P58" s="586"/>
      <c r="Q58" s="587"/>
      <c r="R58" s="587"/>
      <c r="S58" s="587"/>
      <c r="T58" s="587"/>
      <c r="U58" s="588"/>
      <c r="V58" s="586"/>
      <c r="W58" s="587"/>
      <c r="X58" s="587"/>
      <c r="Y58" s="587"/>
      <c r="Z58" s="587"/>
      <c r="AA58" s="588"/>
      <c r="AB58" s="586"/>
      <c r="AC58" s="587"/>
      <c r="AD58" s="587"/>
      <c r="AE58" s="587"/>
      <c r="AF58" s="587"/>
      <c r="AG58" s="588"/>
      <c r="AH58" s="586"/>
      <c r="AI58" s="587"/>
      <c r="AJ58" s="587"/>
      <c r="AK58" s="587"/>
      <c r="AL58" s="587"/>
      <c r="AM58" s="588"/>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586"/>
      <c r="K59" s="587"/>
      <c r="L59" s="587"/>
      <c r="M59" s="587"/>
      <c r="N59" s="587"/>
      <c r="O59" s="588"/>
      <c r="P59" s="586"/>
      <c r="Q59" s="587"/>
      <c r="R59" s="587"/>
      <c r="S59" s="587"/>
      <c r="T59" s="587"/>
      <c r="U59" s="588"/>
      <c r="V59" s="586"/>
      <c r="W59" s="587"/>
      <c r="X59" s="587"/>
      <c r="Y59" s="587"/>
      <c r="Z59" s="587"/>
      <c r="AA59" s="588"/>
      <c r="AB59" s="586"/>
      <c r="AC59" s="587"/>
      <c r="AD59" s="587"/>
      <c r="AE59" s="587"/>
      <c r="AF59" s="587"/>
      <c r="AG59" s="588"/>
      <c r="AH59" s="586"/>
      <c r="AI59" s="587"/>
      <c r="AJ59" s="587"/>
      <c r="AK59" s="587"/>
      <c r="AL59" s="587"/>
      <c r="AM59" s="588"/>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586"/>
      <c r="K60" s="587"/>
      <c r="L60" s="587"/>
      <c r="M60" s="587"/>
      <c r="N60" s="587"/>
      <c r="O60" s="588"/>
      <c r="P60" s="586"/>
      <c r="Q60" s="587"/>
      <c r="R60" s="587"/>
      <c r="S60" s="587"/>
      <c r="T60" s="587"/>
      <c r="U60" s="588"/>
      <c r="V60" s="586"/>
      <c r="W60" s="587"/>
      <c r="X60" s="587"/>
      <c r="Y60" s="587"/>
      <c r="Z60" s="587"/>
      <c r="AA60" s="588"/>
      <c r="AB60" s="586"/>
      <c r="AC60" s="587"/>
      <c r="AD60" s="587"/>
      <c r="AE60" s="587"/>
      <c r="AF60" s="587"/>
      <c r="AG60" s="588"/>
      <c r="AH60" s="586"/>
      <c r="AI60" s="587"/>
      <c r="AJ60" s="587"/>
      <c r="AK60" s="587"/>
      <c r="AL60" s="587"/>
      <c r="AM60" s="588"/>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589"/>
      <c r="K61" s="590"/>
      <c r="L61" s="590"/>
      <c r="M61" s="590"/>
      <c r="N61" s="590"/>
      <c r="O61" s="591"/>
      <c r="P61" s="589"/>
      <c r="Q61" s="590"/>
      <c r="R61" s="590"/>
      <c r="S61" s="590"/>
      <c r="T61" s="590"/>
      <c r="U61" s="591"/>
      <c r="V61" s="589"/>
      <c r="W61" s="590"/>
      <c r="X61" s="590"/>
      <c r="Y61" s="590"/>
      <c r="Z61" s="590"/>
      <c r="AA61" s="591"/>
      <c r="AB61" s="589"/>
      <c r="AC61" s="590"/>
      <c r="AD61" s="590"/>
      <c r="AE61" s="590"/>
      <c r="AF61" s="590"/>
      <c r="AG61" s="591"/>
      <c r="AH61" s="589"/>
      <c r="AI61" s="590"/>
      <c r="AJ61" s="590"/>
      <c r="AK61" s="590"/>
      <c r="AL61" s="590"/>
      <c r="AM61" s="591"/>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tabColor rgb="FF00B0F0"/>
  </sheetPr>
  <dimension ref="A1:AK55"/>
  <sheetViews>
    <sheetView workbookViewId="0">
      <selection activeCell="D6" sqref="D6"/>
    </sheetView>
  </sheetViews>
  <sheetFormatPr baseColWidth="10" defaultRowHeight="14.4" x14ac:dyDescent="0.3"/>
  <cols>
    <col min="2" max="2" width="24.109375" customWidth="1"/>
    <col min="3" max="3" width="70.109375" customWidth="1"/>
    <col min="4" max="4" width="29.88671875" customWidth="1"/>
  </cols>
  <sheetData>
    <row r="1" spans="1:37" ht="23.4" x14ac:dyDescent="0.3">
      <c r="A1" s="67"/>
      <c r="B1" s="632" t="s">
        <v>54</v>
      </c>
      <c r="C1" s="632"/>
      <c r="D1" s="632"/>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51</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50</v>
      </c>
      <c r="C4" s="14" t="s">
        <v>96</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52</v>
      </c>
      <c r="C5" s="17" t="s">
        <v>97</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101</v>
      </c>
      <c r="C6" s="17" t="s">
        <v>98</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99</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53</v>
      </c>
      <c r="C8" s="17" t="s">
        <v>100</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9">
    <tabColor theme="6" tint="-0.249977111117893"/>
  </sheetPr>
  <dimension ref="A1:U224"/>
  <sheetViews>
    <sheetView zoomScale="70" zoomScaleNormal="70" workbookViewId="0">
      <selection activeCell="D8" sqref="D8"/>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633" t="s">
        <v>61</v>
      </c>
      <c r="C1" s="633"/>
      <c r="D1" s="633"/>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32" t="s">
        <v>55</v>
      </c>
      <c r="D3" s="132" t="s">
        <v>56</v>
      </c>
      <c r="E3" s="89"/>
      <c r="F3" s="89"/>
      <c r="G3" s="89"/>
      <c r="H3" s="89"/>
      <c r="I3" s="89"/>
      <c r="J3" s="89"/>
      <c r="K3" s="89"/>
      <c r="L3" s="89"/>
      <c r="M3" s="89"/>
      <c r="N3" s="89"/>
      <c r="O3" s="89"/>
      <c r="P3" s="89"/>
      <c r="Q3" s="89"/>
      <c r="R3" s="89"/>
      <c r="S3" s="89"/>
      <c r="T3" s="89"/>
      <c r="U3" s="89"/>
    </row>
    <row r="4" spans="1:21" ht="32.4" x14ac:dyDescent="0.3">
      <c r="A4" s="89" t="s">
        <v>81</v>
      </c>
      <c r="B4" s="133" t="s">
        <v>95</v>
      </c>
      <c r="C4" s="134" t="s">
        <v>204</v>
      </c>
      <c r="D4" s="135" t="s">
        <v>91</v>
      </c>
      <c r="E4" s="89"/>
      <c r="F4" s="89"/>
      <c r="G4" s="89"/>
      <c r="H4" s="89"/>
      <c r="I4" s="89"/>
      <c r="J4" s="89"/>
      <c r="K4" s="89"/>
      <c r="L4" s="89"/>
      <c r="M4" s="89"/>
      <c r="N4" s="89"/>
      <c r="O4" s="89"/>
      <c r="P4" s="89"/>
      <c r="Q4" s="89"/>
      <c r="R4" s="89"/>
      <c r="S4" s="89"/>
      <c r="T4" s="89"/>
      <c r="U4" s="89"/>
    </row>
    <row r="5" spans="1:21" ht="64.8" x14ac:dyDescent="0.3">
      <c r="A5" s="89" t="s">
        <v>82</v>
      </c>
      <c r="B5" s="136" t="s">
        <v>57</v>
      </c>
      <c r="C5" s="137" t="s">
        <v>205</v>
      </c>
      <c r="D5" s="138" t="s">
        <v>92</v>
      </c>
      <c r="E5" s="89"/>
      <c r="F5" s="89"/>
      <c r="G5" s="89"/>
      <c r="H5" s="89"/>
      <c r="I5" s="89"/>
      <c r="J5" s="89"/>
      <c r="K5" s="89"/>
      <c r="L5" s="89"/>
      <c r="M5" s="89"/>
      <c r="N5" s="89"/>
      <c r="O5" s="89"/>
      <c r="P5" s="89"/>
      <c r="Q5" s="89"/>
      <c r="R5" s="89"/>
      <c r="S5" s="89"/>
      <c r="T5" s="89"/>
      <c r="U5" s="89"/>
    </row>
    <row r="6" spans="1:21" ht="64.8" x14ac:dyDescent="0.3">
      <c r="A6" s="89" t="s">
        <v>79</v>
      </c>
      <c r="B6" s="139" t="s">
        <v>58</v>
      </c>
      <c r="C6" s="137" t="s">
        <v>208</v>
      </c>
      <c r="D6" s="138" t="s">
        <v>94</v>
      </c>
      <c r="E6" s="89"/>
      <c r="F6" s="89"/>
      <c r="G6" s="89"/>
      <c r="H6" s="89"/>
      <c r="I6" s="89"/>
      <c r="J6" s="89"/>
      <c r="K6" s="89"/>
      <c r="L6" s="89"/>
      <c r="M6" s="89"/>
      <c r="N6" s="89"/>
      <c r="O6" s="89"/>
      <c r="P6" s="89"/>
      <c r="Q6" s="89"/>
      <c r="R6" s="89"/>
      <c r="S6" s="89"/>
      <c r="T6" s="89"/>
      <c r="U6" s="89"/>
    </row>
    <row r="7" spans="1:21" ht="97.2" x14ac:dyDescent="0.3">
      <c r="A7" s="89" t="s">
        <v>7</v>
      </c>
      <c r="B7" s="140" t="s">
        <v>59</v>
      </c>
      <c r="C7" s="137" t="s">
        <v>209</v>
      </c>
      <c r="D7" s="138" t="s">
        <v>93</v>
      </c>
      <c r="E7" s="89"/>
      <c r="F7" s="89"/>
      <c r="G7" s="89"/>
      <c r="H7" s="89"/>
      <c r="I7" s="89"/>
      <c r="J7" s="89"/>
      <c r="K7" s="89"/>
      <c r="L7" s="89"/>
      <c r="M7" s="89"/>
      <c r="N7" s="89"/>
      <c r="O7" s="89"/>
      <c r="P7" s="89"/>
      <c r="Q7" s="89"/>
      <c r="R7" s="89"/>
      <c r="S7" s="89"/>
      <c r="T7" s="89"/>
      <c r="U7" s="89"/>
    </row>
    <row r="8" spans="1:21" ht="64.8" x14ac:dyDescent="0.3">
      <c r="A8" s="89" t="s">
        <v>83</v>
      </c>
      <c r="B8" s="141" t="s">
        <v>60</v>
      </c>
      <c r="C8" s="137" t="s">
        <v>206</v>
      </c>
      <c r="D8" s="138" t="s">
        <v>112</v>
      </c>
      <c r="E8" s="89"/>
      <c r="F8" s="89"/>
      <c r="G8" s="89"/>
      <c r="H8" s="89"/>
      <c r="I8" s="89"/>
      <c r="J8" s="89"/>
      <c r="K8" s="89"/>
      <c r="L8" s="89"/>
      <c r="M8" s="89"/>
      <c r="N8" s="89"/>
      <c r="O8" s="89"/>
      <c r="P8" s="89"/>
      <c r="Q8" s="89"/>
      <c r="R8" s="89"/>
      <c r="S8" s="89"/>
      <c r="T8" s="89"/>
      <c r="U8" s="89"/>
    </row>
    <row r="9" spans="1:21" s="23" customFormat="1" ht="20.399999999999999" x14ac:dyDescent="0.3">
      <c r="A9" s="87"/>
      <c r="B9" s="87"/>
      <c r="C9" s="145"/>
      <c r="D9" s="145"/>
      <c r="E9" s="87"/>
      <c r="F9" s="87"/>
      <c r="G9" s="87"/>
      <c r="H9" s="87"/>
      <c r="I9" s="87"/>
      <c r="J9" s="87"/>
      <c r="K9" s="87"/>
      <c r="L9" s="87"/>
      <c r="M9" s="87"/>
      <c r="N9" s="87"/>
      <c r="O9" s="87"/>
      <c r="P9" s="87"/>
      <c r="Q9" s="87"/>
      <c r="R9" s="87"/>
      <c r="S9" s="87"/>
      <c r="T9" s="87"/>
      <c r="U9" s="87"/>
    </row>
    <row r="10" spans="1:21" s="23" customFormat="1" x14ac:dyDescent="0.3">
      <c r="A10" s="87"/>
      <c r="B10" s="146"/>
      <c r="C10" s="146"/>
      <c r="D10" s="146"/>
      <c r="E10" s="87"/>
      <c r="F10" s="87"/>
      <c r="G10" s="87"/>
      <c r="H10" s="87"/>
      <c r="I10" s="87"/>
      <c r="J10" s="87"/>
      <c r="K10" s="87"/>
      <c r="L10" s="87"/>
      <c r="M10" s="87"/>
      <c r="N10" s="87"/>
      <c r="O10" s="87"/>
      <c r="P10" s="87"/>
      <c r="Q10" s="87"/>
      <c r="R10" s="87"/>
      <c r="S10" s="87"/>
      <c r="T10" s="87"/>
      <c r="U10" s="87"/>
    </row>
    <row r="11" spans="1:21" s="23" customFormat="1" x14ac:dyDescent="0.3">
      <c r="A11" s="87"/>
      <c r="B11" s="87" t="s">
        <v>89</v>
      </c>
      <c r="C11" s="87"/>
      <c r="D11" s="87" t="s">
        <v>142</v>
      </c>
      <c r="E11" s="87"/>
      <c r="F11" s="87"/>
      <c r="G11" s="87"/>
      <c r="H11" s="87"/>
      <c r="I11" s="87"/>
      <c r="J11" s="87"/>
      <c r="K11" s="87"/>
      <c r="L11" s="87"/>
      <c r="M11" s="87"/>
      <c r="N11" s="87"/>
      <c r="O11" s="87"/>
      <c r="P11" s="87"/>
      <c r="Q11" s="87"/>
      <c r="R11" s="87"/>
      <c r="S11" s="87"/>
      <c r="T11" s="87"/>
      <c r="U11" s="87"/>
    </row>
    <row r="12" spans="1:21" s="23" customFormat="1" x14ac:dyDescent="0.3">
      <c r="A12" s="87"/>
      <c r="B12" s="87" t="s">
        <v>87</v>
      </c>
      <c r="C12" s="87" t="s">
        <v>207</v>
      </c>
      <c r="D12" s="87" t="s">
        <v>143</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210</v>
      </c>
      <c r="D13" s="87" t="s">
        <v>144</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212</v>
      </c>
      <c r="D14" s="87" t="s">
        <v>145</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211</v>
      </c>
      <c r="D15" s="87" t="s">
        <v>146</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45"/>
      <c r="D22" s="145"/>
      <c r="E22" s="87"/>
      <c r="F22" s="87"/>
      <c r="G22" s="87"/>
      <c r="H22" s="87"/>
      <c r="I22" s="87"/>
      <c r="J22" s="87"/>
      <c r="K22" s="87"/>
      <c r="L22" s="87"/>
      <c r="M22" s="87"/>
      <c r="N22" s="87"/>
      <c r="O22" s="87"/>
    </row>
    <row r="23" spans="1:15" s="23" customFormat="1" ht="20.399999999999999" x14ac:dyDescent="0.3">
      <c r="A23" s="87"/>
      <c r="B23" s="87"/>
      <c r="C23" s="145"/>
      <c r="D23" s="145"/>
      <c r="E23" s="87"/>
      <c r="F23" s="87"/>
      <c r="G23" s="87"/>
      <c r="H23" s="87"/>
      <c r="I23" s="87"/>
      <c r="J23" s="87"/>
      <c r="K23" s="87"/>
      <c r="L23" s="87"/>
      <c r="M23" s="87"/>
      <c r="N23" s="87"/>
      <c r="O23" s="87"/>
    </row>
    <row r="24" spans="1:15" s="23" customFormat="1" ht="20.399999999999999" x14ac:dyDescent="0.3">
      <c r="A24" s="87"/>
      <c r="B24" s="87"/>
      <c r="C24" s="145"/>
      <c r="D24" s="145"/>
      <c r="E24" s="87"/>
      <c r="F24" s="87"/>
      <c r="G24" s="87"/>
      <c r="H24" s="87"/>
      <c r="I24" s="87"/>
      <c r="J24" s="87"/>
      <c r="K24" s="87"/>
      <c r="L24" s="87"/>
      <c r="M24" s="87"/>
      <c r="N24" s="87"/>
      <c r="O24" s="87"/>
    </row>
    <row r="25" spans="1:15" s="23" customFormat="1" ht="20.399999999999999" x14ac:dyDescent="0.3">
      <c r="A25" s="87"/>
      <c r="B25" s="87"/>
      <c r="C25" s="145"/>
      <c r="D25" s="145"/>
      <c r="E25" s="87"/>
      <c r="F25" s="87"/>
      <c r="G25" s="87"/>
      <c r="H25" s="87"/>
      <c r="I25" s="87"/>
      <c r="J25" s="87"/>
      <c r="K25" s="87"/>
      <c r="L25" s="87"/>
      <c r="M25" s="87"/>
      <c r="N25" s="87"/>
      <c r="O25" s="87"/>
    </row>
    <row r="26" spans="1:15" s="23" customFormat="1" ht="20.399999999999999" x14ac:dyDescent="0.3">
      <c r="A26" s="87"/>
      <c r="B26" s="87"/>
      <c r="C26" s="145"/>
      <c r="D26" s="145"/>
      <c r="E26" s="87"/>
      <c r="F26" s="87"/>
      <c r="G26" s="87"/>
      <c r="H26" s="87"/>
      <c r="I26" s="87"/>
      <c r="J26" s="87"/>
      <c r="K26" s="87"/>
      <c r="L26" s="87"/>
      <c r="M26" s="87"/>
      <c r="N26" s="87"/>
      <c r="O26" s="87"/>
    </row>
    <row r="27" spans="1:15" s="23" customFormat="1" ht="20.399999999999999" x14ac:dyDescent="0.3">
      <c r="A27" s="87"/>
      <c r="B27" s="87"/>
      <c r="C27" s="145"/>
      <c r="D27" s="145"/>
      <c r="E27" s="87"/>
      <c r="F27" s="87"/>
      <c r="G27" s="87"/>
      <c r="H27" s="87"/>
      <c r="I27" s="87"/>
      <c r="J27" s="87"/>
      <c r="K27" s="87"/>
      <c r="L27" s="87"/>
      <c r="M27" s="87"/>
      <c r="N27" s="87"/>
      <c r="O27" s="87"/>
    </row>
    <row r="28" spans="1:15" s="23" customFormat="1" ht="20.399999999999999" x14ac:dyDescent="0.3">
      <c r="A28" s="87"/>
      <c r="B28" s="87"/>
      <c r="C28" s="145"/>
      <c r="D28" s="145"/>
      <c r="E28" s="87"/>
      <c r="F28" s="87"/>
      <c r="G28" s="87"/>
      <c r="H28" s="87"/>
      <c r="I28" s="87"/>
      <c r="J28" s="87"/>
      <c r="K28" s="87"/>
      <c r="L28" s="87"/>
      <c r="M28" s="87"/>
      <c r="N28" s="87"/>
      <c r="O28" s="87"/>
    </row>
    <row r="29" spans="1:15" s="23" customFormat="1" ht="20.399999999999999" x14ac:dyDescent="0.3">
      <c r="A29" s="87"/>
      <c r="B29" s="87"/>
      <c r="C29" s="145"/>
      <c r="D29" s="145"/>
      <c r="E29" s="87"/>
      <c r="F29" s="87"/>
      <c r="G29" s="87"/>
      <c r="H29" s="87"/>
      <c r="I29" s="87"/>
      <c r="J29" s="87"/>
      <c r="K29" s="87"/>
      <c r="L29" s="87"/>
      <c r="M29" s="87"/>
      <c r="N29" s="87"/>
      <c r="O29" s="87"/>
    </row>
    <row r="30" spans="1:15" s="23" customFormat="1" ht="20.399999999999999" x14ac:dyDescent="0.3">
      <c r="A30" s="87"/>
      <c r="B30" s="87"/>
      <c r="C30" s="145"/>
      <c r="D30" s="145"/>
      <c r="E30" s="87"/>
      <c r="F30" s="87"/>
      <c r="G30" s="87"/>
      <c r="H30" s="87"/>
      <c r="I30" s="87"/>
      <c r="J30" s="87"/>
      <c r="K30" s="87"/>
      <c r="L30" s="87"/>
      <c r="M30" s="87"/>
      <c r="N30" s="87"/>
      <c r="O30" s="87"/>
    </row>
    <row r="31" spans="1:15" s="23" customFormat="1" ht="20.399999999999999" x14ac:dyDescent="0.3">
      <c r="A31" s="87"/>
      <c r="B31" s="87"/>
      <c r="C31" s="145"/>
      <c r="D31" s="145"/>
      <c r="E31" s="87"/>
      <c r="F31" s="87"/>
      <c r="G31" s="87"/>
      <c r="H31" s="87"/>
      <c r="I31" s="87"/>
      <c r="J31" s="87"/>
      <c r="K31" s="87"/>
      <c r="L31" s="87"/>
      <c r="M31" s="87"/>
      <c r="N31" s="87"/>
      <c r="O31" s="87"/>
    </row>
    <row r="32" spans="1:15" s="23" customFormat="1" ht="20.399999999999999" x14ac:dyDescent="0.3">
      <c r="A32" s="87"/>
      <c r="B32" s="87"/>
      <c r="C32" s="145"/>
      <c r="D32" s="145"/>
      <c r="E32" s="87"/>
      <c r="F32" s="87"/>
      <c r="G32" s="87"/>
      <c r="H32" s="87"/>
      <c r="I32" s="87"/>
      <c r="J32" s="87"/>
      <c r="K32" s="87"/>
      <c r="L32" s="87"/>
      <c r="M32" s="87"/>
      <c r="N32" s="87"/>
      <c r="O32" s="87"/>
    </row>
    <row r="33" spans="1:15" s="23" customFormat="1" ht="20.399999999999999" x14ac:dyDescent="0.3">
      <c r="A33" s="87"/>
      <c r="B33" s="87"/>
      <c r="C33" s="145"/>
      <c r="D33" s="145"/>
      <c r="E33" s="87"/>
      <c r="F33" s="87"/>
      <c r="G33" s="87"/>
      <c r="H33" s="87"/>
      <c r="I33" s="87"/>
      <c r="J33" s="87"/>
      <c r="K33" s="87"/>
      <c r="L33" s="87"/>
      <c r="M33" s="87"/>
      <c r="N33" s="87"/>
      <c r="O33" s="87"/>
    </row>
    <row r="34" spans="1:15" s="23" customFormat="1" ht="20.399999999999999" x14ac:dyDescent="0.3">
      <c r="A34" s="87"/>
      <c r="B34" s="87"/>
      <c r="C34" s="145"/>
      <c r="D34" s="145"/>
      <c r="E34" s="87"/>
      <c r="F34" s="87"/>
      <c r="G34" s="87"/>
      <c r="H34" s="87"/>
      <c r="I34" s="87"/>
      <c r="J34" s="87"/>
      <c r="K34" s="87"/>
      <c r="L34" s="87"/>
      <c r="M34" s="87"/>
      <c r="N34" s="87"/>
      <c r="O34" s="87"/>
    </row>
    <row r="35" spans="1:15" s="23" customFormat="1" ht="20.399999999999999" x14ac:dyDescent="0.3">
      <c r="A35" s="87"/>
      <c r="B35" s="87"/>
      <c r="C35" s="145"/>
      <c r="D35" s="145"/>
      <c r="E35" s="87"/>
      <c r="F35" s="87"/>
      <c r="G35" s="87"/>
      <c r="H35" s="87"/>
      <c r="I35" s="87"/>
      <c r="J35" s="87"/>
      <c r="K35" s="87"/>
      <c r="L35" s="87"/>
      <c r="M35" s="87"/>
      <c r="N35" s="87"/>
      <c r="O35" s="87"/>
    </row>
    <row r="36" spans="1:15" s="23" customFormat="1" ht="20.399999999999999" x14ac:dyDescent="0.3">
      <c r="A36" s="87"/>
      <c r="B36" s="87"/>
      <c r="C36" s="145"/>
      <c r="D36" s="145"/>
      <c r="E36" s="87"/>
      <c r="F36" s="87"/>
      <c r="G36" s="87"/>
      <c r="H36" s="87"/>
      <c r="I36" s="87"/>
      <c r="J36" s="87"/>
      <c r="K36" s="87"/>
      <c r="L36" s="87"/>
      <c r="M36" s="87"/>
      <c r="N36" s="87"/>
      <c r="O36" s="87"/>
    </row>
    <row r="37" spans="1:15" s="23" customFormat="1" ht="20.399999999999999" x14ac:dyDescent="0.3">
      <c r="A37" s="87"/>
      <c r="B37" s="87"/>
      <c r="C37" s="145"/>
      <c r="D37" s="145"/>
      <c r="E37" s="87"/>
      <c r="F37" s="87"/>
      <c r="G37" s="87"/>
      <c r="H37" s="87"/>
      <c r="I37" s="87"/>
      <c r="J37" s="87"/>
      <c r="K37" s="87"/>
      <c r="L37" s="87"/>
      <c r="M37" s="87"/>
      <c r="N37" s="87"/>
      <c r="O37" s="87"/>
    </row>
    <row r="38" spans="1:15" s="23" customFormat="1" ht="20.399999999999999" x14ac:dyDescent="0.3">
      <c r="A38" s="87"/>
      <c r="B38" s="87"/>
      <c r="C38" s="145"/>
      <c r="D38" s="145"/>
      <c r="E38" s="87"/>
      <c r="F38" s="87"/>
      <c r="G38" s="87"/>
      <c r="H38" s="87"/>
      <c r="I38" s="87"/>
      <c r="J38" s="87"/>
      <c r="K38" s="87"/>
      <c r="L38" s="87"/>
      <c r="M38" s="87"/>
      <c r="N38" s="87"/>
      <c r="O38" s="87"/>
    </row>
    <row r="39" spans="1:15" s="23" customFormat="1" ht="20.399999999999999" x14ac:dyDescent="0.3">
      <c r="A39" s="87"/>
      <c r="B39" s="87"/>
      <c r="C39" s="145"/>
      <c r="D39" s="145"/>
      <c r="E39" s="87"/>
      <c r="F39" s="87"/>
      <c r="G39" s="87"/>
      <c r="H39" s="87"/>
      <c r="I39" s="87"/>
      <c r="J39" s="87"/>
      <c r="K39" s="87"/>
      <c r="L39" s="87"/>
      <c r="M39" s="87"/>
      <c r="N39" s="87"/>
      <c r="O39" s="87"/>
    </row>
    <row r="40" spans="1:15" s="23" customFormat="1" ht="20.399999999999999" x14ac:dyDescent="0.3">
      <c r="A40" s="87"/>
      <c r="B40" s="87"/>
      <c r="C40" s="145"/>
      <c r="D40" s="145"/>
      <c r="E40" s="87"/>
      <c r="F40" s="87"/>
      <c r="G40" s="87"/>
      <c r="H40" s="87"/>
      <c r="I40" s="87"/>
      <c r="J40" s="87"/>
      <c r="K40" s="87"/>
      <c r="L40" s="87"/>
      <c r="M40" s="87"/>
      <c r="N40" s="87"/>
      <c r="O40" s="87"/>
    </row>
    <row r="41" spans="1:15" s="23" customFormat="1" ht="20.399999999999999" x14ac:dyDescent="0.3">
      <c r="A41" s="87"/>
      <c r="B41" s="87"/>
      <c r="C41" s="145"/>
      <c r="D41" s="145"/>
      <c r="E41" s="87"/>
      <c r="F41" s="87"/>
      <c r="G41" s="87"/>
      <c r="H41" s="87"/>
      <c r="I41" s="87"/>
      <c r="J41" s="87"/>
      <c r="K41" s="87"/>
      <c r="L41" s="87"/>
      <c r="M41" s="87"/>
      <c r="N41" s="87"/>
      <c r="O41" s="87"/>
    </row>
    <row r="42" spans="1:15" s="23" customFormat="1" ht="20.399999999999999" x14ac:dyDescent="0.3">
      <c r="A42" s="87"/>
      <c r="B42" s="87"/>
      <c r="C42" s="145"/>
      <c r="D42" s="145"/>
      <c r="E42" s="87"/>
      <c r="F42" s="87"/>
      <c r="G42" s="87"/>
      <c r="H42" s="87"/>
      <c r="I42" s="87"/>
      <c r="J42" s="87"/>
      <c r="K42" s="87"/>
      <c r="L42" s="87"/>
      <c r="M42" s="87"/>
      <c r="N42" s="87"/>
      <c r="O42" s="87"/>
    </row>
    <row r="43" spans="1:15" s="23" customFormat="1" ht="20.399999999999999" x14ac:dyDescent="0.3">
      <c r="A43" s="87"/>
      <c r="B43" s="87"/>
      <c r="C43" s="145"/>
      <c r="D43" s="145"/>
      <c r="E43" s="87"/>
      <c r="F43" s="87"/>
      <c r="G43" s="87"/>
      <c r="H43" s="87"/>
      <c r="I43" s="87"/>
      <c r="J43" s="87"/>
      <c r="K43" s="87"/>
      <c r="L43" s="87"/>
      <c r="M43" s="87"/>
      <c r="N43" s="87"/>
      <c r="O43" s="87"/>
    </row>
    <row r="44" spans="1:15" s="23" customFormat="1" ht="20.399999999999999" x14ac:dyDescent="0.3">
      <c r="A44" s="87"/>
      <c r="B44" s="87"/>
      <c r="C44" s="145"/>
      <c r="D44" s="145"/>
      <c r="E44" s="87"/>
      <c r="F44" s="87"/>
      <c r="G44" s="87"/>
      <c r="H44" s="87"/>
      <c r="I44" s="87"/>
      <c r="J44" s="87"/>
      <c r="K44" s="87"/>
      <c r="L44" s="87"/>
      <c r="M44" s="87"/>
      <c r="N44" s="87"/>
      <c r="O44" s="87"/>
    </row>
    <row r="45" spans="1:15" s="23" customFormat="1" ht="20.399999999999999" x14ac:dyDescent="0.3">
      <c r="A45" s="87"/>
      <c r="B45" s="87"/>
      <c r="C45" s="145"/>
      <c r="D45" s="145"/>
      <c r="E45" s="87"/>
      <c r="F45" s="87"/>
      <c r="G45" s="87"/>
      <c r="H45" s="87"/>
      <c r="I45" s="87"/>
      <c r="J45" s="87"/>
      <c r="K45" s="87"/>
      <c r="L45" s="87"/>
      <c r="M45" s="87"/>
      <c r="N45" s="87"/>
      <c r="O45" s="87"/>
    </row>
    <row r="46" spans="1:15" s="23" customFormat="1" ht="20.399999999999999" x14ac:dyDescent="0.3">
      <c r="A46" s="87"/>
      <c r="B46" s="87"/>
      <c r="C46" s="145"/>
      <c r="D46" s="145"/>
      <c r="E46" s="87"/>
      <c r="F46" s="87"/>
      <c r="G46" s="87"/>
      <c r="H46" s="87"/>
      <c r="I46" s="87"/>
      <c r="J46" s="87"/>
      <c r="K46" s="87"/>
      <c r="L46" s="87"/>
      <c r="M46" s="87"/>
      <c r="N46" s="87"/>
      <c r="O46" s="87"/>
    </row>
    <row r="47" spans="1:15" s="23" customFormat="1" ht="20.399999999999999" x14ac:dyDescent="0.3">
      <c r="A47" s="87"/>
      <c r="B47" s="87"/>
      <c r="C47" s="145"/>
      <c r="D47" s="145"/>
      <c r="E47" s="87"/>
      <c r="F47" s="87"/>
      <c r="G47" s="87"/>
      <c r="H47" s="87"/>
      <c r="I47" s="87"/>
      <c r="J47" s="87"/>
      <c r="K47" s="87"/>
      <c r="L47" s="87"/>
      <c r="M47" s="87"/>
      <c r="N47" s="87"/>
      <c r="O47" s="87"/>
    </row>
    <row r="48" spans="1:15" s="23" customFormat="1" ht="20.399999999999999" x14ac:dyDescent="0.3">
      <c r="A48" s="87"/>
      <c r="B48" s="87"/>
      <c r="C48" s="145"/>
      <c r="D48" s="145"/>
      <c r="E48" s="87"/>
      <c r="F48" s="87"/>
      <c r="G48" s="87"/>
      <c r="H48" s="87"/>
      <c r="I48" s="87"/>
      <c r="J48" s="87"/>
      <c r="K48" s="87"/>
      <c r="L48" s="87"/>
      <c r="M48" s="87"/>
      <c r="N48" s="87"/>
      <c r="O48" s="87"/>
    </row>
    <row r="49" spans="1:15" s="23" customFormat="1" ht="20.399999999999999" x14ac:dyDescent="0.3">
      <c r="A49" s="87"/>
      <c r="B49" s="87"/>
      <c r="C49" s="145"/>
      <c r="D49" s="145"/>
      <c r="E49" s="87"/>
      <c r="F49" s="87"/>
      <c r="G49" s="87"/>
      <c r="H49" s="87"/>
      <c r="I49" s="87"/>
      <c r="J49" s="87"/>
      <c r="K49" s="87"/>
      <c r="L49" s="87"/>
      <c r="M49" s="87"/>
      <c r="N49" s="87"/>
      <c r="O49" s="87"/>
    </row>
    <row r="50" spans="1:15" s="23" customFormat="1" ht="20.399999999999999" x14ac:dyDescent="0.3">
      <c r="A50" s="87"/>
      <c r="B50" s="87"/>
      <c r="C50" s="145"/>
      <c r="D50" s="145"/>
      <c r="E50" s="87"/>
      <c r="F50" s="87"/>
      <c r="G50" s="87"/>
      <c r="H50" s="87"/>
      <c r="I50" s="87"/>
      <c r="J50" s="87"/>
      <c r="K50" s="87"/>
      <c r="L50" s="87"/>
      <c r="M50" s="87"/>
      <c r="N50" s="87"/>
      <c r="O50" s="87"/>
    </row>
    <row r="51" spans="1:15" s="23" customFormat="1" ht="20.399999999999999" x14ac:dyDescent="0.3">
      <c r="A51" s="87"/>
      <c r="B51" s="87"/>
      <c r="C51" s="145"/>
      <c r="D51" s="145"/>
      <c r="E51" s="87"/>
      <c r="F51" s="87"/>
      <c r="G51" s="87"/>
      <c r="H51" s="87"/>
      <c r="I51" s="87"/>
      <c r="J51" s="87"/>
      <c r="K51" s="87"/>
      <c r="L51" s="87"/>
      <c r="M51" s="87"/>
      <c r="N51" s="87"/>
      <c r="O51" s="87"/>
    </row>
    <row r="52" spans="1:15" s="23" customFormat="1" ht="20.399999999999999" x14ac:dyDescent="0.3">
      <c r="A52" s="87"/>
      <c r="C52" s="147"/>
      <c r="D52" s="147"/>
    </row>
    <row r="53" spans="1:15" s="23" customFormat="1" ht="20.399999999999999" x14ac:dyDescent="0.3">
      <c r="A53" s="87"/>
      <c r="C53" s="147"/>
      <c r="D53" s="147"/>
    </row>
    <row r="54" spans="1:15" s="23" customFormat="1" ht="20.399999999999999" x14ac:dyDescent="0.3">
      <c r="A54" s="87"/>
      <c r="C54" s="147"/>
      <c r="D54" s="147"/>
    </row>
    <row r="55" spans="1:15" s="23" customFormat="1" ht="20.399999999999999" x14ac:dyDescent="0.3">
      <c r="A55" s="87"/>
      <c r="C55" s="147"/>
      <c r="D55" s="147"/>
    </row>
    <row r="56" spans="1:15" s="23" customFormat="1" ht="20.399999999999999" x14ac:dyDescent="0.3">
      <c r="A56" s="87"/>
      <c r="C56" s="147"/>
      <c r="D56" s="147"/>
    </row>
    <row r="57" spans="1:15" s="23" customFormat="1" ht="20.399999999999999" x14ac:dyDescent="0.3">
      <c r="A57" s="87"/>
      <c r="C57" s="147"/>
      <c r="D57" s="147"/>
    </row>
    <row r="58" spans="1:15" s="23" customFormat="1" ht="20.399999999999999" x14ac:dyDescent="0.3">
      <c r="A58" s="87"/>
      <c r="C58" s="147"/>
      <c r="D58" s="147"/>
    </row>
    <row r="59" spans="1:15" s="23" customFormat="1" ht="20.399999999999999" x14ac:dyDescent="0.3">
      <c r="A59" s="87"/>
      <c r="C59" s="147"/>
      <c r="D59" s="147"/>
    </row>
    <row r="60" spans="1:15" s="23" customFormat="1" ht="20.399999999999999" x14ac:dyDescent="0.3">
      <c r="A60" s="87"/>
      <c r="C60" s="147"/>
      <c r="D60" s="147"/>
    </row>
    <row r="61" spans="1:15" s="23" customFormat="1" ht="20.399999999999999" x14ac:dyDescent="0.3">
      <c r="A61" s="87"/>
      <c r="C61" s="147"/>
      <c r="D61" s="147"/>
    </row>
    <row r="62" spans="1:15" s="23" customFormat="1" ht="20.399999999999999" x14ac:dyDescent="0.3">
      <c r="A62" s="87"/>
      <c r="C62" s="147"/>
      <c r="D62" s="147"/>
    </row>
    <row r="63" spans="1:15" s="23" customFormat="1" ht="20.399999999999999" x14ac:dyDescent="0.3">
      <c r="A63" s="87"/>
      <c r="C63" s="147"/>
      <c r="D63" s="147"/>
    </row>
    <row r="64" spans="1:15" s="23" customFormat="1" ht="20.399999999999999" x14ac:dyDescent="0.3">
      <c r="A64" s="87"/>
      <c r="C64" s="147"/>
      <c r="D64" s="147"/>
    </row>
    <row r="65" spans="1:4" s="23" customFormat="1" ht="20.399999999999999" x14ac:dyDescent="0.3">
      <c r="A65" s="87"/>
      <c r="C65" s="147"/>
      <c r="D65" s="147"/>
    </row>
    <row r="66" spans="1:4" s="23" customFormat="1" ht="20.399999999999999" x14ac:dyDescent="0.3">
      <c r="A66" s="87"/>
      <c r="C66" s="147"/>
      <c r="D66" s="147"/>
    </row>
    <row r="67" spans="1:4" s="23" customFormat="1" ht="20.399999999999999" x14ac:dyDescent="0.3">
      <c r="A67" s="87"/>
      <c r="C67" s="147"/>
      <c r="D67" s="147"/>
    </row>
    <row r="68" spans="1:4" s="23" customFormat="1" ht="20.399999999999999" x14ac:dyDescent="0.3">
      <c r="A68" s="87"/>
      <c r="C68" s="147"/>
      <c r="D68" s="147"/>
    </row>
    <row r="69" spans="1:4" s="23" customFormat="1" ht="20.399999999999999" x14ac:dyDescent="0.3">
      <c r="A69" s="87"/>
      <c r="C69" s="147"/>
      <c r="D69" s="147"/>
    </row>
    <row r="70" spans="1:4" s="23" customFormat="1" ht="20.399999999999999" x14ac:dyDescent="0.3">
      <c r="A70" s="87"/>
      <c r="C70" s="147"/>
      <c r="D70" s="147"/>
    </row>
    <row r="71" spans="1:4" s="23" customFormat="1" ht="20.399999999999999" x14ac:dyDescent="0.3">
      <c r="A71" s="87"/>
      <c r="C71" s="147"/>
      <c r="D71" s="147"/>
    </row>
    <row r="72" spans="1:4" s="23" customFormat="1" ht="20.399999999999999" x14ac:dyDescent="0.3">
      <c r="A72" s="87"/>
      <c r="C72" s="147"/>
      <c r="D72" s="147"/>
    </row>
    <row r="73" spans="1:4" s="23" customFormat="1" ht="20.399999999999999" x14ac:dyDescent="0.3">
      <c r="A73" s="87"/>
      <c r="C73" s="147"/>
      <c r="D73" s="147"/>
    </row>
    <row r="74" spans="1:4" s="23" customFormat="1" ht="20.399999999999999" x14ac:dyDescent="0.3">
      <c r="A74" s="87"/>
      <c r="C74" s="147"/>
      <c r="D74" s="147"/>
    </row>
    <row r="75" spans="1:4" s="23" customFormat="1" ht="20.399999999999999" x14ac:dyDescent="0.3">
      <c r="A75" s="87"/>
      <c r="C75" s="147"/>
      <c r="D75" s="147"/>
    </row>
    <row r="76" spans="1:4" s="23" customFormat="1" ht="20.399999999999999" x14ac:dyDescent="0.3">
      <c r="A76" s="87"/>
      <c r="C76" s="147"/>
      <c r="D76" s="147"/>
    </row>
    <row r="77" spans="1:4" s="23" customFormat="1" ht="20.399999999999999" x14ac:dyDescent="0.3">
      <c r="A77" s="87"/>
      <c r="C77" s="147"/>
      <c r="D77" s="147"/>
    </row>
    <row r="78" spans="1:4" s="23" customFormat="1" ht="20.399999999999999" x14ac:dyDescent="0.3">
      <c r="A78" s="87"/>
      <c r="C78" s="147"/>
      <c r="D78" s="147"/>
    </row>
    <row r="79" spans="1:4" s="23" customFormat="1" ht="20.399999999999999" x14ac:dyDescent="0.3">
      <c r="A79" s="87"/>
      <c r="C79" s="147"/>
      <c r="D79" s="147"/>
    </row>
    <row r="80" spans="1:4" s="23" customFormat="1" ht="20.399999999999999" x14ac:dyDescent="0.3">
      <c r="A80" s="87"/>
      <c r="C80" s="147"/>
      <c r="D80" s="147"/>
    </row>
    <row r="81" spans="1:4" s="23" customFormat="1" ht="20.399999999999999" x14ac:dyDescent="0.3">
      <c r="A81" s="87"/>
      <c r="C81" s="147"/>
      <c r="D81" s="147"/>
    </row>
    <row r="82" spans="1:4" s="23" customFormat="1" ht="20.399999999999999" x14ac:dyDescent="0.3">
      <c r="A82" s="87"/>
      <c r="C82" s="147"/>
      <c r="D82" s="147"/>
    </row>
    <row r="83" spans="1:4" s="23" customFormat="1" ht="20.399999999999999" x14ac:dyDescent="0.3">
      <c r="A83" s="87"/>
      <c r="C83" s="147"/>
      <c r="D83" s="147"/>
    </row>
    <row r="84" spans="1:4" s="23" customFormat="1" ht="20.399999999999999" x14ac:dyDescent="0.3">
      <c r="A84" s="87"/>
      <c r="C84" s="147"/>
      <c r="D84" s="147"/>
    </row>
    <row r="85" spans="1:4" s="23" customFormat="1" ht="20.399999999999999" x14ac:dyDescent="0.3">
      <c r="A85" s="87"/>
      <c r="C85" s="147"/>
      <c r="D85" s="147"/>
    </row>
    <row r="86" spans="1:4" s="23" customFormat="1" ht="20.399999999999999" x14ac:dyDescent="0.3">
      <c r="A86" s="87"/>
      <c r="C86" s="147"/>
      <c r="D86" s="147"/>
    </row>
    <row r="87" spans="1:4" s="23" customFormat="1" ht="20.399999999999999" x14ac:dyDescent="0.3">
      <c r="A87" s="87"/>
      <c r="C87" s="147"/>
      <c r="D87" s="147"/>
    </row>
    <row r="88" spans="1:4" s="23" customFormat="1" ht="20.399999999999999" x14ac:dyDescent="0.3">
      <c r="A88" s="87"/>
      <c r="C88" s="147"/>
      <c r="D88" s="147"/>
    </row>
    <row r="89" spans="1:4" s="23" customFormat="1" ht="20.399999999999999" x14ac:dyDescent="0.3">
      <c r="A89" s="87"/>
      <c r="C89" s="147"/>
      <c r="D89" s="147"/>
    </row>
    <row r="90" spans="1:4" s="23" customFormat="1" ht="20.399999999999999" x14ac:dyDescent="0.3">
      <c r="A90" s="87"/>
      <c r="C90" s="147"/>
      <c r="D90" s="147"/>
    </row>
    <row r="91" spans="1:4" s="23" customFormat="1" ht="20.399999999999999" x14ac:dyDescent="0.3">
      <c r="A91" s="87"/>
      <c r="C91" s="147"/>
      <c r="D91" s="147"/>
    </row>
    <row r="92" spans="1:4" s="23" customFormat="1" ht="20.399999999999999" x14ac:dyDescent="0.3">
      <c r="A92" s="87"/>
      <c r="C92" s="147"/>
      <c r="D92" s="147"/>
    </row>
    <row r="93" spans="1:4" s="23" customFormat="1" ht="20.399999999999999" x14ac:dyDescent="0.3">
      <c r="A93" s="87"/>
      <c r="C93" s="147"/>
      <c r="D93" s="147"/>
    </row>
    <row r="94" spans="1:4" s="23" customFormat="1" ht="20.399999999999999" x14ac:dyDescent="0.3">
      <c r="A94" s="87"/>
      <c r="C94" s="147"/>
      <c r="D94" s="147"/>
    </row>
    <row r="95" spans="1:4" s="23" customFormat="1" ht="20.399999999999999" x14ac:dyDescent="0.3">
      <c r="A95" s="87"/>
      <c r="C95" s="147"/>
      <c r="D95" s="147"/>
    </row>
    <row r="96" spans="1:4" s="23" customFormat="1" ht="20.399999999999999" x14ac:dyDescent="0.3">
      <c r="A96" s="87"/>
      <c r="C96" s="147"/>
      <c r="D96" s="147"/>
    </row>
    <row r="97" spans="1:4" s="23" customFormat="1" ht="20.399999999999999" x14ac:dyDescent="0.3">
      <c r="A97" s="87"/>
      <c r="C97" s="147"/>
      <c r="D97" s="147"/>
    </row>
    <row r="98" spans="1:4" s="23" customFormat="1" ht="20.399999999999999" x14ac:dyDescent="0.3">
      <c r="A98" s="87"/>
      <c r="C98" s="147"/>
      <c r="D98" s="147"/>
    </row>
    <row r="99" spans="1:4" s="23" customFormat="1" ht="20.399999999999999" x14ac:dyDescent="0.3">
      <c r="A99" s="87"/>
      <c r="C99" s="147"/>
      <c r="D99" s="147"/>
    </row>
    <row r="100" spans="1:4" s="23" customFormat="1" ht="20.399999999999999" x14ac:dyDescent="0.3">
      <c r="A100" s="87"/>
      <c r="C100" s="147"/>
      <c r="D100" s="147"/>
    </row>
    <row r="101" spans="1:4" s="23" customFormat="1" ht="20.399999999999999" x14ac:dyDescent="0.3">
      <c r="A101" s="87"/>
      <c r="C101" s="147"/>
      <c r="D101" s="147"/>
    </row>
    <row r="102" spans="1:4" s="23" customFormat="1" ht="20.399999999999999" x14ac:dyDescent="0.3">
      <c r="A102" s="87"/>
      <c r="C102" s="147"/>
      <c r="D102" s="147"/>
    </row>
    <row r="103" spans="1:4" s="23" customFormat="1" ht="20.399999999999999" x14ac:dyDescent="0.3">
      <c r="A103" s="87"/>
      <c r="C103" s="147"/>
      <c r="D103" s="147"/>
    </row>
    <row r="104" spans="1:4" s="23" customFormat="1" ht="20.399999999999999" x14ac:dyDescent="0.3">
      <c r="A104" s="87"/>
      <c r="C104" s="147"/>
      <c r="D104" s="147"/>
    </row>
    <row r="105" spans="1:4" s="23" customFormat="1" ht="20.399999999999999" x14ac:dyDescent="0.3">
      <c r="A105" s="87"/>
      <c r="C105" s="147"/>
      <c r="D105" s="147"/>
    </row>
    <row r="106" spans="1:4" s="23" customFormat="1" ht="20.399999999999999" x14ac:dyDescent="0.3">
      <c r="A106" s="87"/>
      <c r="C106" s="147"/>
      <c r="D106" s="147"/>
    </row>
    <row r="107" spans="1:4" s="23" customFormat="1" ht="20.399999999999999" x14ac:dyDescent="0.3">
      <c r="A107" s="87"/>
      <c r="C107" s="147"/>
      <c r="D107" s="147"/>
    </row>
    <row r="108" spans="1:4" s="23" customFormat="1" ht="20.399999999999999" x14ac:dyDescent="0.3">
      <c r="A108" s="87"/>
      <c r="C108" s="147"/>
      <c r="D108" s="147"/>
    </row>
    <row r="109" spans="1:4" s="23" customFormat="1" ht="20.399999999999999" x14ac:dyDescent="0.3">
      <c r="A109" s="87"/>
      <c r="C109" s="147"/>
      <c r="D109" s="147"/>
    </row>
    <row r="110" spans="1:4" s="23" customFormat="1" ht="20.399999999999999" x14ac:dyDescent="0.3">
      <c r="A110" s="87"/>
      <c r="C110" s="147"/>
      <c r="D110" s="147"/>
    </row>
    <row r="111" spans="1:4" s="23" customFormat="1" ht="20.399999999999999" x14ac:dyDescent="0.3">
      <c r="A111" s="87"/>
      <c r="C111" s="147"/>
      <c r="D111" s="147"/>
    </row>
    <row r="112" spans="1:4" s="23" customFormat="1" ht="20.399999999999999" x14ac:dyDescent="0.3">
      <c r="A112" s="87"/>
      <c r="C112" s="147"/>
      <c r="D112" s="147"/>
    </row>
    <row r="113" spans="1:4" s="23" customFormat="1" ht="20.399999999999999" x14ac:dyDescent="0.3">
      <c r="A113" s="87"/>
      <c r="C113" s="147"/>
      <c r="D113" s="147"/>
    </row>
    <row r="114" spans="1:4" s="23" customFormat="1" ht="20.399999999999999" x14ac:dyDescent="0.3">
      <c r="A114" s="87"/>
      <c r="C114" s="147"/>
      <c r="D114" s="147"/>
    </row>
    <row r="115" spans="1:4" s="23" customFormat="1" ht="20.399999999999999" x14ac:dyDescent="0.3">
      <c r="A115" s="87"/>
      <c r="C115" s="147"/>
      <c r="D115" s="147"/>
    </row>
    <row r="116" spans="1:4" s="23" customFormat="1" ht="20.399999999999999" x14ac:dyDescent="0.3">
      <c r="A116" s="87"/>
      <c r="C116" s="147"/>
      <c r="D116" s="147"/>
    </row>
    <row r="117" spans="1:4" s="23" customFormat="1" ht="20.399999999999999" x14ac:dyDescent="0.3">
      <c r="A117" s="87"/>
      <c r="C117" s="147"/>
      <c r="D117" s="147"/>
    </row>
    <row r="118" spans="1:4" s="23" customFormat="1" ht="20.399999999999999" x14ac:dyDescent="0.3">
      <c r="A118" s="87"/>
      <c r="C118" s="147"/>
      <c r="D118" s="147"/>
    </row>
    <row r="119" spans="1:4" s="23" customFormat="1" ht="20.399999999999999" x14ac:dyDescent="0.3">
      <c r="A119" s="87"/>
      <c r="C119" s="147"/>
      <c r="D119" s="147"/>
    </row>
    <row r="120" spans="1:4" s="23" customFormat="1" ht="20.399999999999999" x14ac:dyDescent="0.3">
      <c r="A120" s="87"/>
      <c r="C120" s="147"/>
      <c r="D120" s="147"/>
    </row>
    <row r="121" spans="1:4" s="23" customFormat="1" ht="20.399999999999999" x14ac:dyDescent="0.3">
      <c r="A121" s="87"/>
      <c r="C121" s="147"/>
      <c r="D121" s="147"/>
    </row>
    <row r="122" spans="1:4" s="23" customFormat="1" ht="20.399999999999999" x14ac:dyDescent="0.3">
      <c r="A122" s="87"/>
      <c r="C122" s="147"/>
      <c r="D122" s="147"/>
    </row>
    <row r="123" spans="1:4" s="23" customFormat="1" ht="20.399999999999999" x14ac:dyDescent="0.3">
      <c r="A123" s="87"/>
      <c r="C123" s="147"/>
      <c r="D123" s="147"/>
    </row>
    <row r="124" spans="1:4" s="23" customFormat="1" ht="20.399999999999999" x14ac:dyDescent="0.3">
      <c r="A124" s="87"/>
      <c r="C124" s="147"/>
      <c r="D124" s="147"/>
    </row>
    <row r="125" spans="1:4" s="23" customFormat="1" ht="20.399999999999999" x14ac:dyDescent="0.3">
      <c r="A125" s="87"/>
      <c r="C125" s="147"/>
      <c r="D125" s="147"/>
    </row>
    <row r="126" spans="1:4" s="23" customFormat="1" ht="20.399999999999999" x14ac:dyDescent="0.3">
      <c r="A126" s="87"/>
      <c r="C126" s="147"/>
      <c r="D126" s="147"/>
    </row>
    <row r="127" spans="1:4" s="23" customFormat="1" ht="20.399999999999999" x14ac:dyDescent="0.3">
      <c r="A127" s="87"/>
      <c r="C127" s="147"/>
      <c r="D127" s="147"/>
    </row>
    <row r="128" spans="1:4" s="23" customFormat="1" ht="20.399999999999999" x14ac:dyDescent="0.3">
      <c r="A128" s="87"/>
      <c r="C128" s="147"/>
      <c r="D128" s="147"/>
    </row>
    <row r="129" spans="1:4" s="23" customFormat="1" ht="20.399999999999999" x14ac:dyDescent="0.3">
      <c r="A129" s="87"/>
      <c r="C129" s="147"/>
      <c r="D129" s="147"/>
    </row>
    <row r="130" spans="1:4" s="23" customFormat="1" ht="20.399999999999999" x14ac:dyDescent="0.3">
      <c r="A130" s="87"/>
      <c r="C130" s="147"/>
      <c r="D130" s="147"/>
    </row>
    <row r="131" spans="1:4" s="23" customFormat="1" ht="20.399999999999999" x14ac:dyDescent="0.3">
      <c r="A131" s="87"/>
      <c r="C131" s="147"/>
      <c r="D131" s="147"/>
    </row>
    <row r="132" spans="1:4" s="23" customFormat="1" ht="20.399999999999999" x14ac:dyDescent="0.3">
      <c r="A132" s="87"/>
      <c r="C132" s="147"/>
      <c r="D132" s="147"/>
    </row>
    <row r="133" spans="1:4" s="23" customFormat="1" ht="20.399999999999999" x14ac:dyDescent="0.3">
      <c r="A133" s="87"/>
      <c r="C133" s="147"/>
      <c r="D133" s="147"/>
    </row>
    <row r="134" spans="1:4" s="23" customFormat="1" ht="20.399999999999999" x14ac:dyDescent="0.3">
      <c r="A134" s="87"/>
      <c r="C134" s="147"/>
      <c r="D134" s="147"/>
    </row>
    <row r="135" spans="1:4" s="23" customFormat="1" ht="20.399999999999999" x14ac:dyDescent="0.3">
      <c r="A135" s="87"/>
      <c r="C135" s="147"/>
      <c r="D135" s="147"/>
    </row>
    <row r="136" spans="1:4" s="23" customFormat="1" ht="20.399999999999999" x14ac:dyDescent="0.3">
      <c r="A136" s="87"/>
      <c r="C136" s="147"/>
      <c r="D136" s="147"/>
    </row>
    <row r="137" spans="1:4" s="23" customFormat="1" ht="20.399999999999999" x14ac:dyDescent="0.3">
      <c r="A137" s="87"/>
      <c r="C137" s="147"/>
      <c r="D137" s="147"/>
    </row>
    <row r="138" spans="1:4" s="23" customFormat="1" ht="20.399999999999999" x14ac:dyDescent="0.3">
      <c r="A138" s="87"/>
      <c r="C138" s="147"/>
      <c r="D138" s="147"/>
    </row>
    <row r="139" spans="1:4" s="23" customFormat="1" ht="20.399999999999999" x14ac:dyDescent="0.3">
      <c r="A139" s="87"/>
      <c r="C139" s="147"/>
      <c r="D139" s="147"/>
    </row>
    <row r="140" spans="1:4" s="23" customFormat="1" ht="20.399999999999999" x14ac:dyDescent="0.3">
      <c r="A140" s="87"/>
      <c r="C140" s="147"/>
      <c r="D140" s="147"/>
    </row>
    <row r="141" spans="1:4" s="23" customFormat="1" ht="20.399999999999999" x14ac:dyDescent="0.3">
      <c r="A141" s="87"/>
      <c r="C141" s="147"/>
      <c r="D141" s="147"/>
    </row>
    <row r="142" spans="1:4" s="23" customFormat="1" ht="20.399999999999999" x14ac:dyDescent="0.3">
      <c r="A142" s="87"/>
      <c r="C142" s="147"/>
      <c r="D142" s="147"/>
    </row>
    <row r="143" spans="1:4" s="23" customFormat="1" ht="20.399999999999999" x14ac:dyDescent="0.3">
      <c r="A143" s="87"/>
      <c r="C143" s="147"/>
      <c r="D143" s="147"/>
    </row>
    <row r="144" spans="1:4" s="23" customFormat="1" ht="20.399999999999999" x14ac:dyDescent="0.3">
      <c r="A144" s="87"/>
      <c r="C144" s="147"/>
      <c r="D144" s="147"/>
    </row>
    <row r="145" spans="1:4" s="23" customFormat="1" ht="20.399999999999999" x14ac:dyDescent="0.3">
      <c r="A145" s="87"/>
      <c r="C145" s="147"/>
      <c r="D145" s="147"/>
    </row>
    <row r="146" spans="1:4" s="23" customFormat="1" ht="20.399999999999999" x14ac:dyDescent="0.3">
      <c r="A146" s="87"/>
      <c r="C146" s="147"/>
      <c r="D146" s="147"/>
    </row>
    <row r="147" spans="1:4" s="23" customFormat="1" ht="20.399999999999999" x14ac:dyDescent="0.3">
      <c r="A147" s="87"/>
      <c r="C147" s="147"/>
      <c r="D147" s="147"/>
    </row>
    <row r="148" spans="1:4" s="23" customFormat="1" ht="20.399999999999999" x14ac:dyDescent="0.3">
      <c r="A148" s="87"/>
      <c r="C148" s="147"/>
      <c r="D148" s="147"/>
    </row>
    <row r="149" spans="1:4" s="23" customFormat="1" ht="20.399999999999999" x14ac:dyDescent="0.3">
      <c r="A149" s="87"/>
      <c r="C149" s="147"/>
      <c r="D149" s="147"/>
    </row>
    <row r="150" spans="1:4" s="23" customFormat="1" ht="20.399999999999999" x14ac:dyDescent="0.3">
      <c r="A150" s="87"/>
      <c r="C150" s="147"/>
      <c r="D150" s="147"/>
    </row>
    <row r="151" spans="1:4" s="23" customFormat="1" ht="20.399999999999999" x14ac:dyDescent="0.3">
      <c r="A151" s="87"/>
      <c r="C151" s="147"/>
      <c r="D151" s="147"/>
    </row>
    <row r="152" spans="1:4" s="23" customFormat="1" ht="20.399999999999999" x14ac:dyDescent="0.3">
      <c r="A152" s="87"/>
      <c r="C152" s="147"/>
      <c r="D152" s="147"/>
    </row>
    <row r="153" spans="1:4" s="23" customFormat="1" ht="20.399999999999999" x14ac:dyDescent="0.3">
      <c r="A153" s="87"/>
      <c r="C153" s="147"/>
      <c r="D153" s="147"/>
    </row>
    <row r="154" spans="1:4" s="23" customFormat="1" ht="20.399999999999999" x14ac:dyDescent="0.3">
      <c r="A154" s="87"/>
      <c r="C154" s="147"/>
      <c r="D154" s="147"/>
    </row>
    <row r="155" spans="1:4" s="23" customFormat="1" ht="20.399999999999999" x14ac:dyDescent="0.3">
      <c r="A155" s="87"/>
      <c r="C155" s="147"/>
      <c r="D155" s="147"/>
    </row>
    <row r="156" spans="1:4" s="23" customFormat="1" ht="20.399999999999999" x14ac:dyDescent="0.3">
      <c r="A156" s="87"/>
      <c r="C156" s="147"/>
      <c r="D156" s="147"/>
    </row>
    <row r="157" spans="1:4" s="23" customFormat="1" ht="20.399999999999999" x14ac:dyDescent="0.3">
      <c r="A157" s="87"/>
      <c r="C157" s="147"/>
      <c r="D157" s="147"/>
    </row>
    <row r="158" spans="1:4" s="23" customFormat="1" ht="20.399999999999999" x14ac:dyDescent="0.3">
      <c r="A158" s="87"/>
      <c r="C158" s="147"/>
      <c r="D158" s="147"/>
    </row>
    <row r="159" spans="1:4" s="23" customFormat="1" ht="20.399999999999999" x14ac:dyDescent="0.3">
      <c r="A159" s="87"/>
      <c r="C159" s="147"/>
      <c r="D159" s="147"/>
    </row>
    <row r="160" spans="1:4" s="23" customFormat="1" ht="20.399999999999999" x14ac:dyDescent="0.3">
      <c r="A160" s="87"/>
      <c r="C160" s="147"/>
      <c r="D160" s="147"/>
    </row>
    <row r="161" spans="1:4" s="23" customFormat="1" ht="20.399999999999999" x14ac:dyDescent="0.3">
      <c r="A161" s="87"/>
      <c r="C161" s="147"/>
      <c r="D161" s="147"/>
    </row>
    <row r="162" spans="1:4" s="23" customFormat="1" ht="20.399999999999999" x14ac:dyDescent="0.3">
      <c r="A162" s="87"/>
      <c r="C162" s="147"/>
      <c r="D162" s="147"/>
    </row>
    <row r="163" spans="1:4" s="23" customFormat="1" ht="20.399999999999999" x14ac:dyDescent="0.3">
      <c r="A163" s="87"/>
      <c r="C163" s="147"/>
      <c r="D163" s="147"/>
    </row>
    <row r="164" spans="1:4" s="23" customFormat="1" ht="20.399999999999999" x14ac:dyDescent="0.3">
      <c r="A164" s="87"/>
      <c r="C164" s="147"/>
      <c r="D164" s="147"/>
    </row>
    <row r="165" spans="1:4" s="23" customFormat="1" ht="20.399999999999999" x14ac:dyDescent="0.3">
      <c r="A165" s="87"/>
      <c r="C165" s="147"/>
      <c r="D165" s="147"/>
    </row>
    <row r="166" spans="1:4" s="23" customFormat="1" ht="20.399999999999999" x14ac:dyDescent="0.3">
      <c r="A166" s="87"/>
      <c r="C166" s="147"/>
      <c r="D166" s="147"/>
    </row>
    <row r="167" spans="1:4" s="23" customFormat="1" ht="20.399999999999999" x14ac:dyDescent="0.3">
      <c r="A167" s="87"/>
      <c r="C167" s="147"/>
      <c r="D167" s="147"/>
    </row>
    <row r="168" spans="1:4" s="23" customFormat="1" ht="20.399999999999999" x14ac:dyDescent="0.3">
      <c r="A168" s="87"/>
      <c r="C168" s="147"/>
      <c r="D168" s="147"/>
    </row>
    <row r="169" spans="1:4" s="23" customFormat="1" ht="20.399999999999999" x14ac:dyDescent="0.3">
      <c r="A169" s="87"/>
      <c r="C169" s="147"/>
      <c r="D169" s="147"/>
    </row>
    <row r="170" spans="1:4" s="23" customFormat="1" ht="20.399999999999999" x14ac:dyDescent="0.3">
      <c r="A170" s="87"/>
      <c r="C170" s="147"/>
      <c r="D170" s="147"/>
    </row>
    <row r="171" spans="1:4" s="23" customFormat="1" ht="20.399999999999999" x14ac:dyDescent="0.3">
      <c r="A171" s="87"/>
      <c r="C171" s="147"/>
      <c r="D171" s="147"/>
    </row>
    <row r="172" spans="1:4" s="23" customFormat="1" ht="20.399999999999999" x14ac:dyDescent="0.3">
      <c r="A172" s="87"/>
      <c r="C172" s="147"/>
      <c r="D172" s="147"/>
    </row>
    <row r="173" spans="1:4" s="23" customFormat="1" ht="20.399999999999999" x14ac:dyDescent="0.3">
      <c r="A173" s="87"/>
      <c r="C173" s="147"/>
      <c r="D173" s="147"/>
    </row>
    <row r="174" spans="1:4" s="23" customFormat="1" ht="20.399999999999999" x14ac:dyDescent="0.3">
      <c r="A174" s="87"/>
      <c r="C174" s="147"/>
      <c r="D174" s="147"/>
    </row>
    <row r="175" spans="1:4" s="23" customFormat="1" ht="20.399999999999999" x14ac:dyDescent="0.3">
      <c r="A175" s="87"/>
      <c r="C175" s="147"/>
      <c r="D175" s="147"/>
    </row>
    <row r="176" spans="1:4" s="23" customFormat="1" ht="20.399999999999999" x14ac:dyDescent="0.3">
      <c r="A176" s="87"/>
      <c r="C176" s="147"/>
      <c r="D176" s="147"/>
    </row>
    <row r="177" spans="1:4" s="23" customFormat="1" ht="20.399999999999999" x14ac:dyDescent="0.3">
      <c r="A177" s="87"/>
      <c r="C177" s="147"/>
      <c r="D177" s="147"/>
    </row>
    <row r="178" spans="1:4" s="23" customFormat="1" ht="20.399999999999999" x14ac:dyDescent="0.3">
      <c r="A178" s="87"/>
      <c r="C178" s="147"/>
      <c r="D178" s="147"/>
    </row>
    <row r="179" spans="1:4" s="23" customFormat="1" ht="20.399999999999999" x14ac:dyDescent="0.3">
      <c r="A179" s="87"/>
      <c r="C179" s="147"/>
      <c r="D179" s="147"/>
    </row>
    <row r="180" spans="1:4" s="23" customFormat="1" ht="20.399999999999999" x14ac:dyDescent="0.3">
      <c r="A180" s="87"/>
      <c r="C180" s="147"/>
      <c r="D180" s="147"/>
    </row>
    <row r="181" spans="1:4" s="23" customFormat="1" ht="20.399999999999999" x14ac:dyDescent="0.3">
      <c r="A181" s="87"/>
      <c r="C181" s="147"/>
      <c r="D181" s="147"/>
    </row>
    <row r="182" spans="1:4" s="23" customFormat="1" ht="20.399999999999999" x14ac:dyDescent="0.3">
      <c r="A182" s="87"/>
      <c r="C182" s="147"/>
      <c r="D182" s="147"/>
    </row>
    <row r="183" spans="1:4" s="23" customFormat="1" ht="20.399999999999999" x14ac:dyDescent="0.3">
      <c r="A183" s="87"/>
      <c r="C183" s="147"/>
      <c r="D183" s="147"/>
    </row>
    <row r="184" spans="1:4" s="23" customFormat="1" ht="20.399999999999999" x14ac:dyDescent="0.3">
      <c r="A184" s="87"/>
      <c r="C184" s="147"/>
      <c r="D184" s="147"/>
    </row>
    <row r="185" spans="1:4" s="23" customFormat="1" ht="20.399999999999999" x14ac:dyDescent="0.3">
      <c r="A185" s="87"/>
      <c r="C185" s="147"/>
      <c r="D185" s="147"/>
    </row>
    <row r="186" spans="1:4" s="23" customFormat="1" ht="20.399999999999999" x14ac:dyDescent="0.3">
      <c r="A186" s="87"/>
      <c r="C186" s="147"/>
      <c r="D186" s="147"/>
    </row>
    <row r="187" spans="1:4" s="23" customFormat="1" ht="20.399999999999999" x14ac:dyDescent="0.3">
      <c r="A187" s="87"/>
      <c r="C187" s="147"/>
      <c r="D187" s="147"/>
    </row>
    <row r="188" spans="1:4" s="23" customFormat="1" ht="20.399999999999999" x14ac:dyDescent="0.3">
      <c r="A188" s="87"/>
      <c r="C188" s="147"/>
      <c r="D188" s="147"/>
    </row>
    <row r="189" spans="1:4" s="23" customFormat="1" ht="20.399999999999999" x14ac:dyDescent="0.3">
      <c r="A189" s="87"/>
      <c r="C189" s="147"/>
      <c r="D189" s="147"/>
    </row>
    <row r="190" spans="1:4" s="23" customFormat="1" ht="20.399999999999999" x14ac:dyDescent="0.3">
      <c r="A190" s="87"/>
      <c r="C190" s="147"/>
      <c r="D190" s="147"/>
    </row>
    <row r="191" spans="1:4" s="23" customFormat="1" ht="20.399999999999999" x14ac:dyDescent="0.3">
      <c r="A191" s="87"/>
      <c r="C191" s="147"/>
      <c r="D191" s="147"/>
    </row>
    <row r="192" spans="1:4" s="23" customFormat="1" ht="20.399999999999999" x14ac:dyDescent="0.3">
      <c r="A192" s="87"/>
      <c r="C192" s="147"/>
      <c r="D192" s="147"/>
    </row>
    <row r="193" spans="1:4" s="23" customFormat="1" ht="20.399999999999999" x14ac:dyDescent="0.3">
      <c r="A193" s="87"/>
      <c r="C193" s="147"/>
      <c r="D193" s="147"/>
    </row>
    <row r="194" spans="1:4" s="23" customFormat="1" ht="20.399999999999999" x14ac:dyDescent="0.3">
      <c r="A194" s="87"/>
      <c r="C194" s="147"/>
      <c r="D194" s="147"/>
    </row>
    <row r="195" spans="1:4" s="23" customFormat="1" ht="20.399999999999999" x14ac:dyDescent="0.3">
      <c r="A195" s="87"/>
      <c r="C195" s="147"/>
      <c r="D195" s="147"/>
    </row>
    <row r="196" spans="1:4" s="23" customFormat="1" ht="20.399999999999999" x14ac:dyDescent="0.3">
      <c r="A196" s="87"/>
      <c r="C196" s="147"/>
      <c r="D196" s="147"/>
    </row>
    <row r="197" spans="1:4" s="23" customFormat="1" ht="20.399999999999999" x14ac:dyDescent="0.3">
      <c r="A197" s="87"/>
      <c r="C197" s="147"/>
      <c r="D197" s="147"/>
    </row>
    <row r="198" spans="1:4" s="23" customFormat="1" ht="20.399999999999999" x14ac:dyDescent="0.3">
      <c r="A198" s="87"/>
      <c r="C198" s="147"/>
      <c r="D198" s="147"/>
    </row>
    <row r="199" spans="1:4" s="23" customFormat="1" ht="20.399999999999999" x14ac:dyDescent="0.3">
      <c r="A199" s="87"/>
      <c r="C199" s="147"/>
      <c r="D199" s="147"/>
    </row>
    <row r="200" spans="1:4" s="23" customFormat="1" ht="20.399999999999999" x14ac:dyDescent="0.3">
      <c r="A200" s="87"/>
      <c r="C200" s="147"/>
      <c r="D200" s="147"/>
    </row>
    <row r="201" spans="1:4" s="23" customFormat="1" ht="20.399999999999999" x14ac:dyDescent="0.3">
      <c r="A201" s="87"/>
      <c r="C201" s="147"/>
      <c r="D201" s="147"/>
    </row>
    <row r="202" spans="1:4" s="23" customFormat="1" ht="20.399999999999999" x14ac:dyDescent="0.3">
      <c r="A202" s="87"/>
      <c r="C202" s="147"/>
      <c r="D202" s="147"/>
    </row>
    <row r="203" spans="1:4" s="23" customFormat="1" ht="20.399999999999999" x14ac:dyDescent="0.3">
      <c r="A203" s="87"/>
      <c r="C203" s="147"/>
      <c r="D203" s="147"/>
    </row>
    <row r="204" spans="1:4" s="23" customFormat="1" ht="20.399999999999999" x14ac:dyDescent="0.3">
      <c r="A204" s="87"/>
      <c r="C204" s="147"/>
      <c r="D204" s="147"/>
    </row>
    <row r="205" spans="1:4" s="23" customFormat="1" ht="20.399999999999999" x14ac:dyDescent="0.3">
      <c r="A205" s="87"/>
      <c r="C205" s="147"/>
      <c r="D205" s="147"/>
    </row>
    <row r="206" spans="1:4" s="23" customFormat="1" ht="20.399999999999999" x14ac:dyDescent="0.3">
      <c r="A206" s="87"/>
      <c r="C206" s="147"/>
      <c r="D206" s="147"/>
    </row>
    <row r="207" spans="1:4" s="23" customFormat="1" ht="20.399999999999999" x14ac:dyDescent="0.3">
      <c r="A207" s="87"/>
      <c r="C207" s="147"/>
      <c r="D207" s="147"/>
    </row>
    <row r="208" spans="1:4" s="23" customFormat="1" x14ac:dyDescent="0.3">
      <c r="A208" s="87"/>
    </row>
    <row r="209" spans="1:8" s="23" customFormat="1" ht="20.399999999999999" x14ac:dyDescent="0.3">
      <c r="A209" s="87"/>
      <c r="B209" s="148" t="s">
        <v>86</v>
      </c>
      <c r="C209" s="148" t="s">
        <v>139</v>
      </c>
      <c r="D209" s="149" t="s">
        <v>86</v>
      </c>
      <c r="E209" s="149" t="s">
        <v>139</v>
      </c>
    </row>
    <row r="210" spans="1:8" s="23" customFormat="1" ht="42" x14ac:dyDescent="0.4">
      <c r="A210" s="87"/>
      <c r="B210" s="150" t="s">
        <v>88</v>
      </c>
      <c r="C210" s="150" t="s">
        <v>204</v>
      </c>
      <c r="D210" s="23" t="s">
        <v>88</v>
      </c>
      <c r="F210" s="23" t="str">
        <f>IF(NOT(ISBLANK(D210)),D210,IF(NOT(ISBLANK(E210)),"     "&amp;E210,FALSE))</f>
        <v>Afectación Económica o presupuestal</v>
      </c>
      <c r="G210" s="23" t="s">
        <v>88</v>
      </c>
      <c r="H210" s="23" t="str">
        <f>IF(NOT(ISERROR(MATCH(G210,_xlfn.ANCHORARRAY(B221),0))),F223&amp;"Por favor no seleccionar los criterios de impacto",G210)</f>
        <v>❌Por favor no seleccionar los criterios de impacto</v>
      </c>
    </row>
    <row r="211" spans="1:8" s="23" customFormat="1" ht="42" x14ac:dyDescent="0.4">
      <c r="A211" s="87"/>
      <c r="B211" s="150" t="s">
        <v>88</v>
      </c>
      <c r="C211" s="150" t="s">
        <v>205</v>
      </c>
      <c r="E211" s="23" t="s">
        <v>204</v>
      </c>
      <c r="F211" s="23" t="str">
        <f t="shared" ref="F211:F221" si="0">IF(NOT(ISBLANK(D211)),D211,IF(NOT(ISBLANK(E211)),"     "&amp;E211,FALSE))</f>
        <v xml:space="preserve">     Afectación menor a 200 SMLMV</v>
      </c>
    </row>
    <row r="212" spans="1:8" s="23" customFormat="1" ht="42" x14ac:dyDescent="0.4">
      <c r="A212" s="87"/>
      <c r="B212" s="150" t="s">
        <v>88</v>
      </c>
      <c r="C212" s="150" t="s">
        <v>208</v>
      </c>
      <c r="E212" s="23" t="s">
        <v>205</v>
      </c>
      <c r="F212" s="23" t="str">
        <f t="shared" si="0"/>
        <v xml:space="preserve">     Entre 200 y 1000 SMLMV</v>
      </c>
    </row>
    <row r="213" spans="1:8" s="23" customFormat="1" ht="42" x14ac:dyDescent="0.4">
      <c r="A213" s="87"/>
      <c r="B213" s="150" t="s">
        <v>88</v>
      </c>
      <c r="C213" s="150" t="s">
        <v>209</v>
      </c>
      <c r="E213" s="23" t="s">
        <v>208</v>
      </c>
      <c r="F213" s="23" t="str">
        <f t="shared" si="0"/>
        <v xml:space="preserve">     Entre 1000 y 5000 SMLMV </v>
      </c>
    </row>
    <row r="214" spans="1:8" s="23" customFormat="1" ht="42" x14ac:dyDescent="0.4">
      <c r="A214" s="87"/>
      <c r="B214" s="150" t="s">
        <v>88</v>
      </c>
      <c r="C214" s="150" t="s">
        <v>206</v>
      </c>
      <c r="E214" s="23" t="s">
        <v>209</v>
      </c>
      <c r="F214" s="23" t="str">
        <f t="shared" si="0"/>
        <v xml:space="preserve">     Entre 5000 y 10000 SMLMV</v>
      </c>
    </row>
    <row r="215" spans="1:8" s="23" customFormat="1" ht="42" x14ac:dyDescent="0.4">
      <c r="A215" s="87"/>
      <c r="B215" s="150" t="s">
        <v>56</v>
      </c>
      <c r="C215" s="150" t="s">
        <v>91</v>
      </c>
      <c r="E215" s="23" t="s">
        <v>206</v>
      </c>
      <c r="F215" s="23" t="str">
        <f t="shared" si="0"/>
        <v xml:space="preserve">     Mayor a 10000 SMLMV</v>
      </c>
    </row>
    <row r="216" spans="1:8" s="23" customFormat="1" ht="63" x14ac:dyDescent="0.4">
      <c r="A216" s="87"/>
      <c r="B216" s="150" t="s">
        <v>56</v>
      </c>
      <c r="C216" s="150" t="s">
        <v>92</v>
      </c>
      <c r="D216" s="23" t="s">
        <v>56</v>
      </c>
      <c r="F216" s="23" t="str">
        <f t="shared" si="0"/>
        <v>Pérdida Reputacional</v>
      </c>
    </row>
    <row r="217" spans="1:8" s="23" customFormat="1" ht="42" x14ac:dyDescent="0.4">
      <c r="A217" s="87"/>
      <c r="B217" s="150" t="s">
        <v>56</v>
      </c>
      <c r="C217" s="150" t="s">
        <v>94</v>
      </c>
      <c r="E217" s="23" t="s">
        <v>91</v>
      </c>
      <c r="F217" s="23" t="str">
        <f>IF(NOT(ISBLANK(D217)),D217,IF(NOT(ISBLANK(E217)),"     "&amp;E217,FALSE))</f>
        <v xml:space="preserve">     El riesgo afecta la imagen de alguna área de la organización</v>
      </c>
    </row>
    <row r="218" spans="1:8" s="23" customFormat="1" ht="63" x14ac:dyDescent="0.4">
      <c r="A218" s="87"/>
      <c r="B218" s="150" t="s">
        <v>56</v>
      </c>
      <c r="C218" s="150" t="s">
        <v>93</v>
      </c>
      <c r="E218" s="23" t="s">
        <v>92</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50" t="s">
        <v>56</v>
      </c>
      <c r="C219" s="150" t="s">
        <v>112</v>
      </c>
      <c r="E219" s="23" t="s">
        <v>94</v>
      </c>
      <c r="F219" s="23" t="str">
        <f t="shared" si="0"/>
        <v xml:space="preserve">     El riesgo afecta la imagen de la entidad con algunos usuarios de relevancia frente al logro de los objetivos</v>
      </c>
    </row>
    <row r="220" spans="1:8" s="23" customFormat="1" x14ac:dyDescent="0.3">
      <c r="A220" s="87"/>
      <c r="E220" s="23" t="s">
        <v>93</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112</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51" t="s">
        <v>140</v>
      </c>
    </row>
    <row r="224" spans="1:8" s="23" customFormat="1" x14ac:dyDescent="0.3">
      <c r="F224" s="151" t="s">
        <v>141</v>
      </c>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Intructivo</vt:lpstr>
      <vt:lpstr>Contexto</vt:lpstr>
      <vt:lpstr>Priorización de causa</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lpstr>'Mapa final'!Área_de_impresión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2022-10-21T19:18:20Z</cp:lastPrinted>
  <dcterms:created xsi:type="dcterms:W3CDTF">2020-03-24T23:12:47Z</dcterms:created>
  <dcterms:modified xsi:type="dcterms:W3CDTF">2024-11-13T17:03:36Z</dcterms:modified>
</cp:coreProperties>
</file>