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INFORME DE ACTIVIDADES\REVISION DEPENDENCIAS\MATRIZ\1. MONITOREO\10-8-24 REV SIGAMI RIESGOS GEST-CORRUPCION\5. BIM (SEP-OCT_24)\SEC HACIENDA\"/>
    </mc:Choice>
  </mc:AlternateContent>
  <xr:revisionPtr revIDLastSave="0" documentId="13_ncr:1_{8F6551D6-B2D3-4901-AB62-5B55A46545FE}" xr6:coauthVersionLast="47" xr6:coauthVersionMax="47" xr10:uidLastSave="{00000000-0000-0000-0000-000000000000}"/>
  <bookViews>
    <workbookView xWindow="-108" yWindow="-108" windowWidth="23256" windowHeight="12456" activeTab="2" xr2:uid="{00000000-000D-0000-FFFF-FFFF00000000}"/>
  </bookViews>
  <sheets>
    <sheet name="Intructivo" sheetId="20" r:id="rId1"/>
    <sheet name="Contexto" sheetId="21" r:id="rId2"/>
    <sheet name="Priorizacion de Causas" sheetId="22"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s>
  <definedNames>
    <definedName name="_xlnm.Print_Titles" localSheetId="4">'Mapa final'!$8:$9</definedName>
  </definedNames>
  <calcPr calcId="191029"/>
  <pivotCaches>
    <pivotCache cacheId="3"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23" l="1"/>
  <c r="C1" i="22"/>
  <c r="S22" i="1"/>
  <c r="S39" i="1" l="1"/>
  <c r="H2" i="23" l="1"/>
  <c r="H3" i="23"/>
  <c r="H4" i="23"/>
  <c r="H1" i="23"/>
  <c r="A5" i="23" l="1"/>
  <c r="E39" i="1" l="1"/>
  <c r="A6" i="23"/>
  <c r="A7" i="22"/>
  <c r="A6" i="22"/>
  <c r="S34" i="1" l="1"/>
  <c r="K34" i="1"/>
  <c r="L34" i="1" s="1"/>
  <c r="T34" i="1" l="1"/>
  <c r="T33" i="1"/>
  <c r="S33" i="1" l="1"/>
  <c r="S30" i="1"/>
  <c r="S31" i="1"/>
  <c r="S32" i="1"/>
  <c r="S10" i="1" l="1"/>
  <c r="K16" i="1"/>
  <c r="E10" i="1"/>
  <c r="R34" i="22"/>
  <c r="S34" i="22"/>
  <c r="S63" i="1" l="1"/>
  <c r="S57" i="1"/>
  <c r="S51" i="1"/>
  <c r="S45" i="1"/>
  <c r="S28" i="1" l="1"/>
  <c r="S16" i="1" l="1"/>
  <c r="J10" i="1" l="1"/>
  <c r="K10" i="1" s="1"/>
  <c r="T11" i="1"/>
  <c r="W11" i="1"/>
  <c r="T12" i="1"/>
  <c r="W12" i="1"/>
  <c r="T13" i="1"/>
  <c r="W13" i="1"/>
  <c r="T14" i="1"/>
  <c r="W14" i="1"/>
  <c r="T15" i="1"/>
  <c r="W15" i="1"/>
  <c r="S41" i="22"/>
  <c r="R12" i="22"/>
  <c r="S12" i="22"/>
  <c r="R13" i="22"/>
  <c r="S13" i="22"/>
  <c r="R14" i="22"/>
  <c r="S14" i="22"/>
  <c r="R15" i="22"/>
  <c r="S15" i="22"/>
  <c r="R16" i="22"/>
  <c r="S16" i="22"/>
  <c r="R17" i="22"/>
  <c r="S17" i="22"/>
  <c r="R18" i="22"/>
  <c r="S18" i="22"/>
  <c r="R19" i="22"/>
  <c r="S19" i="22"/>
  <c r="R20" i="22"/>
  <c r="S20" i="22"/>
  <c r="R21" i="22"/>
  <c r="S21" i="22"/>
  <c r="R22" i="22"/>
  <c r="S22" i="22"/>
  <c r="R23" i="22"/>
  <c r="S23" i="22"/>
  <c r="R24" i="22"/>
  <c r="S24" i="22"/>
  <c r="R25" i="22"/>
  <c r="S25" i="22"/>
  <c r="R26" i="22"/>
  <c r="S26" i="22"/>
  <c r="R27" i="22"/>
  <c r="S27" i="22"/>
  <c r="R28" i="22"/>
  <c r="S28" i="22"/>
  <c r="R29" i="22"/>
  <c r="S29" i="22"/>
  <c r="R30" i="22"/>
  <c r="S30" i="22"/>
  <c r="R31" i="22"/>
  <c r="S31" i="22"/>
  <c r="R32" i="22"/>
  <c r="S32" i="22"/>
  <c r="R33" i="22"/>
  <c r="S33" i="22"/>
  <c r="R35" i="22"/>
  <c r="S35" i="22"/>
  <c r="R36" i="22"/>
  <c r="S36" i="22"/>
  <c r="R37" i="22"/>
  <c r="S37" i="22"/>
  <c r="R38" i="22"/>
  <c r="S38" i="22"/>
  <c r="R39" i="22"/>
  <c r="S39" i="22"/>
  <c r="R40" i="22"/>
  <c r="S40" i="22"/>
  <c r="R41" i="22"/>
  <c r="R11" i="22"/>
  <c r="S11" i="22"/>
  <c r="N13" i="1"/>
  <c r="N11" i="1"/>
  <c r="N15" i="1"/>
  <c r="N14" i="1"/>
  <c r="N12" i="1"/>
  <c r="AE15" i="1" l="1"/>
  <c r="AD15" i="1" s="1"/>
  <c r="AA14" i="1"/>
  <c r="AC14" i="1" s="1"/>
  <c r="AE12" i="1"/>
  <c r="AD12" i="1" s="1"/>
  <c r="AA13" i="1"/>
  <c r="AC13" i="1" s="1"/>
  <c r="AA15" i="1"/>
  <c r="AB15" i="1" s="1"/>
  <c r="AE13" i="1"/>
  <c r="AD13" i="1" s="1"/>
  <c r="AA12" i="1"/>
  <c r="AB12" i="1" s="1"/>
  <c r="AF12" i="1" s="1"/>
  <c r="AE14" i="1"/>
  <c r="AD14" i="1" s="1"/>
  <c r="S42" i="22"/>
  <c r="S43" i="22" s="1"/>
  <c r="AF15" i="1" l="1"/>
  <c r="AB14" i="1"/>
  <c r="AF14" i="1" s="1"/>
  <c r="AB13" i="1"/>
  <c r="AF13" i="1" s="1"/>
  <c r="AC15" i="1"/>
  <c r="AC12" i="1"/>
  <c r="W68" i="1" l="1"/>
  <c r="T68" i="1"/>
  <c r="W67" i="1"/>
  <c r="T67" i="1"/>
  <c r="W66" i="1"/>
  <c r="T66" i="1"/>
  <c r="W65" i="1"/>
  <c r="T65" i="1"/>
  <c r="W64" i="1"/>
  <c r="T64" i="1"/>
  <c r="W63" i="1"/>
  <c r="T63" i="1"/>
  <c r="W62" i="1"/>
  <c r="T62" i="1"/>
  <c r="W61" i="1"/>
  <c r="T61" i="1"/>
  <c r="W60" i="1"/>
  <c r="T60" i="1"/>
  <c r="W59" i="1"/>
  <c r="T59" i="1"/>
  <c r="W58" i="1"/>
  <c r="T58" i="1"/>
  <c r="W57" i="1"/>
  <c r="T57" i="1"/>
  <c r="W56" i="1"/>
  <c r="T56" i="1"/>
  <c r="W55" i="1"/>
  <c r="T55" i="1"/>
  <c r="W54" i="1"/>
  <c r="T54" i="1"/>
  <c r="W53" i="1"/>
  <c r="T53" i="1"/>
  <c r="W52" i="1"/>
  <c r="T52" i="1"/>
  <c r="W51" i="1"/>
  <c r="T51" i="1"/>
  <c r="W50" i="1"/>
  <c r="T50" i="1"/>
  <c r="W49" i="1"/>
  <c r="T49" i="1"/>
  <c r="W48" i="1"/>
  <c r="T48" i="1"/>
  <c r="W47" i="1"/>
  <c r="T47" i="1"/>
  <c r="W46" i="1"/>
  <c r="T46" i="1"/>
  <c r="W45" i="1"/>
  <c r="T45" i="1"/>
  <c r="W44" i="1"/>
  <c r="T44" i="1"/>
  <c r="W43" i="1"/>
  <c r="T43" i="1"/>
  <c r="W42" i="1"/>
  <c r="T42" i="1"/>
  <c r="W41" i="1"/>
  <c r="T41" i="1"/>
  <c r="W40" i="1"/>
  <c r="T40" i="1"/>
  <c r="W39" i="1"/>
  <c r="T39" i="1"/>
  <c r="W38" i="1"/>
  <c r="T38" i="1"/>
  <c r="W37" i="1"/>
  <c r="T37" i="1"/>
  <c r="W36" i="1"/>
  <c r="T36" i="1"/>
  <c r="W35" i="1"/>
  <c r="T35" i="1"/>
  <c r="W34" i="1"/>
  <c r="W33" i="1"/>
  <c r="W32" i="1"/>
  <c r="T32" i="1"/>
  <c r="W31" i="1"/>
  <c r="T31" i="1"/>
  <c r="W30" i="1"/>
  <c r="T30" i="1"/>
  <c r="W29" i="1"/>
  <c r="T29" i="1"/>
  <c r="W28" i="1"/>
  <c r="T28" i="1"/>
  <c r="W27" i="1"/>
  <c r="T27" i="1"/>
  <c r="W26" i="1"/>
  <c r="T26" i="1"/>
  <c r="W25" i="1"/>
  <c r="T25" i="1"/>
  <c r="W24" i="1"/>
  <c r="T24" i="1"/>
  <c r="W23" i="1"/>
  <c r="T23" i="1"/>
  <c r="W22" i="1"/>
  <c r="T22" i="1"/>
  <c r="W21" i="1"/>
  <c r="T21" i="1"/>
  <c r="W20" i="1"/>
  <c r="T20" i="1"/>
  <c r="W19" i="1"/>
  <c r="T19" i="1"/>
  <c r="W18" i="1"/>
  <c r="T18" i="1"/>
  <c r="W17" i="1"/>
  <c r="T17" i="1"/>
  <c r="W16" i="1"/>
  <c r="T16" i="1"/>
  <c r="AE20" i="1" l="1"/>
  <c r="AD20" i="1" s="1"/>
  <c r="AE31" i="1"/>
  <c r="AD31" i="1" s="1"/>
  <c r="AE47" i="1"/>
  <c r="AD47" i="1" s="1"/>
  <c r="AE35" i="1"/>
  <c r="AD35" i="1" s="1"/>
  <c r="AE43" i="1"/>
  <c r="AD43" i="1" s="1"/>
  <c r="AE24" i="1"/>
  <c r="AD24" i="1" s="1"/>
  <c r="AE19" i="1"/>
  <c r="AD19" i="1" s="1"/>
  <c r="AE23" i="1"/>
  <c r="AD23" i="1" s="1"/>
  <c r="AE27" i="1"/>
  <c r="AD27" i="1" s="1"/>
  <c r="AE30" i="1"/>
  <c r="AD30" i="1" s="1"/>
  <c r="AE38" i="1"/>
  <c r="AD38" i="1" s="1"/>
  <c r="AE42" i="1"/>
  <c r="AD42" i="1" s="1"/>
  <c r="AE46" i="1"/>
  <c r="AD46" i="1" s="1"/>
  <c r="AE50" i="1"/>
  <c r="AD50" i="1" s="1"/>
  <c r="AE54" i="1"/>
  <c r="AD54" i="1" s="1"/>
  <c r="AE58" i="1"/>
  <c r="AD58" i="1" s="1"/>
  <c r="AE66" i="1"/>
  <c r="AD66" i="1" s="1"/>
  <c r="AE18" i="1"/>
  <c r="AD18" i="1" s="1"/>
  <c r="AE29" i="1"/>
  <c r="AD29" i="1" s="1"/>
  <c r="AE37" i="1"/>
  <c r="AD37" i="1" s="1"/>
  <c r="AE41" i="1"/>
  <c r="AD41" i="1" s="1"/>
  <c r="AE49" i="1"/>
  <c r="AD49" i="1" s="1"/>
  <c r="AE53" i="1"/>
  <c r="AD53" i="1" s="1"/>
  <c r="AE61" i="1"/>
  <c r="AD61" i="1" s="1"/>
  <c r="AE26" i="1"/>
  <c r="AD26" i="1" s="1"/>
  <c r="AE65" i="1"/>
  <c r="AD65" i="1" s="1"/>
  <c r="AE62" i="1"/>
  <c r="AD62" i="1" s="1"/>
  <c r="AE55" i="1"/>
  <c r="AD55" i="1" s="1"/>
  <c r="AE59" i="1"/>
  <c r="AD59" i="1" s="1"/>
  <c r="AE67" i="1"/>
  <c r="AD67" i="1" s="1"/>
  <c r="AE17" i="1"/>
  <c r="AD17" i="1" s="1"/>
  <c r="AE21" i="1"/>
  <c r="AD21" i="1" s="1"/>
  <c r="AE25" i="1"/>
  <c r="AD25" i="1" s="1"/>
  <c r="AE32" i="1"/>
  <c r="AD32" i="1" s="1"/>
  <c r="AE36" i="1"/>
  <c r="AD36" i="1" s="1"/>
  <c r="AE40" i="1"/>
  <c r="AD40" i="1" s="1"/>
  <c r="AE44" i="1"/>
  <c r="AD44" i="1" s="1"/>
  <c r="AE48" i="1"/>
  <c r="AD48" i="1" s="1"/>
  <c r="AE52" i="1"/>
  <c r="AD52" i="1" s="1"/>
  <c r="AE56" i="1"/>
  <c r="AD56" i="1" s="1"/>
  <c r="AE60" i="1"/>
  <c r="AD60" i="1" s="1"/>
  <c r="AE64" i="1"/>
  <c r="AD64" i="1" s="1"/>
  <c r="AE68" i="1"/>
  <c r="AD68" i="1" s="1"/>
  <c r="AA63" i="1"/>
  <c r="AA65" i="1"/>
  <c r="AA67" i="1"/>
  <c r="AE63" i="1"/>
  <c r="AD63" i="1" s="1"/>
  <c r="AA64" i="1"/>
  <c r="AA66" i="1"/>
  <c r="AA68" i="1"/>
  <c r="AA57" i="1"/>
  <c r="AA59" i="1"/>
  <c r="AA61" i="1"/>
  <c r="AE57" i="1"/>
  <c r="AD57" i="1" s="1"/>
  <c r="AA58" i="1"/>
  <c r="AA60" i="1"/>
  <c r="AA62" i="1"/>
  <c r="AA51" i="1"/>
  <c r="AA53" i="1"/>
  <c r="AA55" i="1"/>
  <c r="AE51" i="1"/>
  <c r="AD51" i="1" s="1"/>
  <c r="AA52" i="1"/>
  <c r="AA54" i="1"/>
  <c r="AA56" i="1"/>
  <c r="AA45" i="1"/>
  <c r="AA47" i="1"/>
  <c r="AA49" i="1"/>
  <c r="AE45" i="1"/>
  <c r="AD45" i="1" s="1"/>
  <c r="AA46" i="1"/>
  <c r="AA48" i="1"/>
  <c r="AA50" i="1"/>
  <c r="AA41" i="1"/>
  <c r="AA43" i="1"/>
  <c r="AA40" i="1"/>
  <c r="AA42" i="1"/>
  <c r="AA44" i="1"/>
  <c r="AA35" i="1"/>
  <c r="AA37" i="1"/>
  <c r="AA36" i="1"/>
  <c r="AA38" i="1"/>
  <c r="AA29" i="1"/>
  <c r="AA31" i="1"/>
  <c r="AA30" i="1"/>
  <c r="AA32" i="1"/>
  <c r="AA24" i="1"/>
  <c r="AA26" i="1"/>
  <c r="AA23" i="1"/>
  <c r="AA25" i="1"/>
  <c r="AA27" i="1"/>
  <c r="AA18" i="1"/>
  <c r="AA20" i="1"/>
  <c r="AA17" i="1"/>
  <c r="AA19" i="1"/>
  <c r="AA21" i="1"/>
  <c r="AC68" i="1" l="1"/>
  <c r="AB68" i="1"/>
  <c r="AF68" i="1" s="1"/>
  <c r="AC66" i="1"/>
  <c r="AB66" i="1"/>
  <c r="AF66" i="1" s="1"/>
  <c r="AC64" i="1"/>
  <c r="AB64" i="1"/>
  <c r="AF64" i="1" s="1"/>
  <c r="AC67" i="1"/>
  <c r="AB67" i="1"/>
  <c r="AF67" i="1" s="1"/>
  <c r="AC65" i="1"/>
  <c r="AB65" i="1"/>
  <c r="AF65" i="1" s="1"/>
  <c r="AC63" i="1"/>
  <c r="AB63" i="1"/>
  <c r="AF63" i="1" s="1"/>
  <c r="AC62" i="1"/>
  <c r="AB62" i="1"/>
  <c r="AF62" i="1" s="1"/>
  <c r="AC60" i="1"/>
  <c r="AB60" i="1"/>
  <c r="AF60" i="1" s="1"/>
  <c r="AC58" i="1"/>
  <c r="AB58" i="1"/>
  <c r="AF58" i="1" s="1"/>
  <c r="AC61" i="1"/>
  <c r="AB61" i="1"/>
  <c r="AF61" i="1" s="1"/>
  <c r="AC59" i="1"/>
  <c r="AB59" i="1"/>
  <c r="AF59" i="1" s="1"/>
  <c r="AC57" i="1"/>
  <c r="AB57" i="1"/>
  <c r="AF57" i="1" s="1"/>
  <c r="AC56" i="1"/>
  <c r="AB56" i="1"/>
  <c r="AF56" i="1" s="1"/>
  <c r="AC54" i="1"/>
  <c r="AB54" i="1"/>
  <c r="AF54" i="1" s="1"/>
  <c r="AC52" i="1"/>
  <c r="AB52" i="1"/>
  <c r="AF52" i="1" s="1"/>
  <c r="AC55" i="1"/>
  <c r="AB55" i="1"/>
  <c r="AF55" i="1" s="1"/>
  <c r="AC53" i="1"/>
  <c r="AB53" i="1"/>
  <c r="AF53" i="1" s="1"/>
  <c r="AC51" i="1"/>
  <c r="AB51" i="1"/>
  <c r="AF51" i="1" s="1"/>
  <c r="AC50" i="1"/>
  <c r="AB50" i="1"/>
  <c r="AF50" i="1" s="1"/>
  <c r="AC48" i="1"/>
  <c r="AB48" i="1"/>
  <c r="AF48" i="1" s="1"/>
  <c r="AC46" i="1"/>
  <c r="AB46" i="1"/>
  <c r="AF46" i="1" s="1"/>
  <c r="AC49" i="1"/>
  <c r="AB49" i="1"/>
  <c r="AF49" i="1" s="1"/>
  <c r="AC47" i="1"/>
  <c r="AB47" i="1"/>
  <c r="AF47" i="1" s="1"/>
  <c r="AC45" i="1"/>
  <c r="AB45" i="1"/>
  <c r="AF45" i="1" s="1"/>
  <c r="AC44" i="1"/>
  <c r="AB44" i="1"/>
  <c r="AF44" i="1" s="1"/>
  <c r="AC42" i="1"/>
  <c r="AB42" i="1"/>
  <c r="AF42" i="1" s="1"/>
  <c r="AC40" i="1"/>
  <c r="AB40" i="1"/>
  <c r="AF40" i="1" s="1"/>
  <c r="AC43" i="1"/>
  <c r="AB43" i="1"/>
  <c r="AF43" i="1" s="1"/>
  <c r="AC41" i="1"/>
  <c r="AB41" i="1"/>
  <c r="AF41" i="1" s="1"/>
  <c r="AC38" i="1"/>
  <c r="AB38" i="1"/>
  <c r="AF38" i="1" s="1"/>
  <c r="AC36" i="1"/>
  <c r="AB36" i="1"/>
  <c r="AF36" i="1" s="1"/>
  <c r="AB37" i="1"/>
  <c r="AF37" i="1" s="1"/>
  <c r="AC37" i="1"/>
  <c r="AB35" i="1"/>
  <c r="AF35" i="1" s="1"/>
  <c r="AC35" i="1"/>
  <c r="AC32" i="1"/>
  <c r="AB32" i="1"/>
  <c r="AF32" i="1" s="1"/>
  <c r="AC30" i="1"/>
  <c r="AB30" i="1"/>
  <c r="AF30" i="1" s="1"/>
  <c r="AC31" i="1"/>
  <c r="AB31" i="1"/>
  <c r="AF31" i="1" s="1"/>
  <c r="AC29" i="1"/>
  <c r="AB29" i="1"/>
  <c r="AF29" i="1" s="1"/>
  <c r="AC25" i="1"/>
  <c r="AB25" i="1"/>
  <c r="AF25" i="1" s="1"/>
  <c r="AC23" i="1"/>
  <c r="AB23" i="1"/>
  <c r="AF23" i="1" s="1"/>
  <c r="AC26" i="1"/>
  <c r="AB26" i="1"/>
  <c r="AF26" i="1" s="1"/>
  <c r="AC27" i="1"/>
  <c r="AB27" i="1"/>
  <c r="AF27" i="1" s="1"/>
  <c r="AC24" i="1"/>
  <c r="AB24" i="1"/>
  <c r="AF24" i="1" s="1"/>
  <c r="AC21" i="1"/>
  <c r="AB21" i="1"/>
  <c r="AF21" i="1" s="1"/>
  <c r="AC19" i="1"/>
  <c r="AB19" i="1"/>
  <c r="AF19" i="1" s="1"/>
  <c r="AC20" i="1"/>
  <c r="AB20" i="1"/>
  <c r="AF20" i="1" s="1"/>
  <c r="AC18" i="1"/>
  <c r="AB18" i="1"/>
  <c r="AF18" i="1" s="1"/>
  <c r="AC17" i="1"/>
  <c r="AB17" i="1"/>
  <c r="AF17" i="1" s="1"/>
  <c r="K22" i="1" l="1"/>
  <c r="L22" i="1" s="1"/>
  <c r="AA22" i="1" s="1"/>
  <c r="K28" i="1"/>
  <c r="K33" i="1"/>
  <c r="L33" i="1" s="1"/>
  <c r="AA33" i="1" s="1"/>
  <c r="K39" i="1"/>
  <c r="L39" i="1" s="1"/>
  <c r="AA39" i="1" s="1"/>
  <c r="K45" i="1"/>
  <c r="L45" i="1" s="1"/>
  <c r="K51" i="1"/>
  <c r="L51" i="1" s="1"/>
  <c r="K57" i="1"/>
  <c r="L57" i="1" s="1"/>
  <c r="K63" i="1"/>
  <c r="L63" i="1" s="1"/>
  <c r="N56" i="1"/>
  <c r="N62" i="1"/>
  <c r="N61" i="1"/>
  <c r="N40" i="1"/>
  <c r="N41" i="1"/>
  <c r="N38" i="1"/>
  <c r="N60" i="1"/>
  <c r="N49" i="1"/>
  <c r="N52" i="1"/>
  <c r="N50" i="1"/>
  <c r="N53" i="1"/>
  <c r="N58" i="1"/>
  <c r="N55" i="1"/>
  <c r="N68" i="1"/>
  <c r="N30" i="1"/>
  <c r="N42" i="1"/>
  <c r="N64" i="1"/>
  <c r="N54" i="1"/>
  <c r="N32" i="1"/>
  <c r="N48" i="1"/>
  <c r="N25" i="1"/>
  <c r="N24" i="1"/>
  <c r="N37" i="1"/>
  <c r="N59" i="1"/>
  <c r="N31" i="1"/>
  <c r="N27" i="1"/>
  <c r="N35" i="1"/>
  <c r="N23" i="1"/>
  <c r="N67" i="1"/>
  <c r="N43" i="1"/>
  <c r="N44" i="1"/>
  <c r="N36" i="1"/>
  <c r="N29" i="1"/>
  <c r="N26" i="1"/>
  <c r="N47" i="1"/>
  <c r="N65" i="1"/>
  <c r="N66" i="1"/>
  <c r="N34" i="1"/>
  <c r="O34" i="1" s="1"/>
  <c r="N46" i="1"/>
  <c r="P34" i="1" l="1"/>
  <c r="Q34" i="1"/>
  <c r="AC39" i="1"/>
  <c r="AB39" i="1"/>
  <c r="AC33" i="1"/>
  <c r="AA34" i="1" s="1"/>
  <c r="AB33" i="1"/>
  <c r="AC22" i="1"/>
  <c r="AB22" i="1"/>
  <c r="L28" i="1"/>
  <c r="AA28" i="1" s="1"/>
  <c r="AC34" i="1" l="1"/>
  <c r="AB34" i="1"/>
  <c r="AC28" i="1"/>
  <c r="AB28" i="1"/>
  <c r="F217" i="13"/>
  <c r="W10" i="1" l="1"/>
  <c r="T10" i="1"/>
  <c r="AE11" i="1" l="1"/>
  <c r="AD11" i="1" s="1"/>
  <c r="AA11" i="1"/>
  <c r="L10" i="1"/>
  <c r="N21" i="1"/>
  <c r="N18" i="1"/>
  <c r="N20" i="1"/>
  <c r="N19" i="1"/>
  <c r="N17" i="1"/>
  <c r="AB11" i="1" l="1"/>
  <c r="AF11" i="1" s="1"/>
  <c r="AC11" i="1"/>
  <c r="F221" i="13"/>
  <c r="F211" i="13"/>
  <c r="F212" i="13"/>
  <c r="F213" i="13"/>
  <c r="F214" i="13"/>
  <c r="F215" i="13"/>
  <c r="F216"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L16" i="1" l="1"/>
  <c r="AA16" i="1" s="1"/>
  <c r="AC16" i="1" l="1"/>
  <c r="AB1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0" i="1" l="1"/>
  <c r="AB10" i="1" s="1"/>
  <c r="AC10" i="1" l="1"/>
  <c r="V25" i="19" l="1"/>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H210" i="13" s="1"/>
  <c r="N22" i="1" l="1"/>
  <c r="O22" i="1" s="1"/>
  <c r="N28" i="1"/>
  <c r="O28" i="1" s="1"/>
  <c r="N33" i="1"/>
  <c r="O33" i="1" s="1"/>
  <c r="N39" i="1"/>
  <c r="O39" i="1" s="1"/>
  <c r="N45" i="1"/>
  <c r="O45" i="1" s="1"/>
  <c r="N51" i="1"/>
  <c r="O51" i="1" s="1"/>
  <c r="N57" i="1"/>
  <c r="O57" i="1" s="1"/>
  <c r="N63" i="1"/>
  <c r="O63" i="1" s="1"/>
  <c r="N16" i="1"/>
  <c r="O16" i="1" s="1"/>
  <c r="N10" i="1"/>
  <c r="O10" i="1" s="1"/>
  <c r="P38" i="18" l="1"/>
  <c r="J6" i="18"/>
  <c r="V6" i="18"/>
  <c r="J22" i="18"/>
  <c r="V22" i="18"/>
  <c r="AH6" i="18"/>
  <c r="P22" i="18"/>
  <c r="AH22" i="18"/>
  <c r="P6" i="18"/>
  <c r="P10" i="1"/>
  <c r="AE10"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6" i="1"/>
  <c r="R30" i="18"/>
  <c r="AD38" i="18"/>
  <c r="AD22" i="18"/>
  <c r="P16" i="1"/>
  <c r="AE16" i="1" s="1"/>
  <c r="AD16" i="1" s="1"/>
  <c r="AF16" i="1" s="1"/>
  <c r="L30" i="18"/>
  <c r="AJ14" i="18"/>
  <c r="L14" i="18"/>
  <c r="X38" i="18"/>
  <c r="L22" i="18"/>
  <c r="AD30" i="18"/>
  <c r="AJ22" i="18"/>
  <c r="X14" i="18"/>
  <c r="X6" i="18"/>
  <c r="R22" i="18"/>
  <c r="L6" i="18"/>
  <c r="X22" i="18"/>
  <c r="P63" i="1"/>
  <c r="Q63"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57" i="1"/>
  <c r="Q57"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51" i="1"/>
  <c r="P51"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45" i="1"/>
  <c r="Q45"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39" i="1"/>
  <c r="P39" i="1"/>
  <c r="AE39" i="1" s="1"/>
  <c r="AD39" i="1" s="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33" i="1"/>
  <c r="P33" i="1"/>
  <c r="AE33" i="1" s="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8" i="1"/>
  <c r="AE28" i="1" s="1"/>
  <c r="AD28" i="1" s="1"/>
  <c r="Q28"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22" i="1"/>
  <c r="AE22" i="1" s="1"/>
  <c r="AD22" i="1" s="1"/>
  <c r="Q22"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33" i="1" l="1"/>
  <c r="J50" i="19" s="1"/>
  <c r="AE34" i="1"/>
  <c r="AD34" i="1" s="1"/>
  <c r="AF39" i="1"/>
  <c r="J11" i="19"/>
  <c r="J31" i="19"/>
  <c r="J21" i="19"/>
  <c r="V41" i="19"/>
  <c r="P51" i="19"/>
  <c r="J51" i="19"/>
  <c r="P11" i="19"/>
  <c r="V11" i="19"/>
  <c r="AB41" i="19"/>
  <c r="AB31" i="19"/>
  <c r="V31" i="19"/>
  <c r="V21" i="19"/>
  <c r="AH51" i="19"/>
  <c r="AB21" i="19"/>
  <c r="AH41" i="19"/>
  <c r="AB51" i="19"/>
  <c r="AH21" i="19"/>
  <c r="AH31" i="19"/>
  <c r="AH11" i="19"/>
  <c r="P31" i="19"/>
  <c r="P41" i="19"/>
  <c r="P21" i="19"/>
  <c r="AB11" i="19"/>
  <c r="V51" i="19"/>
  <c r="J41" i="19"/>
  <c r="AF28" i="1"/>
  <c r="AB9" i="19"/>
  <c r="AB49" i="19"/>
  <c r="AH19" i="19"/>
  <c r="J49" i="19"/>
  <c r="AH39" i="19"/>
  <c r="V39" i="19"/>
  <c r="AB29" i="19"/>
  <c r="AH29" i="19"/>
  <c r="AH9" i="19"/>
  <c r="J9" i="19"/>
  <c r="P9" i="19"/>
  <c r="V9" i="19"/>
  <c r="P49" i="19"/>
  <c r="AB19" i="19"/>
  <c r="J39" i="19"/>
  <c r="V19" i="19"/>
  <c r="AB39" i="19"/>
  <c r="J29" i="19"/>
  <c r="P19" i="19"/>
  <c r="P39" i="19"/>
  <c r="P29" i="19"/>
  <c r="AH49" i="19"/>
  <c r="J19" i="19"/>
  <c r="V49" i="19"/>
  <c r="V29" i="19"/>
  <c r="AF22" i="1"/>
  <c r="P38" i="19"/>
  <c r="P48" i="19"/>
  <c r="J8" i="19"/>
  <c r="AH48" i="19"/>
  <c r="V18" i="19"/>
  <c r="J38" i="19"/>
  <c r="AH28" i="19"/>
  <c r="AB48" i="19"/>
  <c r="J28" i="19"/>
  <c r="V28" i="19"/>
  <c r="P28" i="19"/>
  <c r="AB18" i="19"/>
  <c r="AH18" i="19"/>
  <c r="AB8" i="19"/>
  <c r="V48" i="19"/>
  <c r="V38" i="19"/>
  <c r="AB38" i="19"/>
  <c r="P8" i="19"/>
  <c r="J18" i="19"/>
  <c r="V8" i="19"/>
  <c r="J48" i="19"/>
  <c r="AH38" i="19"/>
  <c r="AH8" i="19"/>
  <c r="P18" i="19"/>
  <c r="AB28" i="19"/>
  <c r="AD10" i="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AB50" i="19" l="1"/>
  <c r="AB30" i="19"/>
  <c r="J20" i="19"/>
  <c r="V30" i="19"/>
  <c r="J30" i="19"/>
  <c r="P50" i="19"/>
  <c r="AH50" i="19"/>
  <c r="P20" i="19"/>
  <c r="V40" i="19"/>
  <c r="AB20" i="19"/>
  <c r="AF33" i="1"/>
  <c r="AB10" i="19"/>
  <c r="V20" i="19"/>
  <c r="P30" i="19"/>
  <c r="J10" i="19"/>
  <c r="P40" i="19"/>
  <c r="AH20" i="19"/>
  <c r="J40" i="19"/>
  <c r="V50" i="19"/>
  <c r="AB40" i="19"/>
  <c r="P10" i="19"/>
  <c r="AH30" i="19"/>
  <c r="AH40" i="19"/>
  <c r="V10" i="19"/>
  <c r="AH10" i="19"/>
  <c r="AF34" i="1"/>
  <c r="AC40" i="19"/>
  <c r="W20" i="19"/>
  <c r="W40" i="19"/>
  <c r="Q20" i="19"/>
  <c r="K20" i="19"/>
  <c r="W10" i="19"/>
  <c r="K10" i="19"/>
  <c r="AC50" i="19"/>
  <c r="Q40" i="19"/>
  <c r="AC10" i="19"/>
  <c r="K30" i="19"/>
  <c r="W50" i="19"/>
  <c r="Q10" i="19"/>
  <c r="AI10" i="19"/>
  <c r="AI30" i="19"/>
  <c r="Q30" i="19"/>
  <c r="AI50" i="19"/>
  <c r="AC20" i="19"/>
  <c r="AI20" i="19"/>
  <c r="W30" i="19"/>
  <c r="K40" i="19"/>
  <c r="K50" i="19"/>
  <c r="AC30" i="19"/>
  <c r="Q50" i="19"/>
  <c r="AI40" i="19"/>
  <c r="P26" i="19"/>
  <c r="V26" i="19"/>
  <c r="AH46" i="19"/>
  <c r="P6" i="19"/>
  <c r="J36" i="19"/>
  <c r="J6" i="19"/>
  <c r="V36" i="19"/>
  <c r="P46" i="19"/>
  <c r="J16" i="19"/>
  <c r="AH36" i="19"/>
  <c r="J46" i="19"/>
  <c r="AB16" i="19"/>
  <c r="J26" i="19"/>
  <c r="AB26" i="19"/>
  <c r="AB6" i="19"/>
  <c r="AB46" i="19"/>
  <c r="AF10" i="1"/>
  <c r="AH6" i="19"/>
  <c r="P16" i="19"/>
  <c r="AH16" i="19"/>
  <c r="AB36" i="19"/>
  <c r="AH26" i="19"/>
  <c r="V16" i="19"/>
  <c r="V46" i="19"/>
  <c r="V6" i="19"/>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HACIENDA</author>
  </authors>
  <commentList>
    <comment ref="E26" authorId="0" shapeId="0" xr:uid="{00000000-0006-0000-0300-000001000000}">
      <text>
        <r>
          <rPr>
            <b/>
            <sz val="9"/>
            <color indexed="81"/>
            <rFont val="Tahoma"/>
            <family val="2"/>
          </rPr>
          <t>HACIENDA:</t>
        </r>
        <r>
          <rPr>
            <sz val="9"/>
            <color indexed="81"/>
            <rFont val="Tahoma"/>
            <family val="2"/>
          </rPr>
          <t xml:space="preserve">
DO Y FA
acciones de control para el tratamiento de riesgos, por cuanto están atacando las causas (debilidades y amenazas)</t>
        </r>
      </text>
    </comment>
    <comment ref="E50" authorId="0" shapeId="0" xr:uid="{00000000-0006-0000-0300-000002000000}">
      <text>
        <r>
          <rPr>
            <b/>
            <sz val="9"/>
            <color indexed="81"/>
            <rFont val="Tahoma"/>
            <family val="2"/>
          </rPr>
          <t>HACIENDA:</t>
        </r>
        <r>
          <rPr>
            <sz val="9"/>
            <color indexed="81"/>
            <rFont val="Tahoma"/>
            <family val="2"/>
          </rPr>
          <t xml:space="preserve">
 DA
pueden servir para la formulación de acciones de contingencia para reestablecer la normatividad de manera inmediata al momento qque el riesgo se materialice.</t>
        </r>
      </text>
    </comment>
    <comment ref="G50" authorId="0" shapeId="0" xr:uid="{00000000-0006-0000-0300-000003000000}">
      <text>
        <r>
          <rPr>
            <b/>
            <sz val="9"/>
            <color indexed="81"/>
            <rFont val="Tahoma"/>
            <family val="2"/>
          </rPr>
          <t>HACIENDA:</t>
        </r>
        <r>
          <rPr>
            <sz val="9"/>
            <color indexed="81"/>
            <rFont val="Tahoma"/>
            <family val="2"/>
          </rPr>
          <t xml:space="preserve">
DO Y FA
acciones de control para el tratamiento de riesgos, por cuanto están atacando las causas (debilidades y amenazas)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HACIENDA</author>
  </authors>
  <commentList>
    <comment ref="B8" authorId="0" shapeId="0" xr:uid="{00000000-0006-0000-0400-000001000000}">
      <text>
        <r>
          <rPr>
            <b/>
            <sz val="9"/>
            <color indexed="81"/>
            <rFont val="Tahoma"/>
            <family val="2"/>
          </rPr>
          <t>HACIENDA:</t>
        </r>
        <r>
          <rPr>
            <sz val="9"/>
            <color indexed="81"/>
            <rFont val="Tahoma"/>
            <family val="2"/>
          </rPr>
          <t xml:space="preserve">
V5:las consecuencias que puede ocasionar a la organización la materialización del riesgo
</t>
        </r>
      </text>
    </comment>
    <comment ref="C8" authorId="0" shapeId="0" xr:uid="{00000000-0006-0000-0400-000002000000}">
      <text>
        <r>
          <rPr>
            <b/>
            <sz val="9"/>
            <color indexed="81"/>
            <rFont val="Tahoma"/>
            <family val="2"/>
          </rPr>
          <t>HACIENDA:</t>
        </r>
        <r>
          <rPr>
            <sz val="9"/>
            <color indexed="81"/>
            <rFont val="Tahoma"/>
            <family val="2"/>
          </rPr>
          <t xml:space="preserve">
justificacion del por que, complemento del impacto
V5: circunstancias o situaciones más evidentes sobre las cuales se presenta el riesgo, las mismas no constituyen la causa principal o base para que se presente el riesgo
/////////****////////***
PARA RIESGO FISCAL
</t>
        </r>
        <r>
          <rPr>
            <b/>
            <sz val="9"/>
            <color indexed="81"/>
            <rFont val="Tahoma"/>
            <family val="2"/>
          </rPr>
          <t>Puntos de Riesgo Fiscal</t>
        </r>
        <r>
          <rPr>
            <sz val="9"/>
            <color indexed="81"/>
            <rFont val="Tahoma"/>
            <family val="2"/>
          </rPr>
          <t xml:space="preserve">
Actividad en la que potencialmente se origina el riesgo fiscal
</t>
        </r>
      </text>
    </comment>
    <comment ref="D8" authorId="0" shapeId="0" xr:uid="{00000000-0006-0000-0400-000003000000}">
      <text>
        <r>
          <rPr>
            <b/>
            <sz val="9"/>
            <color indexed="81"/>
            <rFont val="Tahoma"/>
            <family val="2"/>
          </rPr>
          <t>HACIENDA:</t>
        </r>
        <r>
          <rPr>
            <sz val="9"/>
            <color indexed="81"/>
            <rFont val="Tahoma"/>
            <family val="2"/>
          </rPr>
          <t xml:space="preserve">
Riesgo q detectamos del objetivo
V5:es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
///****/////////
RIESGO FISCAL
Circunstancia Inmediata
Situación por la que se presenta el riesgo
</t>
        </r>
      </text>
    </comment>
    <comment ref="E8" authorId="0" shapeId="0" xr:uid="{00000000-0006-0000-0400-000004000000}">
      <text>
        <r>
          <rPr>
            <b/>
            <sz val="9"/>
            <color indexed="81"/>
            <rFont val="Tahoma"/>
            <family val="2"/>
          </rPr>
          <t>HACIENDA:</t>
        </r>
        <r>
          <rPr>
            <sz val="9"/>
            <color indexed="81"/>
            <rFont val="Tahoma"/>
            <family val="2"/>
          </rPr>
          <t xml:space="preserve">
causa base para el control….VER CONTEXTO  DELA OTRA VERSION. Es el ultimo por q de los 5 por que.</t>
        </r>
      </text>
    </comment>
    <comment ref="F8" authorId="0" shapeId="0" xr:uid="{00000000-0006-0000-0400-000005000000}">
      <text>
        <r>
          <rPr>
            <b/>
            <sz val="9"/>
            <color indexed="81"/>
            <rFont val="Tahoma"/>
            <family val="2"/>
          </rPr>
          <t>HACIENDA:</t>
        </r>
        <r>
          <rPr>
            <sz val="9"/>
            <color indexed="81"/>
            <rFont val="Tahoma"/>
            <family val="2"/>
          </rPr>
          <t xml:space="preserve">
este mapa es solo de gestión. 
POSIBILIDAD DE </t>
        </r>
        <r>
          <rPr>
            <b/>
            <sz val="9"/>
            <color indexed="81"/>
            <rFont val="Tahoma"/>
            <family val="2"/>
          </rPr>
          <t>(QUE:IMPACTO)+(COMO:CAUSA INMEDIATA)+(PORQUE:CAUSA RAIZ)</t>
        </r>
        <r>
          <rPr>
            <sz val="9"/>
            <color indexed="81"/>
            <rFont val="Tahoma"/>
            <family val="2"/>
          </rPr>
          <t xml:space="preserve">
</t>
        </r>
        <r>
          <rPr>
            <b/>
            <sz val="9"/>
            <color indexed="81"/>
            <rFont val="Tahoma"/>
            <family val="2"/>
          </rPr>
          <t xml:space="preserve">QUE + COMO= LO Q PUEDE OCURRIR
 </t>
        </r>
        <r>
          <rPr>
            <sz val="9"/>
            <color indexed="81"/>
            <rFont val="Tahoma"/>
            <family val="2"/>
          </rPr>
          <t xml:space="preserve">
</t>
        </r>
        <r>
          <rPr>
            <b/>
            <sz val="9"/>
            <color indexed="81"/>
            <rFont val="Tahoma"/>
            <family val="2"/>
          </rPr>
          <t>EJ V5</t>
        </r>
        <r>
          <rPr>
            <sz val="9"/>
            <color indexed="81"/>
            <rFont val="Tahoma"/>
            <family val="2"/>
          </rPr>
          <t xml:space="preserve">
Posibilidad de</t>
        </r>
        <r>
          <rPr>
            <b/>
            <sz val="9"/>
            <color indexed="81"/>
            <rFont val="Tahoma"/>
            <family val="2"/>
          </rPr>
          <t xml:space="preserve"> (¿Qué? :Impacto )</t>
        </r>
        <r>
          <rPr>
            <sz val="9"/>
            <color indexed="81"/>
            <rFont val="Tahoma"/>
            <family val="2"/>
          </rPr>
          <t>afectación económica-(</t>
        </r>
        <r>
          <rPr>
            <b/>
            <sz val="9"/>
            <color indexed="81"/>
            <rFont val="Tahoma"/>
            <family val="2"/>
          </rPr>
          <t xml:space="preserve">¿Cómo?Causa Inmediata) </t>
        </r>
        <r>
          <rPr>
            <sz val="9"/>
            <color indexed="81"/>
            <rFont val="Tahoma"/>
            <family val="2"/>
          </rPr>
          <t>por multa y sanción del ente regulador-</t>
        </r>
        <r>
          <rPr>
            <b/>
            <sz val="9"/>
            <color indexed="81"/>
            <rFont val="Tahoma"/>
            <family val="2"/>
          </rPr>
          <t>(¿Por qué? Causa Raíz)</t>
        </r>
        <r>
          <rPr>
            <sz val="9"/>
            <color indexed="81"/>
            <rFont val="Tahoma"/>
            <family val="2"/>
          </rPr>
          <t>debido a adquisición de bienes y servicios fuera de los requerimientos normativos
OJO  ...</t>
        </r>
        <r>
          <rPr>
            <b/>
            <sz val="9"/>
            <color indexed="81"/>
            <rFont val="Tahoma"/>
            <family val="2"/>
          </rPr>
          <t xml:space="preserve">.NOOOOO: </t>
        </r>
        <r>
          <rPr>
            <sz val="9"/>
            <color indexed="81"/>
            <rFont val="Tahoma"/>
            <family val="2"/>
          </rPr>
          <t xml:space="preserve">
No describir como riesgos omisiones ni desviaciones del control.
No describir causas como riesgos
No describir riesgos como la negación de un control
No existen riesgos transversales, lo que pueden existir son causas transversales.
 </t>
        </r>
      </text>
    </comment>
    <comment ref="I8" authorId="0" shapeId="0" xr:uid="{00000000-0006-0000-0400-000006000000}">
      <text>
        <r>
          <rPr>
            <b/>
            <sz val="9"/>
            <color indexed="81"/>
            <rFont val="Tahoma"/>
            <family val="2"/>
          </rPr>
          <t>HACIENDA:</t>
        </r>
        <r>
          <rPr>
            <sz val="9"/>
            <color indexed="81"/>
            <rFont val="Tahoma"/>
            <family val="2"/>
          </rPr>
          <t xml:space="preserve">
aplico el tipo de riesgo ver pag 38
</t>
        </r>
      </text>
    </comment>
    <comment ref="S8" authorId="0" shapeId="0" xr:uid="{00000000-0006-0000-0400-000007000000}">
      <text>
        <r>
          <rPr>
            <b/>
            <sz val="9"/>
            <color indexed="81"/>
            <rFont val="Tahoma"/>
            <family val="2"/>
          </rPr>
          <t>HACIENDA:</t>
        </r>
        <r>
          <rPr>
            <sz val="9"/>
            <color indexed="81"/>
            <rFont val="Tahoma"/>
            <family val="2"/>
          </rPr>
          <t xml:space="preserve">
</t>
        </r>
        <r>
          <rPr>
            <b/>
            <sz val="9"/>
            <color indexed="81"/>
            <rFont val="Tahoma"/>
            <family val="2"/>
          </rPr>
          <t>subcausa(sacada de la act del proceso-ojo revisar proceso), con los 6pasos para el control</t>
        </r>
        <r>
          <rPr>
            <sz val="9"/>
            <color indexed="81"/>
            <rFont val="Tahoma"/>
            <family val="2"/>
          </rPr>
          <t xml:space="preserve">
</t>
        </r>
        <r>
          <rPr>
            <b/>
            <sz val="9"/>
            <color indexed="81"/>
            <rFont val="Tahoma"/>
            <family val="2"/>
          </rPr>
          <t>V5:</t>
        </r>
        <r>
          <rPr>
            <sz val="9"/>
            <color indexed="81"/>
            <rFont val="Tahoma"/>
            <family val="2"/>
          </rPr>
          <t xml:space="preserve">  Estructura para la descripción del control: 
para una adecuada redacción del control se propone una estructura que facilitará más adelante entender su tipología y otros atributos para su valoración. La estructura es la siguiente:
</t>
        </r>
        <r>
          <rPr>
            <b/>
            <sz val="9"/>
            <color indexed="81"/>
            <rFont val="Tahoma"/>
            <family val="2"/>
          </rPr>
          <t xml:space="preserve">Responsable </t>
        </r>
        <r>
          <rPr>
            <sz val="9"/>
            <color indexed="81"/>
            <rFont val="Tahoma"/>
            <family val="2"/>
          </rPr>
          <t xml:space="preserve">de ejecutar el control: identifica el cargo del servidor que ejecuta el control, en caso de que sean controles automáticos se identificará el sistema que realiza la activ idad.
Acción: se determina mediante verbos que indican la acción que deben realizar como parte del control.
</t>
        </r>
        <r>
          <rPr>
            <b/>
            <sz val="9"/>
            <color indexed="81"/>
            <rFont val="Tahoma"/>
            <family val="2"/>
          </rPr>
          <t>Complemento: c</t>
        </r>
        <r>
          <rPr>
            <sz val="9"/>
            <color indexed="81"/>
            <rFont val="Tahoma"/>
            <family val="2"/>
          </rPr>
          <t xml:space="preserve">orresponde a los detalles que permiten identificar claramente el objeto del control.
EJ:
</t>
        </r>
        <r>
          <rPr>
            <b/>
            <sz val="9"/>
            <color indexed="81"/>
            <rFont val="Tahoma"/>
            <family val="2"/>
          </rPr>
          <t>(Responsable)E</t>
        </r>
        <r>
          <rPr>
            <sz val="9"/>
            <color indexed="81"/>
            <rFont val="Tahoma"/>
            <family val="2"/>
          </rPr>
          <t>l profesional de Contratación</t>
        </r>
        <r>
          <rPr>
            <b/>
            <sz val="9"/>
            <color indexed="81"/>
            <rFont val="Tahoma"/>
            <family val="2"/>
          </rPr>
          <t xml:space="preserve"> + ( Acción)</t>
        </r>
        <r>
          <rPr>
            <sz val="9"/>
            <color indexed="81"/>
            <rFont val="Tahoma"/>
            <family val="2"/>
          </rPr>
          <t xml:space="preserve"> verifica que la información suministrada por el proveedor corresponda con los requisitos establecidos acorde con el tipo de contratación,+</t>
        </r>
        <r>
          <rPr>
            <b/>
            <sz val="9"/>
            <color indexed="81"/>
            <rFont val="Tahoma"/>
            <family val="2"/>
          </rPr>
          <t xml:space="preserve"> (COMPLEMENTO) </t>
        </r>
        <r>
          <rPr>
            <sz val="9"/>
            <color indexed="81"/>
            <rFont val="Tahoma"/>
            <family val="2"/>
          </rPr>
          <t xml:space="preserve">a través de una lista de chequeo donde están los requisitos de información y la revisa con la información física suministrada por el proveedor, los contratos que cumplen son registrados en el sistema de información de contratación.
 </t>
        </r>
      </text>
    </comment>
    <comment ref="U8" authorId="0" shapeId="0" xr:uid="{00000000-0006-0000-0400-000008000000}">
      <text>
        <r>
          <rPr>
            <b/>
            <sz val="9"/>
            <color indexed="81"/>
            <rFont val="Tahoma"/>
            <family val="2"/>
          </rPr>
          <t>HACIENDA:</t>
        </r>
        <r>
          <rPr>
            <sz val="9"/>
            <color indexed="81"/>
            <rFont val="Tahoma"/>
            <family val="2"/>
          </rPr>
          <t xml:space="preserve">
ver en el proceso en donde esta el riesgo: entreda(preventivo) proceso(detectivo) o salida(correctivo)</t>
        </r>
      </text>
    </comment>
    <comment ref="AH8" authorId="0" shapeId="0" xr:uid="{00000000-0006-0000-0400-000009000000}">
      <text>
        <r>
          <rPr>
            <b/>
            <sz val="9"/>
            <color indexed="81"/>
            <rFont val="Tahoma"/>
            <family val="2"/>
          </rPr>
          <t>HACIENDA:</t>
        </r>
        <r>
          <rPr>
            <sz val="9"/>
            <color indexed="81"/>
            <rFont val="Tahoma"/>
            <family val="2"/>
          </rPr>
          <t xml:space="preserve">
COMPLEMENTA APOYA 
 LA ACCION CONTROL
Esta casilla dependerá del tratamiento establecido, si es</t>
        </r>
        <r>
          <rPr>
            <b/>
            <sz val="9"/>
            <color indexed="81"/>
            <rFont val="Tahoma"/>
            <family val="2"/>
          </rPr>
          <t xml:space="preserve"> Acepta</t>
        </r>
        <r>
          <rPr>
            <sz val="9"/>
            <color indexed="81"/>
            <rFont val="Tahoma"/>
            <family val="2"/>
          </rPr>
          <t xml:space="preserve">r no se requieren acciones adicionales, en caso de escoger </t>
        </r>
        <r>
          <rPr>
            <b/>
            <sz val="9"/>
            <color indexed="81"/>
            <rFont val="Tahoma"/>
            <family val="2"/>
          </rPr>
          <t xml:space="preserve">Reducir (mitigar) </t>
        </r>
        <r>
          <rPr>
            <sz val="9"/>
            <color indexed="81"/>
            <rFont val="Tahoma"/>
            <family val="2"/>
          </rPr>
          <t>se deben diligenciar las acciones que se adelantarán como complemento a los controles establecidos, no necesariamente son controles adicionales. Para</t>
        </r>
        <r>
          <rPr>
            <sz val="9"/>
            <color indexed="81"/>
            <rFont val="Tahoma"/>
            <family val="2"/>
          </rPr>
          <t xml:space="preserve">, es viable diligenciar la acción que deriva de esta (ejemplo póliza seguros, terceración), indicando información relevante. </t>
        </r>
      </text>
    </comment>
    <comment ref="H9" authorId="0" shapeId="0" xr:uid="{00000000-0006-0000-0400-00000A000000}">
      <text>
        <r>
          <rPr>
            <b/>
            <sz val="9"/>
            <color indexed="81"/>
            <rFont val="Tahoma"/>
            <family val="2"/>
          </rPr>
          <t>HACIENDA:</t>
        </r>
        <r>
          <rPr>
            <sz val="9"/>
            <color indexed="81"/>
            <rFont val="Tahoma"/>
            <family val="2"/>
          </rPr>
          <t xml:space="preserve">
GENERADORA DEL RIESGO. VER EL PROCESO Y TRAERLA. AGREGAR EL No del procedimiento.</t>
        </r>
      </text>
    </comment>
    <comment ref="J10" authorId="0" shapeId="0" xr:uid="{00000000-0006-0000-0400-00000B000000}">
      <text>
        <r>
          <rPr>
            <b/>
            <sz val="9"/>
            <color indexed="81"/>
            <rFont val="Tahoma"/>
            <family val="2"/>
          </rPr>
          <t>HACIENDA:</t>
        </r>
        <r>
          <rPr>
            <sz val="9"/>
            <color indexed="81"/>
            <rFont val="Tahoma"/>
            <family val="2"/>
          </rPr>
          <t xml:space="preserve">
11 reportes de ejecución y 3 a la alata gerencia (trimestral)</t>
        </r>
      </text>
    </comment>
    <comment ref="J22" authorId="0" shapeId="0" xr:uid="{00000000-0006-0000-0400-00000C000000}">
      <text>
        <r>
          <rPr>
            <b/>
            <sz val="9"/>
            <color indexed="81"/>
            <rFont val="Tahoma"/>
            <family val="2"/>
          </rPr>
          <t>HACIENDA:</t>
        </r>
        <r>
          <rPr>
            <sz val="9"/>
            <color indexed="81"/>
            <rFont val="Tahoma"/>
            <family val="2"/>
          </rPr>
          <t xml:space="preserve">
Revisión de documentos 1 vez al año y normograma trimestral (4 veces en el año)</t>
        </r>
      </text>
    </comment>
    <comment ref="J33" authorId="0" shapeId="0" xr:uid="{00000000-0006-0000-0400-00000D000000}">
      <text>
        <r>
          <rPr>
            <b/>
            <sz val="9"/>
            <color indexed="81"/>
            <rFont val="Tahoma"/>
            <family val="2"/>
          </rPr>
          <t>HACIENDA:</t>
        </r>
        <r>
          <rPr>
            <sz val="9"/>
            <color indexed="81"/>
            <rFont val="Tahoma"/>
            <family val="2"/>
          </rPr>
          <t xml:space="preserve">
DATOS DIRESSION DE RENTAS...DE LOS 258,000 PREDIOS FACTURADOS DEL IPU LA PROBABILIDAD DE EMISION DE LOS CLDO POR AÑO ES DE 5,000 SEGÚN PROYECCION DE PLAN DE ACCION DE RENTAS
------
ID#AAABTLYZ7rk
PILAR CUEVAS    (2024-09-13 15:36:06)
la actividad que conlleva el riesgo se ejecuta aproximadamente 100 veces al año</t>
        </r>
      </text>
    </comment>
    <comment ref="J34" authorId="0" shapeId="0" xr:uid="{4C5CE5E3-CDB0-4FD7-A78B-EAC29480FA81}">
      <text>
        <r>
          <rPr>
            <b/>
            <sz val="9"/>
            <color indexed="81"/>
            <rFont val="Tahoma"/>
            <family val="2"/>
          </rPr>
          <t>HACIENDA:</t>
        </r>
        <r>
          <rPr>
            <sz val="9"/>
            <color indexed="81"/>
            <rFont val="Tahoma"/>
            <family val="2"/>
          </rPr>
          <t xml:space="preserve">
promedio con riedgo de prescripcion anual cartera prescrita 2023-300,000,000
</t>
        </r>
      </text>
    </comment>
  </commentList>
</comments>
</file>

<file path=xl/sharedStrings.xml><?xml version="1.0" encoding="utf-8"?>
<sst xmlns="http://schemas.openxmlformats.org/spreadsheetml/2006/main" count="659" uniqueCount="436">
  <si>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</si>
  <si>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</si>
  <si>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</si>
  <si>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</si>
  <si>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</si>
  <si>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</si>
  <si>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</si>
  <si>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</si>
  <si>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</si>
  <si>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</si>
  <si>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</si>
  <si>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</si>
  <si>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</si>
  <si>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</si>
  <si>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</si>
  <si>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</si>
  <si>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</si>
  <si>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</si>
  <si>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</si>
  <si>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</si>
  <si>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</si>
  <si>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</si>
  <si>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</si>
  <si>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</si>
  <si>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</si>
  <si>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</si>
  <si>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</si>
  <si>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</si>
  <si>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</si>
  <si>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</si>
  <si>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</si>
  <si>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</si>
  <si>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</si>
  <si>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</si>
  <si>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</si>
  <si>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</si>
  <si>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</si>
  <si>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</si>
  <si>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</si>
  <si>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</si>
  <si>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</si>
  <si>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</si>
  <si>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</si>
  <si>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</si>
  <si>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</si>
  <si>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</si>
  <si>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</si>
  <si>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</si>
  <si>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</si>
  <si>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</si>
  <si>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</si>
  <si>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</si>
  <si>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</si>
  <si>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</si>
  <si>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</si>
  <si>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</si>
  <si>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</si>
  <si>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</si>
  <si>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</si>
  <si>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</si>
  <si>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</si>
  <si>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</si>
  <si>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</si>
  <si>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</si>
  <si>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</si>
  <si>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</si>
  <si>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</si>
  <si>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</si>
  <si>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</si>
  <si>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</si>
  <si>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</si>
  <si>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</si>
  <si>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</si>
  <si>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</si>
  <si>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</si>
  <si>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</si>
  <si>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</si>
  <si>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</si>
  <si>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</si>
  <si>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</si>
  <si>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</si>
  <si>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</si>
  <si>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</si>
  <si>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</si>
  <si>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</si>
  <si>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</si>
  <si>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</si>
  <si>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</si>
  <si>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</si>
  <si>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</si>
  <si>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</si>
  <si>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</si>
  <si>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</si>
  <si>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</si>
  <si>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</si>
  <si>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</si>
  <si>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</si>
  <si>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</si>
  <si>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</si>
  <si>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</si>
  <si>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</si>
  <si>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</si>
  <si>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</si>
  <si>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</si>
  <si>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</si>
  <si>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</si>
  <si>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</si>
  <si>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</si>
  <si>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</si>
  <si>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</si>
  <si>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</si>
  <si>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</si>
  <si>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</si>
  <si>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</si>
  <si>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</si>
  <si>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</si>
  <si>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</si>
  <si>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</si>
  <si>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</si>
  <si>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</si>
  <si>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</si>
  <si>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</si>
  <si>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</si>
  <si>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</si>
  <si>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</si>
  <si>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</si>
  <si>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</si>
  <si>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</si>
  <si>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</si>
  <si>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</si>
  <si>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</si>
  <si>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</si>
  <si>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</si>
  <si>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</si>
  <si>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</si>
  <si>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</si>
  <si>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</si>
  <si>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</si>
  <si>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</si>
  <si>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</si>
  <si>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</si>
  <si>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</si>
  <si>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</si>
  <si>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</si>
  <si>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</si>
  <si>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</si>
  <si>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</si>
  <si>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</si>
  <si>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</si>
  <si>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</si>
  <si>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</si>
  <si>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</si>
  <si>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</si>
  <si>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</si>
  <si>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</si>
  <si>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</si>
  <si>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</si>
  <si>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</si>
  <si>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</si>
  <si>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</si>
  <si>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</si>
  <si>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</si>
  <si>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</si>
  <si>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</si>
  <si>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</si>
  <si>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</si>
  <si>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</si>
  <si>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</si>
  <si>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</si>
  <si>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</si>
  <si>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</si>
  <si>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</si>
  <si>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</si>
  <si>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</si>
  <si>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</si>
  <si>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</si>
  <si>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</si>
  <si>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</si>
  <si>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</si>
  <si>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</si>
  <si>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</si>
  <si>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</si>
  <si>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</si>
  <si>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</si>
  <si>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</si>
  <si>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</si>
  <si>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</si>
  <si>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</si>
  <si>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</si>
  <si>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</si>
  <si>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</si>
  <si>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</si>
  <si>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</si>
  <si>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</si>
  <si>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</si>
  <si>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</si>
  <si>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</si>
  <si>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</si>
  <si>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</si>
  <si>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</si>
  <si>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</si>
  <si>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</si>
  <si>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</si>
  <si>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</si>
  <si>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</si>
  <si>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</si>
  <si>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</si>
  <si>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</si>
  <si>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</si>
  <si>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</si>
  <si>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</si>
  <si>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</si>
  <si>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</si>
  <si>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</si>
  <si>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</si>
  <si>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</si>
  <si>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</si>
  <si>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</si>
  <si>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</si>
  <si>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</si>
  <si>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</si>
  <si>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POLÍTICOS</t>
  </si>
  <si>
    <t>TECNOLÓGICOS</t>
  </si>
  <si>
    <t>AMBIENTALES</t>
  </si>
  <si>
    <t>OTROS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</si>
  <si>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</si>
  <si>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</si>
  <si>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</si>
  <si>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</si>
  <si>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</si>
  <si>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</si>
  <si>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</si>
  <si>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</si>
  <si>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</si>
  <si>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</si>
  <si>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</si>
  <si>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</si>
  <si>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</si>
  <si>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</si>
  <si>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</si>
  <si>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</si>
  <si>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</si>
  <si>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</si>
  <si>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</si>
  <si>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</si>
  <si>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</si>
  <si>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</si>
  <si>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</si>
  <si>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</si>
  <si>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</si>
  <si>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</si>
  <si>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</si>
  <si>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</si>
  <si>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</si>
  <si>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</si>
  <si>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</si>
  <si>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</si>
  <si>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</si>
  <si>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</si>
  <si>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Tipo de Riesgos</t>
  </si>
  <si>
    <t xml:space="preserve">PROCESO: SISTEMA INTEGRADO DE GESTIÓN </t>
  </si>
  <si>
    <t>Codigo:FOR-029-PRO-SIG-01</t>
  </si>
  <si>
    <t>Versión: 01</t>
  </si>
  <si>
    <t>Fecha: 21/02/2024</t>
  </si>
  <si>
    <t>Pagina:  1 de 1</t>
  </si>
  <si>
    <t>Fecha:21/02/2024</t>
  </si>
  <si>
    <t>1. Alta rotación de personal  afectando la continuidad en los procesos.</t>
  </si>
  <si>
    <t>2. Falta  de inducción y capacitación para conocer adecuadamente las actividades propias del proceso</t>
  </si>
  <si>
    <t xml:space="preserve">3. Falta de ética profesional y compromiso en el desarrollo de las actividades del procesos </t>
  </si>
  <si>
    <t>4. Baja capacidad de liderazgo</t>
  </si>
  <si>
    <t>5. Falta de integralidad en los módulos en los sistemas de información</t>
  </si>
  <si>
    <t>6. Deficiencia en la comunicación interna de la alta dirección con la parte operativa y viceversa.</t>
  </si>
  <si>
    <t>7.Falta de personal de planta para asumir las responsabilidades en la operación y continuidad de los procesos.</t>
  </si>
  <si>
    <t>8. Declataroria de la Urgencia manifiesta, ambiental, economica y Social por Pandemias o catastrófes nacionales</t>
  </si>
  <si>
    <t>9. Falta de seguimiento y gestión al proceso de peticiones, quejas y reclamos y/o tramites de gestión de Hacienda Pública.</t>
  </si>
  <si>
    <t>10. Falta de controles de la gestión de trámites</t>
  </si>
  <si>
    <t>11. Falta de digitalización de la totalidad de los expedientes que reposan en las diferentes direcciones.</t>
  </si>
  <si>
    <t xml:space="preserve">1. Módulo de predial, autoliquidador de industria y comercio, Módulo de constituciónde titulo, Módulo central de cuentas, Modulo de contabilidad, Módulo de Tesoreria, Módulo de deuda pública. </t>
  </si>
  <si>
    <t>2. constante actualizacion y socializacion  de los cambios normativos (normograma)</t>
  </si>
  <si>
    <t xml:space="preserve">3. Plan de Acción secretaria de Hacienda </t>
  </si>
  <si>
    <t>4. Actos administrativos a nivel territorial para el périodo de la urgencia manifiesta por decreto Presidencial 491 y 461 del 2020 y resolución 0069 del 2020 Por medio de la cual se amplía la suspensión de términos ordenada en las Resoluciones No. 0062 de 2 de abril de 2020 y No 0063 de 13 de abril de 2020. decreto 249  Por medio del cual se modifica el numeral cuatro del Decreto 1000-0227 del 2020 y se amplía la suspensión de términos en los procesos administrativos contravenciones, disciplinarios y demás acuaciones administrativas que adelanta el municipio de Ibagué</t>
  </si>
  <si>
    <t xml:space="preserve">5. Recepción, trámite y pago de contratos en el periodo de confinamiento. </t>
  </si>
  <si>
    <t>6. Apoyo técnico por parte de la Dirección del Grupo de Informática</t>
  </si>
  <si>
    <t>7) Se cuenta con una política integral desarrollada en el  Sistema Integrado de Gestión de la Alcaldía municipal de Ibagué -SIGAMI</t>
  </si>
  <si>
    <t xml:space="preserve">8) contamos con un plan institucional de Capacitación PIC </t>
  </si>
  <si>
    <t>9) programa de inducción y reinducción</t>
  </si>
  <si>
    <t>1) Lineamientos nacionales, departamentales y municipales de hacienda publica que incentivan el pago de impuesto,  según decreto 678 del 20 de mayo 2020</t>
  </si>
  <si>
    <t xml:space="preserve">2) Apoyo técnico en las herramientas de las TICS </t>
  </si>
  <si>
    <t xml:space="preserve">3) Contamos con 4 certificaciones de sistema de Gestión en la Alcaldía </t>
  </si>
  <si>
    <t xml:space="preserve">4) Modelo Integrado de Planeación y Gestión - MIPG </t>
  </si>
  <si>
    <t>5) Normatividad Constitucional y Legal Colombiana.</t>
  </si>
  <si>
    <t>6)  Acciones para implementar en la Administracion publica las medidas establecidas en el protocolo general de bioseguridad adoptado en la Resolución 666 del 24 abril del 2020 del Ministerio de salud y Protección social.</t>
  </si>
  <si>
    <t xml:space="preserve">7) Código de Integridad y Buen Gobierno </t>
  </si>
  <si>
    <t xml:space="preserve">8)  Reorganización administrativa basada en estudios técnicos </t>
  </si>
  <si>
    <t xml:space="preserve">D5. O2 La secretaria de Hacienda convocará a mesas de trabajo a  las TICS junto al comité de Riesgos, para definir un plan de integralidad en la operación de los modulos del proceso de Gestión de Hacienda pública. </t>
  </si>
  <si>
    <t>D8. O1 Cumplir con los lineamientos nacionales se adoptará las medidas necesarias para darle aplicabilidad al decreto 678 del 20 de mayo 2020 de acuerdo a la declataroria de la Urgencia manifiesta, ambiental, economica y Social por Pandemias o catastrófes nacionales y acogiendonos a los lineamientos nacionales, departamentales y municipales de hacienda publica que incentivan el pago de impuesto.</t>
  </si>
  <si>
    <t>D6. O4 Incentivar en la secretaria de Hacienda la realización de los comites técnicos de forma periodica que faciliten la comunicación del nivel directivo y el nivel operativo y viceversa</t>
  </si>
  <si>
    <t xml:space="preserve">D8. O6 Implementar acciones como el confinamiento preventivo y trabajo en casa, en respuesta de los lineamientos nacionales para controlar la urgencia manifiesta ambiental, economica declarada en todo el país. Estar atentos a tomar acciones de control en respuesta a los protocolos de bioseguridad que nos proponga la Alcaldia para el desarrollo de Gestión de Hacienda Pública. </t>
  </si>
  <si>
    <t>D3, O7 Sensibilización a los funcionarios en principios,ética y valores Institucionales Aplicación del Código de Integridad y buen Gobierno, para la satisfacción de clientes y grupos de valor.</t>
  </si>
  <si>
    <t>D 1,2,4 O3,4,5  Capacitación continua para reconocer y aplicar las caracteristicas y requisitos dados por la ley, los Acuerdos Municipales, sentencias judiciales, según la naturaleza del asunto, para asegurar eficacia, eficiencia y transparencia en el desarrollo de los tramites. (Facturacion Impuesto Predial Unificado, Excencion del impuesto de Industria y comercio, Certificados de paz y salvo )</t>
  </si>
  <si>
    <t xml:space="preserve">D7 O8 Solicitar personal de planta para la secretaria con el fin de garantizar la continuidad de los procesos. </t>
  </si>
  <si>
    <t xml:space="preserve">D1,2,4,6, O3,4,5 Cada Director de la secretaria de Hacienda convoca mensualmente a su equipo de trabajo para revisar y hacer seguimiento a los planes de acción y demás planes estratégicos, Revisando las metas proyectas y su ejecución.
(DECRETO 1210 DE DICIEMBRE 19 DE 2023
DESCRIPCION DE FUNCIONES COMUNES AL NIVEL JERÁRQUICO NUMERAL 6)
</t>
  </si>
  <si>
    <t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(PROCESO: SISTEMA
INTEGRADO DE GESTION: FOR-14-PRO-SIG-03 "INFORME GERENCIAL"
DECRETO 1000-0612 DEL 24 DE NOVIEMBRE DE 2020 "CODIGO DE IINTEGRIDAD Y BUEN GOBIERNO DE LA ALCALDIA DE IBAGUE)
</t>
  </si>
  <si>
    <t>D 1,2,4,6,7,8 O 1,2,3,4,6,7 El director de Rentas y Tesorería anualmente actualizará los trámites , teniendo en cuenta la normatividad vigente y los requisitos requeridos.
( PRO-SIG-001: "CONTROL DE DOCUMENTOS DEL SIGAMI")</t>
  </si>
  <si>
    <t>D 1,2,4,6,7,8,10 O 1,2,3,4,6,7 La Dirección de Tesorería Cuatrimestralmente a traves de la profesional de acuerdos de pago, verificará que los acuerdos de pago de tránsito, impuesto PREDIAL e ICA cumplan con los requisitos de aprobación establecidos en los decretos, lo anterior se realizará semanalmente através de muestreos aleatorios y expontáneos revisando los requisitos exigidos.
(MAN-GHP-003: MANUAL: GESTIÓN DE RECAUDO DE
CARTERA- Numeral 6.19.4. )</t>
  </si>
  <si>
    <t>D1,A3, El director (a) de Rentas,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acción de  gestión trimestral de la dirección de rentas. 
 PRO-GHP-05 FACTURACION  I.P.U para la actividad No. 11-12 y 13 (C.L.D.O)</t>
  </si>
  <si>
    <t xml:space="preserve">F1. O2 Solicitar apoyo técnico a la secretaria de las TICS para la integradilidad de los diferentes Modulos de la secretaria de Hacienda, como lo son: el Módulo de predial, autoliquidador de industria y comercio, Módulo de constituciónde titulo, Módulo central de cuentas, Modulo de contabilidad, Módulo de Tesoreria, Módulo de deuda pública. 2) Apoyo técnico en las herramientas de las TICS </t>
  </si>
  <si>
    <t>F2. O5 Realizar una constante actualizacion y socializacion  de los cambios normativos (normograma) de la secretaria de Hacienda para su correcta aplicabilidad.</t>
  </si>
  <si>
    <t>F5.O6 Dar cumplimiento a las acciones establecidas según los Actos administrativos a nivel territorial para el périodo de la urgencia manifiesta por decreto Presidencial 491 y 461 del 2020 y resolución 0069 del 2020 Por medio de la cual se amplía la suspensión de términos ordenada en las Resoluciones No. 0062 de 2 de abril de 2020 y No 0063 de 13 de abril de 2020. decreto 249  Por medio del cual se modifica el numeral cuatro del Decreto 1000-0227 del 2020 y se amplía la suspensión de términos en los procesos administrativos contravenciones, disciplinarios y demás actuaciones administrativas que adelanta el municipio de Ibagué.</t>
  </si>
  <si>
    <t xml:space="preserve">F.8 O4 Se cuenta con una política integral desarrollada en el  Sistema Integrado de Gestión de la Alcaldía municipal de Ibagué -SIGAMI. 4) Modelo Integrado de Planeación y Gestión - MIPG </t>
  </si>
  <si>
    <t xml:space="preserve">Cambios de Gobierno </t>
  </si>
  <si>
    <t>Cambios legislativos de orden nacional, departamental y local</t>
  </si>
  <si>
    <t>Ataques ciberneticos a los sistemas de informacion por personas externas.</t>
  </si>
  <si>
    <t>Avances tecnologicos</t>
  </si>
  <si>
    <t>Disminucion de los ingresos de la poblacion qué afecta el recaudo.</t>
  </si>
  <si>
    <t xml:space="preserve">Falta de información clara y debilidad en canales de acceso a la publicidad de las condiciones del trámite. </t>
  </si>
  <si>
    <t xml:space="preserve">Falta de controles de la gestión de trámites </t>
  </si>
  <si>
    <t>Alta rotación de personal  afectando la continuidad en los procesos.</t>
  </si>
  <si>
    <t>Falta  de inducción y capacitación para conocer adecuadamente las actividades propias del proceso</t>
  </si>
  <si>
    <t xml:space="preserve">Falta de ética profesional y compromiso en el desarrollo de las actividades del procesos </t>
  </si>
  <si>
    <t>Falta de digitalización de la totalidad de los expedientes que reposan en las diferentes direcciones.</t>
  </si>
  <si>
    <t>Baja capacidad de liderazgo</t>
  </si>
  <si>
    <t xml:space="preserve">Dificultad en el trabajo en equipo </t>
  </si>
  <si>
    <t>Dificultad en el acceso a las diferentes plataformas tecnologicas para nuestro desempeño en los procesos.</t>
  </si>
  <si>
    <t>Falta de integralidad en los modulos en los sistemas de información</t>
  </si>
  <si>
    <t>Falta de recursos para cumplir las metas de la entidad.</t>
  </si>
  <si>
    <t xml:space="preserve">Deficiencia en la comunicación interna de la alta dirección con la parte operativa y viceversa. </t>
  </si>
  <si>
    <t>Falta de personal de planta para asumir las responsabilidades en la operación y continuidad de los procesos.</t>
  </si>
  <si>
    <t>Falta de seguimiento y gestión al proceso de peticiones, quejas y reclamos y/o tramites de gestión de Hacienda Pública.</t>
  </si>
  <si>
    <t xml:space="preserve">Desconocimiento del objetivo de los procesos que origina extralimitación de funciones. </t>
  </si>
  <si>
    <t>Aplicación inadecuada de las políticas de operación y carencia de controles en los procedimientos</t>
  </si>
  <si>
    <t>Deficiencia en la comunicación de los lineamientos emitidos de la secretaria para la aplicación en los procesos.</t>
  </si>
  <si>
    <t>Demoras en los Reporte de la información</t>
  </si>
  <si>
    <t>CAUSA</t>
  </si>
  <si>
    <t>EXTER</t>
  </si>
  <si>
    <t>INTERNA</t>
  </si>
  <si>
    <t>PROCESO</t>
  </si>
  <si>
    <t>INTERACCION CON OTROS PROCESOS</t>
  </si>
  <si>
    <t>Deficiente seguimiento por parte de los ordenadores del gasto  en la ejecución presupuestal</t>
  </si>
  <si>
    <t>subcausa</t>
  </si>
  <si>
    <t>RESPONSABLES DEL PROCESO</t>
  </si>
  <si>
    <t>Falta de aplicación de las políticas del proceso de gestión docuemntal en el control y préstamo de la documentación.</t>
  </si>
  <si>
    <t>ESTRATEGICO</t>
  </si>
  <si>
    <t>1, Retraso en la entrega de información relacionada con actualización y/o conservación catastral por parte del Gestor catastral.  Notificación indebida y/o extemporanea</t>
  </si>
  <si>
    <t>PROCEDIMIENTOS ASOCIADOS</t>
  </si>
  <si>
    <r>
      <t xml:space="preserve"> </t>
    </r>
    <r>
      <rPr>
        <sz val="11"/>
        <color rgb="FFFF0000"/>
        <rFont val="Arial"/>
        <family val="2"/>
      </rPr>
      <t>falta de actualización de los documentos de los procesos de gestión de la Secretaría de Hacienda.</t>
    </r>
  </si>
  <si>
    <r>
      <rPr>
        <sz val="11"/>
        <color rgb="FFFF0000"/>
        <rFont val="Arial"/>
        <family val="2"/>
      </rPr>
      <t>1. Inconsistencia en los cruces entre bancos y las certificacion</t>
    </r>
    <r>
      <rPr>
        <sz val="11"/>
        <color theme="1"/>
        <rFont val="Arial"/>
        <family val="2"/>
      </rPr>
      <t>es</t>
    </r>
  </si>
  <si>
    <t>LEGALES Y REGLAMENTARIOS</t>
  </si>
  <si>
    <t>ECONÓMICOS Y FINANCIEROS</t>
  </si>
  <si>
    <t>Declataroria de la Urgencia manifiesta, ambiental, economica y Social por Pandemias o catastófes nacionales</t>
  </si>
  <si>
    <t>PERSONAL DE LA ENTIDAD (Capacidad del personal, políticas de manejo del talento humano, idoneidad)</t>
  </si>
  <si>
    <t>PROCESOS OPERATIVOS</t>
  </si>
  <si>
    <t>ESTRATÉGICOS</t>
  </si>
  <si>
    <t>TECNOLOGÍA (integridad de datos, disponibilidad de datos y sistemas, desarrollo, producción, mantenimiento de sistemas de información)</t>
  </si>
  <si>
    <t>FINANCIEROS</t>
  </si>
  <si>
    <t>COMMUNICACIÓN INTERNA</t>
  </si>
  <si>
    <t>Incumplimiento en la gestión del CLDO del Impuesto predial unificado dentro de los términos establecidos en el procedimiento PRO-GHP-05 FACTURACION  I.P.U para la actividad No. 11-12 y 13 (C.L.D.O)</t>
  </si>
  <si>
    <t>INTERACCIÓN CON LOS PROCESOS</t>
  </si>
  <si>
    <t>PROCEDIMIENTOS DEL PROCESO</t>
  </si>
  <si>
    <t>COMUNICACIÓN ENTRE LOS PROCESOS</t>
  </si>
  <si>
    <t>SECRETARIA DE HACIENDA PUBLICA MUNICIPAL</t>
  </si>
  <si>
    <t xml:space="preserve">ADMINISTRAR LAS FINANZAS PUBLICAS DEL MUNICIPIO DE IBAGUE, DE MANERA CONTINUA MEDIANTE EL RECAUDO, EJECUCIÓN, REGISTRO Y CONTROL PRESUPUESTAL, CONTABLE Y FINANCIERO PARA COADYUVAR EN LA PROMOCION DEL DESARROLLO ECONOMICO, CULTURAL, SOCIAL Y AMBIENTAL DE LA COMUNIDAD EN GENERAL, ASEGURANDO UN BUEN MANEJO DE LOS RECURSOS PUBLICOS CON TRANSPARENCIA Y EFECTIVIDAD. </t>
  </si>
  <si>
    <t>INICIA CON LA PLANEACIÓN DEL PROCESO PARA EL CUATRENIO, TENIENDO EN CUENTA EL MARCO FISCAL A MEDIANO PLAZO (MFMP) Y EL PLAN DE DESARROLLO MUNICIPAL, HASTA EL SEGUIMIENTO Y EVALUACIÓN DEL PROCESO. POSTERIORMENTE REALIZA EL TRÁMITE DE RECURSOS EN LA APROPIACIÓN Y ARMONIZACIÓN DE LA EJECUCIÓN DEL PRESUPUESTO MUNICIPAL, PASANDO POR LA RECEPCIÓN, CAUSACION Y REALIZACIÓN DE PAGOS DE COMPROMISOS ADQUIRIDOS POR EL MUNICIPIO, LLEVANDO LOS REGISTROS DE INGRESOS, COORDINANDO EL SEGUIMIENTO, CONTROL Y COBRO DE LA CARTERA MUNICIPAL. A SU VEZ REALIZA EL RECAUDO Y FISCALIZACIÓN DE LAS RENTAS, FINALIZANDO CON EL ANÁLISIS Y REALIZACIÓN DE LOS ESTADOS DE ACTIVIDAD FINANCIERA, ECONÓMICA Y SOCIAL DEL MUNICIPIO DE IBAGUÉ.</t>
  </si>
  <si>
    <t>Baja ejecución presupuestal de gastos de inversión del Municipio de parte de las Secretarias Ejecutor</t>
  </si>
  <si>
    <t>Gestión</t>
  </si>
  <si>
    <t>Ejecución y administración del presupuesto de las Secretarías Ejecutoras</t>
  </si>
  <si>
    <r>
      <rPr>
        <b/>
        <sz val="11"/>
        <color theme="1"/>
        <rFont val="Arial"/>
        <family val="2"/>
      </rPr>
      <t>DO Y FA</t>
    </r>
    <r>
      <rPr>
        <sz val="11"/>
        <color theme="1"/>
        <rFont val="Arial"/>
        <family val="2"/>
      </rPr>
      <t xml:space="preserve">
acciones de control para el tratamiento de riesgos, por cuanto están atacando las causas (debilidades y amenazas)</t>
    </r>
  </si>
  <si>
    <r>
      <rPr>
        <b/>
        <sz val="11"/>
        <color theme="1"/>
        <rFont val="Arial"/>
        <family val="2"/>
      </rPr>
      <t xml:space="preserve"> DA</t>
    </r>
    <r>
      <rPr>
        <sz val="11"/>
        <color theme="1"/>
        <rFont val="Arial"/>
        <family val="2"/>
      </rPr>
      <t xml:space="preserve">
pueden servir para la formulación de acciones de contingencia para reestablecer la normatividad de manera inmediata al momento qque el riesgo se materialice.</t>
    </r>
  </si>
  <si>
    <t>Pérdida de memoria institucional y sanciones disciplinarias, fiscales y administrativa</t>
  </si>
  <si>
    <t>Custodia del archivo físico y digital de los expedientes de Gestión de Hacienda Pública</t>
  </si>
  <si>
    <t>Falta de apliacación de las políticas del proceso de gestión docuemntal en el control y préstamo de la documentación.</t>
  </si>
  <si>
    <t>12, Falta de seguimiento y control en la entrega y devolución de expedientes que reposan en el Archivo Físico</t>
  </si>
  <si>
    <t>sanciones disciplinarias  y administrativas</t>
  </si>
  <si>
    <t>Deficiencia en la aplicación de los cambios normativos para entidades del gobiern</t>
  </si>
  <si>
    <t xml:space="preserve"> falta de actualización de los documentos de los procesos de gestión de la Secretaría de Haciend</t>
  </si>
  <si>
    <t>actualización de los documentos y normograma</t>
  </si>
  <si>
    <t>1. Falta de información clara y debilidad en canales de acceso a la publicidad de las condiciones del trámite.</t>
  </si>
  <si>
    <t>D1,2,3,4,6,7,8 A1  Al Iniciar la investigación disciplinaria, fiscal o remitir a las instancias correspondientes para el proceso penal</t>
  </si>
  <si>
    <t>F3,4,6,7 - A1 Solicitar a la Dirección de Informática la actualización continua del desarrollo de los trámites actuales de la plataforma de la Alcaldía.</t>
  </si>
  <si>
    <t>2. Declataroria de la Urgencia manifiesta, ambiental, economica y Social por Pandemias o catastrófes nacionales</t>
  </si>
  <si>
    <t xml:space="preserve">D4,6,8. A2 Activar los lineamientos establecidos por el Ministerio de Salud  y Proteccion Social de Colombia, para remitir a las instancias correspondientes. </t>
  </si>
  <si>
    <t>F3,4,5,6 - A2. Activiar los prótocolos generales de bioseguridad, para mitigar, controlar y realizar el adecuado manejo de la pandemia del COVID-19 emitida por el Ministerio de Salud y Protección Social de Colombia.</t>
  </si>
  <si>
    <t>3, Falta de aplicación de las actividades del procedimiento PRO-GHP-05 FACTURACION  I.P.U para la actividad No. 11-12 y 13 (C.L.D.O)</t>
  </si>
  <si>
    <t>D1.A3. Solictar personal de planta para la Secretaría de Hacienda para dar aplicación  al procedimiento ,  PRO-GHP-05 FACTURACION  I.P.U para la actividad No. 11-12 y 13 (C.L.D.O)</t>
  </si>
  <si>
    <r>
      <t xml:space="preserve">D1, D3, D12, O4, O7, F7 </t>
    </r>
    <r>
      <rPr>
        <b/>
        <sz val="10"/>
        <color rgb="FFFF0000"/>
        <rFont val="Arial"/>
        <family val="2"/>
      </rPr>
      <t xml:space="preserve">El Profesional Universitado y/o técnico Operativo </t>
    </r>
    <r>
      <rPr>
        <b/>
        <sz val="10"/>
        <color rgb="FF00B050"/>
        <rFont val="Arial"/>
        <family val="2"/>
      </rPr>
      <t xml:space="preserve">cada vez que se requiera </t>
    </r>
    <r>
      <rPr>
        <b/>
        <sz val="10"/>
        <color rgb="FF0070C0"/>
        <rFont val="Arial"/>
        <family val="2"/>
      </rPr>
      <t>controla el prestamo y devolución de expedientes   deacuerdo a los lineamientos establecidos por Gestión Documental</t>
    </r>
    <r>
      <rPr>
        <b/>
        <sz val="10"/>
        <rFont val="Arial"/>
        <family val="2"/>
      </rPr>
      <t xml:space="preserve">, </t>
    </r>
    <r>
      <rPr>
        <b/>
        <sz val="10"/>
        <color rgb="FFC00000"/>
        <rFont val="Arial"/>
        <family val="2"/>
      </rPr>
      <t>dejando como Evidencia Planillas de control.
(GESTION DOCUMENTAL: FORMATO CONTROL PRESTAMO: PRO-GD-03)</t>
    </r>
  </si>
  <si>
    <t xml:space="preserve">SECRETARIO DE HACIENDA 
Y/O 
DIRECTORES </t>
  </si>
  <si>
    <t>sanciones disciplinarias  y/o administrativas</t>
  </si>
  <si>
    <t xml:space="preserve"> Inconsistencia en los cruces entre bancos y las certificaciones</t>
  </si>
  <si>
    <t>Certificaciones superavit y de cuentas bancarias</t>
  </si>
  <si>
    <t xml:space="preserve">9) Cambios políticos que afectan positivamente. </t>
  </si>
  <si>
    <t>13,Dificultad del trabajo en equipo</t>
  </si>
  <si>
    <t xml:space="preserve">14, Desconocimiento del proceso y procedimientos  por parte del personal de planta y contrato. </t>
  </si>
  <si>
    <t>10)Conocimiento,  experiencia, habilidades y compromiso por parte de  líderes del proceso</t>
  </si>
  <si>
    <t xml:space="preserve">11)Profesionales y técnicos con experiencia y conocimiento en el área de comunicaciones y protocolo. </t>
  </si>
  <si>
    <t xml:space="preserve">4, Baja efectividad de los flujos de informacion (demora en los tiempos de respuesta) </t>
  </si>
  <si>
    <r>
      <t xml:space="preserve">D 13, D14. O10, F11 , A4. </t>
    </r>
    <r>
      <rPr>
        <b/>
        <sz val="10"/>
        <color rgb="FFFF0000"/>
        <rFont val="Arial"/>
        <family val="2"/>
      </rPr>
      <t>El Director de Tesoreria</t>
    </r>
    <r>
      <rPr>
        <b/>
        <sz val="10"/>
        <rFont val="Arial"/>
        <family val="2"/>
      </rPr>
      <t xml:space="preserve"> ,</t>
    </r>
    <r>
      <rPr>
        <b/>
        <sz val="10"/>
        <color rgb="FF00B050"/>
        <rFont val="Arial"/>
        <family val="2"/>
      </rPr>
      <t xml:space="preserve"> anualmente, emitirá</t>
    </r>
    <r>
      <rPr>
        <b/>
        <sz val="10"/>
        <rFont val="Arial"/>
        <family val="2"/>
      </rPr>
      <t xml:space="preserve"> </t>
    </r>
    <r>
      <rPr>
        <b/>
        <sz val="10"/>
        <color theme="3" tint="0.39997558519241921"/>
        <rFont val="Arial"/>
        <family val="2"/>
      </rPr>
      <t>Certificado de superávit o déficit fiscal</t>
    </r>
    <r>
      <rPr>
        <b/>
        <sz val="10"/>
        <rFont val="Arial"/>
        <family val="2"/>
      </rPr>
      <t xml:space="preserve">, </t>
    </r>
    <r>
      <rPr>
        <b/>
        <sz val="10"/>
        <color rgb="FFC00000"/>
        <rFont val="Arial"/>
        <family val="2"/>
      </rPr>
      <t>dejando como evidencia dicha certificación. 
(PRO-GHP-010: PROCEDIMIENTO: CIERRE DEL EJERCICIO FISCAL)</t>
    </r>
  </si>
  <si>
    <t>DIRECTOR DE TESORERIA</t>
  </si>
  <si>
    <t>Constitución y trámite Tributario establecido para los TÍTULOS EJECUTIVOS a Cobro Coactivo – Cartera. Concepto: Impuesto Predial Unificado evidenciado en la matriz del plan de accion de gestion de la vigencia y los memorandos de remision de expedientes de la cartera a cobro coactivo.</t>
  </si>
  <si>
    <t>DIRECTOR DE RENTAS</t>
  </si>
  <si>
    <t>10) Mejoramiento de los procesos de comunicación interna dentro de la entidad.</t>
  </si>
  <si>
    <t xml:space="preserve">Pagos efectuados a contratistas </t>
  </si>
  <si>
    <t xml:space="preserve">Inadecuada deducción de impuestos, tasas o contribuciones al contratista </t>
  </si>
  <si>
    <t>Inadecuada deducción de impuestos, tasas o contribuciones al contratista</t>
  </si>
  <si>
    <t>FISCAL</t>
  </si>
  <si>
    <r>
      <t xml:space="preserve">6, </t>
    </r>
    <r>
      <rPr>
        <sz val="11"/>
        <color rgb="FFFF0000"/>
        <rFont val="Arial Narrow"/>
        <family val="2"/>
      </rPr>
      <t xml:space="preserve">Posibilidad de perdida reputacional y economica </t>
    </r>
    <r>
      <rPr>
        <b/>
        <sz val="11"/>
        <color theme="9" tint="-0.249977111117893"/>
        <rFont val="Arial Narrow"/>
        <family val="2"/>
      </rPr>
      <t xml:space="preserve">por </t>
    </r>
    <r>
      <rPr>
        <b/>
        <sz val="11"/>
        <color rgb="FF0070C0"/>
        <rFont val="Arial Narrow"/>
        <family val="2"/>
      </rPr>
      <t xml:space="preserve">Pagos efectuados a contratistas </t>
    </r>
    <r>
      <rPr>
        <sz val="11"/>
        <color theme="9" tint="-0.249977111117893"/>
        <rFont val="Arial Narrow"/>
        <family val="2"/>
      </rPr>
      <t xml:space="preserve">debido a </t>
    </r>
    <r>
      <rPr>
        <b/>
        <sz val="11"/>
        <color rgb="FF00B050"/>
        <rFont val="Arial Narrow"/>
        <family val="2"/>
      </rPr>
      <t xml:space="preserve">Inadecuada deducción de impuestos, tasas o contribuciones al contratista </t>
    </r>
  </si>
  <si>
    <t xml:space="preserve">HACIENDA:
subcausa(sacada de la act del proceso-ojo revisar proceso), con los 6pasos para el control
V5:  Estructura para la descripción del control: 
para una adecuada redacción del control se propone una estructura que facilitará más adelante entender su tipología y otros atributos para su valoración. La estructura es la siguiente:
Responsable de ejecutar el control: identifica el cargo del servidor que ejecuta el control, en caso de que sean controles automáticos se identificará el sistema que realiza la activ idad.
Acción: se determina mediante verbos que indican la acción que deben realizar como parte del control.
Complemento: corresponde a los detalles que permiten identificar claramente el objeto del control.
EJ:
(Responsable)El profesional de Contratación + ( Acción) verifica que la información suministrada por el proveedor corresponda con los requisitos establecidos acorde con el tipo de contratación,+ (COMPLEMENTO) a través de una lista de chequeo donde están los requisitos de información y la revisa con la información física suministrada por el proveedor, los contratos que cumplen son registrados en el sistema de información de contratación.
 </t>
  </si>
  <si>
    <r>
      <rPr>
        <b/>
        <sz val="10"/>
        <color rgb="FFFF0000"/>
        <rFont val="Arial"/>
        <family val="2"/>
      </rPr>
      <t>El técnico, los profesionales y el Grupo de Apoyo</t>
    </r>
    <r>
      <rPr>
        <sz val="10"/>
        <color rgb="FF00B050"/>
        <rFont val="Arial"/>
        <family val="2"/>
      </rPr>
      <t xml:space="preserve"> cada vez que llegue al correo documentos y órdenes de pago para tramite</t>
    </r>
    <r>
      <rPr>
        <sz val="10"/>
        <rFont val="Arial"/>
        <family val="2"/>
      </rPr>
      <t xml:space="preserve"> revisaran y compararan que los documentos que se requieren para la generación de una Orden de Pago de Prestación de Servicios Profesionales y de Apoyo a la Gestión y los soportes que acompañan la Orden de Pago de Otras Tipologías Contractuales son los requeridos y definidos como anexos en las condiciones generales y verificaran que los cálculos de las deducciones correspondan a los conceptos del hecho económico a pagar, bases gravables y tarifas estipuladas por la normatividad que les dio origen y que se encuentre vigente.
 dejando como evidencia Correos Institucionales para manejo de documentos de órdenes de pago
</t>
    </r>
    <r>
      <rPr>
        <b/>
        <sz val="10"/>
        <color rgb="FF00B050"/>
        <rFont val="Arial"/>
        <family val="2"/>
      </rPr>
      <t>PROCEDIMIENTO: ÓRDENES DE PAGO Código: PRO-GHP-008</t>
    </r>
  </si>
  <si>
    <t>Aplicación del procedimiento PRO-GHP-05 FACTURACION  Impuesto Predial Unificado.</t>
  </si>
  <si>
    <t xml:space="preserve">Deudas a favor de la entidad </t>
  </si>
  <si>
    <t xml:space="preserve">Vencimiento de plazos para la labor de cobro directo (persuasivo o coactivo) o judicial </t>
  </si>
  <si>
    <t>DIRECTOR DE PRESUPUESTO</t>
  </si>
  <si>
    <r>
      <rPr>
        <sz val="11"/>
        <color rgb="FFFF0000"/>
        <rFont val="Arial"/>
        <family val="2"/>
      </rPr>
      <t>Inconsistencia en los cruces entre bancos y las certificacion</t>
    </r>
    <r>
      <rPr>
        <sz val="11"/>
        <color theme="1"/>
        <rFont val="Arial"/>
        <family val="2"/>
      </rPr>
      <t>es</t>
    </r>
  </si>
  <si>
    <t>Retraso en la entrega de información relacionada con actualización y/o conservación catastral por parte del Gestor catastral.  Notificación indebida y/o extemporanea</t>
  </si>
  <si>
    <t>Al inicio de los procesos coactivos de la cartera del municipio</t>
  </si>
  <si>
    <r>
      <rPr>
        <b/>
        <sz val="10"/>
        <color rgb="FFFF0000"/>
        <rFont val="Arial"/>
        <family val="2"/>
      </rPr>
      <t>F10, A4, D5, O10  El director (a) de Rentas</t>
    </r>
    <r>
      <rPr>
        <sz val="10"/>
        <rFont val="Arial"/>
        <family val="2"/>
      </rPr>
      <t xml:space="preserve">,el Profesional Especializado </t>
    </r>
    <r>
      <rPr>
        <b/>
        <sz val="10"/>
        <rFont val="Arial"/>
        <family val="2"/>
      </rPr>
      <t xml:space="preserve">encargado de Causar el impuesto predial Unificado, </t>
    </r>
    <r>
      <rPr>
        <b/>
        <sz val="10"/>
        <color rgb="FFFF0000"/>
        <rFont val="Arial"/>
        <family val="2"/>
      </rPr>
      <t>con su equipo de trabajo</t>
    </r>
    <r>
      <rPr>
        <b/>
        <sz val="10"/>
        <color theme="3" tint="0.39997558519241921"/>
        <rFont val="Arial"/>
        <family val="2"/>
      </rPr>
      <t xml:space="preserve">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t>
    </r>
    <r>
      <rPr>
        <b/>
        <sz val="10"/>
        <color rgb="FFFF0000"/>
        <rFont val="Arial"/>
        <family val="2"/>
      </rPr>
      <t>. dejando como evidencia los avances presentados en el plan de accion de gestion trimestral de la direccion de rentas. 
 PRO-GHP-05 FACTURACION  Impuesto Predial Unificado.</t>
    </r>
  </si>
  <si>
    <t>El Profesional Especializado, profesional Universitario y/o técnico Operativo responsable de las áreas de impulso Transito, Predial e ICA, y otras multas, deberán presentar trimestralmente al Director de Tesorería un informe donde se determinen los mandamientos de pago efectuados y el trámite de las notificaciones de los mismos y de igual forma los embargos efectuados y el valor de los mismos.</t>
  </si>
  <si>
    <t>El director de presupuesto solicitará trimestralmente a los profesionales del Grupo Central de Cuentas un informe de las causales de devolución reportadas por las areas que intervienen posteriormente en el procedimiento de revisión de documentos y ordenes de pago, identificando el tipo de causal, el numero de veces y el nombre de quien generó la devolución.  De este trabajo decidirá si es necesario reforzar el conocimiento del grupo de apoyo identificando los temas necesarios a fortalecer.</t>
  </si>
  <si>
    <t>Baja calificación en los indicadores de desempeño fiscal, pérdida de confianza de los ciudadanos hacia la administración y posible reducción en las asignaciones de recursos del Sistema General de Participacion - SGP</t>
  </si>
  <si>
    <t>PROCESO:  SECRETARIA DE HACIENDA PUBLICA MUNICIPAL</t>
  </si>
  <si>
    <t xml:space="preserve">OBJETIVO:  ADMINISTRAR LAS FINANZAS PUBLICAS DEL MUNICIPIO DE IBAGUE, DE MANERA CONTINUA MEDIANTE EL RECAUDO, EJECUCIÓN, REGISTRO Y CONTROL PRESUPUESTAL, CONTABLE Y FINANCIERO PARA COADYUVAR EN LA PROMOCION DEL DESARROLLO ECONOMICO, CULTURAL, SOCIAL Y AMBIENTAL DE LA COMUNIDAD EN GENERAL, ASEGURANDO UN BUEN MANEJO DE LOS RECURSOS PUBLICOS CON TRANSPARENCIA Y EFECTIVIDAD. 
</t>
  </si>
  <si>
    <r>
      <rPr>
        <b/>
        <sz val="10"/>
        <color rgb="FFFF0000"/>
        <rFont val="Arial Narrow"/>
        <family val="2"/>
      </rPr>
      <t>1. Posibilidad de pérdida reputacional y económia</t>
    </r>
    <r>
      <rPr>
        <b/>
        <sz val="10"/>
        <rFont val="Arial Narrow"/>
        <family val="2"/>
      </rPr>
      <t xml:space="preserve"> </t>
    </r>
    <r>
      <rPr>
        <b/>
        <sz val="10"/>
        <color rgb="FFFF9900"/>
        <rFont val="Arial Narrow"/>
        <family val="2"/>
      </rPr>
      <t>por</t>
    </r>
    <r>
      <rPr>
        <b/>
        <sz val="10"/>
        <rFont val="Arial Narrow"/>
        <family val="2"/>
      </rPr>
      <t xml:space="preserve">  </t>
    </r>
    <r>
      <rPr>
        <b/>
        <sz val="10"/>
        <color rgb="FF0070C0"/>
        <rFont val="Arial Narrow"/>
        <family val="2"/>
      </rPr>
      <t>baja calificación en los indicadores de desempeño fiscal, pérdida de confianza de los ciudadanos hacia la administración y posible reducción en las asignaciones de recursos del Sistema General de Participacion - SGP,</t>
    </r>
    <r>
      <rPr>
        <b/>
        <sz val="10"/>
        <rFont val="Arial Narrow"/>
        <family val="2"/>
      </rPr>
      <t xml:space="preserve">  </t>
    </r>
    <r>
      <rPr>
        <b/>
        <sz val="10"/>
        <color rgb="FFFF9900"/>
        <rFont val="Arial Narrow"/>
        <family val="2"/>
      </rPr>
      <t xml:space="preserve"> debido a </t>
    </r>
    <r>
      <rPr>
        <b/>
        <sz val="10"/>
        <color rgb="FF00B050"/>
        <rFont val="Arial Narrow"/>
        <family val="2"/>
      </rPr>
      <t>baja ejecución presupuestal de gastos de inversión del Municipio de parte de las Secretarias Ejecutora</t>
    </r>
  </si>
  <si>
    <r>
      <t>Se enviará</t>
    </r>
    <r>
      <rPr>
        <b/>
        <sz val="10"/>
        <color rgb="FF00B050"/>
        <rFont val="Arial Narrow"/>
        <family val="2"/>
      </rPr>
      <t xml:space="preserve"> circular mensualmente</t>
    </r>
    <r>
      <rPr>
        <sz val="10"/>
        <color theme="1"/>
        <rFont val="Arial Narrow"/>
        <family val="2"/>
      </rPr>
      <t xml:space="preserve"> a las Secretaría Ejecutoras que tengan saldos pendientes por ejecutar para que liberen los saldos o los ejecuten y se remitirá  trimestralmente el INFORME EJECUTIVO  DE LA EJECUCIÓN PRESUPUESTAL DE GASTOS  al Secretario de Hacienda, para presentarlo ante la Alta Dirección en el  Comite de Coordinación de Control Interno.</t>
    </r>
  </si>
  <si>
    <r>
      <t xml:space="preserve">
</t>
    </r>
    <r>
      <rPr>
        <b/>
        <sz val="10"/>
        <color rgb="FF00B050"/>
        <rFont val="Arial Narrow"/>
        <family val="2"/>
      </rPr>
      <t xml:space="preserve"> Pérdida de información en los expedientes de los procesos de Gestión de Hacienda pública</t>
    </r>
  </si>
  <si>
    <r>
      <rPr>
        <b/>
        <sz val="10"/>
        <color rgb="FFFF0000"/>
        <rFont val="Arial Narrow"/>
        <family val="2"/>
      </rPr>
      <t>2. Posibilidad de pérdida económica y reputacional</t>
    </r>
    <r>
      <rPr>
        <b/>
        <sz val="10"/>
        <rFont val="Arial Narrow"/>
        <family val="2"/>
      </rPr>
      <t xml:space="preserve"> </t>
    </r>
    <r>
      <rPr>
        <b/>
        <sz val="10"/>
        <color rgb="FFFF9900"/>
        <rFont val="Arial Narrow"/>
        <family val="2"/>
      </rPr>
      <t xml:space="preserve">por  </t>
    </r>
    <r>
      <rPr>
        <b/>
        <sz val="10"/>
        <color rgb="FF0070C0"/>
        <rFont val="Arial Narrow"/>
        <family val="2"/>
      </rPr>
      <t xml:space="preserve">pérdida de memoria institucional y sanciones disciplinarias, fiscales y administrativas </t>
    </r>
    <r>
      <rPr>
        <b/>
        <sz val="10"/>
        <color rgb="FFFF9900"/>
        <rFont val="Arial Narrow"/>
        <family val="2"/>
      </rPr>
      <t>debido a</t>
    </r>
    <r>
      <rPr>
        <b/>
        <sz val="10"/>
        <color rgb="FF00B050"/>
        <rFont val="Arial Narrow"/>
        <family val="2"/>
      </rPr>
      <t xml:space="preserve"> la  Pérdida de información en los expedientes de los procesos de Gestión de Hacienda pública</t>
    </r>
  </si>
  <si>
    <r>
      <t xml:space="preserve">El Profesional Universitado y/o técnico Operativo responsable de los archivos de Gestión Documental: Carteras de Transito, Predial, ICA y Otras Multas, deberan presentar </t>
    </r>
    <r>
      <rPr>
        <b/>
        <sz val="10"/>
        <color theme="1"/>
        <rFont val="Arial Narrow"/>
        <family val="2"/>
      </rPr>
      <t xml:space="preserve">mensualmente </t>
    </r>
    <r>
      <rPr>
        <sz val="10"/>
        <color theme="1"/>
        <rFont val="Arial Narrow"/>
        <family val="2"/>
      </rPr>
      <t xml:space="preserve">al Director de Tesorería un informe de, control de prestamo y devolución de Expedientes. 
Este Informe debe contener la trazabilidad del control realizado a los expedientes que superen el plazo máximo de Devolución. </t>
    </r>
  </si>
  <si>
    <r>
      <rPr>
        <b/>
        <sz val="10"/>
        <color rgb="FFFF0000"/>
        <rFont val="Arial Narrow"/>
        <family val="2"/>
      </rPr>
      <t>3. Posibilidad de pérdida reputacional</t>
    </r>
    <r>
      <rPr>
        <b/>
        <sz val="10"/>
        <rFont val="Arial Narrow"/>
        <family val="2"/>
      </rPr>
      <t xml:space="preserve"> </t>
    </r>
    <r>
      <rPr>
        <b/>
        <sz val="10"/>
        <color rgb="FFFF9900"/>
        <rFont val="Arial Narrow"/>
        <family val="2"/>
      </rPr>
      <t>por</t>
    </r>
    <r>
      <rPr>
        <b/>
        <sz val="10"/>
        <rFont val="Arial Narrow"/>
        <family val="2"/>
      </rPr>
      <t xml:space="preserve"> </t>
    </r>
    <r>
      <rPr>
        <b/>
        <sz val="10"/>
        <color rgb="FF002060"/>
        <rFont val="Arial Narrow"/>
        <family val="2"/>
      </rPr>
      <t>sanciones disciplinarias  y administrativas</t>
    </r>
    <r>
      <rPr>
        <b/>
        <sz val="10"/>
        <rFont val="Arial Narrow"/>
        <family val="2"/>
      </rPr>
      <t xml:space="preserve">  </t>
    </r>
    <r>
      <rPr>
        <b/>
        <sz val="10"/>
        <color rgb="FFFF9900"/>
        <rFont val="Arial Narrow"/>
        <family val="2"/>
      </rPr>
      <t xml:space="preserve">debido a </t>
    </r>
    <r>
      <rPr>
        <b/>
        <sz val="10"/>
        <rFont val="Arial Narrow"/>
        <family val="2"/>
      </rPr>
      <t xml:space="preserve"> </t>
    </r>
    <r>
      <rPr>
        <b/>
        <sz val="10"/>
        <color rgb="FF00B050"/>
        <rFont val="Arial Narrow"/>
        <family val="2"/>
      </rPr>
      <t>deficiencia en la aplicación de los cambios normativos para entidades del gobierno</t>
    </r>
  </si>
  <si>
    <r>
      <t>Cada Director o de maneja conjunta,  socializarán a su equipo de trabajo</t>
    </r>
    <r>
      <rPr>
        <b/>
        <sz val="10"/>
        <color theme="1"/>
        <rFont val="Arial Narrow"/>
        <family val="2"/>
      </rPr>
      <t xml:space="preserve"> los documentos actualizados </t>
    </r>
    <r>
      <rPr>
        <sz val="10"/>
        <color theme="1"/>
        <rFont val="Arial Narrow"/>
        <family val="2"/>
      </rPr>
      <t xml:space="preserve">que hacen parte de su actividad diaria para promover el mejoramiento continuo de su proceso, dejando como evidencias </t>
    </r>
    <r>
      <rPr>
        <b/>
        <sz val="10"/>
        <color theme="1"/>
        <rFont val="Arial Narrow"/>
        <family val="2"/>
      </rPr>
      <t>actas o circulares.</t>
    </r>
  </si>
  <si>
    <r>
      <rPr>
        <b/>
        <sz val="10"/>
        <color rgb="FF00B050"/>
        <rFont val="Arial Narrow"/>
        <family val="2"/>
      </rPr>
      <t>falta de incorporación de recursos que no pudiesen ser incorporados como supe</t>
    </r>
    <r>
      <rPr>
        <sz val="10"/>
        <color theme="1"/>
        <rFont val="Arial Narrow"/>
        <family val="2"/>
      </rPr>
      <t>ravit.</t>
    </r>
  </si>
  <si>
    <r>
      <rPr>
        <b/>
        <sz val="10"/>
        <color rgb="FFFF0000"/>
        <rFont val="Arial Narrow"/>
        <family val="2"/>
      </rPr>
      <t>4. Posibilidad de perdida reputacional</t>
    </r>
    <r>
      <rPr>
        <b/>
        <sz val="10"/>
        <rFont val="Arial Narrow"/>
        <family val="2"/>
      </rPr>
      <t xml:space="preserve"> </t>
    </r>
    <r>
      <rPr>
        <b/>
        <sz val="10"/>
        <color rgb="FFFF9900"/>
        <rFont val="Arial Narrow"/>
        <family val="2"/>
      </rPr>
      <t>por</t>
    </r>
    <r>
      <rPr>
        <b/>
        <sz val="10"/>
        <rFont val="Arial Narrow"/>
        <family val="2"/>
      </rPr>
      <t xml:space="preserve"> s</t>
    </r>
    <r>
      <rPr>
        <b/>
        <sz val="10"/>
        <color rgb="FF0070C0"/>
        <rFont val="Arial Narrow"/>
        <family val="2"/>
      </rPr>
      <t>anciones disciplinarias y administrativas</t>
    </r>
    <r>
      <rPr>
        <b/>
        <sz val="10"/>
        <rFont val="Arial Narrow"/>
        <family val="2"/>
      </rPr>
      <t xml:space="preserve"> </t>
    </r>
    <r>
      <rPr>
        <b/>
        <sz val="10"/>
        <color rgb="FFFF9900"/>
        <rFont val="Arial Narrow"/>
        <family val="2"/>
      </rPr>
      <t>debido a</t>
    </r>
    <r>
      <rPr>
        <b/>
        <sz val="10"/>
        <color rgb="FF00B050"/>
        <rFont val="Arial Narrow"/>
        <family val="2"/>
      </rPr>
      <t xml:space="preserve"> la falta de incorporación de recursos que no pudiesen ser incorporados como superavit</t>
    </r>
  </si>
  <si>
    <r>
      <t xml:space="preserve">El Director de tesoreria citará a mesa de trabajo en el </t>
    </r>
    <r>
      <rPr>
        <b/>
        <sz val="10"/>
        <color theme="1"/>
        <rFont val="Arial Narrow"/>
        <family val="2"/>
      </rPr>
      <t xml:space="preserve">mes de Febrero de la vigencia inmediatamente siguiente al cierre fiscal, </t>
    </r>
    <r>
      <rPr>
        <sz val="10"/>
        <color theme="1"/>
        <rFont val="Arial Narrow"/>
        <family val="2"/>
      </rPr>
      <t>a las Direcciones de Presupuesto y  Contabilidad, con el fin de revisar  y programar el cierre fiscal de la vigencia, dejando como evidencia una</t>
    </r>
    <r>
      <rPr>
        <b/>
        <sz val="10"/>
        <color theme="1"/>
        <rFont val="Arial Narrow"/>
        <family val="2"/>
      </rPr>
      <t xml:space="preserve"> (1) acta anual.</t>
    </r>
  </si>
  <si>
    <r>
      <rPr>
        <b/>
        <sz val="10"/>
        <color rgb="FFFF0000"/>
        <rFont val="Arial Narrow"/>
        <family val="2"/>
      </rPr>
      <t>5, Posibilidad de perdida reputacional y economica</t>
    </r>
    <r>
      <rPr>
        <b/>
        <sz val="10"/>
        <color rgb="FF0070C0"/>
        <rFont val="Arial Narrow"/>
        <family val="2"/>
      </rPr>
      <t xml:space="preserve"> </t>
    </r>
    <r>
      <rPr>
        <b/>
        <sz val="10"/>
        <color theme="9" tint="-0.249977111117893"/>
        <rFont val="Arial Narrow"/>
        <family val="2"/>
      </rPr>
      <t>por</t>
    </r>
    <r>
      <rPr>
        <b/>
        <sz val="10"/>
        <color rgb="FF0070C0"/>
        <rFont val="Arial Narrow"/>
        <family val="2"/>
      </rPr>
      <t xml:space="preserve"> Deudas a favor de la entidad </t>
    </r>
    <r>
      <rPr>
        <b/>
        <sz val="10"/>
        <rFont val="Arial Narrow"/>
        <family val="2"/>
      </rPr>
      <t xml:space="preserve"> </t>
    </r>
    <r>
      <rPr>
        <b/>
        <sz val="10"/>
        <color rgb="FFFF9900"/>
        <rFont val="Arial Narrow"/>
        <family val="2"/>
      </rPr>
      <t>de</t>
    </r>
    <r>
      <rPr>
        <b/>
        <sz val="10"/>
        <color rgb="FFFFC000"/>
        <rFont val="Arial Narrow"/>
        <family val="2"/>
      </rPr>
      <t>bido a</t>
    </r>
    <r>
      <rPr>
        <b/>
        <sz val="10"/>
        <rFont val="Arial Narrow"/>
        <family val="2"/>
      </rPr>
      <t xml:space="preserve"> </t>
    </r>
    <r>
      <rPr>
        <b/>
        <sz val="10"/>
        <color rgb="FF00B050"/>
        <rFont val="Arial Narrow"/>
        <family val="2"/>
      </rPr>
      <t>Vencimiento de plazos para la labor de cobro directo (persuasivo o coactivo) o judicial</t>
    </r>
  </si>
  <si>
    <r>
      <t xml:space="preserve">Debilidad de la Dirección de Tesorería-grupo Cobro Coactivo para efectuar el </t>
    </r>
    <r>
      <rPr>
        <b/>
        <sz val="10"/>
        <color theme="1"/>
        <rFont val="Arial Narrow"/>
        <family val="2"/>
      </rPr>
      <t>control</t>
    </r>
    <r>
      <rPr>
        <sz val="10"/>
        <color theme="1"/>
        <rFont val="Arial Narrow"/>
        <family val="2"/>
      </rPr>
      <t xml:space="preserve"> de  los impulsos procesales de la cartera de cobro.  </t>
    </r>
  </si>
  <si>
    <r>
      <t xml:space="preserve">Revisar documentos soportes y deducciones de Ordenes de Prestación de Servicios Profesionales y de Apoyo a la Gestión y Órdenes de Pago de otras tipologías contractuales. </t>
    </r>
    <r>
      <rPr>
        <b/>
        <sz val="10"/>
        <rFont val="Arial Narrow"/>
        <family val="2"/>
      </rPr>
      <t>PRO-GHP-008</t>
    </r>
    <r>
      <rPr>
        <sz val="10"/>
        <rFont val="Arial Narrow"/>
        <family val="2"/>
      </rPr>
      <t xml:space="preserve">
</t>
    </r>
  </si>
  <si>
    <r>
      <t>D3, O4-El</t>
    </r>
    <r>
      <rPr>
        <b/>
        <sz val="10"/>
        <color rgb="FFFF0000"/>
        <rFont val="Arial"/>
        <family val="2"/>
      </rPr>
      <t xml:space="preserve"> director (a) de Presupuesto por medio de su equipo de trabajo, </t>
    </r>
    <r>
      <rPr>
        <b/>
        <sz val="10"/>
        <color rgb="FF0070C0"/>
        <rFont val="Arial"/>
        <family val="2"/>
      </rPr>
      <t xml:space="preserve">realizará seguimiento a la ejecución presupuestal elaborando y presentando de manera </t>
    </r>
    <r>
      <rPr>
        <b/>
        <sz val="10"/>
        <color rgb="FF00B050"/>
        <rFont val="Arial"/>
        <family val="2"/>
      </rPr>
      <t xml:space="preserve">mensual </t>
    </r>
    <r>
      <rPr>
        <b/>
        <sz val="10"/>
        <color rgb="FF0070C0"/>
        <rFont val="Arial"/>
        <family val="2"/>
      </rPr>
      <t>un INFORME EJECUTIVO  DE LA EJECUCIÓN PRESUPUESTAL DE GASTOS, que resume las principales líneas de la ejecución oficial de gastos con el fin de generar las alertas  tempranas que procuren un incremento en la ejecución del gasto público por parte de las secretarias del despacho municipal,</t>
    </r>
    <r>
      <rPr>
        <b/>
        <sz val="10"/>
        <rFont val="Arial"/>
        <family val="2"/>
      </rPr>
      <t xml:space="preserve">
</t>
    </r>
    <r>
      <rPr>
        <b/>
        <sz val="10"/>
        <color theme="9" tint="-0.499984740745262"/>
        <rFont val="Arial"/>
        <family val="2"/>
      </rPr>
      <t>Dejando como evidencia los correos electrónicos institucionales. (MANUAL  PRESUPUESTO: MAN-GHP-01- E</t>
    </r>
    <r>
      <rPr>
        <b/>
        <sz val="9"/>
        <color theme="9" tint="-0.499984740745262"/>
        <rFont val="Arial"/>
        <family val="2"/>
      </rPr>
      <t>LABORACIÓN DEL INFORME EJECUTIVO DE EJECUCIÓN PRESUPUESTAL DE GASTOS</t>
    </r>
    <r>
      <rPr>
        <b/>
        <sz val="10"/>
        <color theme="9" tint="-0.499984740745262"/>
        <rFont val="Arial"/>
        <family val="2"/>
      </rPr>
      <t xml:space="preserve"> //CARACTERIZACION DEL PROCESO: CAR-GHP-001 )</t>
    </r>
  </si>
  <si>
    <r>
      <rPr>
        <b/>
        <sz val="10"/>
        <color theme="9" tint="-0.249977111117893"/>
        <rFont val="Arial"/>
        <family val="2"/>
      </rPr>
      <t>F10, A4, D5, O10 , El director de Tesorería trimestralmente</t>
    </r>
    <r>
      <rPr>
        <b/>
        <sz val="10"/>
        <rFont val="Arial"/>
        <family val="2"/>
      </rPr>
      <t xml:space="preserve">, solicitará un informe a los coordinadores de las diferentes áreas de impulso, donde se especifique los mandamientos de pago efectuados y el trámite de las notificaciones de los mismos y de igual forma los embargos efectuados y el valor de los mismos para llevar el control de los vencimientos de plazos para la labor de cobro.  
</t>
    </r>
    <r>
      <rPr>
        <b/>
        <sz val="10"/>
        <color theme="9" tint="-0.249977111117893"/>
        <rFont val="Arial"/>
        <family val="2"/>
      </rPr>
      <t xml:space="preserve">dejando como evidencia los informes trimestrales presentados al Director de Tesoreria
</t>
    </r>
    <r>
      <rPr>
        <sz val="10"/>
        <color theme="9" tint="-0.499984740745262"/>
        <rFont val="Arial"/>
        <family val="2"/>
      </rPr>
      <t xml:space="preserve">
</t>
    </r>
    <r>
      <rPr>
        <sz val="11"/>
        <color theme="9" tint="-0.499984740745262"/>
        <rFont val="Arial"/>
        <family val="2"/>
      </rPr>
      <t>MANUAL ESPECÍFICO DE FUNCIONES Y COMPETENCIAS
LABORALES (MAN-GHS-003) (</t>
    </r>
    <r>
      <rPr>
        <sz val="10"/>
        <color theme="9" tint="-0.499984740745262"/>
        <rFont val="Arial"/>
        <family val="2"/>
      </rPr>
      <t xml:space="preserve"> </t>
    </r>
    <r>
      <rPr>
        <sz val="8"/>
        <color theme="9" tint="-0.499984740745262"/>
        <rFont val="Arial"/>
        <family val="2"/>
      </rPr>
      <t>DESCRIPCION DE FUNCIONES ESENCIALES</t>
    </r>
    <r>
      <rPr>
        <sz val="10"/>
        <color theme="9" tint="-0.499984740745262"/>
        <rFont val="Arial"/>
        <family val="2"/>
      </rPr>
      <t xml:space="preserve"> y Página: 491 de 731)</t>
    </r>
  </si>
  <si>
    <r>
      <t xml:space="preserve">D2, D6,  F2, O5 </t>
    </r>
    <r>
      <rPr>
        <b/>
        <sz val="10"/>
        <color rgb="FFFF0000"/>
        <rFont val="Arial"/>
        <family val="2"/>
      </rPr>
      <t xml:space="preserve">Los Directores  </t>
    </r>
    <r>
      <rPr>
        <b/>
        <sz val="10"/>
        <color rgb="FF002060"/>
        <rFont val="Arial"/>
        <family val="2"/>
      </rPr>
      <t>por medio de su equipo de trabajo revisarán los documentos del proceso de gestión de Hacienda Pública</t>
    </r>
    <r>
      <rPr>
        <b/>
        <sz val="10"/>
        <rFont val="Arial"/>
        <family val="2"/>
      </rPr>
      <t xml:space="preserve">  </t>
    </r>
    <r>
      <rPr>
        <b/>
        <sz val="10"/>
        <color rgb="FF00B050"/>
        <rFont val="Arial"/>
        <family val="2"/>
      </rPr>
      <t>y actualizará si se requiere  anualmente</t>
    </r>
    <r>
      <rPr>
        <b/>
        <sz val="10"/>
        <rFont val="Arial"/>
        <family val="2"/>
      </rPr>
      <t xml:space="preserve"> los documentos, </t>
    </r>
    <r>
      <rPr>
        <b/>
        <sz val="10"/>
        <color theme="9" tint="-0.499984740745262"/>
        <rFont val="Arial"/>
        <family val="2"/>
      </rPr>
      <t>dejando como evidencia el correo electrónico con el envío de los docuementos a actualizar a la Dirección de Fortalecimiento Institucional.
(GESTION DOCUMENTAL: POLITICA GESTION DOCUMENTAL: POL-GD-001-PRO-SIG-001 CONTROL DE DOCUMENTOS DEL SIGAMI)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</si>
</sst>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03"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0"/>
      <name val="Arial"/>
      <family val="2"/>
    </font>
    <font>
      <sz val="11"/>
      <color rgb="FFFF0000"/>
      <name val="Arial"/>
      <family val="2"/>
    </font>
    <font>
      <sz val="9"/>
      <color indexed="81"/>
      <name val="Tahoma"/>
      <family val="2"/>
    </font>
    <font>
      <b/>
      <sz val="9"/>
      <color indexed="81"/>
      <name val="Tahoma"/>
      <family val="2"/>
    </font>
    <font>
      <sz val="8"/>
      <color rgb="FF000000"/>
      <name val="Segoe UI"/>
      <family val="2"/>
    </font>
    <font>
      <b/>
      <sz val="10"/>
      <color rgb="FF0070C0"/>
      <name val="Arial"/>
      <family val="2"/>
    </font>
    <font>
      <b/>
      <sz val="10"/>
      <color rgb="FF00B050"/>
      <name val="Arial"/>
      <family val="2"/>
    </font>
    <font>
      <b/>
      <sz val="10"/>
      <color rgb="FFFF0000"/>
      <name val="Arial"/>
      <family val="2"/>
    </font>
    <font>
      <b/>
      <sz val="10"/>
      <color theme="9" tint="-0.499984740745262"/>
      <name val="Arial"/>
      <family val="2"/>
    </font>
    <font>
      <b/>
      <sz val="11"/>
      <color rgb="FF0070C0"/>
      <name val="Arial Narrow"/>
      <family val="2"/>
    </font>
    <font>
      <b/>
      <sz val="11"/>
      <color rgb="FF00B050"/>
      <name val="Arial Narrow"/>
      <family val="2"/>
    </font>
    <font>
      <b/>
      <sz val="10"/>
      <color rgb="FFC00000"/>
      <name val="Arial"/>
      <family val="2"/>
    </font>
    <font>
      <b/>
      <sz val="10"/>
      <color rgb="FF002060"/>
      <name val="Arial"/>
      <family val="2"/>
    </font>
    <font>
      <b/>
      <sz val="10"/>
      <color theme="3" tint="0.39997558519241921"/>
      <name val="Arial"/>
      <family val="2"/>
    </font>
    <font>
      <sz val="11"/>
      <color rgb="FFFF0000"/>
      <name val="Arial Narrow"/>
      <family val="2"/>
    </font>
    <font>
      <sz val="11"/>
      <color theme="9" tint="-0.249977111117893"/>
      <name val="Arial Narrow"/>
      <family val="2"/>
    </font>
    <font>
      <sz val="10"/>
      <color rgb="FF00B050"/>
      <name val="Arial"/>
      <family val="2"/>
    </font>
    <font>
      <b/>
      <sz val="10"/>
      <color theme="9" tint="-0.249977111117893"/>
      <name val="Arial"/>
      <family val="2"/>
    </font>
    <font>
      <b/>
      <sz val="10"/>
      <color rgb="FF002060"/>
      <name val="Arial Narrow"/>
      <family val="2"/>
    </font>
    <font>
      <b/>
      <sz val="10"/>
      <color rgb="FF00B050"/>
      <name val="Arial Narrow"/>
      <family val="2"/>
    </font>
    <font>
      <b/>
      <sz val="10"/>
      <color theme="1"/>
      <name val="Arial Narrow"/>
      <family val="2"/>
    </font>
    <font>
      <b/>
      <sz val="10"/>
      <color rgb="FFFF0000"/>
      <name val="Arial Narrow"/>
      <family val="2"/>
    </font>
    <font>
      <b/>
      <sz val="10"/>
      <color rgb="FFFF9900"/>
      <name val="Arial Narrow"/>
      <family val="2"/>
    </font>
    <font>
      <b/>
      <sz val="10"/>
      <color rgb="FF0070C0"/>
      <name val="Arial Narrow"/>
      <family val="2"/>
    </font>
    <font>
      <b/>
      <sz val="10"/>
      <color rgb="FF00B0F0"/>
      <name val="Arial Narrow"/>
      <family val="2"/>
    </font>
    <font>
      <b/>
      <sz val="10"/>
      <color rgb="FFFFC000"/>
      <name val="Arial Narrow"/>
      <family val="2"/>
    </font>
    <font>
      <b/>
      <sz val="9"/>
      <color theme="9" tint="-0.499984740745262"/>
      <name val="Arial"/>
      <family val="2"/>
    </font>
    <font>
      <sz val="10"/>
      <color theme="9" tint="-0.499984740745262"/>
      <name val="Arial"/>
      <family val="2"/>
    </font>
    <font>
      <sz val="11"/>
      <color theme="9" tint="-0.499984740745262"/>
      <name val="Arial"/>
      <family val="2"/>
    </font>
    <font>
      <sz val="8"/>
      <color theme="9" tint="-0.499984740745262"/>
      <name val="Arial"/>
      <family val="2"/>
    </font>
  </fonts>
  <fills count="3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9C8C5E"/>
        <bgColor indexed="64"/>
      </patternFill>
    </fill>
  </fills>
  <borders count="10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77111117893"/>
      </left>
      <right style="dashed">
        <color theme="9" tint="-0.24994659260841701"/>
      </right>
      <top style="dashed">
        <color theme="9" tint="-0.24994659260841701"/>
      </top>
      <bottom/>
      <diagonal/>
    </border>
    <border>
      <left style="dashed">
        <color theme="9" tint="-0.249977111117893"/>
      </left>
      <right style="dashed">
        <color theme="9" tint="-0.24994659260841701"/>
      </right>
      <top/>
      <bottom/>
      <diagonal/>
    </border>
    <border>
      <left style="dashed">
        <color theme="9" tint="-0.249977111117893"/>
      </left>
      <right style="dashed">
        <color theme="9" tint="-0.24994659260841701"/>
      </right>
      <top/>
      <bottom style="dashed">
        <color theme="9" tint="-0.24994659260841701"/>
      </bottom>
      <diagonal/>
    </border>
    <border>
      <left style="dashed">
        <color theme="9" tint="-0.24994659260841701"/>
      </left>
      <right style="dashed">
        <color theme="9" tint="-0.249977111117893"/>
      </right>
      <top style="dashed">
        <color theme="9" tint="-0.24994659260841701"/>
      </top>
      <bottom/>
      <diagonal/>
    </border>
    <border>
      <left style="dashed">
        <color theme="9" tint="-0.24994659260841701"/>
      </left>
      <right style="dashed">
        <color theme="9" tint="-0.249977111117893"/>
      </right>
      <top/>
      <bottom/>
      <diagonal/>
    </border>
    <border>
      <left style="dashed">
        <color theme="9" tint="-0.24994659260841701"/>
      </left>
      <right style="dashed">
        <color theme="9" tint="-0.249977111117893"/>
      </right>
      <top/>
      <bottom style="dashed">
        <color theme="9" tint="-0.24994659260841701"/>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737">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77" xfId="0" applyFont="1" applyFill="1" applyBorder="1" applyAlignment="1">
      <alignment vertical="center" wrapText="1"/>
    </xf>
    <xf numFmtId="0" fontId="61" fillId="18" borderId="78" xfId="0" applyFont="1" applyFill="1" applyBorder="1" applyAlignment="1">
      <alignment vertical="center" wrapText="1"/>
    </xf>
    <xf numFmtId="0" fontId="61" fillId="18" borderId="37" xfId="0" applyFont="1" applyFill="1" applyBorder="1" applyAlignment="1">
      <alignment vertical="center" wrapText="1"/>
    </xf>
    <xf numFmtId="0" fontId="61" fillId="18" borderId="33" xfId="0" applyFont="1" applyFill="1" applyBorder="1" applyAlignment="1">
      <alignment vertical="center" wrapText="1"/>
    </xf>
    <xf numFmtId="0" fontId="61" fillId="18" borderId="39" xfId="0" applyFont="1" applyFill="1" applyBorder="1" applyAlignment="1">
      <alignment vertical="center" wrapText="1"/>
    </xf>
    <xf numFmtId="0" fontId="61" fillId="18" borderId="40" xfId="0" applyFont="1" applyFill="1" applyBorder="1" applyAlignment="1">
      <alignmen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3" borderId="87" xfId="0" applyFont="1" applyFill="1" applyBorder="1" applyAlignment="1">
      <alignment horizontal="left" vertical="center" wrapText="1"/>
    </xf>
    <xf numFmtId="0" fontId="61" fillId="0" borderId="89"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70" fillId="19" borderId="91"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166" fontId="61" fillId="0" borderId="92" xfId="0" applyNumberFormat="1" applyFont="1" applyBorder="1" applyAlignment="1">
      <alignment horizontal="center" vertical="center"/>
    </xf>
    <xf numFmtId="0" fontId="0" fillId="0" borderId="93" xfId="0" applyBorder="1" applyAlignment="1" applyProtection="1">
      <alignment horizontal="center" vertical="top"/>
      <protection locked="0"/>
    </xf>
    <xf numFmtId="0" fontId="61" fillId="0" borderId="94" xfId="0" applyFont="1" applyBorder="1" applyAlignment="1" applyProtection="1">
      <alignment horizontal="center" vertical="center"/>
      <protection locked="0"/>
    </xf>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8" fillId="3" borderId="0" xfId="0" applyFont="1" applyFill="1" applyAlignment="1">
      <alignment horizontal="left"/>
    </xf>
    <xf numFmtId="0" fontId="0" fillId="22" borderId="33" xfId="0" applyFill="1" applyBorder="1"/>
    <xf numFmtId="0" fontId="0" fillId="21" borderId="33" xfId="0" applyFill="1" applyBorder="1"/>
    <xf numFmtId="0" fontId="0" fillId="23" borderId="33" xfId="0" applyFill="1" applyBorder="1"/>
    <xf numFmtId="0" fontId="61" fillId="22" borderId="78" xfId="0" applyFont="1" applyFill="1" applyBorder="1" applyAlignment="1">
      <alignment horizontal="left" vertical="center" wrapText="1"/>
    </xf>
    <xf numFmtId="0" fontId="61" fillId="22" borderId="33" xfId="0" applyFont="1" applyFill="1" applyBorder="1" applyAlignment="1">
      <alignment horizontal="left" vertical="center" wrapText="1"/>
    </xf>
    <xf numFmtId="0" fontId="61" fillId="22" borderId="33" xfId="0" applyFont="1" applyFill="1" applyBorder="1" applyAlignment="1">
      <alignment horizontal="left" vertical="center"/>
    </xf>
    <xf numFmtId="0" fontId="61" fillId="22" borderId="40" xfId="0" applyFont="1" applyFill="1" applyBorder="1" applyAlignment="1">
      <alignment horizontal="left" vertical="center" wrapText="1"/>
    </xf>
    <xf numFmtId="0" fontId="61" fillId="24" borderId="78" xfId="0" applyFont="1" applyFill="1" applyBorder="1" applyAlignment="1">
      <alignment horizontal="left" vertical="center" wrapText="1"/>
    </xf>
    <xf numFmtId="0" fontId="61" fillId="24" borderId="33" xfId="0" applyFont="1" applyFill="1" applyBorder="1" applyAlignment="1">
      <alignment horizontal="left" vertical="center" wrapText="1"/>
    </xf>
    <xf numFmtId="0" fontId="65" fillId="24" borderId="33" xfId="0" applyFont="1" applyFill="1" applyBorder="1" applyAlignment="1">
      <alignment horizontal="left" vertical="center" wrapText="1"/>
    </xf>
    <xf numFmtId="0" fontId="65" fillId="24" borderId="40" xfId="0" applyFont="1" applyFill="1" applyBorder="1" applyAlignment="1">
      <alignment horizontal="left" vertical="center" wrapText="1"/>
    </xf>
    <xf numFmtId="0" fontId="61" fillId="25" borderId="38" xfId="0" applyFont="1" applyFill="1" applyBorder="1" applyAlignment="1">
      <alignment horizontal="left" vertical="center" wrapText="1"/>
    </xf>
    <xf numFmtId="0" fontId="61" fillId="25" borderId="41" xfId="0" applyFont="1" applyFill="1" applyBorder="1" applyAlignment="1">
      <alignment horizontal="left" vertical="center" wrapText="1"/>
    </xf>
    <xf numFmtId="0" fontId="61" fillId="0" borderId="0" xfId="0" applyFont="1" applyAlignment="1">
      <alignment horizontal="justify" vertical="top"/>
    </xf>
    <xf numFmtId="0" fontId="74" fillId="25" borderId="79" xfId="0" applyFont="1" applyFill="1" applyBorder="1" applyAlignment="1">
      <alignment horizontal="left" vertical="center" wrapText="1"/>
    </xf>
    <xf numFmtId="0" fontId="74" fillId="25" borderId="38" xfId="0" applyFont="1" applyFill="1" applyBorder="1" applyAlignment="1">
      <alignment horizontal="left" vertical="center" wrapText="1"/>
    </xf>
    <xf numFmtId="0" fontId="72" fillId="19" borderId="33" xfId="0" applyFont="1" applyFill="1" applyBorder="1" applyAlignment="1">
      <alignment horizontal="center" vertical="center" textRotation="255"/>
    </xf>
    <xf numFmtId="0" fontId="61" fillId="13" borderId="105" xfId="0" applyFont="1" applyFill="1" applyBorder="1" applyAlignment="1">
      <alignment wrapText="1"/>
    </xf>
    <xf numFmtId="0" fontId="61" fillId="26" borderId="105" xfId="0" applyFont="1" applyFill="1" applyBorder="1" applyAlignment="1">
      <alignment vertical="top" wrapText="1"/>
    </xf>
    <xf numFmtId="0" fontId="61" fillId="0" borderId="0" xfId="0" applyFont="1" applyAlignment="1">
      <alignment vertical="top"/>
    </xf>
    <xf numFmtId="0" fontId="1" fillId="3" borderId="0" xfId="0" applyFont="1" applyFill="1" applyAlignment="1">
      <alignment horizontal="left"/>
    </xf>
    <xf numFmtId="0" fontId="1" fillId="0" borderId="0" xfId="0" applyFont="1" applyAlignment="1">
      <alignment horizontal="left"/>
    </xf>
    <xf numFmtId="0" fontId="1" fillId="0" borderId="75" xfId="0" applyFont="1" applyBorder="1" applyAlignment="1" applyProtection="1">
      <alignment horizontal="left" vertical="top" wrapText="1"/>
      <protection locked="0"/>
    </xf>
    <xf numFmtId="0" fontId="1" fillId="0" borderId="0" xfId="0" applyFont="1" applyAlignment="1">
      <alignment horizontal="left" vertical="center"/>
    </xf>
    <xf numFmtId="0" fontId="65" fillId="24" borderId="106" xfId="0" applyFont="1" applyFill="1" applyBorder="1" applyAlignment="1">
      <alignment horizontal="left" vertical="center" wrapText="1"/>
    </xf>
    <xf numFmtId="0" fontId="1" fillId="0" borderId="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3" borderId="0" xfId="0" applyFont="1" applyFill="1" applyAlignment="1">
      <alignment horizontal="left" vertical="top"/>
    </xf>
    <xf numFmtId="0" fontId="1" fillId="0" borderId="0" xfId="0" applyFont="1" applyAlignment="1">
      <alignment horizontal="left" vertical="top"/>
    </xf>
    <xf numFmtId="0" fontId="1" fillId="3" borderId="0" xfId="0" applyFont="1" applyFill="1" applyAlignment="1">
      <alignment textRotation="180"/>
    </xf>
    <xf numFmtId="0" fontId="1" fillId="0" borderId="0" xfId="0" applyFont="1" applyAlignment="1">
      <alignment textRotation="180"/>
    </xf>
    <xf numFmtId="0" fontId="4" fillId="2" borderId="8" xfId="0" applyFont="1" applyFill="1" applyBorder="1" applyAlignment="1">
      <alignment horizontal="center" vertical="center" textRotation="180"/>
    </xf>
    <xf numFmtId="14" fontId="1" fillId="0" borderId="2" xfId="0" applyNumberFormat="1" applyFont="1" applyBorder="1" applyAlignment="1" applyProtection="1">
      <alignment horizontal="center" vertical="top" textRotation="180"/>
      <protection locked="0"/>
    </xf>
    <xf numFmtId="0" fontId="93" fillId="3" borderId="75" xfId="0" applyFont="1" applyFill="1" applyBorder="1" applyAlignment="1">
      <alignment horizontal="justify" vertical="top" wrapText="1"/>
    </xf>
    <xf numFmtId="0" fontId="6" fillId="0" borderId="2" xfId="0" applyFont="1" applyBorder="1" applyAlignment="1">
      <alignment horizontal="justify" vertical="top"/>
    </xf>
    <xf numFmtId="0" fontId="6" fillId="0" borderId="2" xfId="0" applyFont="1" applyBorder="1" applyAlignment="1" applyProtection="1">
      <alignment horizontal="justify" vertical="top"/>
      <protection hidden="1"/>
    </xf>
    <xf numFmtId="0" fontId="6" fillId="0" borderId="2" xfId="0" applyFont="1" applyBorder="1" applyAlignment="1" applyProtection="1">
      <alignment horizontal="justify" vertical="top" textRotation="90"/>
      <protection locked="0"/>
    </xf>
    <xf numFmtId="9" fontId="6" fillId="0" borderId="2" xfId="0" applyNumberFormat="1" applyFont="1" applyBorder="1" applyAlignment="1" applyProtection="1">
      <alignment horizontal="justify" vertical="top"/>
      <protection hidden="1"/>
    </xf>
    <xf numFmtId="164" fontId="6" fillId="0" borderId="2" xfId="1" applyNumberFormat="1" applyFont="1" applyBorder="1" applyAlignment="1">
      <alignment horizontal="justify" vertical="top"/>
    </xf>
    <xf numFmtId="0" fontId="93" fillId="0" borderId="2" xfId="0" applyFont="1" applyBorder="1" applyAlignment="1" applyProtection="1">
      <alignment horizontal="justify" vertical="top" textRotation="90" wrapText="1"/>
      <protection hidden="1"/>
    </xf>
    <xf numFmtId="9" fontId="6" fillId="0" borderId="4" xfId="0" applyNumberFormat="1" applyFont="1" applyBorder="1" applyAlignment="1" applyProtection="1">
      <alignment horizontal="justify" vertical="top"/>
      <protection hidden="1"/>
    </xf>
    <xf numFmtId="0" fontId="93" fillId="0" borderId="2" xfId="0" applyFont="1" applyBorder="1" applyAlignment="1" applyProtection="1">
      <alignment horizontal="justify" vertical="top" textRotation="90"/>
      <protection hidden="1"/>
    </xf>
    <xf numFmtId="0" fontId="6" fillId="0" borderId="4" xfId="0" applyFont="1" applyBorder="1" applyAlignment="1" applyProtection="1">
      <alignment horizontal="justify" vertical="top" textRotation="90"/>
      <protection locked="0"/>
    </xf>
    <xf numFmtId="14" fontId="6" fillId="0" borderId="2" xfId="0" applyNumberFormat="1" applyFont="1" applyBorder="1" applyAlignment="1" applyProtection="1">
      <alignment horizontal="justify" vertical="top" textRotation="180"/>
      <protection locked="0"/>
    </xf>
    <xf numFmtId="14" fontId="6" fillId="0" borderId="2" xfId="0" applyNumberFormat="1" applyFont="1" applyBorder="1" applyAlignment="1" applyProtection="1">
      <alignment horizontal="justify" vertical="top"/>
      <protection locked="0"/>
    </xf>
    <xf numFmtId="0" fontId="6" fillId="0" borderId="2" xfId="0" applyFont="1" applyBorder="1" applyAlignment="1" applyProtection="1">
      <alignment horizontal="justify" vertical="top"/>
      <protection locked="0"/>
    </xf>
    <xf numFmtId="0" fontId="6" fillId="3" borderId="0" xfId="0" applyFont="1" applyFill="1" applyAlignment="1">
      <alignment horizontal="justify" vertical="top"/>
    </xf>
    <xf numFmtId="0" fontId="6" fillId="0" borderId="0" xfId="0" applyFont="1" applyAlignment="1">
      <alignment horizontal="justify" vertical="top"/>
    </xf>
    <xf numFmtId="0" fontId="6" fillId="0" borderId="75" xfId="0" applyFont="1" applyBorder="1" applyAlignment="1" applyProtection="1">
      <alignment horizontal="justify" vertical="top" wrapText="1"/>
      <protection locked="0"/>
    </xf>
    <xf numFmtId="0" fontId="93" fillId="0" borderId="75" xfId="0" applyFont="1" applyBorder="1" applyAlignment="1" applyProtection="1">
      <alignment horizontal="justify" vertical="top" wrapText="1"/>
      <protection locked="0"/>
    </xf>
    <xf numFmtId="0" fontId="44" fillId="0" borderId="75" xfId="0" applyFont="1" applyBorder="1" applyAlignment="1" applyProtection="1">
      <alignment horizontal="justify" vertical="top" wrapText="1"/>
      <protection locked="0"/>
    </xf>
    <xf numFmtId="0" fontId="40" fillId="0" borderId="75" xfId="0" applyFont="1" applyBorder="1" applyAlignment="1" applyProtection="1">
      <alignment horizontal="justify" vertical="top" wrapText="1"/>
      <protection locked="0"/>
    </xf>
    <xf numFmtId="0" fontId="6" fillId="0" borderId="4" xfId="0" applyFont="1" applyBorder="1" applyAlignment="1">
      <alignment vertical="top"/>
    </xf>
    <xf numFmtId="0" fontId="6" fillId="0" borderId="4" xfId="0" applyFont="1" applyBorder="1" applyAlignment="1" applyProtection="1">
      <alignment vertical="top" wrapText="1"/>
      <protection locked="0"/>
    </xf>
    <xf numFmtId="0" fontId="97" fillId="0" borderId="4" xfId="0" applyFont="1" applyBorder="1" applyAlignment="1" applyProtection="1">
      <alignment vertical="top" wrapText="1"/>
      <protection locked="0"/>
    </xf>
    <xf numFmtId="0" fontId="6" fillId="0" borderId="28" xfId="0" applyFont="1" applyBorder="1" applyAlignment="1" applyProtection="1">
      <alignment vertical="top" wrapText="1"/>
      <protection locked="0"/>
    </xf>
    <xf numFmtId="0" fontId="44" fillId="0" borderId="75" xfId="0" applyFont="1" applyBorder="1" applyAlignment="1" applyProtection="1">
      <alignment vertical="top" wrapText="1"/>
      <protection locked="0"/>
    </xf>
    <xf numFmtId="0" fontId="40" fillId="0" borderId="96" xfId="0" applyFont="1" applyBorder="1" applyAlignment="1" applyProtection="1">
      <alignment vertical="top" textRotation="180" wrapText="1"/>
      <protection locked="0"/>
    </xf>
    <xf numFmtId="0" fontId="6" fillId="0" borderId="30" xfId="0" applyFont="1" applyBorder="1" applyAlignment="1" applyProtection="1">
      <alignment vertical="top" wrapText="1"/>
      <protection locked="0"/>
    </xf>
    <xf numFmtId="0" fontId="6" fillId="0" borderId="4" xfId="0" applyFont="1" applyBorder="1" applyAlignment="1" applyProtection="1">
      <alignment vertical="top"/>
      <protection locked="0"/>
    </xf>
    <xf numFmtId="0" fontId="93" fillId="0" borderId="4" xfId="0" applyFont="1" applyBorder="1" applyAlignment="1" applyProtection="1">
      <alignment vertical="top" textRotation="180" wrapText="1"/>
      <protection hidden="1"/>
    </xf>
    <xf numFmtId="9" fontId="6" fillId="0" borderId="4" xfId="0" applyNumberFormat="1" applyFont="1" applyBorder="1" applyAlignment="1" applyProtection="1">
      <alignment vertical="top" wrapText="1"/>
      <protection hidden="1"/>
    </xf>
    <xf numFmtId="9" fontId="6" fillId="0" borderId="4" xfId="0" applyNumberFormat="1" applyFont="1" applyBorder="1" applyAlignment="1" applyProtection="1">
      <alignment vertical="top" wrapText="1"/>
      <protection locked="0"/>
    </xf>
    <xf numFmtId="0" fontId="93" fillId="0" borderId="4" xfId="0" applyFont="1" applyBorder="1" applyAlignment="1" applyProtection="1">
      <alignment vertical="top" textRotation="180"/>
      <protection hidden="1"/>
    </xf>
    <xf numFmtId="0" fontId="6" fillId="0" borderId="8" xfId="0" applyFont="1" applyBorder="1" applyAlignment="1">
      <alignment vertical="top"/>
    </xf>
    <xf numFmtId="0" fontId="6" fillId="0" borderId="8" xfId="0" applyFont="1" applyBorder="1" applyAlignment="1" applyProtection="1">
      <alignment vertical="top" wrapText="1"/>
      <protection locked="0"/>
    </xf>
    <xf numFmtId="0" fontId="97" fillId="0" borderId="8"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40" fillId="0" borderId="97" xfId="0" applyFont="1" applyBorder="1" applyAlignment="1" applyProtection="1">
      <alignment vertical="top" textRotation="180" wrapText="1"/>
      <protection locked="0"/>
    </xf>
    <xf numFmtId="0" fontId="6" fillId="0" borderId="76" xfId="0" applyFont="1" applyBorder="1" applyAlignment="1" applyProtection="1">
      <alignment vertical="top" wrapText="1"/>
      <protection locked="0"/>
    </xf>
    <xf numFmtId="0" fontId="6" fillId="0" borderId="8" xfId="0" applyFont="1" applyBorder="1" applyAlignment="1" applyProtection="1">
      <alignment vertical="top"/>
      <protection locked="0"/>
    </xf>
    <xf numFmtId="0" fontId="93" fillId="0" borderId="8" xfId="0" applyFont="1" applyBorder="1" applyAlignment="1" applyProtection="1">
      <alignment vertical="top" textRotation="180" wrapText="1"/>
      <protection hidden="1"/>
    </xf>
    <xf numFmtId="9" fontId="6" fillId="0" borderId="8" xfId="0" applyNumberFormat="1" applyFont="1" applyBorder="1" applyAlignment="1" applyProtection="1">
      <alignment vertical="top" wrapText="1"/>
      <protection hidden="1"/>
    </xf>
    <xf numFmtId="9" fontId="6" fillId="0" borderId="8" xfId="0" applyNumberFormat="1" applyFont="1" applyBorder="1" applyAlignment="1" applyProtection="1">
      <alignment vertical="top" wrapText="1"/>
      <protection locked="0"/>
    </xf>
    <xf numFmtId="0" fontId="93" fillId="0" borderId="8" xfId="0" applyFont="1" applyBorder="1" applyAlignment="1" applyProtection="1">
      <alignment vertical="top" textRotation="180"/>
      <protection hidden="1"/>
    </xf>
    <xf numFmtId="0" fontId="6" fillId="0" borderId="5" xfId="0" applyFont="1" applyBorder="1" applyAlignment="1">
      <alignment vertical="top"/>
    </xf>
    <xf numFmtId="0" fontId="6" fillId="0" borderId="5" xfId="0" applyFont="1" applyBorder="1" applyAlignment="1" applyProtection="1">
      <alignment vertical="top" wrapText="1"/>
      <protection locked="0"/>
    </xf>
    <xf numFmtId="0" fontId="97" fillId="0" borderId="5" xfId="0" applyFont="1" applyBorder="1" applyAlignment="1" applyProtection="1">
      <alignment vertical="top" wrapText="1"/>
      <protection locked="0"/>
    </xf>
    <xf numFmtId="0" fontId="6" fillId="0" borderId="3" xfId="0" applyFont="1" applyBorder="1" applyAlignment="1" applyProtection="1">
      <alignment vertical="top" wrapText="1"/>
      <protection locked="0"/>
    </xf>
    <xf numFmtId="0" fontId="40" fillId="0" borderId="98" xfId="0" applyFont="1" applyBorder="1" applyAlignment="1" applyProtection="1">
      <alignment vertical="top" textRotation="180" wrapText="1"/>
      <protection locked="0"/>
    </xf>
    <xf numFmtId="0" fontId="6" fillId="0" borderId="32" xfId="0" applyFont="1" applyBorder="1" applyAlignment="1" applyProtection="1">
      <alignment vertical="top" wrapText="1"/>
      <protection locked="0"/>
    </xf>
    <xf numFmtId="0" fontId="6" fillId="0" borderId="5" xfId="0" applyFont="1" applyBorder="1" applyAlignment="1" applyProtection="1">
      <alignment vertical="top"/>
      <protection locked="0"/>
    </xf>
    <xf numFmtId="0" fontId="93" fillId="0" borderId="5" xfId="0" applyFont="1" applyBorder="1" applyAlignment="1" applyProtection="1">
      <alignment vertical="top" textRotation="180" wrapText="1"/>
      <protection hidden="1"/>
    </xf>
    <xf numFmtId="9" fontId="6" fillId="0" borderId="5" xfId="0" applyNumberFormat="1" applyFont="1" applyBorder="1" applyAlignment="1" applyProtection="1">
      <alignment vertical="top" wrapText="1"/>
      <protection hidden="1"/>
    </xf>
    <xf numFmtId="9" fontId="6" fillId="0" borderId="5" xfId="0" applyNumberFormat="1" applyFont="1" applyBorder="1" applyAlignment="1" applyProtection="1">
      <alignment vertical="top" wrapText="1"/>
      <protection locked="0"/>
    </xf>
    <xf numFmtId="0" fontId="93" fillId="0" borderId="5" xfId="0" applyFont="1" applyBorder="1" applyAlignment="1" applyProtection="1">
      <alignment vertical="top" textRotation="180"/>
      <protection hidden="1"/>
    </xf>
    <xf numFmtId="0" fontId="93" fillId="15" borderId="75" xfId="0" applyFont="1" applyFill="1" applyBorder="1" applyAlignment="1" applyProtection="1">
      <alignment horizontal="justify" vertical="top" wrapText="1"/>
      <protection locked="0"/>
    </xf>
    <xf numFmtId="0" fontId="44" fillId="15" borderId="75" xfId="0" applyFont="1" applyFill="1" applyBorder="1" applyAlignment="1" applyProtection="1">
      <alignment horizontal="justify" vertical="top" wrapText="1"/>
      <protection locked="0"/>
    </xf>
    <xf numFmtId="0" fontId="6" fillId="0" borderId="4" xfId="0" applyFont="1" applyBorder="1" applyAlignment="1" applyProtection="1">
      <alignment horizontal="justify" vertical="top"/>
      <protection locked="0"/>
    </xf>
    <xf numFmtId="0" fontId="93" fillId="0" borderId="4" xfId="0" applyFont="1" applyBorder="1" applyAlignment="1" applyProtection="1">
      <alignment horizontal="justify" vertical="top" textRotation="180" wrapText="1"/>
      <protection hidden="1"/>
    </xf>
    <xf numFmtId="9" fontId="6" fillId="0" borderId="4" xfId="0" applyNumberFormat="1" applyFont="1" applyBorder="1" applyAlignment="1" applyProtection="1">
      <alignment horizontal="justify" vertical="top" wrapText="1"/>
      <protection hidden="1"/>
    </xf>
    <xf numFmtId="9" fontId="6" fillId="0" borderId="4" xfId="0" applyNumberFormat="1" applyFont="1" applyBorder="1" applyAlignment="1" applyProtection="1">
      <alignment horizontal="justify" vertical="top" wrapText="1"/>
      <protection locked="0"/>
    </xf>
    <xf numFmtId="0" fontId="93" fillId="0" borderId="4" xfId="0" applyFont="1" applyBorder="1" applyAlignment="1" applyProtection="1">
      <alignment horizontal="justify" vertical="top" textRotation="180"/>
      <protection hidden="1"/>
    </xf>
    <xf numFmtId="0" fontId="6" fillId="21" borderId="75" xfId="0" applyFont="1" applyFill="1" applyBorder="1" applyAlignment="1" applyProtection="1">
      <alignment horizontal="justify" vertical="top" wrapText="1"/>
      <protection locked="0"/>
    </xf>
    <xf numFmtId="0" fontId="40" fillId="21" borderId="75" xfId="0" applyFont="1" applyFill="1" applyBorder="1" applyAlignment="1" applyProtection="1">
      <alignment horizontal="justify" vertical="top" wrapText="1"/>
      <protection locked="0"/>
    </xf>
    <xf numFmtId="9" fontId="6" fillId="0" borderId="8" xfId="0" applyNumberFormat="1" applyFont="1" applyBorder="1" applyAlignment="1" applyProtection="1">
      <alignment horizontal="justify" vertical="top" wrapText="1"/>
      <protection locked="0"/>
    </xf>
    <xf numFmtId="0" fontId="6" fillId="21" borderId="2" xfId="0" applyFont="1" applyFill="1" applyBorder="1" applyAlignment="1" applyProtection="1">
      <alignment horizontal="justify" vertical="top"/>
      <protection locked="0"/>
    </xf>
    <xf numFmtId="0" fontId="6" fillId="0" borderId="8" xfId="0" applyFont="1" applyBorder="1" applyAlignment="1" applyProtection="1">
      <alignment horizontal="justify" vertical="top"/>
      <protection locked="0"/>
    </xf>
    <xf numFmtId="0" fontId="93" fillId="0" borderId="8" xfId="0" applyFont="1" applyBorder="1" applyAlignment="1" applyProtection="1">
      <alignment horizontal="justify" vertical="top" textRotation="180" wrapText="1"/>
      <protection hidden="1"/>
    </xf>
    <xf numFmtId="9" fontId="6" fillId="0" borderId="8" xfId="0" applyNumberFormat="1" applyFont="1" applyBorder="1" applyAlignment="1" applyProtection="1">
      <alignment horizontal="justify" vertical="top" wrapText="1"/>
      <protection hidden="1"/>
    </xf>
    <xf numFmtId="0" fontId="93" fillId="0" borderId="8" xfId="0" applyFont="1" applyBorder="1" applyAlignment="1" applyProtection="1">
      <alignment horizontal="justify" vertical="top" textRotation="180"/>
      <protection hidden="1"/>
    </xf>
    <xf numFmtId="0" fontId="6" fillId="0" borderId="5" xfId="0" applyFont="1" applyBorder="1" applyAlignment="1" applyProtection="1">
      <alignment horizontal="justify" vertical="top"/>
      <protection locked="0"/>
    </xf>
    <xf numFmtId="0" fontId="93" fillId="0" borderId="5" xfId="0" applyFont="1" applyBorder="1" applyAlignment="1" applyProtection="1">
      <alignment horizontal="justify" vertical="top" textRotation="180" wrapText="1"/>
      <protection hidden="1"/>
    </xf>
    <xf numFmtId="9" fontId="6" fillId="0" borderId="5" xfId="0" applyNumberFormat="1" applyFont="1" applyBorder="1" applyAlignment="1" applyProtection="1">
      <alignment horizontal="justify" vertical="top" wrapText="1"/>
      <protection hidden="1"/>
    </xf>
    <xf numFmtId="9" fontId="6" fillId="0" borderId="5" xfId="0" applyNumberFormat="1" applyFont="1" applyBorder="1" applyAlignment="1" applyProtection="1">
      <alignment horizontal="justify" vertical="top" wrapText="1"/>
      <protection locked="0"/>
    </xf>
    <xf numFmtId="0" fontId="93" fillId="0" borderId="5" xfId="0" applyFont="1" applyBorder="1" applyAlignment="1" applyProtection="1">
      <alignment horizontal="justify" vertical="top" textRotation="180"/>
      <protection hidden="1"/>
    </xf>
    <xf numFmtId="0" fontId="6" fillId="15" borderId="2" xfId="0" applyFont="1" applyFill="1" applyBorder="1" applyAlignment="1" applyProtection="1">
      <alignment horizontal="justify" vertical="top" wrapText="1"/>
      <protection locked="0"/>
    </xf>
    <xf numFmtId="0" fontId="6" fillId="21" borderId="2" xfId="0" applyFont="1" applyFill="1" applyBorder="1" applyAlignment="1" applyProtection="1">
      <alignment horizontal="justify" vertical="top" wrapText="1"/>
      <protection locked="0"/>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64" fillId="16" borderId="39" xfId="0" applyFont="1" applyFill="1" applyBorder="1" applyAlignment="1">
      <alignment horizontal="left" vertical="top" wrapText="1"/>
    </xf>
    <xf numFmtId="0" fontId="64" fillId="16" borderId="40" xfId="0" applyFont="1" applyFill="1" applyBorder="1" applyAlignment="1">
      <alignment horizontal="left" vertical="top"/>
    </xf>
    <xf numFmtId="0" fontId="64" fillId="16" borderId="41" xfId="0" applyFont="1" applyFill="1" applyBorder="1" applyAlignment="1">
      <alignment horizontal="left" vertical="top"/>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0" fillId="0" borderId="33"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59" fillId="0" borderId="0" xfId="0" applyFont="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58" fillId="14" borderId="33" xfId="0" applyFont="1" applyFill="1" applyBorder="1" applyAlignment="1">
      <alignment horizontal="center" vertical="center" wrapText="1"/>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0" fillId="0" borderId="69" xfId="0" applyBorder="1" applyAlignment="1">
      <alignment horizontal="center"/>
    </xf>
    <xf numFmtId="0" fontId="61" fillId="0" borderId="107" xfId="0" applyFont="1" applyBorder="1" applyAlignment="1">
      <alignment horizontal="left" vertical="center" wrapText="1"/>
    </xf>
    <xf numFmtId="0" fontId="61" fillId="0" borderId="49" xfId="0" applyFont="1" applyBorder="1" applyAlignment="1">
      <alignment horizontal="left" vertical="center" wrapText="1"/>
    </xf>
    <xf numFmtId="0" fontId="61" fillId="0" borderId="50" xfId="0" applyFont="1" applyBorder="1" applyAlignment="1">
      <alignment horizontal="left" vertical="center" wrapText="1"/>
    </xf>
    <xf numFmtId="0" fontId="61" fillId="0" borderId="92" xfId="0" applyFont="1" applyBorder="1" applyAlignment="1">
      <alignment horizontal="left" vertical="center" wrapText="1"/>
    </xf>
    <xf numFmtId="0" fontId="61" fillId="0" borderId="81" xfId="0" applyFont="1" applyBorder="1" applyAlignment="1">
      <alignment horizontal="left" vertical="center" wrapText="1"/>
    </xf>
    <xf numFmtId="0" fontId="61" fillId="0" borderId="82" xfId="0" applyFont="1" applyBorder="1" applyAlignment="1">
      <alignment horizontal="left" vertical="center" wrapText="1"/>
    </xf>
    <xf numFmtId="0" fontId="0" fillId="0" borderId="88" xfId="0" applyBorder="1" applyAlignment="1">
      <alignment horizontal="center"/>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73" fillId="3" borderId="94" xfId="0" applyFont="1" applyFill="1" applyBorder="1" applyAlignment="1" applyProtection="1">
      <alignment horizontal="justify" vertical="top" wrapText="1"/>
      <protection locked="0"/>
    </xf>
    <xf numFmtId="0" fontId="73" fillId="3" borderId="94" xfId="0" applyFont="1" applyFill="1" applyBorder="1" applyAlignment="1" applyProtection="1">
      <alignment horizontal="justify" vertical="top"/>
      <protection locked="0"/>
    </xf>
    <xf numFmtId="0" fontId="38" fillId="3" borderId="94" xfId="0" applyFont="1" applyFill="1" applyBorder="1" applyAlignment="1" applyProtection="1">
      <alignment horizontal="left" vertical="center"/>
      <protection locked="0"/>
    </xf>
    <xf numFmtId="0" fontId="38" fillId="3" borderId="33" xfId="0" applyFont="1" applyFill="1" applyBorder="1" applyAlignment="1" applyProtection="1">
      <alignment horizontal="left" vertical="center"/>
      <protection locked="0"/>
    </xf>
    <xf numFmtId="0" fontId="61" fillId="0" borderId="0" xfId="0" applyFont="1" applyAlignment="1">
      <alignment horizontal="center"/>
    </xf>
    <xf numFmtId="0" fontId="38" fillId="3" borderId="0" xfId="0" applyFont="1" applyFill="1" applyAlignment="1">
      <alignment horizontal="left"/>
    </xf>
    <xf numFmtId="0" fontId="38" fillId="3" borderId="92" xfId="0" applyFont="1" applyFill="1" applyBorder="1" applyAlignment="1" applyProtection="1">
      <alignment horizontal="left" vertical="center"/>
      <protection locked="0"/>
    </xf>
    <xf numFmtId="0" fontId="38" fillId="3" borderId="95" xfId="0" applyFont="1" applyFill="1" applyBorder="1" applyAlignment="1" applyProtection="1">
      <alignment horizontal="left" vertical="center"/>
      <protection locked="0"/>
    </xf>
    <xf numFmtId="0" fontId="38" fillId="3" borderId="81" xfId="0" applyFont="1" applyFill="1" applyBorder="1" applyAlignment="1" applyProtection="1">
      <alignment horizontal="left" vertical="center"/>
      <protection locked="0"/>
    </xf>
    <xf numFmtId="0" fontId="38" fillId="3" borderId="92" xfId="0" applyFont="1" applyFill="1" applyBorder="1" applyAlignment="1" applyProtection="1">
      <alignment horizontal="center" vertical="center"/>
      <protection locked="0"/>
    </xf>
    <xf numFmtId="0" fontId="38" fillId="3" borderId="95" xfId="0" applyFont="1" applyFill="1" applyBorder="1" applyAlignment="1" applyProtection="1">
      <alignment horizontal="center" vertical="center"/>
      <protection locked="0"/>
    </xf>
    <xf numFmtId="0" fontId="38" fillId="3" borderId="81" xfId="0" applyFont="1" applyFill="1" applyBorder="1" applyAlignment="1" applyProtection="1">
      <alignment horizontal="center" vertical="center"/>
      <protection locked="0"/>
    </xf>
    <xf numFmtId="0" fontId="38" fillId="3" borderId="33" xfId="0" applyFont="1" applyFill="1" applyBorder="1" applyAlignment="1" applyProtection="1">
      <alignment horizontal="left" vertical="center" wrapText="1"/>
      <protection locked="0"/>
    </xf>
    <xf numFmtId="0" fontId="72" fillId="19" borderId="33" xfId="0" applyFont="1" applyFill="1" applyBorder="1" applyAlignment="1">
      <alignment horizontal="center" vertical="center" textRotation="255"/>
    </xf>
    <xf numFmtId="0" fontId="72" fillId="19" borderId="33" xfId="0" applyFont="1" applyFill="1" applyBorder="1" applyAlignment="1">
      <alignment horizontal="center" vertical="top"/>
    </xf>
    <xf numFmtId="0" fontId="72" fillId="4" borderId="33" xfId="0" applyFont="1" applyFill="1" applyBorder="1" applyAlignment="1">
      <alignment horizontal="center" vertical="top" wrapText="1"/>
    </xf>
    <xf numFmtId="0" fontId="72" fillId="4" borderId="33" xfId="0" applyFont="1" applyFill="1" applyBorder="1" applyAlignment="1">
      <alignment horizontal="center" vertical="top"/>
    </xf>
    <xf numFmtId="0" fontId="72" fillId="27" borderId="92" xfId="0" applyFont="1" applyFill="1" applyBorder="1" applyAlignment="1">
      <alignment horizontal="center" vertical="top" wrapText="1"/>
    </xf>
    <xf numFmtId="0" fontId="72" fillId="27" borderId="81" xfId="0" applyFont="1" applyFill="1" applyBorder="1" applyAlignment="1">
      <alignment horizontal="center" vertical="top"/>
    </xf>
    <xf numFmtId="0" fontId="72" fillId="27" borderId="95" xfId="0" applyFont="1" applyFill="1" applyBorder="1" applyAlignment="1">
      <alignment horizontal="center" vertical="top"/>
    </xf>
    <xf numFmtId="0" fontId="38" fillId="3" borderId="92" xfId="0" applyFont="1" applyFill="1" applyBorder="1" applyAlignment="1" applyProtection="1">
      <alignment horizontal="left" vertical="center" wrapText="1"/>
      <protection locked="0"/>
    </xf>
    <xf numFmtId="0" fontId="38" fillId="3" borderId="95" xfId="0" applyFont="1" applyFill="1" applyBorder="1" applyAlignment="1" applyProtection="1">
      <alignment horizontal="left" vertical="center" wrapText="1"/>
      <protection locked="0"/>
    </xf>
    <xf numFmtId="0" fontId="38" fillId="3" borderId="81" xfId="0" applyFont="1" applyFill="1" applyBorder="1" applyAlignment="1" applyProtection="1">
      <alignment horizontal="left" vertical="center" wrapText="1"/>
      <protection locked="0"/>
    </xf>
    <xf numFmtId="0" fontId="38" fillId="3" borderId="92" xfId="0" applyFont="1" applyFill="1" applyBorder="1" applyAlignment="1" applyProtection="1">
      <alignment horizontal="justify" vertical="top" wrapText="1"/>
      <protection locked="0"/>
    </xf>
    <xf numFmtId="0" fontId="38" fillId="3" borderId="95" xfId="0" applyFont="1" applyFill="1" applyBorder="1" applyAlignment="1" applyProtection="1">
      <alignment horizontal="justify" vertical="top"/>
      <protection locked="0"/>
    </xf>
    <xf numFmtId="0" fontId="38" fillId="3" borderId="94" xfId="0" applyFont="1" applyFill="1" applyBorder="1" applyAlignment="1" applyProtection="1">
      <alignment horizontal="justify" vertical="top" wrapText="1"/>
      <protection locked="0"/>
    </xf>
    <xf numFmtId="0" fontId="38" fillId="3" borderId="94" xfId="0" applyFont="1" applyFill="1" applyBorder="1" applyAlignment="1" applyProtection="1">
      <alignment horizontal="justify" vertical="top"/>
      <protection locked="0"/>
    </xf>
    <xf numFmtId="0" fontId="38" fillId="0" borderId="92" xfId="0" applyFont="1" applyBorder="1" applyAlignment="1" applyProtection="1">
      <alignment horizontal="left" vertical="center" wrapText="1"/>
      <protection locked="0"/>
    </xf>
    <xf numFmtId="0" fontId="38" fillId="0" borderId="95" xfId="0" applyFont="1" applyBorder="1" applyAlignment="1" applyProtection="1">
      <alignment horizontal="left" vertical="center" wrapText="1"/>
      <protection locked="0"/>
    </xf>
    <xf numFmtId="0" fontId="38" fillId="0" borderId="92" xfId="0" applyFont="1" applyBorder="1" applyAlignment="1" applyProtection="1">
      <alignment horizontal="left" vertical="center"/>
      <protection locked="0"/>
    </xf>
    <xf numFmtId="0" fontId="38" fillId="0" borderId="81" xfId="0" applyFont="1" applyBorder="1" applyAlignment="1" applyProtection="1">
      <alignment horizontal="left" vertical="center"/>
      <protection locked="0"/>
    </xf>
    <xf numFmtId="0" fontId="38" fillId="0" borderId="95" xfId="0" applyFont="1" applyBorder="1" applyAlignment="1" applyProtection="1">
      <alignment horizontal="left" vertical="center"/>
      <protection locked="0"/>
    </xf>
    <xf numFmtId="0" fontId="38" fillId="0" borderId="92" xfId="0" applyFont="1" applyBorder="1" applyAlignment="1" applyProtection="1">
      <alignment horizontal="center" vertical="center"/>
      <protection locked="0"/>
    </xf>
    <xf numFmtId="0" fontId="38" fillId="0" borderId="81" xfId="0" applyFont="1" applyBorder="1" applyAlignment="1" applyProtection="1">
      <alignment horizontal="center" vertical="center"/>
      <protection locked="0"/>
    </xf>
    <xf numFmtId="0" fontId="38" fillId="0" borderId="95" xfId="0" applyFont="1" applyBorder="1" applyAlignment="1" applyProtection="1">
      <alignment horizontal="center" vertical="center"/>
      <protection locked="0"/>
    </xf>
    <xf numFmtId="0" fontId="72" fillId="19" borderId="33" xfId="0" applyFont="1" applyFill="1" applyBorder="1" applyAlignment="1">
      <alignment horizontal="center" vertical="center"/>
    </xf>
    <xf numFmtId="0" fontId="72" fillId="27" borderId="33" xfId="0" applyFont="1" applyFill="1" applyBorder="1" applyAlignment="1">
      <alignment horizontal="center" vertical="center" wrapText="1"/>
    </xf>
    <xf numFmtId="0" fontId="72" fillId="27" borderId="33" xfId="0" applyFont="1" applyFill="1" applyBorder="1" applyAlignment="1">
      <alignment horizontal="center" vertical="center"/>
    </xf>
    <xf numFmtId="0" fontId="72" fillId="19" borderId="92" xfId="0" applyFont="1" applyFill="1" applyBorder="1" applyAlignment="1">
      <alignment horizontal="center" vertical="center" wrapText="1"/>
    </xf>
    <xf numFmtId="0" fontId="72" fillId="19" borderId="81" xfId="0" applyFont="1" applyFill="1" applyBorder="1" applyAlignment="1">
      <alignment horizontal="center" vertical="center"/>
    </xf>
    <xf numFmtId="0" fontId="72" fillId="19" borderId="95" xfId="0" applyFont="1" applyFill="1" applyBorder="1" applyAlignment="1">
      <alignment horizontal="center" vertical="center"/>
    </xf>
    <xf numFmtId="0" fontId="73" fillId="3" borderId="92" xfId="0" applyFont="1" applyFill="1" applyBorder="1" applyAlignment="1" applyProtection="1">
      <alignment horizontal="left" vertical="center" wrapText="1"/>
      <protection locked="0"/>
    </xf>
    <xf numFmtId="0" fontId="73" fillId="3" borderId="81" xfId="0" applyFont="1" applyFill="1" applyBorder="1" applyAlignment="1" applyProtection="1">
      <alignment horizontal="left" vertical="center" wrapText="1"/>
      <protection locked="0"/>
    </xf>
    <xf numFmtId="0" fontId="73" fillId="3" borderId="95" xfId="0" applyFont="1" applyFill="1" applyBorder="1" applyAlignment="1" applyProtection="1">
      <alignment horizontal="left" vertical="center" wrapText="1"/>
      <protection locked="0"/>
    </xf>
    <xf numFmtId="0" fontId="38" fillId="0" borderId="33" xfId="0" applyFont="1" applyBorder="1" applyAlignment="1" applyProtection="1">
      <alignment horizontal="left" vertical="center" wrapText="1"/>
      <protection locked="0"/>
    </xf>
    <xf numFmtId="0" fontId="38" fillId="0" borderId="81" xfId="0" applyFont="1" applyBorder="1" applyAlignment="1" applyProtection="1">
      <alignment horizontal="left" vertical="center" wrapText="1"/>
      <protection locked="0"/>
    </xf>
    <xf numFmtId="0" fontId="38" fillId="0" borderId="33" xfId="0" applyFont="1" applyBorder="1" applyAlignment="1" applyProtection="1">
      <alignment horizontal="left" vertical="center"/>
      <protection locked="0"/>
    </xf>
    <xf numFmtId="0" fontId="60" fillId="29" borderId="80" xfId="0" applyFont="1" applyFill="1" applyBorder="1" applyAlignment="1">
      <alignment horizontal="center" vertical="center" wrapText="1"/>
    </xf>
    <xf numFmtId="0" fontId="60" fillId="29" borderId="81" xfId="0" applyFont="1" applyFill="1" applyBorder="1" applyAlignment="1">
      <alignment horizontal="center" vertical="center" wrapText="1"/>
    </xf>
    <xf numFmtId="0" fontId="60" fillId="29" borderId="82" xfId="0" applyFont="1" applyFill="1" applyBorder="1" applyAlignment="1">
      <alignment horizontal="center" vertical="center" wrapText="1"/>
    </xf>
    <xf numFmtId="0" fontId="61" fillId="0" borderId="108" xfId="0" applyFont="1" applyBorder="1" applyAlignment="1">
      <alignment horizontal="center" vertical="center" wrapText="1"/>
    </xf>
    <xf numFmtId="0" fontId="61" fillId="0" borderId="13" xfId="0" applyFont="1" applyBorder="1" applyAlignment="1">
      <alignment horizontal="center" vertical="center" wrapText="1"/>
    </xf>
    <xf numFmtId="0" fontId="61" fillId="0" borderId="106" xfId="0" applyFont="1" applyBorder="1" applyAlignment="1">
      <alignment horizontal="center" vertical="center" wrapText="1"/>
    </xf>
    <xf numFmtId="0" fontId="61" fillId="0" borderId="15" xfId="0" applyFont="1" applyBorder="1" applyAlignment="1">
      <alignment horizontal="center" vertical="center" wrapText="1"/>
    </xf>
    <xf numFmtId="0" fontId="61" fillId="0" borderId="90" xfId="0" applyFont="1" applyBorder="1" applyAlignment="1">
      <alignment horizontal="center" vertical="center" wrapText="1"/>
    </xf>
    <xf numFmtId="0" fontId="61" fillId="0" borderId="70" xfId="0" applyFont="1" applyBorder="1" applyAlignment="1">
      <alignment horizontal="center" vertical="center" wrapText="1"/>
    </xf>
    <xf numFmtId="0" fontId="71" fillId="19" borderId="33" xfId="0" applyFont="1" applyFill="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5" xfId="0" applyFont="1" applyFill="1" applyBorder="1" applyAlignment="1">
      <alignment horizontal="center" vertical="center" wrapText="1"/>
    </xf>
    <xf numFmtId="0" fontId="72" fillId="19" borderId="33" xfId="0" applyFont="1" applyFill="1" applyBorder="1" applyAlignment="1">
      <alignment horizontal="center" vertical="center" wrapText="1"/>
    </xf>
    <xf numFmtId="0" fontId="72" fillId="19" borderId="92" xfId="0" applyFont="1" applyFill="1" applyBorder="1" applyAlignment="1">
      <alignment horizontal="center"/>
    </xf>
    <xf numFmtId="0" fontId="72" fillId="19" borderId="81" xfId="0" applyFont="1" applyFill="1" applyBorder="1" applyAlignment="1">
      <alignment horizontal="center"/>
    </xf>
    <xf numFmtId="0" fontId="72" fillId="19" borderId="95" xfId="0" applyFont="1" applyFill="1" applyBorder="1" applyAlignment="1">
      <alignment horizontal="center"/>
    </xf>
    <xf numFmtId="0" fontId="61" fillId="0" borderId="0" xfId="0" applyFont="1" applyAlignment="1">
      <alignment horizontal="center" vertical="top" wrapText="1"/>
    </xf>
    <xf numFmtId="0" fontId="61" fillId="0" borderId="0" xfId="0" applyFont="1" applyAlignment="1">
      <alignment horizontal="left" vertical="top" wrapText="1"/>
    </xf>
    <xf numFmtId="0" fontId="27" fillId="3" borderId="75" xfId="0" applyFont="1" applyFill="1" applyBorder="1" applyAlignment="1" applyProtection="1">
      <alignment horizontal="center" vertical="center" wrapText="1"/>
      <protection locked="0"/>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textRotation="180"/>
      <protection hidden="1"/>
    </xf>
    <xf numFmtId="0" fontId="4" fillId="0" borderId="8" xfId="0" applyFont="1" applyBorder="1" applyAlignment="1" applyProtection="1">
      <alignment horizontal="center" vertical="top" textRotation="180"/>
      <protection hidden="1"/>
    </xf>
    <xf numFmtId="0" fontId="4" fillId="0" borderId="5" xfId="0" applyFont="1" applyBorder="1" applyAlignment="1" applyProtection="1">
      <alignment horizontal="center" vertical="top" textRotation="180"/>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textRotation="180" wrapText="1"/>
      <protection hidden="1"/>
    </xf>
    <xf numFmtId="0" fontId="4" fillId="0" borderId="8" xfId="0" applyFont="1" applyBorder="1" applyAlignment="1" applyProtection="1">
      <alignment horizontal="center" vertical="top" textRotation="180" wrapText="1"/>
      <protection hidden="1"/>
    </xf>
    <xf numFmtId="0" fontId="4" fillId="0" borderId="5" xfId="0" applyFont="1" applyBorder="1" applyAlignment="1" applyProtection="1">
      <alignment horizontal="center" vertical="top" textRotation="180"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9" fontId="6" fillId="0" borderId="4" xfId="0" applyNumberFormat="1" applyFont="1" applyBorder="1" applyAlignment="1" applyProtection="1">
      <alignment horizontal="justify" vertical="top" wrapText="1"/>
      <protection hidden="1"/>
    </xf>
    <xf numFmtId="9" fontId="6" fillId="0" borderId="8" xfId="0" applyNumberFormat="1" applyFont="1" applyBorder="1" applyAlignment="1" applyProtection="1">
      <alignment horizontal="justify" vertical="top" wrapText="1"/>
      <protection hidden="1"/>
    </xf>
    <xf numFmtId="9" fontId="6" fillId="0" borderId="5" xfId="0" applyNumberFormat="1" applyFont="1" applyBorder="1" applyAlignment="1" applyProtection="1">
      <alignment horizontal="justify" vertical="top" wrapText="1"/>
      <protection hidden="1"/>
    </xf>
    <xf numFmtId="0" fontId="93" fillId="0" borderId="4" xfId="0" applyFont="1" applyBorder="1" applyAlignment="1" applyProtection="1">
      <alignment horizontal="justify" vertical="top" textRotation="180"/>
      <protection hidden="1"/>
    </xf>
    <xf numFmtId="0" fontId="93" fillId="0" borderId="8" xfId="0" applyFont="1" applyBorder="1" applyAlignment="1" applyProtection="1">
      <alignment horizontal="justify" vertical="top" textRotation="180"/>
      <protection hidden="1"/>
    </xf>
    <xf numFmtId="0" fontId="93" fillId="0" borderId="5" xfId="0" applyFont="1" applyBorder="1" applyAlignment="1" applyProtection="1">
      <alignment horizontal="justify" vertical="top" textRotation="180"/>
      <protection hidden="1"/>
    </xf>
    <xf numFmtId="0" fontId="6" fillId="0" borderId="4" xfId="0" applyFont="1" applyBorder="1" applyAlignment="1">
      <alignment horizontal="justify" vertical="top"/>
    </xf>
    <xf numFmtId="0" fontId="6" fillId="0" borderId="8" xfId="0" applyFont="1" applyBorder="1" applyAlignment="1">
      <alignment horizontal="justify" vertical="top"/>
    </xf>
    <xf numFmtId="0" fontId="6" fillId="0" borderId="5" xfId="0" applyFont="1" applyBorder="1" applyAlignment="1">
      <alignment horizontal="justify" vertical="top"/>
    </xf>
    <xf numFmtId="0" fontId="6" fillId="28" borderId="4" xfId="0" applyFont="1" applyFill="1" applyBorder="1" applyAlignment="1" applyProtection="1">
      <alignment horizontal="justify" vertical="top" wrapText="1"/>
      <protection locked="0"/>
    </xf>
    <xf numFmtId="0" fontId="6" fillId="28" borderId="8" xfId="0" applyFont="1" applyFill="1" applyBorder="1" applyAlignment="1" applyProtection="1">
      <alignment horizontal="justify" vertical="top" wrapText="1"/>
      <protection locked="0"/>
    </xf>
    <xf numFmtId="0" fontId="6" fillId="28" borderId="5" xfId="0" applyFont="1" applyFill="1" applyBorder="1" applyAlignment="1" applyProtection="1">
      <alignment horizontal="justify" vertical="top" wrapText="1"/>
      <protection locked="0"/>
    </xf>
    <xf numFmtId="0" fontId="97" fillId="28" borderId="4" xfId="0" applyFont="1" applyFill="1" applyBorder="1" applyAlignment="1" applyProtection="1">
      <alignment horizontal="justify" vertical="top" wrapText="1"/>
      <protection locked="0"/>
    </xf>
    <xf numFmtId="0" fontId="82" fillId="0" borderId="4" xfId="0" applyFont="1" applyBorder="1" applyAlignment="1" applyProtection="1">
      <alignment horizontal="left" vertical="top" wrapText="1"/>
      <protection locked="0"/>
    </xf>
    <xf numFmtId="0" fontId="82" fillId="0" borderId="8" xfId="0" applyFont="1" applyBorder="1" applyAlignment="1" applyProtection="1">
      <alignment horizontal="left" vertical="top" wrapText="1"/>
      <protection locked="0"/>
    </xf>
    <xf numFmtId="0" fontId="82" fillId="0" borderId="5" xfId="0" applyFont="1" applyBorder="1" applyAlignment="1" applyProtection="1">
      <alignment horizontal="left" vertical="top" wrapText="1"/>
      <protection locked="0"/>
    </xf>
    <xf numFmtId="0" fontId="83" fillId="0" borderId="28" xfId="0" applyFont="1" applyBorder="1" applyAlignment="1" applyProtection="1">
      <alignment horizontal="left" vertical="top" wrapText="1"/>
      <protection locked="0"/>
    </xf>
    <xf numFmtId="0" fontId="83" fillId="0" borderId="9" xfId="0" applyFont="1" applyBorder="1" applyAlignment="1" applyProtection="1">
      <alignment horizontal="left" vertical="top" wrapText="1"/>
      <protection locked="0"/>
    </xf>
    <xf numFmtId="0" fontId="83" fillId="0" borderId="3" xfId="0" applyFont="1" applyBorder="1" applyAlignment="1" applyProtection="1">
      <alignment horizontal="left" vertical="top" wrapText="1"/>
      <protection locked="0"/>
    </xf>
    <xf numFmtId="0" fontId="2" fillId="0" borderId="75" xfId="0" applyFont="1" applyBorder="1" applyAlignment="1" applyProtection="1">
      <alignment horizontal="left"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92" fillId="28" borderId="28" xfId="0" applyFont="1" applyFill="1" applyBorder="1" applyAlignment="1" applyProtection="1">
      <alignment horizontal="justify" vertical="top" wrapText="1"/>
      <protection locked="0"/>
    </xf>
    <xf numFmtId="0" fontId="6" fillId="28" borderId="9" xfId="0" applyFont="1" applyFill="1" applyBorder="1" applyAlignment="1" applyProtection="1">
      <alignment horizontal="justify" vertical="top" wrapText="1"/>
      <protection locked="0"/>
    </xf>
    <xf numFmtId="0" fontId="6" fillId="28" borderId="3" xfId="0" applyFont="1" applyFill="1" applyBorder="1" applyAlignment="1" applyProtection="1">
      <alignment horizontal="justify" vertical="top" wrapText="1"/>
      <protection locked="0"/>
    </xf>
    <xf numFmtId="0" fontId="44" fillId="28" borderId="75" xfId="0" applyFont="1" applyFill="1" applyBorder="1" applyAlignment="1" applyProtection="1">
      <alignment horizontal="justify" vertical="top" wrapText="1"/>
      <protection locked="0"/>
    </xf>
    <xf numFmtId="0" fontId="6" fillId="0" borderId="30" xfId="0" applyFont="1" applyBorder="1" applyAlignment="1" applyProtection="1">
      <alignment horizontal="justify" vertical="top" wrapText="1"/>
      <protection locked="0"/>
    </xf>
    <xf numFmtId="0" fontId="6" fillId="0" borderId="76" xfId="0" applyFont="1" applyBorder="1" applyAlignment="1" applyProtection="1">
      <alignment horizontal="justify" vertical="top" wrapText="1"/>
      <protection locked="0"/>
    </xf>
    <xf numFmtId="0" fontId="6" fillId="0" borderId="32" xfId="0" applyFont="1" applyBorder="1" applyAlignment="1" applyProtection="1">
      <alignment horizontal="justify" vertical="top" wrapText="1"/>
      <protection locked="0"/>
    </xf>
    <xf numFmtId="0" fontId="93" fillId="0" borderId="4" xfId="0" applyFont="1" applyBorder="1" applyAlignment="1" applyProtection="1">
      <alignment horizontal="justify" vertical="top" textRotation="180" wrapText="1"/>
      <protection hidden="1"/>
    </xf>
    <xf numFmtId="0" fontId="93" fillId="0" borderId="8" xfId="0" applyFont="1" applyBorder="1" applyAlignment="1" applyProtection="1">
      <alignment horizontal="justify" vertical="top" textRotation="180" wrapText="1"/>
      <protection hidden="1"/>
    </xf>
    <xf numFmtId="0" fontId="93" fillId="0" borderId="5" xfId="0" applyFont="1" applyBorder="1" applyAlignment="1" applyProtection="1">
      <alignment horizontal="justify" vertical="top" textRotation="180" wrapText="1"/>
      <protection hidden="1"/>
    </xf>
    <xf numFmtId="0" fontId="6" fillId="0" borderId="4" xfId="0" applyFont="1" applyBorder="1" applyAlignment="1" applyProtection="1">
      <alignment horizontal="justify" vertical="top" wrapText="1"/>
      <protection locked="0"/>
    </xf>
    <xf numFmtId="0" fontId="6" fillId="0" borderId="8" xfId="0" applyFont="1" applyBorder="1" applyAlignment="1" applyProtection="1">
      <alignment horizontal="justify" vertical="top" wrapText="1"/>
      <protection locked="0"/>
    </xf>
    <xf numFmtId="0" fontId="6" fillId="0" borderId="5" xfId="0" applyFont="1" applyBorder="1" applyAlignment="1" applyProtection="1">
      <alignment horizontal="justify" vertical="top" wrapText="1"/>
      <protection locked="0"/>
    </xf>
    <xf numFmtId="0" fontId="97" fillId="0" borderId="4" xfId="0" applyFont="1" applyBorder="1" applyAlignment="1" applyProtection="1">
      <alignment horizontal="justify" vertical="top" wrapText="1"/>
      <protection locked="0"/>
    </xf>
    <xf numFmtId="0" fontId="97" fillId="0" borderId="8" xfId="0" applyFont="1" applyBorder="1" applyAlignment="1" applyProtection="1">
      <alignment horizontal="justify" vertical="top" wrapText="1"/>
      <protection locked="0"/>
    </xf>
    <xf numFmtId="0" fontId="97" fillId="0" borderId="5" xfId="0" applyFont="1" applyBorder="1" applyAlignment="1" applyProtection="1">
      <alignment horizontal="justify" vertical="top" wrapText="1"/>
      <protection locked="0"/>
    </xf>
    <xf numFmtId="0" fontId="92" fillId="0" borderId="28" xfId="0" applyFont="1" applyBorder="1" applyAlignment="1" applyProtection="1">
      <alignment horizontal="justify" vertical="top" wrapText="1"/>
      <protection locked="0"/>
    </xf>
    <xf numFmtId="0" fontId="92" fillId="0" borderId="9" xfId="0" applyFont="1" applyBorder="1" applyAlignment="1" applyProtection="1">
      <alignment horizontal="justify" vertical="top" wrapText="1"/>
      <protection locked="0"/>
    </xf>
    <xf numFmtId="0" fontId="92" fillId="0" borderId="3" xfId="0" applyFont="1" applyBorder="1" applyAlignment="1" applyProtection="1">
      <alignment horizontal="justify" vertical="top" wrapText="1"/>
      <protection locked="0"/>
    </xf>
    <xf numFmtId="0" fontId="44" fillId="0" borderId="75" xfId="0" applyFont="1" applyBorder="1" applyAlignment="1" applyProtection="1">
      <alignment horizontal="justify" vertical="top" wrapText="1"/>
      <protection locked="0"/>
    </xf>
    <xf numFmtId="0" fontId="6" fillId="0" borderId="4" xfId="0" applyFont="1" applyBorder="1" applyAlignment="1" applyProtection="1">
      <alignment horizontal="justify" vertical="top"/>
      <protection locked="0"/>
    </xf>
    <xf numFmtId="0" fontId="6" fillId="0" borderId="8" xfId="0" applyFont="1" applyBorder="1" applyAlignment="1" applyProtection="1">
      <alignment horizontal="justify" vertical="top"/>
      <protection locked="0"/>
    </xf>
    <xf numFmtId="0" fontId="6" fillId="0" borderId="5" xfId="0" applyFont="1" applyBorder="1" applyAlignment="1" applyProtection="1">
      <alignment horizontal="justify" vertical="top"/>
      <protection locked="0"/>
    </xf>
    <xf numFmtId="9" fontId="6" fillId="0" borderId="4" xfId="0" applyNumberFormat="1" applyFont="1" applyBorder="1" applyAlignment="1" applyProtection="1">
      <alignment horizontal="justify" vertical="top" wrapText="1"/>
      <protection locked="0"/>
    </xf>
    <xf numFmtId="9" fontId="6" fillId="0" borderId="8" xfId="0" applyNumberFormat="1" applyFont="1" applyBorder="1" applyAlignment="1" applyProtection="1">
      <alignment horizontal="justify" vertical="top" wrapText="1"/>
      <protection locked="0"/>
    </xf>
    <xf numFmtId="9" fontId="6" fillId="0" borderId="5" xfId="0" applyNumberFormat="1" applyFont="1" applyBorder="1" applyAlignment="1" applyProtection="1">
      <alignment horizontal="justify" vertical="top" wrapText="1"/>
      <protection locked="0"/>
    </xf>
    <xf numFmtId="0" fontId="96" fillId="0" borderId="4" xfId="0" applyFont="1" applyBorder="1" applyAlignment="1" applyProtection="1">
      <alignment horizontal="justify" vertical="top" wrapText="1"/>
      <protection locked="0"/>
    </xf>
    <xf numFmtId="0" fontId="96" fillId="0" borderId="8" xfId="0" applyFont="1" applyBorder="1" applyAlignment="1" applyProtection="1">
      <alignment horizontal="justify" vertical="top" wrapText="1"/>
      <protection locked="0"/>
    </xf>
    <xf numFmtId="0" fontId="96" fillId="0" borderId="5" xfId="0" applyFont="1" applyBorder="1" applyAlignment="1" applyProtection="1">
      <alignment horizontal="justify" vertical="top" wrapText="1"/>
      <protection locked="0"/>
    </xf>
    <xf numFmtId="0" fontId="6" fillId="0" borderId="28" xfId="0" applyFont="1" applyBorder="1" applyAlignment="1" applyProtection="1">
      <alignment horizontal="justify" vertical="top" wrapText="1"/>
      <protection locked="0"/>
    </xf>
    <xf numFmtId="0" fontId="6" fillId="0" borderId="9" xfId="0" applyFont="1" applyBorder="1" applyAlignment="1" applyProtection="1">
      <alignment horizontal="justify" vertical="top" wrapText="1"/>
      <protection locked="0"/>
    </xf>
    <xf numFmtId="0" fontId="6" fillId="0" borderId="3" xfId="0" applyFont="1" applyBorder="1" applyAlignment="1" applyProtection="1">
      <alignment horizontal="justify" vertical="top" wrapText="1"/>
      <protection locked="0"/>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textRotation="180"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textRotation="180" wrapText="1"/>
    </xf>
    <xf numFmtId="0" fontId="4" fillId="2" borderId="5" xfId="0" applyFont="1" applyFill="1" applyBorder="1" applyAlignment="1">
      <alignment horizontal="center" vertical="center" textRotation="180"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textRotation="180" wrapText="1"/>
    </xf>
    <xf numFmtId="0" fontId="4" fillId="2" borderId="3" xfId="0" applyFont="1" applyFill="1" applyBorder="1" applyAlignment="1">
      <alignment horizontal="center" vertical="center" textRotation="180"/>
    </xf>
    <xf numFmtId="0" fontId="4" fillId="2" borderId="2" xfId="0" applyFont="1" applyFill="1" applyBorder="1" applyAlignment="1">
      <alignment horizontal="center" vertical="center"/>
    </xf>
    <xf numFmtId="0" fontId="4" fillId="2" borderId="4" xfId="0" applyFont="1" applyFill="1" applyBorder="1" applyAlignment="1">
      <alignment horizontal="left" vertical="top" wrapText="1"/>
    </xf>
    <xf numFmtId="0" fontId="4" fillId="2" borderId="8" xfId="0" applyFont="1" applyFill="1" applyBorder="1" applyAlignment="1">
      <alignment horizontal="left" vertical="top" wrapText="1"/>
    </xf>
    <xf numFmtId="0" fontId="91" fillId="0" borderId="4" xfId="0" applyFont="1" applyBorder="1" applyAlignment="1" applyProtection="1">
      <alignment horizontal="justify" vertical="top" wrapText="1"/>
      <protection locked="0"/>
    </xf>
    <xf numFmtId="0" fontId="91" fillId="0" borderId="8" xfId="0" applyFont="1" applyBorder="1" applyAlignment="1" applyProtection="1">
      <alignment horizontal="justify" vertical="top" wrapText="1"/>
      <protection locked="0"/>
    </xf>
    <xf numFmtId="0" fontId="91" fillId="0" borderId="5" xfId="0" applyFont="1" applyBorder="1" applyAlignment="1" applyProtection="1">
      <alignment horizontal="justify" vertical="top" wrapText="1"/>
      <protection locked="0"/>
    </xf>
    <xf numFmtId="0" fontId="92" fillId="0" borderId="102" xfId="0" applyFont="1" applyBorder="1" applyAlignment="1" applyProtection="1">
      <alignment horizontal="justify" vertical="top" wrapText="1"/>
      <protection locked="0"/>
    </xf>
    <xf numFmtId="0" fontId="92" fillId="0" borderId="103" xfId="0" applyFont="1" applyBorder="1" applyAlignment="1" applyProtection="1">
      <alignment horizontal="justify" vertical="top" wrapText="1"/>
      <protection locked="0"/>
    </xf>
    <xf numFmtId="0" fontId="92" fillId="0" borderId="104" xfId="0" applyFont="1" applyBorder="1" applyAlignment="1" applyProtection="1">
      <alignment horizontal="justify" vertical="top" wrapText="1"/>
      <protection locked="0"/>
    </xf>
    <xf numFmtId="0" fontId="44" fillId="0" borderId="96" xfId="0" applyFont="1" applyBorder="1" applyAlignment="1" applyProtection="1">
      <alignment horizontal="justify" vertical="top" wrapText="1"/>
      <protection locked="0"/>
    </xf>
    <xf numFmtId="0" fontId="44" fillId="0" borderId="97" xfId="0" applyFont="1" applyBorder="1" applyAlignment="1" applyProtection="1">
      <alignment horizontal="justify" vertical="top" wrapText="1"/>
      <protection locked="0"/>
    </xf>
    <xf numFmtId="0" fontId="44" fillId="0" borderId="98" xfId="0" applyFont="1" applyBorder="1" applyAlignment="1" applyProtection="1">
      <alignment horizontal="justify" vertical="top" wrapText="1"/>
      <protection locked="0"/>
    </xf>
    <xf numFmtId="0" fontId="40" fillId="0" borderId="96" xfId="0" applyFont="1" applyBorder="1" applyAlignment="1" applyProtection="1">
      <alignment horizontal="justify" vertical="top" wrapText="1"/>
      <protection locked="0"/>
    </xf>
    <xf numFmtId="0" fontId="40" fillId="0" borderId="97" xfId="0" applyFont="1" applyBorder="1" applyAlignment="1" applyProtection="1">
      <alignment horizontal="justify" vertical="top" wrapText="1"/>
      <protection locked="0"/>
    </xf>
    <xf numFmtId="0" fontId="40" fillId="0" borderId="98" xfId="0" applyFont="1" applyBorder="1" applyAlignment="1" applyProtection="1">
      <alignment horizontal="justify" vertical="top" wrapText="1"/>
      <protection locked="0"/>
    </xf>
    <xf numFmtId="0" fontId="40" fillId="0" borderId="96" xfId="0" applyFont="1" applyBorder="1" applyAlignment="1" applyProtection="1">
      <alignment horizontal="justify" vertical="top" textRotation="180" wrapText="1"/>
      <protection locked="0"/>
    </xf>
    <xf numFmtId="0" fontId="40" fillId="0" borderId="97" xfId="0" applyFont="1" applyBorder="1" applyAlignment="1" applyProtection="1">
      <alignment horizontal="justify" vertical="top" textRotation="180" wrapText="1"/>
      <protection locked="0"/>
    </xf>
    <xf numFmtId="0" fontId="40" fillId="0" borderId="98" xfId="0" applyFont="1" applyBorder="1" applyAlignment="1" applyProtection="1">
      <alignment horizontal="justify" vertical="top" textRotation="180" wrapText="1"/>
      <protection locked="0"/>
    </xf>
    <xf numFmtId="0" fontId="44" fillId="28" borderId="96" xfId="0" applyFont="1" applyFill="1" applyBorder="1" applyAlignment="1" applyProtection="1">
      <alignment horizontal="justify" vertical="top" textRotation="180" wrapText="1"/>
      <protection locked="0"/>
    </xf>
    <xf numFmtId="0" fontId="44" fillId="28" borderId="97" xfId="0" applyFont="1" applyFill="1" applyBorder="1" applyAlignment="1" applyProtection="1">
      <alignment horizontal="justify" vertical="top" textRotation="180" wrapText="1"/>
      <protection locked="0"/>
    </xf>
    <xf numFmtId="0" fontId="44" fillId="28" borderId="98" xfId="0" applyFont="1" applyFill="1" applyBorder="1" applyAlignment="1" applyProtection="1">
      <alignment horizontal="justify" vertical="top" textRotation="180" wrapText="1"/>
      <protection locked="0"/>
    </xf>
    <xf numFmtId="0" fontId="50" fillId="0" borderId="96" xfId="0" applyFont="1" applyBorder="1" applyAlignment="1" applyProtection="1">
      <alignment horizontal="center" vertical="top" textRotation="180" wrapText="1"/>
      <protection locked="0"/>
    </xf>
    <xf numFmtId="0" fontId="50" fillId="0" borderId="97" xfId="0" applyFont="1" applyBorder="1" applyAlignment="1" applyProtection="1">
      <alignment horizontal="center" vertical="top" textRotation="180" wrapText="1"/>
      <protection locked="0"/>
    </xf>
    <xf numFmtId="0" fontId="50" fillId="0" borderId="98" xfId="0" applyFont="1" applyBorder="1" applyAlignment="1" applyProtection="1">
      <alignment horizontal="center" vertical="top" textRotation="180" wrapText="1"/>
      <protection locked="0"/>
    </xf>
    <xf numFmtId="0" fontId="6" fillId="0" borderId="99" xfId="0" applyFont="1" applyBorder="1" applyAlignment="1" applyProtection="1">
      <alignment horizontal="justify" vertical="top" wrapText="1"/>
      <protection locked="0"/>
    </xf>
    <xf numFmtId="0" fontId="6" fillId="0" borderId="100" xfId="0" applyFont="1" applyBorder="1" applyAlignment="1" applyProtection="1">
      <alignment horizontal="justify" vertical="top" wrapText="1"/>
      <protection locked="0"/>
    </xf>
    <xf numFmtId="0" fontId="6" fillId="0" borderId="101" xfId="0" applyFont="1" applyBorder="1" applyAlignment="1" applyProtection="1">
      <alignment horizontal="justify" vertical="top" wrapText="1"/>
      <protection locked="0"/>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0" fillId="0" borderId="33" xfId="0" applyBorder="1" applyAlignment="1">
      <alignment horizontal="center" vertical="center"/>
    </xf>
    <xf numFmtId="0" fontId="67" fillId="20" borderId="51" xfId="0" applyFont="1" applyFill="1" applyBorder="1" applyAlignment="1">
      <alignment horizontal="left" vertical="center" wrapText="1"/>
    </xf>
    <xf numFmtId="0" fontId="67" fillId="20" borderId="52" xfId="0" applyFont="1" applyFill="1" applyBorder="1" applyAlignment="1">
      <alignment horizontal="left" vertical="center" wrapText="1"/>
    </xf>
    <xf numFmtId="0" fontId="67" fillId="20" borderId="53" xfId="0" applyFont="1" applyFill="1" applyBorder="1" applyAlignment="1">
      <alignment horizontal="left" vertical="center" wrapText="1"/>
    </xf>
    <xf numFmtId="0" fontId="67" fillId="20" borderId="16" xfId="0" applyFont="1" applyFill="1" applyBorder="1" applyAlignment="1">
      <alignment horizontal="left" vertical="center" wrapText="1"/>
    </xf>
    <xf numFmtId="0" fontId="67" fillId="20" borderId="18" xfId="0" applyFont="1" applyFill="1" applyBorder="1" applyAlignment="1">
      <alignment horizontal="left" vertical="center" wrapText="1"/>
    </xf>
    <xf numFmtId="0" fontId="67" fillId="20" borderId="17" xfId="0" applyFont="1" applyFill="1" applyBorder="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9C8C5E"/>
      <color rgb="FFFFCC00"/>
      <color rgb="FFFF99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1249680</xdr:colOff>
      <xdr:row>3</xdr:row>
      <xdr:rowOff>146685</xdr:rowOff>
    </xdr:to>
    <xdr:pic>
      <xdr:nvPicPr>
        <xdr:cNvPr id="2" name="1 Imagen" descr="logocapitalmusic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90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179295</xdr:colOff>
      <xdr:row>0</xdr:row>
      <xdr:rowOff>0</xdr:rowOff>
    </xdr:from>
    <xdr:to>
      <xdr:col>0</xdr:col>
      <xdr:colOff>1855303</xdr:colOff>
      <xdr:row>3</xdr:row>
      <xdr:rowOff>101296</xdr:rowOff>
    </xdr:to>
    <xdr:pic>
      <xdr:nvPicPr>
        <xdr:cNvPr id="3" name="Imagen 2">
          <a:extLst>
            <a:ext uri="{FF2B5EF4-FFF2-40B4-BE49-F238E27FC236}">
              <a16:creationId xmlns:a16="http://schemas.microsoft.com/office/drawing/2014/main" id="{F2240D93-DC91-3F28-1193-A95FD8F42905}"/>
            </a:ext>
          </a:extLst>
        </xdr:cNvPr>
        <xdr:cNvPicPr>
          <a:picLocks noChangeAspect="1"/>
        </xdr:cNvPicPr>
      </xdr:nvPicPr>
      <xdr:blipFill>
        <a:blip xmlns:r="http://schemas.openxmlformats.org/officeDocument/2006/relationships" r:embed="rId2"/>
        <a:stretch>
          <a:fillRect/>
        </a:stretch>
      </xdr:blipFill>
      <xdr:spPr>
        <a:xfrm>
          <a:off x="179295" y="0"/>
          <a:ext cx="1676008" cy="6660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40</xdr:row>
      <xdr:rowOff>288634</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130435</xdr:colOff>
      <xdr:row>0</xdr:row>
      <xdr:rowOff>106681</xdr:rowOff>
    </xdr:from>
    <xdr:to>
      <xdr:col>18</xdr:col>
      <xdr:colOff>757817</xdr:colOff>
      <xdr:row>3</xdr:row>
      <xdr:rowOff>83507</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440295" y="106681"/>
          <a:ext cx="627382" cy="875986"/>
        </a:xfrm>
        <a:prstGeom prst="rect">
          <a:avLst/>
        </a:prstGeom>
      </xdr:spPr>
    </xdr:pic>
    <xdr:clientData/>
  </xdr:twoCellAnchor>
  <xdr:twoCellAnchor>
    <xdr:from>
      <xdr:col>0</xdr:col>
      <xdr:colOff>0</xdr:colOff>
      <xdr:row>41</xdr:row>
      <xdr:rowOff>0</xdr:rowOff>
    </xdr:from>
    <xdr:to>
      <xdr:col>0</xdr:col>
      <xdr:colOff>2</xdr:colOff>
      <xdr:row>41</xdr:row>
      <xdr:rowOff>0</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mc:AlternateContent xmlns:mc="http://schemas.openxmlformats.org/markup-compatibility/2006">
    <mc:Choice xmlns:a14="http://schemas.microsoft.com/office/drawing/2010/main" Requires="a14">
      <xdr:twoCellAnchor editAs="oneCell">
        <xdr:from>
          <xdr:col>19</xdr:col>
          <xdr:colOff>487680</xdr:colOff>
          <xdr:row>10</xdr:row>
          <xdr:rowOff>160020</xdr:rowOff>
        </xdr:from>
        <xdr:to>
          <xdr:col>19</xdr:col>
          <xdr:colOff>876300</xdr:colOff>
          <xdr:row>10</xdr:row>
          <xdr:rowOff>381000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11</xdr:row>
          <xdr:rowOff>160020</xdr:rowOff>
        </xdr:from>
        <xdr:to>
          <xdr:col>19</xdr:col>
          <xdr:colOff>876300</xdr:colOff>
          <xdr:row>11</xdr:row>
          <xdr:rowOff>381000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12</xdr:row>
          <xdr:rowOff>160020</xdr:rowOff>
        </xdr:from>
        <xdr:to>
          <xdr:col>19</xdr:col>
          <xdr:colOff>876300</xdr:colOff>
          <xdr:row>12</xdr:row>
          <xdr:rowOff>381000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13</xdr:row>
          <xdr:rowOff>160020</xdr:rowOff>
        </xdr:from>
        <xdr:to>
          <xdr:col>19</xdr:col>
          <xdr:colOff>876300</xdr:colOff>
          <xdr:row>13</xdr:row>
          <xdr:rowOff>381000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14</xdr:row>
          <xdr:rowOff>160020</xdr:rowOff>
        </xdr:from>
        <xdr:to>
          <xdr:col>19</xdr:col>
          <xdr:colOff>876300</xdr:colOff>
          <xdr:row>14</xdr:row>
          <xdr:rowOff>381000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15</xdr:row>
          <xdr:rowOff>160020</xdr:rowOff>
        </xdr:from>
        <xdr:to>
          <xdr:col>19</xdr:col>
          <xdr:colOff>876300</xdr:colOff>
          <xdr:row>15</xdr:row>
          <xdr:rowOff>381000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16</xdr:row>
          <xdr:rowOff>160020</xdr:rowOff>
        </xdr:from>
        <xdr:to>
          <xdr:col>19</xdr:col>
          <xdr:colOff>876300</xdr:colOff>
          <xdr:row>16</xdr:row>
          <xdr:rowOff>381000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17</xdr:row>
          <xdr:rowOff>160020</xdr:rowOff>
        </xdr:from>
        <xdr:to>
          <xdr:col>19</xdr:col>
          <xdr:colOff>876300</xdr:colOff>
          <xdr:row>17</xdr:row>
          <xdr:rowOff>381000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18</xdr:row>
          <xdr:rowOff>160020</xdr:rowOff>
        </xdr:from>
        <xdr:to>
          <xdr:col>19</xdr:col>
          <xdr:colOff>876300</xdr:colOff>
          <xdr:row>18</xdr:row>
          <xdr:rowOff>381000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19</xdr:row>
          <xdr:rowOff>160020</xdr:rowOff>
        </xdr:from>
        <xdr:to>
          <xdr:col>19</xdr:col>
          <xdr:colOff>876300</xdr:colOff>
          <xdr:row>19</xdr:row>
          <xdr:rowOff>381000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20</xdr:row>
          <xdr:rowOff>160020</xdr:rowOff>
        </xdr:from>
        <xdr:to>
          <xdr:col>19</xdr:col>
          <xdr:colOff>876300</xdr:colOff>
          <xdr:row>20</xdr:row>
          <xdr:rowOff>381000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21</xdr:row>
          <xdr:rowOff>160020</xdr:rowOff>
        </xdr:from>
        <xdr:to>
          <xdr:col>19</xdr:col>
          <xdr:colOff>876300</xdr:colOff>
          <xdr:row>21</xdr:row>
          <xdr:rowOff>381000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22</xdr:row>
          <xdr:rowOff>160020</xdr:rowOff>
        </xdr:from>
        <xdr:to>
          <xdr:col>19</xdr:col>
          <xdr:colOff>876300</xdr:colOff>
          <xdr:row>22</xdr:row>
          <xdr:rowOff>381000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23</xdr:row>
          <xdr:rowOff>160020</xdr:rowOff>
        </xdr:from>
        <xdr:to>
          <xdr:col>19</xdr:col>
          <xdr:colOff>876300</xdr:colOff>
          <xdr:row>23</xdr:row>
          <xdr:rowOff>381000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24</xdr:row>
          <xdr:rowOff>160020</xdr:rowOff>
        </xdr:from>
        <xdr:to>
          <xdr:col>19</xdr:col>
          <xdr:colOff>876300</xdr:colOff>
          <xdr:row>24</xdr:row>
          <xdr:rowOff>381000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25</xdr:row>
          <xdr:rowOff>160020</xdr:rowOff>
        </xdr:from>
        <xdr:to>
          <xdr:col>19</xdr:col>
          <xdr:colOff>876300</xdr:colOff>
          <xdr:row>25</xdr:row>
          <xdr:rowOff>381000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26</xdr:row>
          <xdr:rowOff>160020</xdr:rowOff>
        </xdr:from>
        <xdr:to>
          <xdr:col>19</xdr:col>
          <xdr:colOff>876300</xdr:colOff>
          <xdr:row>26</xdr:row>
          <xdr:rowOff>381000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27</xdr:row>
          <xdr:rowOff>160020</xdr:rowOff>
        </xdr:from>
        <xdr:to>
          <xdr:col>19</xdr:col>
          <xdr:colOff>876300</xdr:colOff>
          <xdr:row>27</xdr:row>
          <xdr:rowOff>381000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28</xdr:row>
          <xdr:rowOff>160020</xdr:rowOff>
        </xdr:from>
        <xdr:to>
          <xdr:col>19</xdr:col>
          <xdr:colOff>876300</xdr:colOff>
          <xdr:row>28</xdr:row>
          <xdr:rowOff>381000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29</xdr:row>
          <xdr:rowOff>160020</xdr:rowOff>
        </xdr:from>
        <xdr:to>
          <xdr:col>19</xdr:col>
          <xdr:colOff>876300</xdr:colOff>
          <xdr:row>29</xdr:row>
          <xdr:rowOff>381000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30</xdr:row>
          <xdr:rowOff>160020</xdr:rowOff>
        </xdr:from>
        <xdr:to>
          <xdr:col>19</xdr:col>
          <xdr:colOff>876300</xdr:colOff>
          <xdr:row>30</xdr:row>
          <xdr:rowOff>381000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31</xdr:row>
          <xdr:rowOff>160020</xdr:rowOff>
        </xdr:from>
        <xdr:to>
          <xdr:col>19</xdr:col>
          <xdr:colOff>876300</xdr:colOff>
          <xdr:row>31</xdr:row>
          <xdr:rowOff>381000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32</xdr:row>
          <xdr:rowOff>160020</xdr:rowOff>
        </xdr:from>
        <xdr:to>
          <xdr:col>19</xdr:col>
          <xdr:colOff>876300</xdr:colOff>
          <xdr:row>32</xdr:row>
          <xdr:rowOff>381000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34</xdr:row>
          <xdr:rowOff>160020</xdr:rowOff>
        </xdr:from>
        <xdr:to>
          <xdr:col>19</xdr:col>
          <xdr:colOff>876300</xdr:colOff>
          <xdr:row>34</xdr:row>
          <xdr:rowOff>381000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35</xdr:row>
          <xdr:rowOff>160020</xdr:rowOff>
        </xdr:from>
        <xdr:to>
          <xdr:col>19</xdr:col>
          <xdr:colOff>876300</xdr:colOff>
          <xdr:row>35</xdr:row>
          <xdr:rowOff>381000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36</xdr:row>
          <xdr:rowOff>160020</xdr:rowOff>
        </xdr:from>
        <xdr:to>
          <xdr:col>19</xdr:col>
          <xdr:colOff>876300</xdr:colOff>
          <xdr:row>36</xdr:row>
          <xdr:rowOff>381000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37</xdr:row>
          <xdr:rowOff>160020</xdr:rowOff>
        </xdr:from>
        <xdr:to>
          <xdr:col>19</xdr:col>
          <xdr:colOff>876300</xdr:colOff>
          <xdr:row>37</xdr:row>
          <xdr:rowOff>381000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38</xdr:row>
          <xdr:rowOff>160020</xdr:rowOff>
        </xdr:from>
        <xdr:to>
          <xdr:col>19</xdr:col>
          <xdr:colOff>876300</xdr:colOff>
          <xdr:row>38</xdr:row>
          <xdr:rowOff>381000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39</xdr:row>
          <xdr:rowOff>160020</xdr:rowOff>
        </xdr:from>
        <xdr:to>
          <xdr:col>19</xdr:col>
          <xdr:colOff>876300</xdr:colOff>
          <xdr:row>39</xdr:row>
          <xdr:rowOff>381000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40</xdr:row>
          <xdr:rowOff>160020</xdr:rowOff>
        </xdr:from>
        <xdr:to>
          <xdr:col>19</xdr:col>
          <xdr:colOff>876300</xdr:colOff>
          <xdr:row>40</xdr:row>
          <xdr:rowOff>381000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33</xdr:row>
          <xdr:rowOff>160020</xdr:rowOff>
        </xdr:from>
        <xdr:to>
          <xdr:col>19</xdr:col>
          <xdr:colOff>876300</xdr:colOff>
          <xdr:row>33</xdr:row>
          <xdr:rowOff>381000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xdr:twoCellAnchor editAs="oneCell">
    <xdr:from>
      <xdr:col>0</xdr:col>
      <xdr:colOff>243875</xdr:colOff>
      <xdr:row>0</xdr:row>
      <xdr:rowOff>119190</xdr:rowOff>
    </xdr:from>
    <xdr:to>
      <xdr:col>1</xdr:col>
      <xdr:colOff>1965533</xdr:colOff>
      <xdr:row>3</xdr:row>
      <xdr:rowOff>45720</xdr:rowOff>
    </xdr:to>
    <xdr:pic>
      <xdr:nvPicPr>
        <xdr:cNvPr id="2" name="Imagen 1">
          <a:extLst>
            <a:ext uri="{FF2B5EF4-FFF2-40B4-BE49-F238E27FC236}">
              <a16:creationId xmlns:a16="http://schemas.microsoft.com/office/drawing/2014/main" id="{F9BA72F8-ED26-4A37-9F8C-511067054BB4}"/>
            </a:ext>
          </a:extLst>
        </xdr:cNvPr>
        <xdr:cNvPicPr>
          <a:picLocks noChangeAspect="1"/>
        </xdr:cNvPicPr>
      </xdr:nvPicPr>
      <xdr:blipFill>
        <a:blip xmlns:r="http://schemas.openxmlformats.org/officeDocument/2006/relationships" r:embed="rId2"/>
        <a:stretch>
          <a:fillRect/>
        </a:stretch>
      </xdr:blipFill>
      <xdr:spPr>
        <a:xfrm>
          <a:off x="243875" y="119190"/>
          <a:ext cx="2072178" cy="8256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2222499</xdr:colOff>
      <xdr:row>0</xdr:row>
      <xdr:rowOff>0</xdr:rowOff>
    </xdr:from>
    <xdr:to>
      <xdr:col>7</xdr:col>
      <xdr:colOff>3030680</xdr:colOff>
      <xdr:row>3</xdr:row>
      <xdr:rowOff>187614</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2195174" y="0"/>
          <a:ext cx="0" cy="10924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8</xdr:col>
      <xdr:colOff>694859</xdr:colOff>
      <xdr:row>0</xdr:row>
      <xdr:rowOff>48248</xdr:rowOff>
    </xdr:from>
    <xdr:to>
      <xdr:col>9</xdr:col>
      <xdr:colOff>98961</xdr:colOff>
      <xdr:row>3</xdr:row>
      <xdr:rowOff>240286</xdr:rowOff>
    </xdr:to>
    <xdr:pic>
      <xdr:nvPicPr>
        <xdr:cNvPr id="13" name="1 Imagen" descr="logocapitalmusical">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85924" y="48248"/>
          <a:ext cx="730180" cy="9342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432460</xdr:colOff>
      <xdr:row>0</xdr:row>
      <xdr:rowOff>57397</xdr:rowOff>
    </xdr:from>
    <xdr:to>
      <xdr:col>1</xdr:col>
      <xdr:colOff>1049911</xdr:colOff>
      <xdr:row>3</xdr:row>
      <xdr:rowOff>140879</xdr:rowOff>
    </xdr:to>
    <xdr:pic>
      <xdr:nvPicPr>
        <xdr:cNvPr id="2" name="Imagen 1">
          <a:extLst>
            <a:ext uri="{FF2B5EF4-FFF2-40B4-BE49-F238E27FC236}">
              <a16:creationId xmlns:a16="http://schemas.microsoft.com/office/drawing/2014/main" id="{F696D5F0-B375-4A55-B953-85C57018471C}"/>
            </a:ext>
          </a:extLst>
        </xdr:cNvPr>
        <xdr:cNvPicPr>
          <a:picLocks noChangeAspect="1"/>
        </xdr:cNvPicPr>
      </xdr:nvPicPr>
      <xdr:blipFill>
        <a:blip xmlns:r="http://schemas.openxmlformats.org/officeDocument/2006/relationships" r:embed="rId2"/>
        <a:stretch>
          <a:fillRect/>
        </a:stretch>
      </xdr:blipFill>
      <xdr:spPr>
        <a:xfrm>
          <a:off x="432460" y="57397"/>
          <a:ext cx="2076137" cy="8019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CIENDA\Desktop\DSH2024\C%20RIESGOS%202024\BIMESTRE%2001%202024%20A%20PLANEACION\MR%20PARA%20ACTUALIZACION%202024\ENTREGA%20ACTUALIZ%202024%20A%20PLANEACION%20MAPAS%20RIES\2.%20B2-2024%20MRV4%20CORRP%20SEC%20HCDA%20ACT%202902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DOFA"/>
      <sheetName val="MAPA DE RIESGO ADMON"/>
      <sheetName val="PRIORIZ CAUSA R CORUP TRÁMITES"/>
      <sheetName val="DESCRIPCION del riesgo"/>
      <sheetName val="IDENTIFICACION DE RIESGOS"/>
      <sheetName val="PROBABILIDAD"/>
      <sheetName val=" IMPACTO RIESGOS CORRUPCION"/>
      <sheetName val="CONTROLES Y EVALUACIÓN"/>
      <sheetName val="EVALUACIÓN SOLIDEZ CONTROLES"/>
      <sheetName val="VALORACION RIESGOS INHERENTES"/>
      <sheetName val="Hoja3"/>
      <sheetName val="NOOO"/>
      <sheetName val="Hoja2"/>
      <sheetName val="VALORACIÓN RIESGOS RESIDUAL"/>
      <sheetName val="NOO"/>
      <sheetName val="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8">
      <pivotArea type="all" dataOnly="0" outline="0" fieldPosition="0"/>
    </format>
    <format dxfId="47">
      <pivotArea field="0" type="button" dataOnly="0" labelOnly="1" outline="0" axis="axisRow" fieldPosition="0"/>
    </format>
    <format dxfId="46">
      <pivotArea field="1" type="button" dataOnly="0" labelOnly="1" outline="0" axis="axisRow" fieldPosition="1"/>
    </format>
    <format dxfId="45">
      <pivotArea dataOnly="0" labelOnly="1" outline="0" fieldPosition="0">
        <references count="1">
          <reference field="0" count="0"/>
        </references>
      </pivotArea>
    </format>
    <format dxfId="44">
      <pivotArea dataOnly="0" labelOnly="1" outline="0" fieldPosition="0">
        <references count="2">
          <reference field="0" count="1" selected="0">
            <x v="0"/>
          </reference>
          <reference field="1" count="5">
            <x v="0"/>
            <x v="6"/>
            <x v="7"/>
            <x v="8"/>
            <x v="9"/>
          </reference>
        </references>
      </pivotArea>
    </format>
    <format dxfId="43">
      <pivotArea dataOnly="0" labelOnly="1" outline="0" fieldPosition="0">
        <references count="2">
          <reference field="0" count="1" selected="0">
            <x v="1"/>
          </reference>
          <reference field="1" count="5">
            <x v="1"/>
            <x v="2"/>
            <x v="3"/>
            <x v="4"/>
            <x v="5"/>
          </reference>
        </references>
      </pivotArea>
    </format>
    <format dxfId="42">
      <pivotArea type="all" dataOnly="0" outline="0" fieldPosition="0"/>
    </format>
    <format dxfId="41">
      <pivotArea field="0" type="button" dataOnly="0" labelOnly="1" outline="0" axis="axisRow" fieldPosition="0"/>
    </format>
    <format dxfId="40">
      <pivotArea field="1" type="button" dataOnly="0" labelOnly="1" outline="0" axis="axisRow" fieldPosition="1"/>
    </format>
    <format dxfId="39">
      <pivotArea dataOnly="0" labelOnly="1" outline="0" fieldPosition="0">
        <references count="1">
          <reference field="0" count="0"/>
        </references>
      </pivotArea>
    </format>
    <format dxfId="38">
      <pivotArea dataOnly="0" labelOnly="1" outline="0" fieldPosition="0">
        <references count="2">
          <reference field="0" count="1" selected="0">
            <x v="0"/>
          </reference>
          <reference field="1" count="5">
            <x v="10"/>
            <x v="11"/>
            <x v="12"/>
            <x v="13"/>
            <x v="14"/>
          </reference>
        </references>
      </pivotArea>
    </format>
    <format dxfId="3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6" dataDxfId="35">
  <autoFilter ref="B209:C219" xr:uid="{00000000-0009-0000-0100-000001000000}"/>
  <tableColumns count="2">
    <tableColumn id="1" xr3:uid="{00000000-0010-0000-0000-000001000000}" name="Criterios" dataDxfId="34"/>
    <tableColumn id="2" xr3:uid="{00000000-0010-0000-0000-000002000000}" name="Subcriterios" dataDxfId="3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H45"/>
  <sheetViews>
    <sheetView zoomScaleNormal="100" workbookViewId="0">
      <selection activeCell="B7" sqref="B7:H7"/>
    </sheetView>
  </sheetViews>
  <sheetFormatPr baseColWidth="10" defaultColWidth="11.44140625" defaultRowHeight="14.4" x14ac:dyDescent="0.3"/>
  <cols>
    <col min="1" max="1" width="2.88671875" style="65" customWidth="1"/>
    <col min="2" max="3" width="24.6640625" style="65" customWidth="1"/>
    <col min="4" max="4" width="16" style="65" customWidth="1"/>
    <col min="5" max="5" width="24.6640625" style="65" customWidth="1"/>
    <col min="6" max="6" width="27.6640625" style="65" customWidth="1"/>
    <col min="7" max="8" width="24.6640625" style="65" customWidth="1"/>
    <col min="9" max="16384" width="11.44140625" style="65"/>
  </cols>
  <sheetData>
    <row r="1" spans="2:8" ht="15" thickBot="1" x14ac:dyDescent="0.35"/>
    <row r="2" spans="2:8" ht="18" x14ac:dyDescent="0.3">
      <c r="B2" s="310" t="s">
        <v>155</v>
      </c>
      <c r="C2" s="311"/>
      <c r="D2" s="311"/>
      <c r="E2" s="311"/>
      <c r="F2" s="311"/>
      <c r="G2" s="311"/>
      <c r="H2" s="312"/>
    </row>
    <row r="3" spans="2:8" x14ac:dyDescent="0.3">
      <c r="B3" s="66"/>
      <c r="C3" s="67"/>
      <c r="D3" s="67"/>
      <c r="E3" s="67"/>
      <c r="F3" s="67"/>
      <c r="G3" s="67"/>
      <c r="H3" s="68"/>
    </row>
    <row r="4" spans="2:8" ht="63" customHeight="1" x14ac:dyDescent="0.3">
      <c r="B4" s="313" t="s">
        <v>198</v>
      </c>
      <c r="C4" s="314"/>
      <c r="D4" s="314"/>
      <c r="E4" s="314"/>
      <c r="F4" s="314"/>
      <c r="G4" s="314"/>
      <c r="H4" s="315"/>
    </row>
    <row r="5" spans="2:8" ht="124.5" customHeight="1" x14ac:dyDescent="0.3">
      <c r="B5" s="316"/>
      <c r="C5" s="317"/>
      <c r="D5" s="317"/>
      <c r="E5" s="317"/>
      <c r="F5" s="317"/>
      <c r="G5" s="317"/>
      <c r="H5" s="318"/>
    </row>
    <row r="6" spans="2:8" x14ac:dyDescent="0.3">
      <c r="B6" s="319" t="s">
        <v>153</v>
      </c>
      <c r="C6" s="320"/>
      <c r="D6" s="320"/>
      <c r="E6" s="320"/>
      <c r="F6" s="320"/>
      <c r="G6" s="320"/>
      <c r="H6" s="321"/>
    </row>
    <row r="7" spans="2:8" ht="95.25" customHeight="1" x14ac:dyDescent="0.3">
      <c r="B7" s="329" t="s">
        <v>158</v>
      </c>
      <c r="C7" s="330"/>
      <c r="D7" s="330"/>
      <c r="E7" s="330"/>
      <c r="F7" s="330"/>
      <c r="G7" s="330"/>
      <c r="H7" s="331"/>
    </row>
    <row r="8" spans="2:8" x14ac:dyDescent="0.3">
      <c r="B8" s="100"/>
      <c r="C8" s="101"/>
      <c r="D8" s="101"/>
      <c r="E8" s="101"/>
      <c r="F8" s="101"/>
      <c r="G8" s="101"/>
      <c r="H8" s="102"/>
    </row>
    <row r="9" spans="2:8" ht="16.5" customHeight="1" x14ac:dyDescent="0.3">
      <c r="B9" s="322" t="s">
        <v>191</v>
      </c>
      <c r="C9" s="323"/>
      <c r="D9" s="323"/>
      <c r="E9" s="323"/>
      <c r="F9" s="323"/>
      <c r="G9" s="323"/>
      <c r="H9" s="324"/>
    </row>
    <row r="10" spans="2:8" ht="44.25" customHeight="1" x14ac:dyDescent="0.3">
      <c r="B10" s="322"/>
      <c r="C10" s="323"/>
      <c r="D10" s="323"/>
      <c r="E10" s="323"/>
      <c r="F10" s="323"/>
      <c r="G10" s="323"/>
      <c r="H10" s="324"/>
    </row>
    <row r="11" spans="2:8" ht="15" thickBot="1" x14ac:dyDescent="0.35">
      <c r="B11" s="89"/>
      <c r="C11" s="92"/>
      <c r="D11" s="97"/>
      <c r="E11" s="98"/>
      <c r="F11" s="98"/>
      <c r="G11" s="99"/>
      <c r="H11" s="93"/>
    </row>
    <row r="12" spans="2:8" ht="15" thickTop="1" x14ac:dyDescent="0.3">
      <c r="B12" s="89"/>
      <c r="C12" s="325" t="s">
        <v>154</v>
      </c>
      <c r="D12" s="326"/>
      <c r="E12" s="327" t="s">
        <v>192</v>
      </c>
      <c r="F12" s="328"/>
      <c r="G12" s="92"/>
      <c r="H12" s="93"/>
    </row>
    <row r="13" spans="2:8" ht="35.25" customHeight="1" x14ac:dyDescent="0.3">
      <c r="B13" s="89"/>
      <c r="C13" s="297" t="s">
        <v>185</v>
      </c>
      <c r="D13" s="298"/>
      <c r="E13" s="299" t="s">
        <v>190</v>
      </c>
      <c r="F13" s="300"/>
      <c r="G13" s="92"/>
      <c r="H13" s="93"/>
    </row>
    <row r="14" spans="2:8" ht="17.25" customHeight="1" x14ac:dyDescent="0.3">
      <c r="B14" s="89"/>
      <c r="C14" s="297" t="s">
        <v>186</v>
      </c>
      <c r="D14" s="298"/>
      <c r="E14" s="299" t="s">
        <v>188</v>
      </c>
      <c r="F14" s="300"/>
      <c r="G14" s="92"/>
      <c r="H14" s="93"/>
    </row>
    <row r="15" spans="2:8" ht="19.5" customHeight="1" x14ac:dyDescent="0.3">
      <c r="B15" s="89"/>
      <c r="C15" s="297" t="s">
        <v>187</v>
      </c>
      <c r="D15" s="298"/>
      <c r="E15" s="299" t="s">
        <v>189</v>
      </c>
      <c r="F15" s="300"/>
      <c r="G15" s="92"/>
      <c r="H15" s="93"/>
    </row>
    <row r="16" spans="2:8" ht="69.75" customHeight="1" x14ac:dyDescent="0.3">
      <c r="B16" s="89"/>
      <c r="C16" s="297" t="s">
        <v>156</v>
      </c>
      <c r="D16" s="298"/>
      <c r="E16" s="299" t="s">
        <v>157</v>
      </c>
      <c r="F16" s="300"/>
      <c r="G16" s="92"/>
      <c r="H16" s="93"/>
    </row>
    <row r="17" spans="2:8" ht="34.5" customHeight="1" x14ac:dyDescent="0.3">
      <c r="B17" s="89"/>
      <c r="C17" s="301" t="s">
        <v>2</v>
      </c>
      <c r="D17" s="302"/>
      <c r="E17" s="293" t="s">
        <v>199</v>
      </c>
      <c r="F17" s="294"/>
      <c r="G17" s="92"/>
      <c r="H17" s="93"/>
    </row>
    <row r="18" spans="2:8" ht="27.75" customHeight="1" x14ac:dyDescent="0.3">
      <c r="B18" s="89"/>
      <c r="C18" s="301" t="s">
        <v>3</v>
      </c>
      <c r="D18" s="302"/>
      <c r="E18" s="293" t="s">
        <v>200</v>
      </c>
      <c r="F18" s="294"/>
      <c r="G18" s="92"/>
      <c r="H18" s="93"/>
    </row>
    <row r="19" spans="2:8" ht="28.5" customHeight="1" x14ac:dyDescent="0.3">
      <c r="B19" s="89"/>
      <c r="C19" s="301" t="s">
        <v>42</v>
      </c>
      <c r="D19" s="302"/>
      <c r="E19" s="293" t="s">
        <v>201</v>
      </c>
      <c r="F19" s="294"/>
      <c r="G19" s="92"/>
      <c r="H19" s="93"/>
    </row>
    <row r="20" spans="2:8" ht="72.75" customHeight="1" x14ac:dyDescent="0.3">
      <c r="B20" s="89"/>
      <c r="C20" s="301" t="s">
        <v>1</v>
      </c>
      <c r="D20" s="302"/>
      <c r="E20" s="293" t="s">
        <v>202</v>
      </c>
      <c r="F20" s="294"/>
      <c r="G20" s="92"/>
      <c r="H20" s="93"/>
    </row>
    <row r="21" spans="2:8" ht="64.5" customHeight="1" x14ac:dyDescent="0.3">
      <c r="B21" s="89"/>
      <c r="C21" s="301" t="s">
        <v>50</v>
      </c>
      <c r="D21" s="302"/>
      <c r="E21" s="293" t="s">
        <v>160</v>
      </c>
      <c r="F21" s="294"/>
      <c r="G21" s="92"/>
      <c r="H21" s="93"/>
    </row>
    <row r="22" spans="2:8" ht="71.25" customHeight="1" x14ac:dyDescent="0.3">
      <c r="B22" s="89"/>
      <c r="C22" s="301" t="s">
        <v>159</v>
      </c>
      <c r="D22" s="302"/>
      <c r="E22" s="293" t="s">
        <v>161</v>
      </c>
      <c r="F22" s="294"/>
      <c r="G22" s="92"/>
      <c r="H22" s="93"/>
    </row>
    <row r="23" spans="2:8" ht="55.5" customHeight="1" x14ac:dyDescent="0.3">
      <c r="B23" s="89"/>
      <c r="C23" s="295" t="s">
        <v>162</v>
      </c>
      <c r="D23" s="296"/>
      <c r="E23" s="293" t="s">
        <v>163</v>
      </c>
      <c r="F23" s="294"/>
      <c r="G23" s="92"/>
      <c r="H23" s="93"/>
    </row>
    <row r="24" spans="2:8" ht="42" customHeight="1" x14ac:dyDescent="0.3">
      <c r="B24" s="89"/>
      <c r="C24" s="295" t="s">
        <v>48</v>
      </c>
      <c r="D24" s="296"/>
      <c r="E24" s="293" t="s">
        <v>164</v>
      </c>
      <c r="F24" s="294"/>
      <c r="G24" s="92"/>
      <c r="H24" s="93"/>
    </row>
    <row r="25" spans="2:8" ht="59.25" customHeight="1" x14ac:dyDescent="0.3">
      <c r="B25" s="89"/>
      <c r="C25" s="295" t="s">
        <v>152</v>
      </c>
      <c r="D25" s="296"/>
      <c r="E25" s="293" t="s">
        <v>165</v>
      </c>
      <c r="F25" s="294"/>
      <c r="G25" s="92"/>
      <c r="H25" s="93"/>
    </row>
    <row r="26" spans="2:8" ht="23.25" customHeight="1" x14ac:dyDescent="0.3">
      <c r="B26" s="89"/>
      <c r="C26" s="295" t="s">
        <v>12</v>
      </c>
      <c r="D26" s="296"/>
      <c r="E26" s="293" t="s">
        <v>166</v>
      </c>
      <c r="F26" s="294"/>
      <c r="G26" s="92"/>
      <c r="H26" s="93"/>
    </row>
    <row r="27" spans="2:8" ht="30.75" customHeight="1" x14ac:dyDescent="0.3">
      <c r="B27" s="89"/>
      <c r="C27" s="295" t="s">
        <v>170</v>
      </c>
      <c r="D27" s="296"/>
      <c r="E27" s="293" t="s">
        <v>167</v>
      </c>
      <c r="F27" s="294"/>
      <c r="G27" s="92"/>
      <c r="H27" s="93"/>
    </row>
    <row r="28" spans="2:8" ht="35.25" customHeight="1" x14ac:dyDescent="0.3">
      <c r="B28" s="89"/>
      <c r="C28" s="295" t="s">
        <v>171</v>
      </c>
      <c r="D28" s="296"/>
      <c r="E28" s="293" t="s">
        <v>168</v>
      </c>
      <c r="F28" s="294"/>
      <c r="G28" s="92"/>
      <c r="H28" s="93"/>
    </row>
    <row r="29" spans="2:8" ht="33" customHeight="1" x14ac:dyDescent="0.3">
      <c r="B29" s="89"/>
      <c r="C29" s="295" t="s">
        <v>171</v>
      </c>
      <c r="D29" s="296"/>
      <c r="E29" s="293" t="s">
        <v>168</v>
      </c>
      <c r="F29" s="294"/>
      <c r="G29" s="92"/>
      <c r="H29" s="93"/>
    </row>
    <row r="30" spans="2:8" ht="30" customHeight="1" x14ac:dyDescent="0.3">
      <c r="B30" s="89"/>
      <c r="C30" s="295" t="s">
        <v>172</v>
      </c>
      <c r="D30" s="296"/>
      <c r="E30" s="293" t="s">
        <v>169</v>
      </c>
      <c r="F30" s="294"/>
      <c r="G30" s="92"/>
      <c r="H30" s="93"/>
    </row>
    <row r="31" spans="2:8" ht="35.25" customHeight="1" x14ac:dyDescent="0.3">
      <c r="B31" s="89"/>
      <c r="C31" s="295" t="s">
        <v>173</v>
      </c>
      <c r="D31" s="296"/>
      <c r="E31" s="293" t="s">
        <v>174</v>
      </c>
      <c r="F31" s="294"/>
      <c r="G31" s="92"/>
      <c r="H31" s="93"/>
    </row>
    <row r="32" spans="2:8" ht="31.5" customHeight="1" x14ac:dyDescent="0.3">
      <c r="B32" s="89"/>
      <c r="C32" s="295" t="s">
        <v>175</v>
      </c>
      <c r="D32" s="296"/>
      <c r="E32" s="293" t="s">
        <v>176</v>
      </c>
      <c r="F32" s="294"/>
      <c r="G32" s="92"/>
      <c r="H32" s="93"/>
    </row>
    <row r="33" spans="2:8" ht="35.25" customHeight="1" x14ac:dyDescent="0.3">
      <c r="B33" s="89"/>
      <c r="C33" s="295" t="s">
        <v>177</v>
      </c>
      <c r="D33" s="296"/>
      <c r="E33" s="293" t="s">
        <v>178</v>
      </c>
      <c r="F33" s="294"/>
      <c r="G33" s="92"/>
      <c r="H33" s="93"/>
    </row>
    <row r="34" spans="2:8" ht="59.25" customHeight="1" x14ac:dyDescent="0.3">
      <c r="B34" s="89"/>
      <c r="C34" s="295" t="s">
        <v>179</v>
      </c>
      <c r="D34" s="296"/>
      <c r="E34" s="293" t="s">
        <v>180</v>
      </c>
      <c r="F34" s="294"/>
      <c r="G34" s="92"/>
      <c r="H34" s="93"/>
    </row>
    <row r="35" spans="2:8" ht="29.25" customHeight="1" x14ac:dyDescent="0.3">
      <c r="B35" s="89"/>
      <c r="C35" s="295" t="s">
        <v>29</v>
      </c>
      <c r="D35" s="296"/>
      <c r="E35" s="293" t="s">
        <v>181</v>
      </c>
      <c r="F35" s="294"/>
      <c r="G35" s="92"/>
      <c r="H35" s="93"/>
    </row>
    <row r="36" spans="2:8" ht="82.5" customHeight="1" x14ac:dyDescent="0.3">
      <c r="B36" s="89"/>
      <c r="C36" s="295" t="s">
        <v>183</v>
      </c>
      <c r="D36" s="296"/>
      <c r="E36" s="293" t="s">
        <v>182</v>
      </c>
      <c r="F36" s="294"/>
      <c r="G36" s="92"/>
      <c r="H36" s="93"/>
    </row>
    <row r="37" spans="2:8" ht="46.5" customHeight="1" x14ac:dyDescent="0.3">
      <c r="B37" s="89"/>
      <c r="C37" s="295" t="s">
        <v>39</v>
      </c>
      <c r="D37" s="296"/>
      <c r="E37" s="293" t="s">
        <v>184</v>
      </c>
      <c r="F37" s="294"/>
      <c r="G37" s="92"/>
      <c r="H37" s="93"/>
    </row>
    <row r="38" spans="2:8" ht="6.75" customHeight="1" thickBot="1" x14ac:dyDescent="0.35">
      <c r="B38" s="89"/>
      <c r="C38" s="306"/>
      <c r="D38" s="307"/>
      <c r="E38" s="308"/>
      <c r="F38" s="309"/>
      <c r="G38" s="92"/>
      <c r="H38" s="93"/>
    </row>
    <row r="39" spans="2:8" ht="15" thickTop="1" x14ac:dyDescent="0.3">
      <c r="B39" s="89"/>
      <c r="C39" s="90"/>
      <c r="D39" s="90"/>
      <c r="E39" s="91"/>
      <c r="F39" s="91"/>
      <c r="G39" s="92"/>
      <c r="H39" s="93"/>
    </row>
    <row r="40" spans="2:8" ht="21" customHeight="1" x14ac:dyDescent="0.3">
      <c r="B40" s="303" t="s">
        <v>193</v>
      </c>
      <c r="C40" s="304"/>
      <c r="D40" s="304"/>
      <c r="E40" s="304"/>
      <c r="F40" s="304"/>
      <c r="G40" s="304"/>
      <c r="H40" s="305"/>
    </row>
    <row r="41" spans="2:8" ht="20.25" customHeight="1" x14ac:dyDescent="0.3">
      <c r="B41" s="303" t="s">
        <v>194</v>
      </c>
      <c r="C41" s="304"/>
      <c r="D41" s="304"/>
      <c r="E41" s="304"/>
      <c r="F41" s="304"/>
      <c r="G41" s="304"/>
      <c r="H41" s="305"/>
    </row>
    <row r="42" spans="2:8" ht="20.25" customHeight="1" x14ac:dyDescent="0.3">
      <c r="B42" s="303" t="s">
        <v>195</v>
      </c>
      <c r="C42" s="304"/>
      <c r="D42" s="304"/>
      <c r="E42" s="304"/>
      <c r="F42" s="304"/>
      <c r="G42" s="304"/>
      <c r="H42" s="305"/>
    </row>
    <row r="43" spans="2:8" ht="20.25" customHeight="1" x14ac:dyDescent="0.3">
      <c r="B43" s="303" t="s">
        <v>196</v>
      </c>
      <c r="C43" s="304"/>
      <c r="D43" s="304"/>
      <c r="E43" s="304"/>
      <c r="F43" s="304"/>
      <c r="G43" s="304"/>
      <c r="H43" s="305"/>
    </row>
    <row r="44" spans="2:8" x14ac:dyDescent="0.3">
      <c r="B44" s="303" t="s">
        <v>197</v>
      </c>
      <c r="C44" s="304"/>
      <c r="D44" s="304"/>
      <c r="E44" s="304"/>
      <c r="F44" s="304"/>
      <c r="G44" s="304"/>
      <c r="H44" s="305"/>
    </row>
    <row r="45" spans="2:8" ht="15" thickBot="1" x14ac:dyDescent="0.35">
      <c r="B45" s="94"/>
      <c r="C45" s="95"/>
      <c r="D45" s="95"/>
      <c r="E45" s="95"/>
      <c r="F45" s="95"/>
      <c r="G45" s="95"/>
      <c r="H45" s="9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theme="7" tint="-0.249977111117893"/>
  </sheetPr>
  <dimension ref="B1:F16"/>
  <sheetViews>
    <sheetView topLeftCell="A7" workbookViewId="0">
      <selection activeCell="J9" sqref="J9"/>
    </sheetView>
  </sheetViews>
  <sheetFormatPr baseColWidth="10" defaultColWidth="14.33203125" defaultRowHeight="13.8" x14ac:dyDescent="0.3"/>
  <cols>
    <col min="1" max="2" width="14.33203125" style="70"/>
    <col min="3" max="3" width="17" style="70" customWidth="1"/>
    <col min="4" max="4" width="14.33203125" style="70"/>
    <col min="5" max="5" width="46" style="70" customWidth="1"/>
    <col min="6" max="16384" width="14.33203125" style="70"/>
  </cols>
  <sheetData>
    <row r="1" spans="2:6" ht="24" customHeight="1" thickBot="1" x14ac:dyDescent="0.35">
      <c r="B1" s="718" t="s">
        <v>77</v>
      </c>
      <c r="C1" s="719"/>
      <c r="D1" s="719"/>
      <c r="E1" s="719"/>
      <c r="F1" s="720"/>
    </row>
    <row r="2" spans="2:6" ht="16.2" thickBot="1" x14ac:dyDescent="0.35">
      <c r="B2" s="71"/>
      <c r="C2" s="71"/>
      <c r="D2" s="71"/>
      <c r="E2" s="71"/>
      <c r="F2" s="71"/>
    </row>
    <row r="3" spans="2:6" ht="16.2" thickBot="1" x14ac:dyDescent="0.35">
      <c r="B3" s="722" t="s">
        <v>63</v>
      </c>
      <c r="C3" s="723"/>
      <c r="D3" s="723"/>
      <c r="E3" s="83" t="s">
        <v>64</v>
      </c>
      <c r="F3" s="84" t="s">
        <v>65</v>
      </c>
    </row>
    <row r="4" spans="2:6" ht="31.2" x14ac:dyDescent="0.3">
      <c r="B4" s="724" t="s">
        <v>66</v>
      </c>
      <c r="C4" s="726" t="s">
        <v>13</v>
      </c>
      <c r="D4" s="72" t="s">
        <v>14</v>
      </c>
      <c r="E4" s="73" t="s">
        <v>67</v>
      </c>
      <c r="F4" s="74">
        <v>0.25</v>
      </c>
    </row>
    <row r="5" spans="2:6" ht="46.8" x14ac:dyDescent="0.3">
      <c r="B5" s="725"/>
      <c r="C5" s="727"/>
      <c r="D5" s="75" t="s">
        <v>15</v>
      </c>
      <c r="E5" s="76" t="s">
        <v>68</v>
      </c>
      <c r="F5" s="77">
        <v>0.15</v>
      </c>
    </row>
    <row r="6" spans="2:6" ht="46.8" x14ac:dyDescent="0.3">
      <c r="B6" s="725"/>
      <c r="C6" s="727"/>
      <c r="D6" s="75" t="s">
        <v>16</v>
      </c>
      <c r="E6" s="76" t="s">
        <v>69</v>
      </c>
      <c r="F6" s="77">
        <v>0.1</v>
      </c>
    </row>
    <row r="7" spans="2:6" ht="62.4" x14ac:dyDescent="0.3">
      <c r="B7" s="725"/>
      <c r="C7" s="727" t="s">
        <v>17</v>
      </c>
      <c r="D7" s="75" t="s">
        <v>10</v>
      </c>
      <c r="E7" s="76" t="s">
        <v>70</v>
      </c>
      <c r="F7" s="77">
        <v>0.25</v>
      </c>
    </row>
    <row r="8" spans="2:6" ht="31.2" x14ac:dyDescent="0.3">
      <c r="B8" s="725"/>
      <c r="C8" s="727"/>
      <c r="D8" s="75" t="s">
        <v>9</v>
      </c>
      <c r="E8" s="76" t="s">
        <v>71</v>
      </c>
      <c r="F8" s="77">
        <v>0.15</v>
      </c>
    </row>
    <row r="9" spans="2:6" ht="46.8" x14ac:dyDescent="0.3">
      <c r="B9" s="725" t="s">
        <v>151</v>
      </c>
      <c r="C9" s="727" t="s">
        <v>18</v>
      </c>
      <c r="D9" s="75" t="s">
        <v>19</v>
      </c>
      <c r="E9" s="76" t="s">
        <v>72</v>
      </c>
      <c r="F9" s="78" t="s">
        <v>73</v>
      </c>
    </row>
    <row r="10" spans="2:6" ht="46.8" x14ac:dyDescent="0.3">
      <c r="B10" s="725"/>
      <c r="C10" s="727"/>
      <c r="D10" s="75" t="s">
        <v>20</v>
      </c>
      <c r="E10" s="76" t="s">
        <v>74</v>
      </c>
      <c r="F10" s="78" t="s">
        <v>73</v>
      </c>
    </row>
    <row r="11" spans="2:6" ht="46.8" x14ac:dyDescent="0.3">
      <c r="B11" s="725"/>
      <c r="C11" s="727" t="s">
        <v>21</v>
      </c>
      <c r="D11" s="75" t="s">
        <v>22</v>
      </c>
      <c r="E11" s="76" t="s">
        <v>75</v>
      </c>
      <c r="F11" s="78" t="s">
        <v>73</v>
      </c>
    </row>
    <row r="12" spans="2:6" ht="46.8" x14ac:dyDescent="0.3">
      <c r="B12" s="725"/>
      <c r="C12" s="727"/>
      <c r="D12" s="75" t="s">
        <v>23</v>
      </c>
      <c r="E12" s="76" t="s">
        <v>76</v>
      </c>
      <c r="F12" s="78" t="s">
        <v>73</v>
      </c>
    </row>
    <row r="13" spans="2:6" ht="31.2" x14ac:dyDescent="0.3">
      <c r="B13" s="725"/>
      <c r="C13" s="727" t="s">
        <v>24</v>
      </c>
      <c r="D13" s="75" t="s">
        <v>114</v>
      </c>
      <c r="E13" s="76" t="s">
        <v>117</v>
      </c>
      <c r="F13" s="78" t="s">
        <v>73</v>
      </c>
    </row>
    <row r="14" spans="2:6" ht="16.2" thickBot="1" x14ac:dyDescent="0.35">
      <c r="B14" s="728"/>
      <c r="C14" s="729"/>
      <c r="D14" s="79" t="s">
        <v>115</v>
      </c>
      <c r="E14" s="80" t="s">
        <v>116</v>
      </c>
      <c r="F14" s="81" t="s">
        <v>73</v>
      </c>
    </row>
    <row r="15" spans="2:6" ht="49.5" customHeight="1" x14ac:dyDescent="0.3">
      <c r="B15" s="721" t="s">
        <v>148</v>
      </c>
      <c r="C15" s="721"/>
      <c r="D15" s="721"/>
      <c r="E15" s="721"/>
      <c r="F15" s="721"/>
    </row>
    <row r="16" spans="2:6" ht="27" customHeight="1" x14ac:dyDescent="0.3">
      <c r="B16" s="8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3:A21"/>
  <sheetViews>
    <sheetView workbookViewId="0"/>
  </sheetViews>
  <sheetFormatPr baseColWidth="10" defaultColWidth="11.44140625" defaultRowHeight="13.8" x14ac:dyDescent="0.3"/>
  <cols>
    <col min="1" max="1" width="32.88671875" style="8" customWidth="1"/>
    <col min="2" max="16384" width="11.44140625" style="8"/>
  </cols>
  <sheetData>
    <row r="3" spans="1:1" x14ac:dyDescent="0.3">
      <c r="A3" s="9" t="s">
        <v>14</v>
      </c>
    </row>
    <row r="4" spans="1:1" x14ac:dyDescent="0.3">
      <c r="A4" s="9" t="s">
        <v>15</v>
      </c>
    </row>
    <row r="5" spans="1:1" x14ac:dyDescent="0.3">
      <c r="A5" s="9" t="s">
        <v>16</v>
      </c>
    </row>
    <row r="6" spans="1:1" x14ac:dyDescent="0.3">
      <c r="A6" s="9" t="s">
        <v>10</v>
      </c>
    </row>
    <row r="7" spans="1:1" x14ac:dyDescent="0.3">
      <c r="A7" s="9" t="s">
        <v>9</v>
      </c>
    </row>
    <row r="8" spans="1:1" x14ac:dyDescent="0.3">
      <c r="A8" s="9" t="s">
        <v>19</v>
      </c>
    </row>
    <row r="9" spans="1:1" x14ac:dyDescent="0.3">
      <c r="A9" s="9" t="s">
        <v>20</v>
      </c>
    </row>
    <row r="10" spans="1:1" x14ac:dyDescent="0.3">
      <c r="A10" s="9" t="s">
        <v>22</v>
      </c>
    </row>
    <row r="11" spans="1:1" x14ac:dyDescent="0.3">
      <c r="A11" s="9" t="s">
        <v>23</v>
      </c>
    </row>
    <row r="12" spans="1:1" x14ac:dyDescent="0.3">
      <c r="A12" s="9" t="s">
        <v>25</v>
      </c>
    </row>
    <row r="13" spans="1:1" x14ac:dyDescent="0.3">
      <c r="A13" s="9" t="s">
        <v>26</v>
      </c>
    </row>
    <row r="14" spans="1:1" x14ac:dyDescent="0.3">
      <c r="A14" s="9" t="s">
        <v>27</v>
      </c>
    </row>
    <row r="16" spans="1:1" x14ac:dyDescent="0.3">
      <c r="A16" s="9" t="s">
        <v>30</v>
      </c>
    </row>
    <row r="17" spans="1:1" x14ac:dyDescent="0.3">
      <c r="A17" s="9" t="s">
        <v>31</v>
      </c>
    </row>
    <row r="18" spans="1:1" x14ac:dyDescent="0.3">
      <c r="A18" s="9" t="s">
        <v>32</v>
      </c>
    </row>
    <row r="20" spans="1:1" x14ac:dyDescent="0.3">
      <c r="A20" s="9" t="s">
        <v>40</v>
      </c>
    </row>
    <row r="21" spans="1:1" x14ac:dyDescent="0.3">
      <c r="A21" s="9"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J53"/>
  <sheetViews>
    <sheetView zoomScale="85" zoomScaleNormal="85" workbookViewId="0">
      <selection activeCell="B12" sqref="B12"/>
    </sheetView>
  </sheetViews>
  <sheetFormatPr baseColWidth="10" defaultColWidth="11.44140625" defaultRowHeight="13.8" x14ac:dyDescent="0.25"/>
  <cols>
    <col min="1" max="1" width="29.44140625" style="141" customWidth="1"/>
    <col min="2" max="2" width="29.109375" style="141" customWidth="1"/>
    <col min="3" max="3" width="30.33203125" style="141" customWidth="1"/>
    <col min="4" max="4" width="31.88671875" style="141" customWidth="1"/>
    <col min="5" max="5" width="32.5546875" style="141" customWidth="1"/>
    <col min="6" max="6" width="32" style="141" customWidth="1"/>
    <col min="7" max="7" width="4" style="141" customWidth="1"/>
    <col min="8" max="8" width="18.33203125" style="141" customWidth="1"/>
    <col min="9" max="16384" width="11.44140625" style="141"/>
  </cols>
  <sheetData>
    <row r="1" spans="1:10" ht="15" customHeight="1" x14ac:dyDescent="0.25">
      <c r="A1" s="336"/>
      <c r="B1" s="338" t="s">
        <v>260</v>
      </c>
      <c r="C1" s="338"/>
      <c r="D1" s="338"/>
      <c r="E1" s="139" t="s">
        <v>261</v>
      </c>
      <c r="F1" s="340"/>
      <c r="G1" s="140"/>
      <c r="J1" s="342"/>
    </row>
    <row r="2" spans="1:10" ht="15" customHeight="1" x14ac:dyDescent="0.25">
      <c r="A2" s="337"/>
      <c r="B2" s="339"/>
      <c r="C2" s="339"/>
      <c r="D2" s="339"/>
      <c r="E2" s="143" t="s">
        <v>262</v>
      </c>
      <c r="F2" s="341"/>
      <c r="G2" s="140"/>
      <c r="J2" s="342"/>
    </row>
    <row r="3" spans="1:10" ht="15" customHeight="1" x14ac:dyDescent="0.25">
      <c r="A3" s="337"/>
      <c r="B3" s="339" t="s">
        <v>215</v>
      </c>
      <c r="C3" s="339"/>
      <c r="D3" s="339"/>
      <c r="E3" s="143" t="s">
        <v>263</v>
      </c>
      <c r="F3" s="341"/>
      <c r="G3" s="140"/>
      <c r="J3" s="342"/>
    </row>
    <row r="4" spans="1:10" ht="15.75" customHeight="1" x14ac:dyDescent="0.25">
      <c r="A4" s="337"/>
      <c r="B4" s="339"/>
      <c r="C4" s="339"/>
      <c r="D4" s="339"/>
      <c r="E4" s="143" t="s">
        <v>264</v>
      </c>
      <c r="F4" s="341"/>
      <c r="G4" s="140"/>
      <c r="J4" s="342"/>
    </row>
    <row r="5" spans="1:10" ht="15.75" customHeight="1" x14ac:dyDescent="0.25">
      <c r="A5" s="343"/>
      <c r="B5" s="344"/>
      <c r="C5" s="344"/>
      <c r="D5" s="344"/>
      <c r="E5" s="344"/>
      <c r="F5" s="345"/>
      <c r="G5" s="140"/>
      <c r="J5" s="142"/>
    </row>
    <row r="6" spans="1:10" ht="15" customHeight="1" x14ac:dyDescent="0.25">
      <c r="A6" s="346" t="s">
        <v>216</v>
      </c>
      <c r="B6" s="347"/>
      <c r="C6" s="347"/>
      <c r="D6" s="347"/>
      <c r="E6" s="347"/>
      <c r="F6" s="348"/>
    </row>
    <row r="7" spans="1:10" ht="15.75" customHeight="1" x14ac:dyDescent="0.25">
      <c r="A7" s="346"/>
      <c r="B7" s="347"/>
      <c r="C7" s="347"/>
      <c r="D7" s="347"/>
      <c r="E7" s="347"/>
      <c r="F7" s="348"/>
    </row>
    <row r="8" spans="1:10" ht="27" customHeight="1" x14ac:dyDescent="0.25">
      <c r="A8" s="349" t="s">
        <v>418</v>
      </c>
      <c r="B8" s="350"/>
      <c r="C8" s="350"/>
      <c r="D8" s="350"/>
      <c r="E8" s="350"/>
      <c r="F8" s="351"/>
    </row>
    <row r="9" spans="1:10" ht="77.25" customHeight="1" thickBot="1" x14ac:dyDescent="0.3">
      <c r="A9" s="332" t="s">
        <v>419</v>
      </c>
      <c r="B9" s="333"/>
      <c r="C9" s="333"/>
      <c r="D9" s="333"/>
      <c r="E9" s="333"/>
      <c r="F9" s="334"/>
    </row>
    <row r="10" spans="1:10" ht="18.75" customHeight="1" thickBot="1" x14ac:dyDescent="0.3">
      <c r="A10" s="335"/>
      <c r="B10" s="335"/>
      <c r="C10" s="335"/>
      <c r="D10" s="335"/>
      <c r="E10" s="335"/>
      <c r="F10" s="335"/>
      <c r="H10" s="141" t="s">
        <v>339</v>
      </c>
    </row>
    <row r="11" spans="1:10" ht="22.5" customHeight="1" thickBot="1" x14ac:dyDescent="0.3">
      <c r="A11" s="144" t="s">
        <v>217</v>
      </c>
      <c r="B11" s="145" t="s">
        <v>218</v>
      </c>
      <c r="C11" s="145" t="s">
        <v>219</v>
      </c>
      <c r="D11" s="145" t="s">
        <v>218</v>
      </c>
      <c r="E11" s="145" t="s">
        <v>220</v>
      </c>
      <c r="F11" s="146" t="s">
        <v>218</v>
      </c>
    </row>
    <row r="12" spans="1:10" ht="231" customHeight="1" x14ac:dyDescent="0.25">
      <c r="A12" s="147" t="s">
        <v>221</v>
      </c>
      <c r="B12" s="187" t="s">
        <v>310</v>
      </c>
      <c r="C12" s="148" t="s">
        <v>342</v>
      </c>
      <c r="D12" s="191" t="s">
        <v>345</v>
      </c>
      <c r="E12" s="148" t="s">
        <v>337</v>
      </c>
      <c r="F12" s="198" t="s">
        <v>338</v>
      </c>
      <c r="H12" s="197"/>
    </row>
    <row r="13" spans="1:10" ht="60" customHeight="1" thickBot="1" x14ac:dyDescent="0.3">
      <c r="A13" s="149" t="s">
        <v>347</v>
      </c>
      <c r="B13" s="188" t="s">
        <v>311</v>
      </c>
      <c r="C13" s="150" t="s">
        <v>342</v>
      </c>
      <c r="D13" s="192" t="s">
        <v>346</v>
      </c>
      <c r="E13" s="150" t="s">
        <v>340</v>
      </c>
      <c r="F13" s="199" t="s">
        <v>341</v>
      </c>
    </row>
    <row r="14" spans="1:10" ht="113.25" customHeight="1" x14ac:dyDescent="0.25">
      <c r="A14" s="149" t="s">
        <v>222</v>
      </c>
      <c r="B14" s="188" t="s">
        <v>312</v>
      </c>
      <c r="C14" s="148" t="s">
        <v>350</v>
      </c>
      <c r="D14" s="192" t="s">
        <v>317</v>
      </c>
      <c r="E14" s="150" t="s">
        <v>344</v>
      </c>
      <c r="F14" s="199" t="s">
        <v>343</v>
      </c>
    </row>
    <row r="15" spans="1:10" ht="73.5" customHeight="1" x14ac:dyDescent="0.25">
      <c r="A15" s="149" t="s">
        <v>222</v>
      </c>
      <c r="B15" s="189" t="s">
        <v>313</v>
      </c>
      <c r="C15" s="150" t="s">
        <v>350</v>
      </c>
      <c r="D15" s="192" t="s">
        <v>318</v>
      </c>
      <c r="E15" s="150" t="s">
        <v>357</v>
      </c>
      <c r="F15" s="195" t="s">
        <v>329</v>
      </c>
    </row>
    <row r="16" spans="1:10" ht="59.25" customHeight="1" x14ac:dyDescent="0.25">
      <c r="A16" s="149" t="s">
        <v>348</v>
      </c>
      <c r="B16" s="188" t="s">
        <v>314</v>
      </c>
      <c r="C16" s="150" t="s">
        <v>350</v>
      </c>
      <c r="D16" s="192" t="s">
        <v>319</v>
      </c>
      <c r="E16" s="150" t="s">
        <v>358</v>
      </c>
      <c r="F16" s="195" t="s">
        <v>330</v>
      </c>
    </row>
    <row r="17" spans="1:6" ht="94.2" customHeight="1" x14ac:dyDescent="0.25">
      <c r="A17" s="149" t="s">
        <v>223</v>
      </c>
      <c r="B17" s="188" t="s">
        <v>349</v>
      </c>
      <c r="C17" s="150" t="s">
        <v>351</v>
      </c>
      <c r="D17" s="192" t="s">
        <v>320</v>
      </c>
      <c r="E17" s="150" t="s">
        <v>359</v>
      </c>
      <c r="F17" s="195" t="s">
        <v>331</v>
      </c>
    </row>
    <row r="18" spans="1:6" ht="81.599999999999994" customHeight="1" x14ac:dyDescent="0.25">
      <c r="A18" s="149" t="s">
        <v>224</v>
      </c>
      <c r="B18" s="188" t="s">
        <v>315</v>
      </c>
      <c r="C18" s="150" t="s">
        <v>352</v>
      </c>
      <c r="D18" s="192" t="s">
        <v>321</v>
      </c>
      <c r="E18" s="150" t="s">
        <v>357</v>
      </c>
      <c r="F18" s="195" t="s">
        <v>332</v>
      </c>
    </row>
    <row r="19" spans="1:6" ht="73.5" customHeight="1" x14ac:dyDescent="0.25">
      <c r="A19" s="149" t="s">
        <v>224</v>
      </c>
      <c r="B19" s="188" t="s">
        <v>316</v>
      </c>
      <c r="C19" s="150" t="s">
        <v>352</v>
      </c>
      <c r="D19" s="192" t="s">
        <v>322</v>
      </c>
      <c r="E19" s="150"/>
      <c r="F19" s="195"/>
    </row>
    <row r="20" spans="1:6" ht="104.4" customHeight="1" x14ac:dyDescent="0.25">
      <c r="A20" s="149"/>
      <c r="B20" s="188"/>
      <c r="C20" s="150" t="s">
        <v>353</v>
      </c>
      <c r="D20" s="193" t="s">
        <v>323</v>
      </c>
      <c r="E20" s="150"/>
      <c r="F20" s="195"/>
    </row>
    <row r="21" spans="1:6" ht="93" customHeight="1" x14ac:dyDescent="0.25">
      <c r="A21" s="149"/>
      <c r="B21" s="188"/>
      <c r="C21" s="150" t="s">
        <v>353</v>
      </c>
      <c r="D21" s="193" t="s">
        <v>324</v>
      </c>
      <c r="E21" s="150"/>
      <c r="F21" s="195"/>
    </row>
    <row r="22" spans="1:6" ht="69" customHeight="1" x14ac:dyDescent="0.25">
      <c r="A22" s="149"/>
      <c r="B22" s="188"/>
      <c r="C22" s="150" t="s">
        <v>354</v>
      </c>
      <c r="D22" s="193" t="s">
        <v>325</v>
      </c>
      <c r="E22" s="150"/>
      <c r="F22" s="195"/>
    </row>
    <row r="23" spans="1:6" ht="61.5" customHeight="1" x14ac:dyDescent="0.25">
      <c r="A23" s="149"/>
      <c r="B23" s="188"/>
      <c r="C23" s="150" t="s">
        <v>355</v>
      </c>
      <c r="D23" s="193" t="s">
        <v>326</v>
      </c>
      <c r="E23" s="150"/>
      <c r="F23" s="195"/>
    </row>
    <row r="24" spans="1:6" ht="86.4" customHeight="1" x14ac:dyDescent="0.25">
      <c r="A24" s="149"/>
      <c r="B24" s="188"/>
      <c r="C24" s="150" t="s">
        <v>350</v>
      </c>
      <c r="D24" s="193" t="s">
        <v>327</v>
      </c>
      <c r="E24" s="150"/>
      <c r="F24" s="195"/>
    </row>
    <row r="25" spans="1:6" ht="80.400000000000006" customHeight="1" x14ac:dyDescent="0.25">
      <c r="A25" s="149"/>
      <c r="B25" s="188"/>
      <c r="C25" s="150" t="s">
        <v>350</v>
      </c>
      <c r="D25" s="193" t="s">
        <v>328</v>
      </c>
      <c r="E25" s="150"/>
      <c r="F25" s="195"/>
    </row>
    <row r="26" spans="1:6" ht="127.2" customHeight="1" thickBot="1" x14ac:dyDescent="0.3">
      <c r="A26" s="151"/>
      <c r="B26" s="190"/>
      <c r="C26" s="150" t="s">
        <v>351</v>
      </c>
      <c r="D26" s="194" t="s">
        <v>356</v>
      </c>
      <c r="E26" s="152"/>
      <c r="F26" s="196"/>
    </row>
    <row r="27" spans="1:6" ht="65.25" customHeight="1" thickBot="1" x14ac:dyDescent="0.3">
      <c r="A27" s="151"/>
      <c r="B27" s="190"/>
      <c r="C27" s="150" t="s">
        <v>350</v>
      </c>
      <c r="D27" s="194" t="s">
        <v>402</v>
      </c>
      <c r="E27" s="152"/>
      <c r="F27" s="196"/>
    </row>
    <row r="28" spans="1:6" ht="62.25" customHeight="1" x14ac:dyDescent="0.25">
      <c r="A28" s="153"/>
      <c r="B28" s="154"/>
      <c r="C28" s="153"/>
      <c r="D28" s="155"/>
      <c r="E28" s="153"/>
      <c r="F28" s="155"/>
    </row>
    <row r="29" spans="1:6" ht="63" customHeight="1" x14ac:dyDescent="0.25">
      <c r="A29" s="153"/>
      <c r="B29" s="154"/>
      <c r="C29" s="153"/>
      <c r="D29" s="155"/>
      <c r="E29" s="153"/>
      <c r="F29" s="154"/>
    </row>
    <row r="30" spans="1:6" ht="51.75" customHeight="1" x14ac:dyDescent="0.25">
      <c r="A30" s="153"/>
      <c r="B30" s="154"/>
      <c r="C30" s="153"/>
      <c r="D30" s="155"/>
      <c r="E30" s="153"/>
      <c r="F30" s="154"/>
    </row>
    <row r="31" spans="1:6" ht="52.5" customHeight="1" x14ac:dyDescent="0.25">
      <c r="A31" s="153"/>
      <c r="B31" s="155"/>
      <c r="C31" s="153"/>
      <c r="D31" s="155"/>
      <c r="E31" s="153"/>
      <c r="F31" s="155"/>
    </row>
    <row r="32" spans="1:6" ht="63.75" customHeight="1" x14ac:dyDescent="0.25">
      <c r="A32" s="153"/>
      <c r="B32" s="155"/>
      <c r="C32" s="153"/>
      <c r="D32" s="155"/>
      <c r="E32" s="153"/>
      <c r="F32" s="155"/>
    </row>
    <row r="33" spans="1:6" ht="66" customHeight="1" x14ac:dyDescent="0.25">
      <c r="A33" s="153"/>
      <c r="B33" s="156"/>
      <c r="C33" s="153"/>
      <c r="D33" s="157"/>
      <c r="E33" s="153"/>
      <c r="F33" s="156"/>
    </row>
    <row r="34" spans="1:6" ht="55.5" customHeight="1" x14ac:dyDescent="0.25">
      <c r="A34" s="153"/>
      <c r="B34" s="156"/>
      <c r="C34" s="153"/>
      <c r="D34" s="157"/>
      <c r="E34" s="153"/>
      <c r="F34" s="158"/>
    </row>
    <row r="35" spans="1:6" ht="51.75" customHeight="1" x14ac:dyDescent="0.25">
      <c r="A35" s="153"/>
      <c r="B35" s="158"/>
      <c r="C35" s="153"/>
      <c r="D35" s="159"/>
      <c r="E35" s="153"/>
      <c r="F35" s="158"/>
    </row>
    <row r="36" spans="1:6" ht="55.5" customHeight="1" x14ac:dyDescent="0.25">
      <c r="A36" s="153"/>
      <c r="B36" s="158"/>
      <c r="C36" s="153"/>
      <c r="D36" s="158"/>
      <c r="E36" s="153"/>
      <c r="F36" s="158"/>
    </row>
    <row r="37" spans="1:6" ht="55.5" customHeight="1" x14ac:dyDescent="0.25">
      <c r="A37" s="153"/>
      <c r="B37" s="158"/>
      <c r="C37" s="153"/>
      <c r="D37" s="158"/>
      <c r="E37" s="153"/>
      <c r="F37" s="158"/>
    </row>
    <row r="38" spans="1:6" ht="54.75" customHeight="1" x14ac:dyDescent="0.25">
      <c r="A38" s="153"/>
      <c r="B38" s="158"/>
      <c r="C38" s="153"/>
      <c r="D38" s="158"/>
      <c r="E38" s="153"/>
      <c r="F38" s="158"/>
    </row>
    <row r="39" spans="1:6" ht="56.25" customHeight="1" x14ac:dyDescent="0.25">
      <c r="A39" s="153"/>
      <c r="B39" s="158"/>
      <c r="C39" s="153"/>
      <c r="D39" s="158"/>
      <c r="E39" s="153"/>
      <c r="F39" s="158"/>
    </row>
    <row r="40" spans="1:6" ht="54.75" customHeight="1" x14ac:dyDescent="0.25">
      <c r="A40" s="153"/>
      <c r="B40" s="156"/>
      <c r="C40" s="153"/>
      <c r="D40" s="157"/>
      <c r="E40" s="153"/>
      <c r="F40" s="156"/>
    </row>
    <row r="41" spans="1:6" ht="55.5" customHeight="1" x14ac:dyDescent="0.25">
      <c r="A41" s="153"/>
      <c r="B41" s="156"/>
      <c r="C41" s="153"/>
      <c r="D41" s="157"/>
      <c r="E41" s="153"/>
      <c r="F41" s="158"/>
    </row>
    <row r="42" spans="1:6" ht="54.75" customHeight="1" x14ac:dyDescent="0.25">
      <c r="A42" s="153"/>
      <c r="B42" s="158"/>
      <c r="C42" s="153"/>
      <c r="D42" s="159"/>
      <c r="E42" s="153"/>
      <c r="F42" s="158"/>
    </row>
    <row r="43" spans="1:6" ht="55.5" customHeight="1" x14ac:dyDescent="0.25">
      <c r="A43" s="153"/>
      <c r="B43" s="158"/>
      <c r="C43" s="153"/>
      <c r="D43" s="158"/>
      <c r="E43" s="153"/>
      <c r="F43" s="158"/>
    </row>
    <row r="44" spans="1:6" ht="56.25" customHeight="1" x14ac:dyDescent="0.25">
      <c r="A44" s="153"/>
      <c r="B44" s="158"/>
      <c r="C44" s="153"/>
      <c r="D44" s="158"/>
      <c r="E44" s="153"/>
      <c r="F44" s="158"/>
    </row>
    <row r="45" spans="1:6" ht="59.25" customHeight="1" x14ac:dyDescent="0.25">
      <c r="A45" s="153"/>
      <c r="B45" s="158"/>
      <c r="C45" s="153"/>
      <c r="D45" s="158"/>
      <c r="E45" s="153"/>
      <c r="F45" s="158"/>
    </row>
    <row r="46" spans="1:6" ht="55.5" customHeight="1" x14ac:dyDescent="0.25">
      <c r="A46" s="153"/>
      <c r="B46" s="158"/>
      <c r="C46" s="153"/>
      <c r="D46" s="158"/>
      <c r="E46" s="153"/>
      <c r="F46" s="158"/>
    </row>
    <row r="47" spans="1:6" ht="55.5" customHeight="1" x14ac:dyDescent="0.25">
      <c r="A47" s="153"/>
      <c r="B47" s="156"/>
      <c r="C47" s="153"/>
      <c r="D47" s="157"/>
      <c r="E47" s="153"/>
      <c r="F47" s="156"/>
    </row>
    <row r="48" spans="1:6" ht="56.25" customHeight="1" x14ac:dyDescent="0.25">
      <c r="A48" s="153"/>
      <c r="B48" s="156"/>
      <c r="C48" s="153"/>
      <c r="D48" s="157"/>
      <c r="E48" s="153"/>
      <c r="F48" s="158"/>
    </row>
    <row r="49" spans="1:6" ht="54" customHeight="1" x14ac:dyDescent="0.25">
      <c r="A49" s="153"/>
      <c r="B49" s="158"/>
      <c r="C49" s="153"/>
      <c r="D49" s="159"/>
      <c r="E49" s="153"/>
      <c r="F49" s="158"/>
    </row>
    <row r="50" spans="1:6" ht="56.25" customHeight="1" x14ac:dyDescent="0.25">
      <c r="A50" s="153"/>
      <c r="B50" s="158"/>
      <c r="C50" s="153"/>
      <c r="D50" s="158"/>
      <c r="E50" s="153"/>
      <c r="F50" s="158"/>
    </row>
    <row r="51" spans="1:6" ht="59.25" customHeight="1" x14ac:dyDescent="0.25">
      <c r="A51" s="153"/>
      <c r="B51" s="158"/>
      <c r="C51" s="153"/>
      <c r="D51" s="158"/>
      <c r="E51" s="153"/>
      <c r="F51" s="158"/>
    </row>
    <row r="52" spans="1:6" ht="54.75" customHeight="1" x14ac:dyDescent="0.25">
      <c r="A52" s="153"/>
      <c r="B52" s="158"/>
      <c r="C52" s="153"/>
      <c r="D52" s="158"/>
      <c r="E52" s="153"/>
      <c r="F52" s="158"/>
    </row>
    <row r="53" spans="1:6" ht="55.5" customHeight="1" x14ac:dyDescent="0.25">
      <c r="A53" s="153"/>
      <c r="B53" s="158"/>
      <c r="C53" s="153"/>
      <c r="D53" s="158"/>
      <c r="E53" s="153"/>
      <c r="F53" s="158"/>
    </row>
  </sheetData>
  <mergeCells count="10">
    <mergeCell ref="J1:J4"/>
    <mergeCell ref="B3:D4"/>
    <mergeCell ref="A5:F5"/>
    <mergeCell ref="A6:F7"/>
    <mergeCell ref="A8:F8"/>
    <mergeCell ref="A9:F9"/>
    <mergeCell ref="A10:F10"/>
    <mergeCell ref="A1:A4"/>
    <mergeCell ref="B1:D2"/>
    <mergeCell ref="F1:F4"/>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'C:\Users\HACIENDA\Desktop\DSH2024\C RIESGOS 2024\BIMESTRE 01 2024 A PLANEACION\MR PARA ACTUALIZACION 2024\ENTREGA ACTUALIZ 2024 A PLANEACION MAPAS RIES\[2. B2-2024 MRV4 CORRP SEC HCDA ACT 29022024.xlsx]LISTAS CONTEXTO'!#REF!</xm:f>
          </x14:formula1>
          <xm:sqref>A12:A19</xm:sqref>
        </x14:dataValidation>
        <x14:dataValidation type="list" allowBlank="1" showInputMessage="1" showErrorMessage="1" xr:uid="{00000000-0002-0000-0100-000001000000}">
          <x14:formula1>
            <xm:f>'C:\Users\HACIENDA\Desktop\DSH2024\C RIESGOS 2024\BIMESTRE 01 2024 A PLANEACION\MR PARA ACTUALIZACION 2024\ENTREGA ACTUALIZ 2024 A PLANEACION MAPAS RIES\[2. B2-2024 MRV4 CORRP SEC HCDA ACT 29022024.xlsx]LISTAS CONTEXTO'!#REF!</xm:f>
          </x14:formula1>
          <xm:sqref>C14:C27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AA43"/>
  <sheetViews>
    <sheetView tabSelected="1" topLeftCell="A9" zoomScaleNormal="100" workbookViewId="0">
      <selection activeCell="B17" sqref="B17"/>
    </sheetView>
  </sheetViews>
  <sheetFormatPr baseColWidth="10" defaultColWidth="11.44140625" defaultRowHeight="14.4" x14ac:dyDescent="0.3"/>
  <cols>
    <col min="1" max="1" width="5.109375" style="180" customWidth="1"/>
    <col min="2" max="2" width="33.21875" style="181" customWidth="1"/>
    <col min="3" max="17" width="6.44140625" style="181" customWidth="1"/>
    <col min="18" max="18" width="8.109375" style="181" customWidth="1"/>
    <col min="19" max="19" width="13" style="182" customWidth="1"/>
    <col min="20" max="20" width="29.109375" customWidth="1"/>
    <col min="21" max="23" width="11.44140625" hidden="1" customWidth="1"/>
  </cols>
  <sheetData>
    <row r="1" spans="1:27" ht="30.75" customHeight="1" x14ac:dyDescent="0.3">
      <c r="A1" s="730"/>
      <c r="B1" s="730"/>
      <c r="C1" s="339" t="str">
        <f>+Contexto!$B$1</f>
        <v xml:space="preserve">PROCESO: SISTEMA INTEGRADO DE GESTIÓN </v>
      </c>
      <c r="D1" s="339"/>
      <c r="E1" s="339"/>
      <c r="F1" s="339"/>
      <c r="G1" s="339"/>
      <c r="H1" s="339"/>
      <c r="I1" s="339"/>
      <c r="J1" s="339"/>
      <c r="K1" s="339"/>
      <c r="L1" s="339"/>
      <c r="M1" s="339"/>
      <c r="N1" s="339"/>
      <c r="O1" s="339"/>
      <c r="P1" s="339"/>
      <c r="Q1" s="339"/>
      <c r="R1" s="339"/>
      <c r="S1" s="339"/>
      <c r="T1" s="356" t="s">
        <v>261</v>
      </c>
      <c r="U1" s="357"/>
      <c r="V1" s="357"/>
      <c r="W1" s="358"/>
    </row>
    <row r="2" spans="1:27" ht="25.5" customHeight="1" x14ac:dyDescent="0.3">
      <c r="A2" s="730"/>
      <c r="B2" s="730"/>
      <c r="C2" s="339"/>
      <c r="D2" s="339"/>
      <c r="E2" s="339"/>
      <c r="F2" s="339"/>
      <c r="G2" s="339"/>
      <c r="H2" s="339"/>
      <c r="I2" s="339"/>
      <c r="J2" s="339"/>
      <c r="K2" s="339"/>
      <c r="L2" s="339"/>
      <c r="M2" s="339"/>
      <c r="N2" s="339"/>
      <c r="O2" s="339"/>
      <c r="P2" s="339"/>
      <c r="Q2" s="339"/>
      <c r="R2" s="339"/>
      <c r="S2" s="339"/>
      <c r="T2" s="359" t="s">
        <v>262</v>
      </c>
      <c r="U2" s="360"/>
      <c r="V2" s="360"/>
      <c r="W2" s="361"/>
    </row>
    <row r="3" spans="1:27" ht="15" customHeight="1" x14ac:dyDescent="0.3">
      <c r="A3" s="730"/>
      <c r="B3" s="730"/>
      <c r="C3" s="339" t="s">
        <v>225</v>
      </c>
      <c r="D3" s="339"/>
      <c r="E3" s="339"/>
      <c r="F3" s="339"/>
      <c r="G3" s="339"/>
      <c r="H3" s="339"/>
      <c r="I3" s="339"/>
      <c r="J3" s="339"/>
      <c r="K3" s="339"/>
      <c r="L3" s="339"/>
      <c r="M3" s="339"/>
      <c r="N3" s="339"/>
      <c r="O3" s="339"/>
      <c r="P3" s="339"/>
      <c r="Q3" s="339"/>
      <c r="R3" s="339"/>
      <c r="S3" s="339"/>
      <c r="T3" s="359" t="s">
        <v>265</v>
      </c>
      <c r="U3" s="360"/>
      <c r="V3" s="360"/>
      <c r="W3" s="361"/>
    </row>
    <row r="4" spans="1:27" ht="15.75" customHeight="1" x14ac:dyDescent="0.3">
      <c r="A4" s="730"/>
      <c r="B4" s="730"/>
      <c r="C4" s="339"/>
      <c r="D4" s="339"/>
      <c r="E4" s="339"/>
      <c r="F4" s="339"/>
      <c r="G4" s="339"/>
      <c r="H4" s="339"/>
      <c r="I4" s="339"/>
      <c r="J4" s="339"/>
      <c r="K4" s="339"/>
      <c r="L4" s="339"/>
      <c r="M4" s="339"/>
      <c r="N4" s="339"/>
      <c r="O4" s="339"/>
      <c r="P4" s="339"/>
      <c r="Q4" s="339"/>
      <c r="R4" s="339"/>
      <c r="S4" s="339"/>
      <c r="T4" s="359" t="s">
        <v>264</v>
      </c>
      <c r="U4" s="360"/>
      <c r="V4" s="360"/>
      <c r="W4" s="361"/>
    </row>
    <row r="5" spans="1:27" ht="15.75" customHeight="1" x14ac:dyDescent="0.3">
      <c r="A5" s="355"/>
      <c r="B5" s="355"/>
      <c r="C5" s="355"/>
      <c r="D5" s="355"/>
      <c r="E5" s="355"/>
      <c r="F5" s="355"/>
      <c r="G5" s="355"/>
      <c r="H5" s="355"/>
      <c r="I5" s="355"/>
      <c r="J5" s="355"/>
      <c r="K5" s="355"/>
      <c r="L5" s="355"/>
      <c r="M5" s="355"/>
      <c r="N5" s="355"/>
      <c r="O5" s="355"/>
      <c r="P5" s="355"/>
      <c r="Q5" s="355"/>
      <c r="R5" s="355"/>
      <c r="S5" s="355"/>
      <c r="T5" s="362"/>
      <c r="U5" s="154"/>
      <c r="V5" s="154"/>
      <c r="W5" s="160"/>
    </row>
    <row r="6" spans="1:27" s="141" customFormat="1" ht="27" customHeight="1" x14ac:dyDescent="0.25">
      <c r="A6" s="363" t="str">
        <f>Contexto!A8</f>
        <v>PROCESO:  SECRETARIA DE HACIENDA PUBLICA MUNICIPAL</v>
      </c>
      <c r="B6" s="363"/>
      <c r="C6" s="363"/>
      <c r="D6" s="363"/>
      <c r="E6" s="363"/>
      <c r="F6" s="363"/>
      <c r="G6" s="363"/>
      <c r="H6" s="363"/>
      <c r="I6" s="363"/>
      <c r="J6" s="363"/>
      <c r="K6" s="363"/>
      <c r="L6" s="363"/>
      <c r="M6" s="363"/>
      <c r="N6" s="363"/>
      <c r="O6" s="363"/>
      <c r="P6" s="363"/>
      <c r="Q6" s="363"/>
      <c r="R6" s="363"/>
      <c r="S6" s="363"/>
      <c r="T6" s="363"/>
      <c r="W6" s="161"/>
    </row>
    <row r="7" spans="1:27" s="141" customFormat="1" ht="81" customHeight="1" thickBot="1" x14ac:dyDescent="0.3">
      <c r="A7" s="364" t="str">
        <f>Contexto!A9</f>
        <v xml:space="preserve">OBJETIVO:  ADMINISTRAR LAS FINANZAS PUBLICAS DEL MUNICIPIO DE IBAGUE, DE MANERA CONTINUA MEDIANTE EL RECAUDO, EJECUCIÓN, REGISTRO Y CONTROL PRESUPUESTAL, CONTABLE Y FINANCIERO PARA COADYUVAR EN LA PROMOCION DEL DESARROLLO ECONOMICO, CULTURAL, SOCIAL Y AMBIENTAL DE LA COMUNIDAD EN GENERAL, ASEGURANDO UN BUEN MANEJO DE LOS RECURSOS PUBLICOS CON TRANSPARENCIA Y EFECTIVIDAD. 
</v>
      </c>
      <c r="B7" s="364"/>
      <c r="C7" s="364"/>
      <c r="D7" s="364"/>
      <c r="E7" s="364"/>
      <c r="F7" s="364"/>
      <c r="G7" s="364"/>
      <c r="H7" s="364"/>
      <c r="I7" s="364"/>
      <c r="J7" s="364"/>
      <c r="K7" s="364"/>
      <c r="L7" s="364"/>
      <c r="M7" s="364"/>
      <c r="N7" s="364"/>
      <c r="O7" s="364"/>
      <c r="P7" s="364"/>
      <c r="Q7" s="364"/>
      <c r="R7" s="364"/>
      <c r="S7" s="364"/>
      <c r="T7" s="364"/>
      <c r="U7" s="162"/>
      <c r="V7" s="162"/>
      <c r="W7" s="163"/>
    </row>
    <row r="8" spans="1:27" s="141" customFormat="1" ht="26.25" customHeight="1" thickBot="1" x14ac:dyDescent="0.3">
      <c r="A8" s="164"/>
      <c r="B8" s="164"/>
      <c r="C8" s="164"/>
      <c r="D8" s="164"/>
      <c r="E8" s="164"/>
      <c r="F8" s="164"/>
      <c r="G8" s="164"/>
      <c r="H8" s="164"/>
      <c r="I8" s="164"/>
      <c r="J8" s="164"/>
      <c r="K8" s="164"/>
      <c r="L8" s="164"/>
      <c r="M8" s="164"/>
      <c r="N8" s="164"/>
      <c r="O8" s="164"/>
      <c r="P8" s="164"/>
      <c r="Q8" s="164"/>
      <c r="R8" s="164"/>
      <c r="S8" s="164"/>
      <c r="T8" s="165"/>
      <c r="X8" s="166"/>
    </row>
    <row r="9" spans="1:27" s="141" customFormat="1" ht="39.75" customHeight="1" thickBot="1" x14ac:dyDescent="0.3">
      <c r="A9" s="365"/>
      <c r="B9" s="365"/>
      <c r="C9" s="365" t="b">
        <v>0</v>
      </c>
      <c r="D9" s="365"/>
      <c r="E9" s="365"/>
      <c r="F9" s="365"/>
      <c r="G9" s="365"/>
      <c r="H9" s="365"/>
      <c r="I9" s="365"/>
      <c r="J9" s="365"/>
      <c r="K9" s="365"/>
      <c r="L9" s="365"/>
      <c r="M9" s="365"/>
      <c r="N9" s="365"/>
      <c r="O9" s="365"/>
      <c r="P9" s="365"/>
      <c r="Q9" s="365"/>
      <c r="R9" s="365"/>
      <c r="S9" s="365"/>
      <c r="T9" s="366"/>
    </row>
    <row r="10" spans="1:27" s="172" customFormat="1" ht="32.25" customHeight="1" thickBot="1" x14ac:dyDescent="0.35">
      <c r="A10" s="167" t="s">
        <v>226</v>
      </c>
      <c r="B10" s="168" t="s">
        <v>227</v>
      </c>
      <c r="C10" s="168" t="s">
        <v>228</v>
      </c>
      <c r="D10" s="168" t="s">
        <v>229</v>
      </c>
      <c r="E10" s="168" t="s">
        <v>230</v>
      </c>
      <c r="F10" s="168" t="s">
        <v>231</v>
      </c>
      <c r="G10" s="168" t="s">
        <v>232</v>
      </c>
      <c r="H10" s="168" t="s">
        <v>233</v>
      </c>
      <c r="I10" s="168" t="s">
        <v>234</v>
      </c>
      <c r="J10" s="168" t="s">
        <v>235</v>
      </c>
      <c r="K10" s="168" t="s">
        <v>236</v>
      </c>
      <c r="L10" s="168" t="s">
        <v>237</v>
      </c>
      <c r="M10" s="168" t="s">
        <v>238</v>
      </c>
      <c r="N10" s="168" t="s">
        <v>239</v>
      </c>
      <c r="O10" s="168" t="s">
        <v>240</v>
      </c>
      <c r="P10" s="168" t="s">
        <v>241</v>
      </c>
      <c r="Q10" s="168" t="s">
        <v>242</v>
      </c>
      <c r="R10" s="169" t="s">
        <v>243</v>
      </c>
      <c r="S10" s="170" t="s">
        <v>244</v>
      </c>
      <c r="T10" s="171" t="s">
        <v>245</v>
      </c>
      <c r="Y10" s="352" t="s">
        <v>333</v>
      </c>
      <c r="Z10" s="352"/>
      <c r="AA10" s="352"/>
    </row>
    <row r="11" spans="1:27" ht="39.75" customHeight="1" thickBot="1" x14ac:dyDescent="0.35">
      <c r="A11" s="173">
        <v>1</v>
      </c>
      <c r="B11" s="187" t="s">
        <v>310</v>
      </c>
      <c r="C11" s="174">
        <v>4</v>
      </c>
      <c r="D11" s="174">
        <v>4</v>
      </c>
      <c r="E11" s="174">
        <v>4</v>
      </c>
      <c r="F11" s="174">
        <v>3</v>
      </c>
      <c r="G11" s="174">
        <v>4</v>
      </c>
      <c r="H11" s="174"/>
      <c r="I11" s="174"/>
      <c r="J11" s="174"/>
      <c r="K11" s="174"/>
      <c r="L11" s="174"/>
      <c r="M11" s="174"/>
      <c r="N11" s="174"/>
      <c r="O11" s="174"/>
      <c r="P11" s="174"/>
      <c r="Q11" s="174"/>
      <c r="R11" s="173">
        <f>SUM(C11:Q11)</f>
        <v>19</v>
      </c>
      <c r="S11" s="175">
        <f>IF(ISERROR(AVERAGE(C11:Q11)),0,AVERAGE(C11:Q11))</f>
        <v>3.8</v>
      </c>
      <c r="T11" s="176"/>
      <c r="Y11" s="184" t="s">
        <v>334</v>
      </c>
      <c r="Z11" s="185" t="s">
        <v>335</v>
      </c>
      <c r="AA11" s="186" t="s">
        <v>336</v>
      </c>
    </row>
    <row r="12" spans="1:27" ht="45.75" customHeight="1" thickBot="1" x14ac:dyDescent="0.35">
      <c r="A12" s="173">
        <v>2</v>
      </c>
      <c r="B12" s="188" t="s">
        <v>311</v>
      </c>
      <c r="C12" s="174">
        <v>3</v>
      </c>
      <c r="D12" s="174">
        <v>4</v>
      </c>
      <c r="E12" s="174">
        <v>5</v>
      </c>
      <c r="F12" s="174">
        <v>4</v>
      </c>
      <c r="G12" s="174">
        <v>4</v>
      </c>
      <c r="H12" s="174"/>
      <c r="I12" s="174"/>
      <c r="J12" s="174"/>
      <c r="K12" s="174"/>
      <c r="L12" s="174"/>
      <c r="M12" s="174"/>
      <c r="N12" s="174"/>
      <c r="O12" s="174"/>
      <c r="P12" s="174"/>
      <c r="Q12" s="174"/>
      <c r="R12" s="173">
        <f t="shared" ref="R12:R41" si="0">SUM(C12:Q12)</f>
        <v>20</v>
      </c>
      <c r="S12" s="175">
        <f t="shared" ref="S12:S40" si="1">IF(ISERROR(AVERAGE(C12:Q12)),0,AVERAGE(C12:Q12))</f>
        <v>4</v>
      </c>
      <c r="T12" s="176"/>
    </row>
    <row r="13" spans="1:27" ht="65.25" customHeight="1" thickBot="1" x14ac:dyDescent="0.35">
      <c r="A13" s="173">
        <v>3</v>
      </c>
      <c r="B13" s="188" t="s">
        <v>312</v>
      </c>
      <c r="C13" s="174">
        <v>4</v>
      </c>
      <c r="D13" s="174">
        <v>4</v>
      </c>
      <c r="E13" s="174">
        <v>3</v>
      </c>
      <c r="F13" s="174">
        <v>3</v>
      </c>
      <c r="G13" s="174">
        <v>4</v>
      </c>
      <c r="H13" s="174"/>
      <c r="I13" s="174"/>
      <c r="J13" s="174"/>
      <c r="K13" s="174"/>
      <c r="L13" s="174"/>
      <c r="M13" s="174"/>
      <c r="N13" s="174"/>
      <c r="O13" s="174"/>
      <c r="P13" s="174"/>
      <c r="Q13" s="174"/>
      <c r="R13" s="173">
        <f t="shared" si="0"/>
        <v>18</v>
      </c>
      <c r="S13" s="175">
        <f t="shared" si="1"/>
        <v>3.6</v>
      </c>
      <c r="T13" s="176"/>
    </row>
    <row r="14" spans="1:27" ht="39.75" customHeight="1" thickBot="1" x14ac:dyDescent="0.35">
      <c r="A14" s="173">
        <v>4</v>
      </c>
      <c r="B14" s="189" t="s">
        <v>313</v>
      </c>
      <c r="C14" s="174">
        <v>3</v>
      </c>
      <c r="D14" s="174">
        <v>4</v>
      </c>
      <c r="E14" s="174">
        <v>4</v>
      </c>
      <c r="F14" s="174">
        <v>5</v>
      </c>
      <c r="G14" s="174">
        <v>4</v>
      </c>
      <c r="H14" s="174"/>
      <c r="I14" s="174"/>
      <c r="J14" s="174"/>
      <c r="K14" s="174"/>
      <c r="L14" s="174"/>
      <c r="M14" s="174"/>
      <c r="N14" s="174"/>
      <c r="O14" s="174"/>
      <c r="P14" s="174"/>
      <c r="Q14" s="174"/>
      <c r="R14" s="173">
        <f t="shared" si="0"/>
        <v>20</v>
      </c>
      <c r="S14" s="175">
        <f t="shared" si="1"/>
        <v>4</v>
      </c>
      <c r="T14" s="176"/>
    </row>
    <row r="15" spans="1:27" ht="41.4" customHeight="1" thickBot="1" x14ac:dyDescent="0.35">
      <c r="A15" s="173">
        <v>5</v>
      </c>
      <c r="B15" s="188" t="s">
        <v>314</v>
      </c>
      <c r="C15" s="174">
        <v>4</v>
      </c>
      <c r="D15" s="174">
        <v>2</v>
      </c>
      <c r="E15" s="174">
        <v>5</v>
      </c>
      <c r="F15" s="174">
        <v>3</v>
      </c>
      <c r="G15" s="174">
        <v>3</v>
      </c>
      <c r="H15" s="174"/>
      <c r="I15" s="174"/>
      <c r="J15" s="174"/>
      <c r="K15" s="174"/>
      <c r="L15" s="174"/>
      <c r="M15" s="174"/>
      <c r="N15" s="174"/>
      <c r="O15" s="174"/>
      <c r="P15" s="174"/>
      <c r="Q15" s="174"/>
      <c r="R15" s="173">
        <f t="shared" si="0"/>
        <v>17</v>
      </c>
      <c r="S15" s="175">
        <f t="shared" si="1"/>
        <v>3.4</v>
      </c>
      <c r="T15" s="176"/>
    </row>
    <row r="16" spans="1:27" ht="66" customHeight="1" thickBot="1" x14ac:dyDescent="0.35">
      <c r="A16" s="173">
        <v>6</v>
      </c>
      <c r="B16" s="188" t="s">
        <v>349</v>
      </c>
      <c r="C16" s="174">
        <v>4</v>
      </c>
      <c r="D16" s="174">
        <v>4</v>
      </c>
      <c r="E16" s="174">
        <v>4</v>
      </c>
      <c r="F16" s="174">
        <v>5</v>
      </c>
      <c r="G16" s="174">
        <v>3</v>
      </c>
      <c r="H16" s="174"/>
      <c r="I16" s="174"/>
      <c r="J16" s="174"/>
      <c r="K16" s="174"/>
      <c r="L16" s="174"/>
      <c r="M16" s="174"/>
      <c r="N16" s="174"/>
      <c r="O16" s="174"/>
      <c r="P16" s="174"/>
      <c r="Q16" s="174"/>
      <c r="R16" s="173">
        <f t="shared" si="0"/>
        <v>20</v>
      </c>
      <c r="S16" s="175">
        <f t="shared" si="1"/>
        <v>4</v>
      </c>
      <c r="T16" s="176"/>
    </row>
    <row r="17" spans="1:20" ht="63.6" customHeight="1" thickBot="1" x14ac:dyDescent="0.35">
      <c r="A17" s="173">
        <v>7</v>
      </c>
      <c r="B17" s="188" t="s">
        <v>315</v>
      </c>
      <c r="C17" s="174">
        <v>4</v>
      </c>
      <c r="D17" s="174">
        <v>4</v>
      </c>
      <c r="E17" s="174">
        <v>4</v>
      </c>
      <c r="F17" s="174">
        <v>4</v>
      </c>
      <c r="G17" s="174">
        <v>5</v>
      </c>
      <c r="H17" s="174"/>
      <c r="I17" s="174"/>
      <c r="J17" s="174"/>
      <c r="K17" s="174"/>
      <c r="L17" s="174"/>
      <c r="M17" s="174"/>
      <c r="N17" s="174"/>
      <c r="O17" s="174"/>
      <c r="P17" s="174"/>
      <c r="Q17" s="174"/>
      <c r="R17" s="173">
        <f t="shared" si="0"/>
        <v>21</v>
      </c>
      <c r="S17" s="175">
        <f t="shared" si="1"/>
        <v>4.2</v>
      </c>
      <c r="T17" s="176"/>
    </row>
    <row r="18" spans="1:20" ht="46.5" customHeight="1" thickBot="1" x14ac:dyDescent="0.35">
      <c r="A18" s="173">
        <v>8</v>
      </c>
      <c r="B18" s="188" t="s">
        <v>316</v>
      </c>
      <c r="C18" s="174">
        <v>4</v>
      </c>
      <c r="D18" s="174">
        <v>4</v>
      </c>
      <c r="E18" s="174">
        <v>4</v>
      </c>
      <c r="F18" s="174">
        <v>4</v>
      </c>
      <c r="G18" s="174">
        <v>5</v>
      </c>
      <c r="H18" s="174"/>
      <c r="I18" s="174"/>
      <c r="J18" s="174"/>
      <c r="K18" s="174"/>
      <c r="L18" s="174"/>
      <c r="M18" s="174"/>
      <c r="N18" s="174"/>
      <c r="O18" s="174"/>
      <c r="P18" s="174"/>
      <c r="Q18" s="174"/>
      <c r="R18" s="173">
        <f t="shared" si="0"/>
        <v>21</v>
      </c>
      <c r="S18" s="175">
        <f t="shared" si="1"/>
        <v>4.2</v>
      </c>
      <c r="T18" s="176"/>
    </row>
    <row r="19" spans="1:20" ht="64.2" customHeight="1" thickBot="1" x14ac:dyDescent="0.35">
      <c r="A19" s="173">
        <v>9</v>
      </c>
      <c r="B19" s="191" t="s">
        <v>345</v>
      </c>
      <c r="C19" s="174">
        <v>4</v>
      </c>
      <c r="D19" s="174">
        <v>5</v>
      </c>
      <c r="E19" s="174">
        <v>5</v>
      </c>
      <c r="F19" s="174">
        <v>5</v>
      </c>
      <c r="G19" s="174">
        <v>5</v>
      </c>
      <c r="H19" s="174"/>
      <c r="I19" s="174"/>
      <c r="J19" s="174"/>
      <c r="K19" s="174"/>
      <c r="L19" s="174"/>
      <c r="M19" s="174"/>
      <c r="N19" s="174"/>
      <c r="O19" s="174"/>
      <c r="P19" s="174"/>
      <c r="Q19" s="174"/>
      <c r="R19" s="173">
        <f t="shared" si="0"/>
        <v>24</v>
      </c>
      <c r="S19" s="175">
        <f t="shared" si="1"/>
        <v>4.8</v>
      </c>
      <c r="T19" s="176"/>
    </row>
    <row r="20" spans="1:20" ht="40.799999999999997" customHeight="1" thickBot="1" x14ac:dyDescent="0.35">
      <c r="A20" s="173">
        <v>10</v>
      </c>
      <c r="B20" s="192" t="s">
        <v>411</v>
      </c>
      <c r="C20" s="174">
        <v>4</v>
      </c>
      <c r="D20" s="174">
        <v>5</v>
      </c>
      <c r="E20" s="174">
        <v>5</v>
      </c>
      <c r="F20" s="174">
        <v>5</v>
      </c>
      <c r="G20" s="174">
        <v>5</v>
      </c>
      <c r="H20" s="174"/>
      <c r="I20" s="174"/>
      <c r="J20" s="174"/>
      <c r="K20" s="174"/>
      <c r="L20" s="174"/>
      <c r="M20" s="174"/>
      <c r="N20" s="174"/>
      <c r="O20" s="174"/>
      <c r="P20" s="174"/>
      <c r="Q20" s="174"/>
      <c r="R20" s="173">
        <f t="shared" si="0"/>
        <v>24</v>
      </c>
      <c r="S20" s="175">
        <f t="shared" si="1"/>
        <v>4.8</v>
      </c>
      <c r="T20" s="176"/>
    </row>
    <row r="21" spans="1:20" ht="43.2" customHeight="1" thickBot="1" x14ac:dyDescent="0.35">
      <c r="A21" s="173">
        <v>11</v>
      </c>
      <c r="B21" s="192" t="s">
        <v>317</v>
      </c>
      <c r="C21" s="174">
        <v>5</v>
      </c>
      <c r="D21" s="174">
        <v>5</v>
      </c>
      <c r="E21" s="174">
        <v>4</v>
      </c>
      <c r="F21" s="174">
        <v>5</v>
      </c>
      <c r="G21" s="174">
        <v>4</v>
      </c>
      <c r="H21" s="174"/>
      <c r="I21" s="174"/>
      <c r="J21" s="174"/>
      <c r="K21" s="174"/>
      <c r="L21" s="174"/>
      <c r="M21" s="174"/>
      <c r="N21" s="174"/>
      <c r="O21" s="174"/>
      <c r="P21" s="174"/>
      <c r="Q21" s="174"/>
      <c r="R21" s="173">
        <f t="shared" si="0"/>
        <v>23</v>
      </c>
      <c r="S21" s="175">
        <f t="shared" si="1"/>
        <v>4.5999999999999996</v>
      </c>
      <c r="T21" s="176"/>
    </row>
    <row r="22" spans="1:20" ht="58.2" customHeight="1" thickBot="1" x14ac:dyDescent="0.35">
      <c r="A22" s="173">
        <v>12</v>
      </c>
      <c r="B22" s="192" t="s">
        <v>318</v>
      </c>
      <c r="C22" s="174">
        <v>3</v>
      </c>
      <c r="D22" s="174">
        <v>5</v>
      </c>
      <c r="E22" s="174">
        <v>5</v>
      </c>
      <c r="F22" s="174">
        <v>4</v>
      </c>
      <c r="G22" s="174">
        <v>4</v>
      </c>
      <c r="H22" s="174"/>
      <c r="I22" s="174"/>
      <c r="J22" s="174"/>
      <c r="K22" s="174"/>
      <c r="L22" s="174"/>
      <c r="M22" s="174"/>
      <c r="N22" s="174"/>
      <c r="O22" s="174"/>
      <c r="P22" s="174"/>
      <c r="Q22" s="174"/>
      <c r="R22" s="173">
        <f t="shared" si="0"/>
        <v>21</v>
      </c>
      <c r="S22" s="175">
        <f t="shared" si="1"/>
        <v>4.2</v>
      </c>
      <c r="T22" s="176"/>
    </row>
    <row r="23" spans="1:20" ht="57" customHeight="1" thickBot="1" x14ac:dyDescent="0.35">
      <c r="A23" s="173">
        <v>13</v>
      </c>
      <c r="B23" s="192" t="s">
        <v>319</v>
      </c>
      <c r="C23" s="174">
        <v>5</v>
      </c>
      <c r="D23" s="174">
        <v>4</v>
      </c>
      <c r="E23" s="174">
        <v>5</v>
      </c>
      <c r="F23" s="174">
        <v>5</v>
      </c>
      <c r="G23" s="174">
        <v>4</v>
      </c>
      <c r="H23" s="174"/>
      <c r="I23" s="174"/>
      <c r="J23" s="174"/>
      <c r="K23" s="174"/>
      <c r="L23" s="174"/>
      <c r="M23" s="174"/>
      <c r="N23" s="174"/>
      <c r="O23" s="174"/>
      <c r="P23" s="174"/>
      <c r="Q23" s="174"/>
      <c r="R23" s="173">
        <f t="shared" si="0"/>
        <v>23</v>
      </c>
      <c r="S23" s="175">
        <f t="shared" si="1"/>
        <v>4.5999999999999996</v>
      </c>
      <c r="T23" s="176"/>
    </row>
    <row r="24" spans="1:20" ht="51.6" customHeight="1" thickBot="1" x14ac:dyDescent="0.35">
      <c r="A24" s="173">
        <v>14</v>
      </c>
      <c r="B24" s="192" t="s">
        <v>320</v>
      </c>
      <c r="C24" s="174">
        <v>4</v>
      </c>
      <c r="D24" s="174">
        <v>4</v>
      </c>
      <c r="E24" s="174">
        <v>4</v>
      </c>
      <c r="F24" s="174">
        <v>4</v>
      </c>
      <c r="G24" s="174">
        <v>4</v>
      </c>
      <c r="H24" s="174"/>
      <c r="I24" s="174"/>
      <c r="J24" s="174"/>
      <c r="K24" s="174"/>
      <c r="L24" s="174"/>
      <c r="M24" s="174"/>
      <c r="N24" s="174"/>
      <c r="O24" s="174"/>
      <c r="P24" s="174"/>
      <c r="Q24" s="174"/>
      <c r="R24" s="173">
        <f t="shared" si="0"/>
        <v>20</v>
      </c>
      <c r="S24" s="175">
        <f t="shared" si="1"/>
        <v>4</v>
      </c>
      <c r="T24" s="176"/>
    </row>
    <row r="25" spans="1:20" ht="39.75" customHeight="1" thickBot="1" x14ac:dyDescent="0.35">
      <c r="A25" s="173">
        <v>15</v>
      </c>
      <c r="B25" s="192" t="s">
        <v>321</v>
      </c>
      <c r="C25" s="174">
        <v>3</v>
      </c>
      <c r="D25" s="174">
        <v>3</v>
      </c>
      <c r="E25" s="174">
        <v>5</v>
      </c>
      <c r="F25" s="174">
        <v>2</v>
      </c>
      <c r="G25" s="174">
        <v>4</v>
      </c>
      <c r="H25" s="174"/>
      <c r="I25" s="174"/>
      <c r="J25" s="174"/>
      <c r="K25" s="174"/>
      <c r="L25" s="174"/>
      <c r="M25" s="174"/>
      <c r="N25" s="174"/>
      <c r="O25" s="174"/>
      <c r="P25" s="174"/>
      <c r="Q25" s="174"/>
      <c r="R25" s="173">
        <f t="shared" si="0"/>
        <v>17</v>
      </c>
      <c r="S25" s="175">
        <f t="shared" si="1"/>
        <v>3.4</v>
      </c>
      <c r="T25" s="176"/>
    </row>
    <row r="26" spans="1:20" ht="48.75" customHeight="1" thickBot="1" x14ac:dyDescent="0.35">
      <c r="A26" s="173">
        <v>16</v>
      </c>
      <c r="B26" s="192" t="s">
        <v>322</v>
      </c>
      <c r="C26" s="174">
        <v>4</v>
      </c>
      <c r="D26" s="174">
        <v>5</v>
      </c>
      <c r="E26" s="174">
        <v>3</v>
      </c>
      <c r="F26" s="174">
        <v>5</v>
      </c>
      <c r="G26" s="174">
        <v>5</v>
      </c>
      <c r="H26" s="174"/>
      <c r="I26" s="174"/>
      <c r="J26" s="174"/>
      <c r="K26" s="174"/>
      <c r="L26" s="174"/>
      <c r="M26" s="174"/>
      <c r="N26" s="174"/>
      <c r="O26" s="174"/>
      <c r="P26" s="174"/>
      <c r="Q26" s="174"/>
      <c r="R26" s="173">
        <f t="shared" si="0"/>
        <v>22</v>
      </c>
      <c r="S26" s="175">
        <f t="shared" si="1"/>
        <v>4.4000000000000004</v>
      </c>
      <c r="T26" s="176"/>
    </row>
    <row r="27" spans="1:20" ht="64.8" customHeight="1" thickBot="1" x14ac:dyDescent="0.35">
      <c r="A27" s="173">
        <v>17</v>
      </c>
      <c r="B27" s="193" t="s">
        <v>323</v>
      </c>
      <c r="C27" s="174">
        <v>4</v>
      </c>
      <c r="D27" s="174">
        <v>4</v>
      </c>
      <c r="E27" s="174">
        <v>4</v>
      </c>
      <c r="F27" s="174">
        <v>3</v>
      </c>
      <c r="G27" s="174">
        <v>4</v>
      </c>
      <c r="H27" s="174"/>
      <c r="I27" s="174"/>
      <c r="J27" s="174"/>
      <c r="K27" s="174"/>
      <c r="L27" s="174"/>
      <c r="M27" s="174"/>
      <c r="N27" s="174"/>
      <c r="O27" s="174"/>
      <c r="P27" s="174"/>
      <c r="Q27" s="174"/>
      <c r="R27" s="173">
        <f t="shared" si="0"/>
        <v>19</v>
      </c>
      <c r="S27" s="175">
        <f t="shared" si="1"/>
        <v>3.8</v>
      </c>
      <c r="T27" s="176"/>
    </row>
    <row r="28" spans="1:20" ht="39.75" customHeight="1" thickBot="1" x14ac:dyDescent="0.35">
      <c r="A28" s="173">
        <v>18</v>
      </c>
      <c r="B28" s="193" t="s">
        <v>324</v>
      </c>
      <c r="C28" s="174">
        <v>4</v>
      </c>
      <c r="D28" s="174">
        <v>5</v>
      </c>
      <c r="E28" s="174">
        <v>5</v>
      </c>
      <c r="F28" s="174">
        <v>4</v>
      </c>
      <c r="G28" s="174">
        <v>4</v>
      </c>
      <c r="H28" s="174"/>
      <c r="I28" s="174"/>
      <c r="J28" s="174"/>
      <c r="K28" s="174"/>
      <c r="L28" s="174"/>
      <c r="M28" s="174"/>
      <c r="N28" s="174"/>
      <c r="O28" s="174"/>
      <c r="P28" s="174"/>
      <c r="Q28" s="174"/>
      <c r="R28" s="173">
        <f t="shared" si="0"/>
        <v>22</v>
      </c>
      <c r="S28" s="175">
        <f t="shared" si="1"/>
        <v>4.4000000000000004</v>
      </c>
      <c r="T28" s="176"/>
    </row>
    <row r="29" spans="1:20" ht="48" customHeight="1" thickBot="1" x14ac:dyDescent="0.35">
      <c r="A29" s="173">
        <v>19</v>
      </c>
      <c r="B29" s="193" t="s">
        <v>325</v>
      </c>
      <c r="C29" s="174">
        <v>4</v>
      </c>
      <c r="D29" s="174">
        <v>4</v>
      </c>
      <c r="E29" s="174">
        <v>5</v>
      </c>
      <c r="F29" s="174">
        <v>5</v>
      </c>
      <c r="G29" s="174">
        <v>5</v>
      </c>
      <c r="H29" s="174"/>
      <c r="I29" s="174"/>
      <c r="J29" s="174"/>
      <c r="K29" s="174"/>
      <c r="L29" s="174"/>
      <c r="M29" s="174"/>
      <c r="N29" s="174"/>
      <c r="O29" s="174"/>
      <c r="P29" s="174"/>
      <c r="Q29" s="174"/>
      <c r="R29" s="173">
        <f t="shared" si="0"/>
        <v>23</v>
      </c>
      <c r="S29" s="175">
        <f t="shared" si="1"/>
        <v>4.5999999999999996</v>
      </c>
      <c r="T29" s="176"/>
    </row>
    <row r="30" spans="1:20" ht="62.4" customHeight="1" thickBot="1" x14ac:dyDescent="0.35">
      <c r="A30" s="173">
        <v>20</v>
      </c>
      <c r="B30" s="193" t="s">
        <v>326</v>
      </c>
      <c r="C30" s="174">
        <v>4</v>
      </c>
      <c r="D30" s="174">
        <v>4</v>
      </c>
      <c r="E30" s="174">
        <v>5</v>
      </c>
      <c r="F30" s="174">
        <v>5</v>
      </c>
      <c r="G30" s="174">
        <v>5</v>
      </c>
      <c r="H30" s="174"/>
      <c r="I30" s="174"/>
      <c r="J30" s="174"/>
      <c r="K30" s="174"/>
      <c r="L30" s="174"/>
      <c r="M30" s="174"/>
      <c r="N30" s="174"/>
      <c r="O30" s="174"/>
      <c r="P30" s="174"/>
      <c r="Q30" s="174"/>
      <c r="R30" s="173">
        <f t="shared" si="0"/>
        <v>23</v>
      </c>
      <c r="S30" s="175">
        <f t="shared" si="1"/>
        <v>4.5999999999999996</v>
      </c>
      <c r="T30" s="176"/>
    </row>
    <row r="31" spans="1:20" ht="86.4" customHeight="1" thickBot="1" x14ac:dyDescent="0.35">
      <c r="A31" s="173">
        <v>21</v>
      </c>
      <c r="B31" s="193" t="s">
        <v>327</v>
      </c>
      <c r="C31" s="174">
        <v>4</v>
      </c>
      <c r="D31" s="174">
        <v>4</v>
      </c>
      <c r="E31" s="174">
        <v>5</v>
      </c>
      <c r="F31" s="174">
        <v>5</v>
      </c>
      <c r="G31" s="174">
        <v>5</v>
      </c>
      <c r="H31" s="174"/>
      <c r="I31" s="174"/>
      <c r="J31" s="174"/>
      <c r="K31" s="174"/>
      <c r="L31" s="174"/>
      <c r="M31" s="174"/>
      <c r="N31" s="174"/>
      <c r="O31" s="174"/>
      <c r="P31" s="174"/>
      <c r="Q31" s="174"/>
      <c r="R31" s="173">
        <f t="shared" si="0"/>
        <v>23</v>
      </c>
      <c r="S31" s="175">
        <f t="shared" si="1"/>
        <v>4.5999999999999996</v>
      </c>
      <c r="T31" s="176"/>
    </row>
    <row r="32" spans="1:20" ht="72" customHeight="1" thickBot="1" x14ac:dyDescent="0.35">
      <c r="A32" s="173">
        <v>22</v>
      </c>
      <c r="B32" s="193" t="s">
        <v>328</v>
      </c>
      <c r="C32" s="174">
        <v>4</v>
      </c>
      <c r="D32" s="174">
        <v>3</v>
      </c>
      <c r="E32" s="174">
        <v>3</v>
      </c>
      <c r="F32" s="174">
        <v>3</v>
      </c>
      <c r="G32" s="174">
        <v>4</v>
      </c>
      <c r="H32" s="174"/>
      <c r="I32" s="174"/>
      <c r="J32" s="174"/>
      <c r="K32" s="174"/>
      <c r="L32" s="174"/>
      <c r="M32" s="174"/>
      <c r="N32" s="174"/>
      <c r="O32" s="174"/>
      <c r="P32" s="174"/>
      <c r="Q32" s="174"/>
      <c r="R32" s="173">
        <f t="shared" si="0"/>
        <v>17</v>
      </c>
      <c r="S32" s="175">
        <f t="shared" si="1"/>
        <v>3.4</v>
      </c>
      <c r="T32" s="176"/>
    </row>
    <row r="33" spans="1:20" ht="115.2" customHeight="1" thickBot="1" x14ac:dyDescent="0.35">
      <c r="A33" s="173">
        <v>23</v>
      </c>
      <c r="B33" s="194" t="s">
        <v>356</v>
      </c>
      <c r="C33" s="174">
        <v>4</v>
      </c>
      <c r="D33" s="174">
        <v>3</v>
      </c>
      <c r="E33" s="174">
        <v>5</v>
      </c>
      <c r="F33" s="174">
        <v>5</v>
      </c>
      <c r="G33" s="174">
        <v>5</v>
      </c>
      <c r="H33" s="174"/>
      <c r="I33" s="174"/>
      <c r="J33" s="174"/>
      <c r="K33" s="174"/>
      <c r="L33" s="174"/>
      <c r="M33" s="174"/>
      <c r="N33" s="174"/>
      <c r="O33" s="174"/>
      <c r="P33" s="174"/>
      <c r="Q33" s="174"/>
      <c r="R33" s="173">
        <f t="shared" si="0"/>
        <v>22</v>
      </c>
      <c r="S33" s="175">
        <f t="shared" si="1"/>
        <v>4.4000000000000004</v>
      </c>
      <c r="T33" s="176"/>
    </row>
    <row r="34" spans="1:20" ht="48" customHeight="1" thickBot="1" x14ac:dyDescent="0.35">
      <c r="A34" s="173">
        <v>24</v>
      </c>
      <c r="B34" s="208" t="s">
        <v>402</v>
      </c>
      <c r="C34" s="174">
        <v>4</v>
      </c>
      <c r="D34" s="174">
        <v>5</v>
      </c>
      <c r="E34" s="174">
        <v>5</v>
      </c>
      <c r="F34" s="174">
        <v>5</v>
      </c>
      <c r="G34" s="174">
        <v>5</v>
      </c>
      <c r="H34" s="174"/>
      <c r="I34" s="174"/>
      <c r="J34" s="174"/>
      <c r="K34" s="174"/>
      <c r="L34" s="174"/>
      <c r="M34" s="174"/>
      <c r="N34" s="174"/>
      <c r="O34" s="174"/>
      <c r="P34" s="174"/>
      <c r="Q34" s="174"/>
      <c r="R34" s="173">
        <f>SUM(C34:Q34)</f>
        <v>24</v>
      </c>
      <c r="S34" s="175">
        <f>IF(ISERROR(AVERAGE(C34:Q34)),0,AVERAGE(C34:Q34))</f>
        <v>4.8</v>
      </c>
      <c r="T34" s="176"/>
    </row>
    <row r="35" spans="1:20" ht="57" customHeight="1" thickBot="1" x14ac:dyDescent="0.35">
      <c r="A35" s="173">
        <v>25</v>
      </c>
      <c r="B35" s="198" t="s">
        <v>338</v>
      </c>
      <c r="C35" s="174">
        <v>4</v>
      </c>
      <c r="D35" s="174">
        <v>5</v>
      </c>
      <c r="E35" s="174">
        <v>5</v>
      </c>
      <c r="F35" s="174">
        <v>5</v>
      </c>
      <c r="G35" s="174">
        <v>5</v>
      </c>
      <c r="H35" s="174"/>
      <c r="I35" s="174"/>
      <c r="J35" s="174"/>
      <c r="K35" s="174"/>
      <c r="L35" s="174"/>
      <c r="M35" s="174"/>
      <c r="N35" s="174"/>
      <c r="O35" s="174"/>
      <c r="P35" s="174"/>
      <c r="Q35" s="174"/>
      <c r="R35" s="173">
        <f t="shared" si="0"/>
        <v>24</v>
      </c>
      <c r="S35" s="175">
        <f t="shared" si="1"/>
        <v>4.8</v>
      </c>
      <c r="T35" s="176"/>
    </row>
    <row r="36" spans="1:20" ht="65.400000000000006" customHeight="1" thickBot="1" x14ac:dyDescent="0.35">
      <c r="A36" s="173">
        <v>26</v>
      </c>
      <c r="B36" s="199" t="s">
        <v>341</v>
      </c>
      <c r="C36" s="174">
        <v>4</v>
      </c>
      <c r="D36" s="174">
        <v>5</v>
      </c>
      <c r="E36" s="174">
        <v>5</v>
      </c>
      <c r="F36" s="174">
        <v>5</v>
      </c>
      <c r="G36" s="174">
        <v>5</v>
      </c>
      <c r="H36" s="174"/>
      <c r="I36" s="174"/>
      <c r="J36" s="174"/>
      <c r="K36" s="174"/>
      <c r="L36" s="174"/>
      <c r="M36" s="174"/>
      <c r="N36" s="174"/>
      <c r="O36" s="174"/>
      <c r="P36" s="174"/>
      <c r="Q36" s="174"/>
      <c r="R36" s="173">
        <f t="shared" si="0"/>
        <v>24</v>
      </c>
      <c r="S36" s="175">
        <f t="shared" si="1"/>
        <v>4.8</v>
      </c>
      <c r="T36" s="176"/>
    </row>
    <row r="37" spans="1:20" ht="94.2" customHeight="1" thickBot="1" x14ac:dyDescent="0.35">
      <c r="A37" s="173">
        <v>27</v>
      </c>
      <c r="B37" s="199" t="s">
        <v>343</v>
      </c>
      <c r="C37" s="174">
        <v>4</v>
      </c>
      <c r="D37" s="174">
        <v>5</v>
      </c>
      <c r="E37" s="174">
        <v>5</v>
      </c>
      <c r="F37" s="174">
        <v>5</v>
      </c>
      <c r="G37" s="174">
        <v>5</v>
      </c>
      <c r="H37" s="174"/>
      <c r="I37" s="174"/>
      <c r="J37" s="174"/>
      <c r="K37" s="174"/>
      <c r="L37" s="174"/>
      <c r="M37" s="174"/>
      <c r="N37" s="174"/>
      <c r="O37" s="174"/>
      <c r="P37" s="174"/>
      <c r="Q37" s="174"/>
      <c r="R37" s="173">
        <f t="shared" si="0"/>
        <v>24</v>
      </c>
      <c r="S37" s="175">
        <f t="shared" si="1"/>
        <v>4.8</v>
      </c>
      <c r="T37" s="176"/>
    </row>
    <row r="38" spans="1:20" ht="54" customHeight="1" thickBot="1" x14ac:dyDescent="0.35">
      <c r="A38" s="173">
        <v>28</v>
      </c>
      <c r="B38" s="195" t="s">
        <v>329</v>
      </c>
      <c r="C38" s="174">
        <v>3</v>
      </c>
      <c r="D38" s="174">
        <v>5</v>
      </c>
      <c r="E38" s="174">
        <v>3</v>
      </c>
      <c r="F38" s="174">
        <v>2</v>
      </c>
      <c r="G38" s="174">
        <v>4</v>
      </c>
      <c r="H38" s="174"/>
      <c r="I38" s="174"/>
      <c r="J38" s="174"/>
      <c r="K38" s="174"/>
      <c r="L38" s="174"/>
      <c r="M38" s="174"/>
      <c r="N38" s="174"/>
      <c r="O38" s="174"/>
      <c r="P38" s="174"/>
      <c r="Q38" s="174"/>
      <c r="R38" s="173">
        <f t="shared" si="0"/>
        <v>17</v>
      </c>
      <c r="S38" s="175">
        <f t="shared" si="1"/>
        <v>3.4</v>
      </c>
      <c r="T38" s="176"/>
    </row>
    <row r="39" spans="1:20" ht="57.6" customHeight="1" thickBot="1" x14ac:dyDescent="0.35">
      <c r="A39" s="173">
        <v>29</v>
      </c>
      <c r="B39" s="195" t="s">
        <v>330</v>
      </c>
      <c r="C39" s="174">
        <v>3</v>
      </c>
      <c r="D39" s="174">
        <v>5</v>
      </c>
      <c r="E39" s="174">
        <v>3</v>
      </c>
      <c r="F39" s="174">
        <v>2</v>
      </c>
      <c r="G39" s="174">
        <v>4</v>
      </c>
      <c r="H39" s="174"/>
      <c r="I39" s="174"/>
      <c r="J39" s="174"/>
      <c r="K39" s="174"/>
      <c r="L39" s="174"/>
      <c r="M39" s="174"/>
      <c r="N39" s="174"/>
      <c r="O39" s="174"/>
      <c r="P39" s="174"/>
      <c r="Q39" s="174"/>
      <c r="R39" s="173">
        <f t="shared" si="0"/>
        <v>17</v>
      </c>
      <c r="S39" s="175">
        <f t="shared" si="1"/>
        <v>3.4</v>
      </c>
      <c r="T39" s="176"/>
    </row>
    <row r="40" spans="1:20" ht="67.8" customHeight="1" thickBot="1" x14ac:dyDescent="0.35">
      <c r="A40" s="173">
        <v>30</v>
      </c>
      <c r="B40" s="195" t="s">
        <v>331</v>
      </c>
      <c r="C40" s="174">
        <v>3</v>
      </c>
      <c r="D40" s="174">
        <v>5</v>
      </c>
      <c r="E40" s="174">
        <v>3</v>
      </c>
      <c r="F40" s="174">
        <v>2</v>
      </c>
      <c r="G40" s="174">
        <v>4</v>
      </c>
      <c r="H40" s="174"/>
      <c r="I40" s="174"/>
      <c r="J40" s="174"/>
      <c r="K40" s="174"/>
      <c r="L40" s="174"/>
      <c r="M40" s="174"/>
      <c r="N40" s="174"/>
      <c r="O40" s="174"/>
      <c r="P40" s="174"/>
      <c r="Q40" s="174"/>
      <c r="R40" s="173">
        <f t="shared" si="0"/>
        <v>17</v>
      </c>
      <c r="S40" s="175">
        <f t="shared" si="1"/>
        <v>3.4</v>
      </c>
      <c r="T40" s="176"/>
    </row>
    <row r="41" spans="1:20" ht="50.25" customHeight="1" thickBot="1" x14ac:dyDescent="0.35">
      <c r="A41" s="173">
        <v>31</v>
      </c>
      <c r="B41" s="195" t="s">
        <v>332</v>
      </c>
      <c r="C41" s="174">
        <v>3</v>
      </c>
      <c r="D41" s="174">
        <v>5</v>
      </c>
      <c r="E41" s="174">
        <v>3</v>
      </c>
      <c r="F41" s="174">
        <v>2</v>
      </c>
      <c r="G41" s="174">
        <v>4</v>
      </c>
      <c r="H41" s="177"/>
      <c r="I41" s="177"/>
      <c r="J41" s="177"/>
      <c r="K41" s="177"/>
      <c r="L41" s="177"/>
      <c r="M41" s="177"/>
      <c r="N41" s="177"/>
      <c r="O41" s="177"/>
      <c r="P41" s="177"/>
      <c r="Q41" s="177"/>
      <c r="R41" s="173">
        <f t="shared" si="0"/>
        <v>17</v>
      </c>
      <c r="S41" s="175">
        <f>IF(ISERROR(AVERAGE(C41:Q41)),0,AVERAGE(C41:Q41))</f>
        <v>3.4</v>
      </c>
      <c r="T41" s="176"/>
    </row>
    <row r="42" spans="1:20" ht="24" customHeight="1" x14ac:dyDescent="0.3">
      <c r="A42" s="367" t="s">
        <v>246</v>
      </c>
      <c r="B42" s="368"/>
      <c r="C42" s="368"/>
      <c r="D42" s="368"/>
      <c r="E42" s="368"/>
      <c r="F42" s="368"/>
      <c r="G42" s="368"/>
      <c r="H42" s="368"/>
      <c r="I42" s="368"/>
      <c r="J42" s="368"/>
      <c r="K42" s="368"/>
      <c r="L42" s="368"/>
      <c r="M42" s="368"/>
      <c r="N42" s="368"/>
      <c r="O42" s="368"/>
      <c r="P42" s="368"/>
      <c r="Q42" s="368"/>
      <c r="R42" s="369"/>
      <c r="S42" s="178">
        <f>SUM(S11:S41)</f>
        <v>128.6</v>
      </c>
    </row>
    <row r="43" spans="1:20" ht="28.5" customHeight="1" thickBot="1" x14ac:dyDescent="0.35">
      <c r="A43" s="353" t="s">
        <v>244</v>
      </c>
      <c r="B43" s="354"/>
      <c r="C43" s="354"/>
      <c r="D43" s="354"/>
      <c r="E43" s="354"/>
      <c r="F43" s="354"/>
      <c r="G43" s="354"/>
      <c r="H43" s="354"/>
      <c r="I43" s="354"/>
      <c r="J43" s="354"/>
      <c r="K43" s="354"/>
      <c r="L43" s="354"/>
      <c r="M43" s="354"/>
      <c r="N43" s="354"/>
      <c r="O43" s="354"/>
      <c r="P43" s="354"/>
      <c r="Q43" s="354"/>
      <c r="R43" s="354"/>
      <c r="S43" s="179">
        <f>S42/A41</f>
        <v>4.1483870967741936</v>
      </c>
    </row>
  </sheetData>
  <mergeCells count="15">
    <mergeCell ref="S1:S4"/>
    <mergeCell ref="A1:B4"/>
    <mergeCell ref="Y10:AA10"/>
    <mergeCell ref="A43:R43"/>
    <mergeCell ref="T1:W1"/>
    <mergeCell ref="T2:W2"/>
    <mergeCell ref="T3:W3"/>
    <mergeCell ref="T4:W4"/>
    <mergeCell ref="A5:T5"/>
    <mergeCell ref="A6:T6"/>
    <mergeCell ref="A7:T7"/>
    <mergeCell ref="A9:T9"/>
    <mergeCell ref="A42:R42"/>
    <mergeCell ref="C1:R2"/>
    <mergeCell ref="C3:R4"/>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1">
    <dataValidation type="whole" showErrorMessage="1" error="DATO INVÁLIDO_x000a_Tenga en cuenta que la escala de calificación va de 1 a 5" sqref="C11:Q41" xr:uid="{00000000-0002-0000-0200-000000000000}">
      <formula1>1</formula1>
      <formula2>5</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19</xdr:col>
                    <xdr:colOff>487680</xdr:colOff>
                    <xdr:row>10</xdr:row>
                    <xdr:rowOff>160020</xdr:rowOff>
                  </from>
                  <to>
                    <xdr:col>19</xdr:col>
                    <xdr:colOff>876300</xdr:colOff>
                    <xdr:row>10</xdr:row>
                    <xdr:rowOff>381000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19</xdr:col>
                    <xdr:colOff>487680</xdr:colOff>
                    <xdr:row>11</xdr:row>
                    <xdr:rowOff>160020</xdr:rowOff>
                  </from>
                  <to>
                    <xdr:col>19</xdr:col>
                    <xdr:colOff>876300</xdr:colOff>
                    <xdr:row>11</xdr:row>
                    <xdr:rowOff>381000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19</xdr:col>
                    <xdr:colOff>487680</xdr:colOff>
                    <xdr:row>12</xdr:row>
                    <xdr:rowOff>160020</xdr:rowOff>
                  </from>
                  <to>
                    <xdr:col>19</xdr:col>
                    <xdr:colOff>876300</xdr:colOff>
                    <xdr:row>12</xdr:row>
                    <xdr:rowOff>381000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19</xdr:col>
                    <xdr:colOff>487680</xdr:colOff>
                    <xdr:row>13</xdr:row>
                    <xdr:rowOff>160020</xdr:rowOff>
                  </from>
                  <to>
                    <xdr:col>19</xdr:col>
                    <xdr:colOff>876300</xdr:colOff>
                    <xdr:row>13</xdr:row>
                    <xdr:rowOff>381000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19</xdr:col>
                    <xdr:colOff>487680</xdr:colOff>
                    <xdr:row>14</xdr:row>
                    <xdr:rowOff>160020</xdr:rowOff>
                  </from>
                  <to>
                    <xdr:col>19</xdr:col>
                    <xdr:colOff>876300</xdr:colOff>
                    <xdr:row>14</xdr:row>
                    <xdr:rowOff>381000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19</xdr:col>
                    <xdr:colOff>487680</xdr:colOff>
                    <xdr:row>15</xdr:row>
                    <xdr:rowOff>160020</xdr:rowOff>
                  </from>
                  <to>
                    <xdr:col>19</xdr:col>
                    <xdr:colOff>876300</xdr:colOff>
                    <xdr:row>15</xdr:row>
                    <xdr:rowOff>381000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19</xdr:col>
                    <xdr:colOff>487680</xdr:colOff>
                    <xdr:row>16</xdr:row>
                    <xdr:rowOff>160020</xdr:rowOff>
                  </from>
                  <to>
                    <xdr:col>19</xdr:col>
                    <xdr:colOff>876300</xdr:colOff>
                    <xdr:row>16</xdr:row>
                    <xdr:rowOff>381000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19</xdr:col>
                    <xdr:colOff>487680</xdr:colOff>
                    <xdr:row>17</xdr:row>
                    <xdr:rowOff>160020</xdr:rowOff>
                  </from>
                  <to>
                    <xdr:col>19</xdr:col>
                    <xdr:colOff>876300</xdr:colOff>
                    <xdr:row>17</xdr:row>
                    <xdr:rowOff>381000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19</xdr:col>
                    <xdr:colOff>487680</xdr:colOff>
                    <xdr:row>18</xdr:row>
                    <xdr:rowOff>160020</xdr:rowOff>
                  </from>
                  <to>
                    <xdr:col>19</xdr:col>
                    <xdr:colOff>876300</xdr:colOff>
                    <xdr:row>18</xdr:row>
                    <xdr:rowOff>381000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19</xdr:col>
                    <xdr:colOff>487680</xdr:colOff>
                    <xdr:row>19</xdr:row>
                    <xdr:rowOff>160020</xdr:rowOff>
                  </from>
                  <to>
                    <xdr:col>19</xdr:col>
                    <xdr:colOff>876300</xdr:colOff>
                    <xdr:row>19</xdr:row>
                    <xdr:rowOff>381000</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19</xdr:col>
                    <xdr:colOff>487680</xdr:colOff>
                    <xdr:row>20</xdr:row>
                    <xdr:rowOff>160020</xdr:rowOff>
                  </from>
                  <to>
                    <xdr:col>19</xdr:col>
                    <xdr:colOff>876300</xdr:colOff>
                    <xdr:row>20</xdr:row>
                    <xdr:rowOff>381000</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19</xdr:col>
                    <xdr:colOff>487680</xdr:colOff>
                    <xdr:row>21</xdr:row>
                    <xdr:rowOff>160020</xdr:rowOff>
                  </from>
                  <to>
                    <xdr:col>19</xdr:col>
                    <xdr:colOff>876300</xdr:colOff>
                    <xdr:row>21</xdr:row>
                    <xdr:rowOff>381000</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19</xdr:col>
                    <xdr:colOff>487680</xdr:colOff>
                    <xdr:row>22</xdr:row>
                    <xdr:rowOff>160020</xdr:rowOff>
                  </from>
                  <to>
                    <xdr:col>19</xdr:col>
                    <xdr:colOff>876300</xdr:colOff>
                    <xdr:row>22</xdr:row>
                    <xdr:rowOff>381000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19</xdr:col>
                    <xdr:colOff>487680</xdr:colOff>
                    <xdr:row>23</xdr:row>
                    <xdr:rowOff>160020</xdr:rowOff>
                  </from>
                  <to>
                    <xdr:col>19</xdr:col>
                    <xdr:colOff>876300</xdr:colOff>
                    <xdr:row>23</xdr:row>
                    <xdr:rowOff>381000</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19</xdr:col>
                    <xdr:colOff>487680</xdr:colOff>
                    <xdr:row>24</xdr:row>
                    <xdr:rowOff>160020</xdr:rowOff>
                  </from>
                  <to>
                    <xdr:col>19</xdr:col>
                    <xdr:colOff>876300</xdr:colOff>
                    <xdr:row>24</xdr:row>
                    <xdr:rowOff>381000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19</xdr:col>
                    <xdr:colOff>487680</xdr:colOff>
                    <xdr:row>25</xdr:row>
                    <xdr:rowOff>160020</xdr:rowOff>
                  </from>
                  <to>
                    <xdr:col>19</xdr:col>
                    <xdr:colOff>876300</xdr:colOff>
                    <xdr:row>25</xdr:row>
                    <xdr:rowOff>381000</xdr:rowOff>
                  </to>
                </anchor>
              </controlPr>
            </control>
          </mc:Choice>
        </mc:AlternateContent>
        <mc:AlternateContent xmlns:mc="http://schemas.openxmlformats.org/markup-compatibility/2006">
          <mc:Choice Requires="x14">
            <control shapeId="2073" r:id="rId20" name="Check Box 25">
              <controlPr defaultSize="0" autoFill="0" autoLine="0" autoPict="0">
                <anchor moveWithCells="1">
                  <from>
                    <xdr:col>19</xdr:col>
                    <xdr:colOff>487680</xdr:colOff>
                    <xdr:row>26</xdr:row>
                    <xdr:rowOff>160020</xdr:rowOff>
                  </from>
                  <to>
                    <xdr:col>19</xdr:col>
                    <xdr:colOff>876300</xdr:colOff>
                    <xdr:row>26</xdr:row>
                    <xdr:rowOff>381000</xdr:rowOff>
                  </to>
                </anchor>
              </controlPr>
            </control>
          </mc:Choice>
        </mc:AlternateContent>
        <mc:AlternateContent xmlns:mc="http://schemas.openxmlformats.org/markup-compatibility/2006">
          <mc:Choice Requires="x14">
            <control shapeId="2074" r:id="rId21" name="Check Box 26">
              <controlPr defaultSize="0" autoFill="0" autoLine="0" autoPict="0">
                <anchor moveWithCells="1">
                  <from>
                    <xdr:col>19</xdr:col>
                    <xdr:colOff>487680</xdr:colOff>
                    <xdr:row>27</xdr:row>
                    <xdr:rowOff>160020</xdr:rowOff>
                  </from>
                  <to>
                    <xdr:col>19</xdr:col>
                    <xdr:colOff>876300</xdr:colOff>
                    <xdr:row>27</xdr:row>
                    <xdr:rowOff>381000</xdr:rowOff>
                  </to>
                </anchor>
              </controlPr>
            </control>
          </mc:Choice>
        </mc:AlternateContent>
        <mc:AlternateContent xmlns:mc="http://schemas.openxmlformats.org/markup-compatibility/2006">
          <mc:Choice Requires="x14">
            <control shapeId="2075" r:id="rId22" name="Check Box 27">
              <controlPr defaultSize="0" autoFill="0" autoLine="0" autoPict="0">
                <anchor moveWithCells="1">
                  <from>
                    <xdr:col>19</xdr:col>
                    <xdr:colOff>487680</xdr:colOff>
                    <xdr:row>28</xdr:row>
                    <xdr:rowOff>160020</xdr:rowOff>
                  </from>
                  <to>
                    <xdr:col>19</xdr:col>
                    <xdr:colOff>876300</xdr:colOff>
                    <xdr:row>28</xdr:row>
                    <xdr:rowOff>381000</xdr:rowOff>
                  </to>
                </anchor>
              </controlPr>
            </control>
          </mc:Choice>
        </mc:AlternateContent>
        <mc:AlternateContent xmlns:mc="http://schemas.openxmlformats.org/markup-compatibility/2006">
          <mc:Choice Requires="x14">
            <control shapeId="2076" r:id="rId23" name="Check Box 28">
              <controlPr defaultSize="0" autoFill="0" autoLine="0" autoPict="0">
                <anchor moveWithCells="1">
                  <from>
                    <xdr:col>19</xdr:col>
                    <xdr:colOff>487680</xdr:colOff>
                    <xdr:row>29</xdr:row>
                    <xdr:rowOff>160020</xdr:rowOff>
                  </from>
                  <to>
                    <xdr:col>19</xdr:col>
                    <xdr:colOff>876300</xdr:colOff>
                    <xdr:row>29</xdr:row>
                    <xdr:rowOff>381000</xdr:rowOff>
                  </to>
                </anchor>
              </controlPr>
            </control>
          </mc:Choice>
        </mc:AlternateContent>
        <mc:AlternateContent xmlns:mc="http://schemas.openxmlformats.org/markup-compatibility/2006">
          <mc:Choice Requires="x14">
            <control shapeId="2077" r:id="rId24" name="Check Box 29">
              <controlPr defaultSize="0" autoFill="0" autoLine="0" autoPict="0">
                <anchor moveWithCells="1">
                  <from>
                    <xdr:col>19</xdr:col>
                    <xdr:colOff>487680</xdr:colOff>
                    <xdr:row>30</xdr:row>
                    <xdr:rowOff>160020</xdr:rowOff>
                  </from>
                  <to>
                    <xdr:col>19</xdr:col>
                    <xdr:colOff>876300</xdr:colOff>
                    <xdr:row>30</xdr:row>
                    <xdr:rowOff>381000</xdr:rowOff>
                  </to>
                </anchor>
              </controlPr>
            </control>
          </mc:Choice>
        </mc:AlternateContent>
        <mc:AlternateContent xmlns:mc="http://schemas.openxmlformats.org/markup-compatibility/2006">
          <mc:Choice Requires="x14">
            <control shapeId="2078" r:id="rId25" name="Check Box 30">
              <controlPr defaultSize="0" autoFill="0" autoLine="0" autoPict="0">
                <anchor moveWithCells="1">
                  <from>
                    <xdr:col>19</xdr:col>
                    <xdr:colOff>487680</xdr:colOff>
                    <xdr:row>31</xdr:row>
                    <xdr:rowOff>160020</xdr:rowOff>
                  </from>
                  <to>
                    <xdr:col>19</xdr:col>
                    <xdr:colOff>876300</xdr:colOff>
                    <xdr:row>31</xdr:row>
                    <xdr:rowOff>381000</xdr:rowOff>
                  </to>
                </anchor>
              </controlPr>
            </control>
          </mc:Choice>
        </mc:AlternateContent>
        <mc:AlternateContent xmlns:mc="http://schemas.openxmlformats.org/markup-compatibility/2006">
          <mc:Choice Requires="x14">
            <control shapeId="2079" r:id="rId26" name="Check Box 31">
              <controlPr defaultSize="0" autoFill="0" autoLine="0" autoPict="0">
                <anchor moveWithCells="1">
                  <from>
                    <xdr:col>19</xdr:col>
                    <xdr:colOff>487680</xdr:colOff>
                    <xdr:row>32</xdr:row>
                    <xdr:rowOff>160020</xdr:rowOff>
                  </from>
                  <to>
                    <xdr:col>19</xdr:col>
                    <xdr:colOff>876300</xdr:colOff>
                    <xdr:row>32</xdr:row>
                    <xdr:rowOff>381000</xdr:rowOff>
                  </to>
                </anchor>
              </controlPr>
            </control>
          </mc:Choice>
        </mc:AlternateContent>
        <mc:AlternateContent xmlns:mc="http://schemas.openxmlformats.org/markup-compatibility/2006">
          <mc:Choice Requires="x14">
            <control shapeId="2080" r:id="rId27" name="Check Box 32">
              <controlPr defaultSize="0" autoFill="0" autoLine="0" autoPict="0">
                <anchor moveWithCells="1">
                  <from>
                    <xdr:col>19</xdr:col>
                    <xdr:colOff>487680</xdr:colOff>
                    <xdr:row>34</xdr:row>
                    <xdr:rowOff>160020</xdr:rowOff>
                  </from>
                  <to>
                    <xdr:col>19</xdr:col>
                    <xdr:colOff>876300</xdr:colOff>
                    <xdr:row>34</xdr:row>
                    <xdr:rowOff>381000</xdr:rowOff>
                  </to>
                </anchor>
              </controlPr>
            </control>
          </mc:Choice>
        </mc:AlternateContent>
        <mc:AlternateContent xmlns:mc="http://schemas.openxmlformats.org/markup-compatibility/2006">
          <mc:Choice Requires="x14">
            <control shapeId="2081" r:id="rId28" name="Check Box 33">
              <controlPr defaultSize="0" autoFill="0" autoLine="0" autoPict="0">
                <anchor moveWithCells="1">
                  <from>
                    <xdr:col>19</xdr:col>
                    <xdr:colOff>487680</xdr:colOff>
                    <xdr:row>35</xdr:row>
                    <xdr:rowOff>160020</xdr:rowOff>
                  </from>
                  <to>
                    <xdr:col>19</xdr:col>
                    <xdr:colOff>876300</xdr:colOff>
                    <xdr:row>35</xdr:row>
                    <xdr:rowOff>381000</xdr:rowOff>
                  </to>
                </anchor>
              </controlPr>
            </control>
          </mc:Choice>
        </mc:AlternateContent>
        <mc:AlternateContent xmlns:mc="http://schemas.openxmlformats.org/markup-compatibility/2006">
          <mc:Choice Requires="x14">
            <control shapeId="2082" r:id="rId29" name="Check Box 34">
              <controlPr defaultSize="0" autoFill="0" autoLine="0" autoPict="0">
                <anchor moveWithCells="1">
                  <from>
                    <xdr:col>19</xdr:col>
                    <xdr:colOff>487680</xdr:colOff>
                    <xdr:row>36</xdr:row>
                    <xdr:rowOff>160020</xdr:rowOff>
                  </from>
                  <to>
                    <xdr:col>19</xdr:col>
                    <xdr:colOff>876300</xdr:colOff>
                    <xdr:row>36</xdr:row>
                    <xdr:rowOff>381000</xdr:rowOff>
                  </to>
                </anchor>
              </controlPr>
            </control>
          </mc:Choice>
        </mc:AlternateContent>
        <mc:AlternateContent xmlns:mc="http://schemas.openxmlformats.org/markup-compatibility/2006">
          <mc:Choice Requires="x14">
            <control shapeId="2083" r:id="rId30" name="Check Box 35">
              <controlPr defaultSize="0" autoFill="0" autoLine="0" autoPict="0">
                <anchor moveWithCells="1">
                  <from>
                    <xdr:col>19</xdr:col>
                    <xdr:colOff>487680</xdr:colOff>
                    <xdr:row>37</xdr:row>
                    <xdr:rowOff>160020</xdr:rowOff>
                  </from>
                  <to>
                    <xdr:col>19</xdr:col>
                    <xdr:colOff>876300</xdr:colOff>
                    <xdr:row>37</xdr:row>
                    <xdr:rowOff>381000</xdr:rowOff>
                  </to>
                </anchor>
              </controlPr>
            </control>
          </mc:Choice>
        </mc:AlternateContent>
        <mc:AlternateContent xmlns:mc="http://schemas.openxmlformats.org/markup-compatibility/2006">
          <mc:Choice Requires="x14">
            <control shapeId="2084" r:id="rId31" name="Check Box 36">
              <controlPr defaultSize="0" autoFill="0" autoLine="0" autoPict="0">
                <anchor moveWithCells="1">
                  <from>
                    <xdr:col>19</xdr:col>
                    <xdr:colOff>487680</xdr:colOff>
                    <xdr:row>38</xdr:row>
                    <xdr:rowOff>160020</xdr:rowOff>
                  </from>
                  <to>
                    <xdr:col>19</xdr:col>
                    <xdr:colOff>876300</xdr:colOff>
                    <xdr:row>38</xdr:row>
                    <xdr:rowOff>381000</xdr:rowOff>
                  </to>
                </anchor>
              </controlPr>
            </control>
          </mc:Choice>
        </mc:AlternateContent>
        <mc:AlternateContent xmlns:mc="http://schemas.openxmlformats.org/markup-compatibility/2006">
          <mc:Choice Requires="x14">
            <control shapeId="2085" r:id="rId32" name="Check Box 37">
              <controlPr defaultSize="0" autoFill="0" autoLine="0" autoPict="0">
                <anchor moveWithCells="1">
                  <from>
                    <xdr:col>19</xdr:col>
                    <xdr:colOff>487680</xdr:colOff>
                    <xdr:row>39</xdr:row>
                    <xdr:rowOff>160020</xdr:rowOff>
                  </from>
                  <to>
                    <xdr:col>19</xdr:col>
                    <xdr:colOff>876300</xdr:colOff>
                    <xdr:row>39</xdr:row>
                    <xdr:rowOff>381000</xdr:rowOff>
                  </to>
                </anchor>
              </controlPr>
            </control>
          </mc:Choice>
        </mc:AlternateContent>
        <mc:AlternateContent xmlns:mc="http://schemas.openxmlformats.org/markup-compatibility/2006">
          <mc:Choice Requires="x14">
            <control shapeId="2086" r:id="rId33" name="Check Box 38">
              <controlPr defaultSize="0" autoFill="0" autoLine="0" autoPict="0">
                <anchor moveWithCells="1">
                  <from>
                    <xdr:col>19</xdr:col>
                    <xdr:colOff>487680</xdr:colOff>
                    <xdr:row>40</xdr:row>
                    <xdr:rowOff>160020</xdr:rowOff>
                  </from>
                  <to>
                    <xdr:col>19</xdr:col>
                    <xdr:colOff>876300</xdr:colOff>
                    <xdr:row>40</xdr:row>
                    <xdr:rowOff>381000</xdr:rowOff>
                  </to>
                </anchor>
              </controlPr>
            </control>
          </mc:Choice>
        </mc:AlternateContent>
        <mc:AlternateContent xmlns:mc="http://schemas.openxmlformats.org/markup-compatibility/2006">
          <mc:Choice Requires="x14">
            <control shapeId="2087" r:id="rId34" name="Check Box 39">
              <controlPr defaultSize="0" autoFill="0" autoLine="0" autoPict="0">
                <anchor moveWithCells="1">
                  <from>
                    <xdr:col>19</xdr:col>
                    <xdr:colOff>487680</xdr:colOff>
                    <xdr:row>33</xdr:row>
                    <xdr:rowOff>160020</xdr:rowOff>
                  </from>
                  <to>
                    <xdr:col>19</xdr:col>
                    <xdr:colOff>876300</xdr:colOff>
                    <xdr:row>33</xdr:row>
                    <xdr:rowOff>381000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P143"/>
  <sheetViews>
    <sheetView topLeftCell="A45" zoomScale="70" zoomScaleNormal="70" workbookViewId="0">
      <selection activeCell="C51" sqref="C51:D51"/>
    </sheetView>
  </sheetViews>
  <sheetFormatPr baseColWidth="10" defaultColWidth="11.44140625" defaultRowHeight="44.25" customHeight="1" x14ac:dyDescent="0.25"/>
  <cols>
    <col min="1" max="1" width="21.21875" style="141" customWidth="1"/>
    <col min="2" max="2" width="21.6640625" style="141" customWidth="1"/>
    <col min="3" max="3" width="32.6640625" style="141" customWidth="1"/>
    <col min="4" max="4" width="27.5546875" style="141" customWidth="1"/>
    <col min="5" max="5" width="38" style="141" customWidth="1"/>
    <col min="6" max="6" width="45.44140625" style="141" customWidth="1"/>
    <col min="7" max="7" width="18.33203125" style="141" customWidth="1"/>
    <col min="8" max="8" width="29.88671875" style="141" customWidth="1"/>
    <col min="9" max="9" width="19.33203125" style="141" customWidth="1"/>
    <col min="10" max="10" width="14.5546875" style="141" customWidth="1"/>
    <col min="11" max="11" width="11.44140625" style="141" hidden="1" customWidth="1"/>
    <col min="12" max="12" width="43.5546875" style="141" customWidth="1"/>
    <col min="13" max="13" width="11.44140625" style="141"/>
    <col min="14" max="14" width="42.6640625" style="141" customWidth="1"/>
    <col min="15" max="15" width="11.44140625" style="141"/>
    <col min="16" max="16" width="36.88671875" style="141" customWidth="1"/>
    <col min="17" max="16384" width="11.44140625" style="141"/>
  </cols>
  <sheetData>
    <row r="1" spans="1:11" ht="19.2" customHeight="1" thickBot="1" x14ac:dyDescent="0.3">
      <c r="A1" s="339"/>
      <c r="B1" s="339"/>
      <c r="C1" s="339" t="str">
        <f>+Contexto!$B$1</f>
        <v xml:space="preserve">PROCESO: SISTEMA INTEGRADO DE GESTIÓN </v>
      </c>
      <c r="D1" s="339"/>
      <c r="E1" s="339"/>
      <c r="F1" s="339"/>
      <c r="G1" s="339"/>
      <c r="H1" s="139" t="str">
        <f>Contexto!E1</f>
        <v>Codigo:FOR-029-PRO-SIG-01</v>
      </c>
      <c r="I1" s="420"/>
      <c r="J1" s="421"/>
      <c r="K1" s="140"/>
    </row>
    <row r="2" spans="1:11" ht="19.2" customHeight="1" thickBot="1" x14ac:dyDescent="0.3">
      <c r="A2" s="339"/>
      <c r="B2" s="339"/>
      <c r="C2" s="339"/>
      <c r="D2" s="339"/>
      <c r="E2" s="339"/>
      <c r="F2" s="339"/>
      <c r="G2" s="339"/>
      <c r="H2" s="139" t="str">
        <f>Contexto!E2</f>
        <v>Versión: 01</v>
      </c>
      <c r="I2" s="422"/>
      <c r="J2" s="423"/>
      <c r="K2" s="140"/>
    </row>
    <row r="3" spans="1:11" ht="19.2" customHeight="1" thickBot="1" x14ac:dyDescent="0.3">
      <c r="A3" s="339"/>
      <c r="B3" s="339"/>
      <c r="C3" s="339" t="s">
        <v>247</v>
      </c>
      <c r="D3" s="339"/>
      <c r="E3" s="339"/>
      <c r="F3" s="339"/>
      <c r="G3" s="339"/>
      <c r="H3" s="139" t="str">
        <f>Contexto!E3</f>
        <v>Fecha: 21/02/2024</v>
      </c>
      <c r="I3" s="422"/>
      <c r="J3" s="423"/>
      <c r="K3" s="140"/>
    </row>
    <row r="4" spans="1:11" ht="22.8" customHeight="1" x14ac:dyDescent="0.25">
      <c r="A4" s="339"/>
      <c r="B4" s="339"/>
      <c r="C4" s="339"/>
      <c r="D4" s="339"/>
      <c r="E4" s="339"/>
      <c r="F4" s="339"/>
      <c r="G4" s="339"/>
      <c r="H4" s="139" t="str">
        <f>Contexto!E4</f>
        <v>Pagina:  1 de 1</v>
      </c>
      <c r="I4" s="424"/>
      <c r="J4" s="425"/>
      <c r="K4" s="140"/>
    </row>
    <row r="5" spans="1:11" ht="44.25" customHeight="1" x14ac:dyDescent="0.25">
      <c r="A5" s="417" t="str">
        <f>Contexto!A8</f>
        <v>PROCESO:  SECRETARIA DE HACIENDA PUBLICA MUNICIPAL</v>
      </c>
      <c r="B5" s="418"/>
      <c r="C5" s="418"/>
      <c r="D5" s="418"/>
      <c r="E5" s="418"/>
      <c r="F5" s="418"/>
      <c r="G5" s="418"/>
      <c r="H5" s="418"/>
      <c r="I5" s="418"/>
      <c r="J5" s="419"/>
      <c r="K5" s="140"/>
    </row>
    <row r="6" spans="1:11" ht="44.25" customHeight="1" x14ac:dyDescent="0.25">
      <c r="A6" s="731" t="str">
        <f>Contexto!A9</f>
        <v xml:space="preserve">OBJETIVO:  ADMINISTRAR LAS FINANZAS PUBLICAS DEL MUNICIPIO DE IBAGUE, DE MANERA CONTINUA MEDIANTE EL RECAUDO, EJECUCIÓN, REGISTRO Y CONTROL PRESUPUESTAL, CONTABLE Y FINANCIERO PARA COADYUVAR EN LA PROMOCION DEL DESARROLLO ECONOMICO, CULTURAL, SOCIAL Y AMBIENTAL DE LA COMUNIDAD EN GENERAL, ASEGURANDO UN BUEN MANEJO DE LOS RECURSOS PUBLICOS CON TRANSPARENCIA Y EFECTIVIDAD. 
</v>
      </c>
      <c r="B6" s="732"/>
      <c r="C6" s="732"/>
      <c r="D6" s="732"/>
      <c r="E6" s="732"/>
      <c r="F6" s="732"/>
      <c r="G6" s="732"/>
      <c r="H6" s="732"/>
      <c r="I6" s="732"/>
      <c r="J6" s="733"/>
    </row>
    <row r="7" spans="1:11" ht="44.25" customHeight="1" thickBot="1" x14ac:dyDescent="0.3">
      <c r="A7" s="734"/>
      <c r="B7" s="735"/>
      <c r="C7" s="735"/>
      <c r="D7" s="735"/>
      <c r="E7" s="735"/>
      <c r="F7" s="735"/>
      <c r="G7" s="735"/>
      <c r="H7" s="735"/>
      <c r="I7" s="735"/>
      <c r="J7" s="736"/>
    </row>
    <row r="8" spans="1:11" ht="44.25" customHeight="1" x14ac:dyDescent="0.25">
      <c r="A8" s="426" t="s">
        <v>248</v>
      </c>
      <c r="B8" s="426"/>
      <c r="C8" s="426"/>
      <c r="D8" s="426"/>
      <c r="E8" s="408" t="s">
        <v>219</v>
      </c>
      <c r="F8" s="427"/>
      <c r="G8" s="427"/>
      <c r="H8" s="427"/>
      <c r="I8" s="427"/>
      <c r="J8" s="428"/>
    </row>
    <row r="9" spans="1:11" ht="44.25" customHeight="1" x14ac:dyDescent="0.25">
      <c r="A9" s="426"/>
      <c r="B9" s="426"/>
      <c r="C9" s="426"/>
      <c r="D9" s="426"/>
      <c r="E9" s="429" t="s">
        <v>249</v>
      </c>
      <c r="F9" s="429"/>
      <c r="G9" s="429" t="s">
        <v>250</v>
      </c>
      <c r="H9" s="429"/>
      <c r="I9" s="429"/>
      <c r="J9" s="429"/>
    </row>
    <row r="10" spans="1:11" ht="44.25" customHeight="1" x14ac:dyDescent="0.3">
      <c r="A10" s="426"/>
      <c r="B10" s="426"/>
      <c r="C10" s="426"/>
      <c r="D10" s="426"/>
      <c r="E10" s="405" t="s">
        <v>251</v>
      </c>
      <c r="F10" s="405"/>
      <c r="G10" s="430" t="s">
        <v>252</v>
      </c>
      <c r="H10" s="431"/>
      <c r="I10" s="431"/>
      <c r="J10" s="432"/>
    </row>
    <row r="11" spans="1:11" ht="44.25" customHeight="1" x14ac:dyDescent="0.25">
      <c r="A11" s="426"/>
      <c r="B11" s="426"/>
      <c r="C11" s="426"/>
      <c r="D11" s="426"/>
      <c r="E11" s="397" t="s">
        <v>266</v>
      </c>
      <c r="F11" s="398"/>
      <c r="G11" s="414" t="s">
        <v>277</v>
      </c>
      <c r="H11" s="414"/>
      <c r="I11" s="414"/>
      <c r="J11" s="414"/>
    </row>
    <row r="12" spans="1:11" ht="44.25" customHeight="1" x14ac:dyDescent="0.25">
      <c r="A12" s="426"/>
      <c r="B12" s="426"/>
      <c r="C12" s="426"/>
      <c r="D12" s="426"/>
      <c r="E12" s="397" t="s">
        <v>267</v>
      </c>
      <c r="F12" s="398"/>
      <c r="G12" s="414" t="s">
        <v>278</v>
      </c>
      <c r="H12" s="414"/>
      <c r="I12" s="414"/>
      <c r="J12" s="414"/>
    </row>
    <row r="13" spans="1:11" ht="44.25" customHeight="1" x14ac:dyDescent="0.25">
      <c r="A13" s="426"/>
      <c r="B13" s="426"/>
      <c r="C13" s="426"/>
      <c r="D13" s="426"/>
      <c r="E13" s="397" t="s">
        <v>268</v>
      </c>
      <c r="F13" s="398"/>
      <c r="G13" s="382" t="s">
        <v>279</v>
      </c>
      <c r="H13" s="382"/>
      <c r="I13" s="382"/>
      <c r="J13" s="382"/>
    </row>
    <row r="14" spans="1:11" ht="44.25" customHeight="1" x14ac:dyDescent="0.25">
      <c r="A14" s="426"/>
      <c r="B14" s="426"/>
      <c r="C14" s="426"/>
      <c r="D14" s="426"/>
      <c r="E14" s="390" t="s">
        <v>269</v>
      </c>
      <c r="F14" s="391"/>
      <c r="G14" s="414" t="s">
        <v>280</v>
      </c>
      <c r="H14" s="414"/>
      <c r="I14" s="414"/>
      <c r="J14" s="414"/>
    </row>
    <row r="15" spans="1:11" ht="44.25" customHeight="1" x14ac:dyDescent="0.25">
      <c r="A15" s="426"/>
      <c r="B15" s="426"/>
      <c r="C15" s="426"/>
      <c r="D15" s="426"/>
      <c r="E15" s="397" t="s">
        <v>270</v>
      </c>
      <c r="F15" s="398"/>
      <c r="G15" s="414" t="s">
        <v>281</v>
      </c>
      <c r="H15" s="414"/>
      <c r="I15" s="414"/>
      <c r="J15" s="414"/>
    </row>
    <row r="16" spans="1:11" ht="44.25" customHeight="1" x14ac:dyDescent="0.25">
      <c r="A16" s="426"/>
      <c r="B16" s="426"/>
      <c r="C16" s="426"/>
      <c r="D16" s="426"/>
      <c r="E16" s="397" t="s">
        <v>271</v>
      </c>
      <c r="F16" s="398"/>
      <c r="G16" s="414" t="s">
        <v>282</v>
      </c>
      <c r="H16" s="414"/>
      <c r="I16" s="414"/>
      <c r="J16" s="414"/>
    </row>
    <row r="17" spans="1:16" ht="44.25" customHeight="1" x14ac:dyDescent="0.25">
      <c r="A17" s="426"/>
      <c r="B17" s="426"/>
      <c r="C17" s="426"/>
      <c r="D17" s="426"/>
      <c r="E17" s="397" t="s">
        <v>272</v>
      </c>
      <c r="F17" s="398"/>
      <c r="G17" s="416" t="s">
        <v>283</v>
      </c>
      <c r="H17" s="416"/>
      <c r="I17" s="416"/>
      <c r="J17" s="416"/>
    </row>
    <row r="18" spans="1:16" ht="44.25" customHeight="1" x14ac:dyDescent="0.25">
      <c r="A18" s="426"/>
      <c r="B18" s="426"/>
      <c r="C18" s="426"/>
      <c r="D18" s="426"/>
      <c r="E18" s="397" t="s">
        <v>273</v>
      </c>
      <c r="F18" s="398"/>
      <c r="G18" s="416" t="s">
        <v>284</v>
      </c>
      <c r="H18" s="416"/>
      <c r="I18" s="416"/>
      <c r="J18" s="416"/>
    </row>
    <row r="19" spans="1:16" ht="44.25" customHeight="1" x14ac:dyDescent="0.25">
      <c r="A19" s="426"/>
      <c r="B19" s="426"/>
      <c r="C19" s="426"/>
      <c r="D19" s="426"/>
      <c r="E19" s="397" t="s">
        <v>274</v>
      </c>
      <c r="F19" s="398"/>
      <c r="G19" s="416" t="s">
        <v>285</v>
      </c>
      <c r="H19" s="416"/>
      <c r="I19" s="416"/>
      <c r="J19" s="416"/>
    </row>
    <row r="20" spans="1:16" ht="44.25" customHeight="1" x14ac:dyDescent="0.25">
      <c r="A20" s="426"/>
      <c r="B20" s="426"/>
      <c r="C20" s="426"/>
      <c r="D20" s="426"/>
      <c r="E20" s="397" t="s">
        <v>275</v>
      </c>
      <c r="F20" s="398"/>
      <c r="G20" s="416" t="s">
        <v>392</v>
      </c>
      <c r="H20" s="416"/>
      <c r="I20" s="416"/>
      <c r="J20" s="416"/>
    </row>
    <row r="21" spans="1:16" ht="44.25" customHeight="1" x14ac:dyDescent="0.25">
      <c r="A21" s="426"/>
      <c r="B21" s="426"/>
      <c r="C21" s="426"/>
      <c r="D21" s="426"/>
      <c r="E21" s="397" t="s">
        <v>276</v>
      </c>
      <c r="F21" s="398"/>
      <c r="G21" s="397" t="s">
        <v>393</v>
      </c>
      <c r="H21" s="415"/>
      <c r="I21" s="415"/>
      <c r="J21" s="398"/>
    </row>
    <row r="22" spans="1:16" ht="44.25" customHeight="1" x14ac:dyDescent="0.25">
      <c r="A22" s="426"/>
      <c r="B22" s="426"/>
      <c r="C22" s="426"/>
      <c r="D22" s="426"/>
      <c r="E22" s="397" t="s">
        <v>371</v>
      </c>
      <c r="F22" s="398"/>
      <c r="G22" s="399"/>
      <c r="H22" s="400"/>
      <c r="I22" s="400"/>
      <c r="J22" s="401"/>
    </row>
    <row r="23" spans="1:16" ht="44.25" customHeight="1" x14ac:dyDescent="0.25">
      <c r="A23" s="426"/>
      <c r="B23" s="426"/>
      <c r="C23" s="426"/>
      <c r="D23" s="426"/>
      <c r="E23" s="397" t="s">
        <v>390</v>
      </c>
      <c r="F23" s="398"/>
      <c r="G23" s="399"/>
      <c r="H23" s="400"/>
      <c r="I23" s="400"/>
      <c r="J23" s="401"/>
    </row>
    <row r="24" spans="1:16" ht="44.25" customHeight="1" x14ac:dyDescent="0.25">
      <c r="A24" s="426"/>
      <c r="B24" s="426"/>
      <c r="C24" s="426"/>
      <c r="D24" s="426"/>
      <c r="E24" s="397" t="s">
        <v>391</v>
      </c>
      <c r="F24" s="398"/>
      <c r="G24" s="399"/>
      <c r="H24" s="400"/>
      <c r="I24" s="400"/>
      <c r="J24" s="401"/>
    </row>
    <row r="25" spans="1:16" ht="44.25" customHeight="1" thickBot="1" x14ac:dyDescent="0.3">
      <c r="A25" s="426"/>
      <c r="B25" s="426"/>
      <c r="C25" s="426"/>
      <c r="D25" s="426"/>
      <c r="E25" s="397"/>
      <c r="F25" s="398"/>
      <c r="G25" s="402"/>
      <c r="H25" s="403"/>
      <c r="I25" s="403"/>
      <c r="J25" s="404"/>
    </row>
    <row r="26" spans="1:16" ht="44.25" customHeight="1" thickBot="1" x14ac:dyDescent="0.3">
      <c r="A26" s="383" t="s">
        <v>217</v>
      </c>
      <c r="B26" s="383" t="s">
        <v>250</v>
      </c>
      <c r="C26" s="405" t="s">
        <v>253</v>
      </c>
      <c r="D26" s="405"/>
      <c r="E26" s="406" t="s">
        <v>254</v>
      </c>
      <c r="F26" s="407"/>
      <c r="G26" s="408" t="s">
        <v>255</v>
      </c>
      <c r="H26" s="409"/>
      <c r="I26" s="409"/>
      <c r="J26" s="410"/>
      <c r="L26" s="202" t="s">
        <v>366</v>
      </c>
      <c r="M26" s="433"/>
      <c r="N26" s="433"/>
      <c r="O26" s="433"/>
      <c r="P26" s="433"/>
    </row>
    <row r="27" spans="1:16" ht="44.25" customHeight="1" thickBot="1" x14ac:dyDescent="0.3">
      <c r="A27" s="383"/>
      <c r="B27" s="383"/>
      <c r="C27" s="390" t="s">
        <v>286</v>
      </c>
      <c r="D27" s="391"/>
      <c r="E27" s="390" t="s">
        <v>294</v>
      </c>
      <c r="F27" s="391"/>
      <c r="G27" s="411" t="s">
        <v>306</v>
      </c>
      <c r="H27" s="412"/>
      <c r="I27" s="412"/>
      <c r="J27" s="413"/>
      <c r="L27" s="201" t="s">
        <v>367</v>
      </c>
      <c r="M27" s="433"/>
      <c r="N27" s="433"/>
      <c r="O27" s="433"/>
      <c r="P27" s="433"/>
    </row>
    <row r="28" spans="1:16" ht="86.25" customHeight="1" x14ac:dyDescent="0.25">
      <c r="A28" s="383"/>
      <c r="B28" s="383"/>
      <c r="C28" s="390" t="s">
        <v>287</v>
      </c>
      <c r="D28" s="391"/>
      <c r="E28" s="390" t="s">
        <v>295</v>
      </c>
      <c r="F28" s="391"/>
      <c r="G28" s="390" t="s">
        <v>307</v>
      </c>
      <c r="H28" s="392"/>
      <c r="I28" s="392"/>
      <c r="J28" s="391"/>
      <c r="M28" s="433"/>
      <c r="N28" s="433"/>
      <c r="O28" s="433"/>
      <c r="P28" s="433"/>
    </row>
    <row r="29" spans="1:16" ht="81" customHeight="1" x14ac:dyDescent="0.25">
      <c r="A29" s="383"/>
      <c r="B29" s="383"/>
      <c r="C29" s="390" t="s">
        <v>288</v>
      </c>
      <c r="D29" s="391"/>
      <c r="E29" s="390" t="s">
        <v>296</v>
      </c>
      <c r="F29" s="391"/>
      <c r="G29" s="390" t="s">
        <v>308</v>
      </c>
      <c r="H29" s="392"/>
      <c r="I29" s="392"/>
      <c r="J29" s="391"/>
      <c r="M29" s="433"/>
      <c r="N29" s="433"/>
      <c r="O29" s="433"/>
      <c r="P29" s="433"/>
    </row>
    <row r="30" spans="1:16" ht="44.25" customHeight="1" x14ac:dyDescent="0.25">
      <c r="A30" s="383"/>
      <c r="B30" s="383"/>
      <c r="C30" s="382" t="s">
        <v>289</v>
      </c>
      <c r="D30" s="373"/>
      <c r="E30" s="390" t="s">
        <v>297</v>
      </c>
      <c r="F30" s="391"/>
      <c r="G30" s="390" t="s">
        <v>309</v>
      </c>
      <c r="H30" s="392"/>
      <c r="I30" s="392"/>
      <c r="J30" s="391"/>
    </row>
    <row r="31" spans="1:16" ht="44.25" customHeight="1" x14ac:dyDescent="0.25">
      <c r="A31" s="383"/>
      <c r="B31" s="383"/>
      <c r="C31" s="390" t="s">
        <v>290</v>
      </c>
      <c r="D31" s="377"/>
      <c r="E31" s="390" t="s">
        <v>298</v>
      </c>
      <c r="F31" s="391"/>
      <c r="G31" s="373"/>
      <c r="H31" s="378"/>
      <c r="I31" s="378"/>
      <c r="J31" s="377"/>
    </row>
    <row r="32" spans="1:16" ht="44.25" customHeight="1" x14ac:dyDescent="0.25">
      <c r="A32" s="383"/>
      <c r="B32" s="383"/>
      <c r="C32" s="373" t="s">
        <v>291</v>
      </c>
      <c r="D32" s="373"/>
      <c r="E32" s="390" t="s">
        <v>299</v>
      </c>
      <c r="F32" s="391"/>
      <c r="G32" s="373"/>
      <c r="H32" s="373"/>
      <c r="I32" s="373"/>
      <c r="J32" s="373"/>
    </row>
    <row r="33" spans="1:14" ht="44.25" customHeight="1" x14ac:dyDescent="0.25">
      <c r="A33" s="383"/>
      <c r="B33" s="383"/>
      <c r="C33" s="373" t="s">
        <v>292</v>
      </c>
      <c r="D33" s="373"/>
      <c r="E33" s="411" t="s">
        <v>300</v>
      </c>
      <c r="F33" s="413"/>
      <c r="G33" s="376"/>
      <c r="H33" s="378"/>
      <c r="I33" s="378"/>
      <c r="J33" s="377"/>
    </row>
    <row r="34" spans="1:14" ht="44.25" customHeight="1" x14ac:dyDescent="0.25">
      <c r="A34" s="383"/>
      <c r="B34" s="383"/>
      <c r="C34" s="373" t="s">
        <v>293</v>
      </c>
      <c r="D34" s="373"/>
      <c r="E34" s="382" t="s">
        <v>301</v>
      </c>
      <c r="F34" s="382"/>
      <c r="G34" s="373"/>
      <c r="H34" s="373"/>
      <c r="I34" s="373"/>
      <c r="J34" s="373"/>
    </row>
    <row r="35" spans="1:14" ht="44.25" customHeight="1" x14ac:dyDescent="0.25">
      <c r="A35" s="383"/>
      <c r="B35" s="383"/>
      <c r="C35" s="382" t="s">
        <v>389</v>
      </c>
      <c r="D35" s="382"/>
      <c r="E35" s="382" t="s">
        <v>302</v>
      </c>
      <c r="F35" s="373"/>
      <c r="G35" s="373"/>
      <c r="H35" s="373"/>
      <c r="I35" s="373"/>
      <c r="J35" s="373"/>
    </row>
    <row r="36" spans="1:14" ht="44.25" customHeight="1" x14ac:dyDescent="0.25">
      <c r="A36" s="383"/>
      <c r="B36" s="383"/>
      <c r="C36" s="390" t="s">
        <v>399</v>
      </c>
      <c r="D36" s="391"/>
      <c r="E36" s="393" t="s">
        <v>303</v>
      </c>
      <c r="F36" s="394"/>
      <c r="G36" s="376"/>
      <c r="H36" s="378"/>
      <c r="I36" s="378"/>
      <c r="J36" s="377"/>
    </row>
    <row r="37" spans="1:14" ht="44.25" customHeight="1" x14ac:dyDescent="0.25">
      <c r="A37" s="383"/>
      <c r="B37" s="383"/>
      <c r="C37" s="390"/>
      <c r="D37" s="391"/>
      <c r="E37" s="393" t="s">
        <v>304</v>
      </c>
      <c r="F37" s="394"/>
      <c r="G37" s="376"/>
      <c r="H37" s="378"/>
      <c r="I37" s="378"/>
      <c r="J37" s="377"/>
    </row>
    <row r="38" spans="1:14" ht="44.25" customHeight="1" x14ac:dyDescent="0.25">
      <c r="A38" s="383"/>
      <c r="B38" s="383"/>
      <c r="C38" s="373"/>
      <c r="D38" s="373"/>
      <c r="E38" s="395" t="s">
        <v>305</v>
      </c>
      <c r="F38" s="396"/>
      <c r="G38" s="372"/>
      <c r="H38" s="372"/>
      <c r="I38" s="372"/>
      <c r="J38" s="372"/>
    </row>
    <row r="39" spans="1:14" ht="149.25" customHeight="1" x14ac:dyDescent="0.25">
      <c r="A39" s="383"/>
      <c r="B39" s="200"/>
      <c r="C39" s="373"/>
      <c r="D39" s="373"/>
      <c r="E39" s="370" t="s">
        <v>433</v>
      </c>
      <c r="F39" s="396"/>
      <c r="G39" s="372"/>
      <c r="H39" s="372"/>
      <c r="I39" s="372"/>
      <c r="J39" s="372"/>
      <c r="L39" s="434" t="s">
        <v>405</v>
      </c>
      <c r="M39" s="434"/>
      <c r="N39" s="434"/>
    </row>
    <row r="40" spans="1:14" ht="85.5" customHeight="1" x14ac:dyDescent="0.25">
      <c r="A40" s="383"/>
      <c r="B40" s="200"/>
      <c r="C40" s="373"/>
      <c r="D40" s="373"/>
      <c r="E40" s="370" t="s">
        <v>384</v>
      </c>
      <c r="F40" s="371"/>
      <c r="G40" s="372"/>
      <c r="H40" s="372"/>
      <c r="I40" s="372"/>
      <c r="J40" s="372"/>
      <c r="L40" s="434"/>
      <c r="M40" s="434"/>
      <c r="N40" s="434"/>
    </row>
    <row r="41" spans="1:14" ht="122.25" customHeight="1" x14ac:dyDescent="0.25">
      <c r="A41" s="383"/>
      <c r="B41" s="200"/>
      <c r="C41" s="373"/>
      <c r="D41" s="373"/>
      <c r="E41" s="370" t="s">
        <v>435</v>
      </c>
      <c r="F41" s="371"/>
      <c r="G41" s="372"/>
      <c r="H41" s="372"/>
      <c r="I41" s="372"/>
      <c r="J41" s="372"/>
      <c r="L41" s="434"/>
      <c r="M41" s="434"/>
      <c r="N41" s="434"/>
    </row>
    <row r="42" spans="1:14" ht="75.75" customHeight="1" x14ac:dyDescent="0.25">
      <c r="A42" s="383"/>
      <c r="B42" s="200"/>
      <c r="C42" s="373"/>
      <c r="D42" s="373"/>
      <c r="E42" s="370" t="s">
        <v>395</v>
      </c>
      <c r="F42" s="371"/>
      <c r="G42" s="372"/>
      <c r="H42" s="372"/>
      <c r="I42" s="372"/>
      <c r="J42" s="372"/>
      <c r="L42" s="434"/>
      <c r="M42" s="434"/>
      <c r="N42" s="434"/>
    </row>
    <row r="43" spans="1:14" ht="280.5" customHeight="1" x14ac:dyDescent="0.25">
      <c r="A43" s="383"/>
      <c r="B43" s="200"/>
      <c r="C43" s="373"/>
      <c r="D43" s="373"/>
      <c r="E43" s="370" t="s">
        <v>414</v>
      </c>
      <c r="F43" s="371"/>
      <c r="G43" s="372"/>
      <c r="H43" s="372"/>
      <c r="I43" s="372"/>
      <c r="J43" s="372"/>
      <c r="L43" s="434"/>
      <c r="M43" s="434"/>
      <c r="N43" s="434"/>
    </row>
    <row r="44" spans="1:14" ht="158.25" customHeight="1" x14ac:dyDescent="0.25">
      <c r="A44" s="383"/>
      <c r="B44" s="200"/>
      <c r="C44" s="373"/>
      <c r="D44" s="373"/>
      <c r="E44" s="370" t="s">
        <v>434</v>
      </c>
      <c r="F44" s="371"/>
      <c r="G44" s="372"/>
      <c r="H44" s="372"/>
      <c r="I44" s="372"/>
      <c r="J44" s="372"/>
      <c r="L44" s="434"/>
      <c r="M44" s="434"/>
      <c r="N44" s="434"/>
    </row>
    <row r="45" spans="1:14" ht="162" customHeight="1" x14ac:dyDescent="0.25">
      <c r="A45" s="383"/>
      <c r="B45" s="200"/>
      <c r="C45" s="373"/>
      <c r="D45" s="373"/>
      <c r="E45" s="395" t="s">
        <v>406</v>
      </c>
      <c r="F45" s="396"/>
      <c r="G45" s="372"/>
      <c r="H45" s="372"/>
      <c r="I45" s="372"/>
      <c r="J45" s="372"/>
      <c r="L45" s="434"/>
      <c r="M45" s="434"/>
      <c r="N45" s="434"/>
    </row>
    <row r="46" spans="1:14" ht="15" customHeight="1" x14ac:dyDescent="0.25">
      <c r="A46" s="383"/>
      <c r="B46" s="200"/>
      <c r="C46" s="373"/>
      <c r="D46" s="373"/>
      <c r="E46" s="370"/>
      <c r="F46" s="371"/>
      <c r="G46" s="372"/>
      <c r="H46" s="372"/>
      <c r="I46" s="372"/>
      <c r="J46" s="372"/>
      <c r="L46" s="434"/>
      <c r="M46" s="434"/>
      <c r="N46" s="434"/>
    </row>
    <row r="47" spans="1:14" ht="15" customHeight="1" x14ac:dyDescent="0.25">
      <c r="A47" s="383"/>
      <c r="B47" s="200"/>
      <c r="C47" s="373"/>
      <c r="D47" s="373"/>
      <c r="E47" s="370"/>
      <c r="F47" s="371"/>
      <c r="G47" s="372"/>
      <c r="H47" s="372"/>
      <c r="I47" s="372"/>
      <c r="J47" s="372"/>
      <c r="L47" s="434"/>
      <c r="M47" s="434"/>
      <c r="N47" s="434"/>
    </row>
    <row r="48" spans="1:14" ht="15" customHeight="1" x14ac:dyDescent="0.25">
      <c r="A48" s="383"/>
      <c r="B48" s="200"/>
      <c r="C48" s="373"/>
      <c r="D48" s="373"/>
      <c r="E48" s="370"/>
      <c r="F48" s="371"/>
      <c r="G48" s="372"/>
      <c r="H48" s="372"/>
      <c r="I48" s="372"/>
      <c r="J48" s="372"/>
      <c r="L48" s="434"/>
      <c r="M48" s="434"/>
      <c r="N48" s="434"/>
    </row>
    <row r="49" spans="1:14" ht="15" customHeight="1" x14ac:dyDescent="0.25">
      <c r="A49" s="383"/>
      <c r="B49" s="200"/>
      <c r="C49" s="373"/>
      <c r="D49" s="373"/>
      <c r="E49" s="370"/>
      <c r="F49" s="371"/>
      <c r="G49" s="372"/>
      <c r="H49" s="372"/>
      <c r="I49" s="372"/>
      <c r="J49" s="372"/>
      <c r="L49" s="434"/>
      <c r="M49" s="434"/>
      <c r="N49" s="434"/>
    </row>
    <row r="50" spans="1:14" s="203" customFormat="1" ht="44.25" customHeight="1" x14ac:dyDescent="0.3">
      <c r="A50" s="383"/>
      <c r="B50" s="383" t="s">
        <v>249</v>
      </c>
      <c r="C50" s="384" t="s">
        <v>256</v>
      </c>
      <c r="D50" s="384"/>
      <c r="E50" s="385" t="s">
        <v>257</v>
      </c>
      <c r="F50" s="386"/>
      <c r="G50" s="387" t="s">
        <v>258</v>
      </c>
      <c r="H50" s="388"/>
      <c r="I50" s="388"/>
      <c r="J50" s="389"/>
    </row>
    <row r="51" spans="1:14" ht="68.25" customHeight="1" x14ac:dyDescent="0.25">
      <c r="A51" s="383"/>
      <c r="B51" s="383"/>
      <c r="C51" s="390" t="s">
        <v>376</v>
      </c>
      <c r="D51" s="391"/>
      <c r="E51" s="390" t="s">
        <v>377</v>
      </c>
      <c r="F51" s="391"/>
      <c r="G51" s="390" t="s">
        <v>378</v>
      </c>
      <c r="H51" s="392"/>
      <c r="I51" s="392"/>
      <c r="J51" s="391"/>
    </row>
    <row r="52" spans="1:14" ht="80.25" customHeight="1" x14ac:dyDescent="0.25">
      <c r="A52" s="383"/>
      <c r="B52" s="383"/>
      <c r="C52" s="390" t="s">
        <v>379</v>
      </c>
      <c r="D52" s="391"/>
      <c r="E52" s="390" t="s">
        <v>380</v>
      </c>
      <c r="F52" s="391"/>
      <c r="G52" s="390" t="s">
        <v>381</v>
      </c>
      <c r="H52" s="392"/>
      <c r="I52" s="392"/>
      <c r="J52" s="391"/>
    </row>
    <row r="53" spans="1:14" ht="93.75" customHeight="1" x14ac:dyDescent="0.25">
      <c r="A53" s="383"/>
      <c r="B53" s="383"/>
      <c r="C53" s="390" t="s">
        <v>382</v>
      </c>
      <c r="D53" s="391"/>
      <c r="E53" s="382" t="s">
        <v>383</v>
      </c>
      <c r="F53" s="382"/>
      <c r="G53" s="390"/>
      <c r="H53" s="392"/>
      <c r="I53" s="392"/>
      <c r="J53" s="391"/>
    </row>
    <row r="54" spans="1:14" ht="44.25" customHeight="1" x14ac:dyDescent="0.25">
      <c r="A54" s="383"/>
      <c r="B54" s="383"/>
      <c r="C54" s="373" t="s">
        <v>394</v>
      </c>
      <c r="D54" s="373"/>
      <c r="E54" s="382"/>
      <c r="F54" s="382"/>
      <c r="G54" s="373"/>
      <c r="H54" s="373"/>
      <c r="I54" s="373"/>
      <c r="J54" s="373"/>
    </row>
    <row r="55" spans="1:14" ht="44.25" customHeight="1" x14ac:dyDescent="0.25">
      <c r="A55" s="383"/>
      <c r="B55" s="383"/>
      <c r="C55" s="373"/>
      <c r="D55" s="373"/>
      <c r="E55" s="373"/>
      <c r="F55" s="373"/>
      <c r="G55" s="373"/>
      <c r="H55" s="373"/>
      <c r="I55" s="373"/>
      <c r="J55" s="373"/>
    </row>
    <row r="56" spans="1:14" ht="44.25" customHeight="1" x14ac:dyDescent="0.25">
      <c r="A56" s="383"/>
      <c r="B56" s="383"/>
      <c r="C56" s="373"/>
      <c r="D56" s="373"/>
      <c r="E56" s="373"/>
      <c r="F56" s="373"/>
      <c r="G56" s="373"/>
      <c r="H56" s="373"/>
      <c r="I56" s="373"/>
      <c r="J56" s="373"/>
    </row>
    <row r="57" spans="1:14" ht="44.25" customHeight="1" x14ac:dyDescent="0.25">
      <c r="A57" s="383"/>
      <c r="B57" s="383"/>
      <c r="C57" s="376"/>
      <c r="D57" s="377"/>
      <c r="E57" s="376"/>
      <c r="F57" s="377"/>
      <c r="G57" s="376"/>
      <c r="H57" s="378"/>
      <c r="I57" s="378"/>
      <c r="J57" s="377"/>
    </row>
    <row r="58" spans="1:14" ht="44.25" customHeight="1" x14ac:dyDescent="0.25">
      <c r="A58" s="383"/>
      <c r="B58" s="383"/>
      <c r="C58" s="376"/>
      <c r="D58" s="377"/>
      <c r="E58" s="376"/>
      <c r="F58" s="377"/>
      <c r="G58" s="376"/>
      <c r="H58" s="378"/>
      <c r="I58" s="378"/>
      <c r="J58" s="377"/>
    </row>
    <row r="59" spans="1:14" ht="44.25" customHeight="1" x14ac:dyDescent="0.25">
      <c r="A59" s="383"/>
      <c r="B59" s="383"/>
      <c r="C59" s="376"/>
      <c r="D59" s="377"/>
      <c r="E59" s="379"/>
      <c r="F59" s="380"/>
      <c r="G59" s="379"/>
      <c r="H59" s="381"/>
      <c r="I59" s="381"/>
      <c r="J59" s="380"/>
    </row>
    <row r="60" spans="1:14" ht="44.25" customHeight="1" x14ac:dyDescent="0.25">
      <c r="A60" s="383"/>
      <c r="B60" s="383"/>
      <c r="C60" s="376"/>
      <c r="D60" s="377"/>
      <c r="E60" s="376"/>
      <c r="F60" s="377"/>
      <c r="G60" s="376"/>
      <c r="H60" s="378"/>
      <c r="I60" s="378"/>
      <c r="J60" s="377"/>
    </row>
    <row r="61" spans="1:14" ht="44.25" customHeight="1" x14ac:dyDescent="0.25">
      <c r="A61" s="383"/>
      <c r="B61" s="383"/>
      <c r="C61" s="376"/>
      <c r="D61" s="377"/>
      <c r="E61" s="379"/>
      <c r="F61" s="380"/>
      <c r="G61" s="379"/>
      <c r="H61" s="381"/>
      <c r="I61" s="381"/>
      <c r="J61" s="380"/>
    </row>
    <row r="62" spans="1:14" ht="44.25" customHeight="1" x14ac:dyDescent="0.25">
      <c r="A62" s="383"/>
      <c r="B62" s="383"/>
      <c r="C62" s="376"/>
      <c r="D62" s="377"/>
      <c r="E62" s="376"/>
      <c r="F62" s="377"/>
      <c r="G62" s="376"/>
      <c r="H62" s="378"/>
      <c r="I62" s="378"/>
      <c r="J62" s="377"/>
    </row>
    <row r="63" spans="1:14" ht="44.25" customHeight="1" x14ac:dyDescent="0.25">
      <c r="A63" s="383"/>
      <c r="B63" s="383"/>
      <c r="C63" s="376"/>
      <c r="D63" s="377"/>
      <c r="E63" s="376"/>
      <c r="F63" s="377"/>
      <c r="G63" s="376"/>
      <c r="H63" s="378"/>
      <c r="I63" s="378"/>
      <c r="J63" s="377"/>
    </row>
    <row r="64" spans="1:14" ht="44.25" customHeight="1" x14ac:dyDescent="0.25">
      <c r="A64" s="383"/>
      <c r="B64" s="383"/>
      <c r="C64" s="373"/>
      <c r="D64" s="373"/>
      <c r="E64" s="373"/>
      <c r="F64" s="373"/>
      <c r="G64" s="373"/>
      <c r="H64" s="373"/>
      <c r="I64" s="373"/>
      <c r="J64" s="373"/>
    </row>
    <row r="65" spans="1:10" ht="44.25" customHeight="1" x14ac:dyDescent="0.25">
      <c r="A65" s="383"/>
      <c r="B65" s="383"/>
      <c r="C65" s="373"/>
      <c r="D65" s="373"/>
      <c r="E65" s="373"/>
      <c r="F65" s="373"/>
      <c r="G65" s="373"/>
      <c r="H65" s="373"/>
      <c r="I65" s="373"/>
      <c r="J65" s="373"/>
    </row>
    <row r="66" spans="1:10" ht="44.25" customHeight="1" x14ac:dyDescent="0.25">
      <c r="C66" s="183"/>
      <c r="D66" s="183"/>
      <c r="E66" s="375"/>
      <c r="F66" s="375"/>
      <c r="G66" s="375"/>
      <c r="H66" s="375"/>
      <c r="I66" s="375"/>
      <c r="J66" s="375"/>
    </row>
    <row r="67" spans="1:10" ht="44.25" customHeight="1" x14ac:dyDescent="0.25">
      <c r="C67" s="183"/>
      <c r="D67" s="183"/>
      <c r="E67" s="375"/>
      <c r="F67" s="375"/>
      <c r="G67" s="375"/>
      <c r="H67" s="375"/>
      <c r="I67" s="375"/>
      <c r="J67" s="375"/>
    </row>
    <row r="68" spans="1:10" ht="44.25" customHeight="1" x14ac:dyDescent="0.25">
      <c r="E68" s="374"/>
      <c r="F68" s="374"/>
      <c r="G68" s="374"/>
      <c r="H68" s="374"/>
      <c r="I68" s="374"/>
      <c r="J68" s="374"/>
    </row>
    <row r="69" spans="1:10" ht="44.25" customHeight="1" x14ac:dyDescent="0.25">
      <c r="E69" s="374"/>
      <c r="F69" s="374"/>
      <c r="G69" s="374"/>
      <c r="H69" s="374"/>
      <c r="I69" s="374"/>
      <c r="J69" s="374"/>
    </row>
    <row r="70" spans="1:10" ht="44.25" customHeight="1" x14ac:dyDescent="0.25">
      <c r="E70" s="374"/>
      <c r="F70" s="374"/>
      <c r="G70" s="374"/>
      <c r="H70" s="374"/>
      <c r="I70" s="374"/>
      <c r="J70" s="374"/>
    </row>
    <row r="71" spans="1:10" ht="44.25" customHeight="1" x14ac:dyDescent="0.25">
      <c r="E71" s="374"/>
      <c r="F71" s="374"/>
      <c r="G71" s="374"/>
      <c r="H71" s="374"/>
      <c r="I71" s="374"/>
      <c r="J71" s="374"/>
    </row>
    <row r="72" spans="1:10" ht="44.25" customHeight="1" x14ac:dyDescent="0.25">
      <c r="E72" s="374"/>
      <c r="F72" s="374"/>
      <c r="G72" s="374"/>
      <c r="H72" s="374"/>
      <c r="I72" s="374"/>
      <c r="J72" s="374"/>
    </row>
    <row r="73" spans="1:10" ht="44.25" customHeight="1" x14ac:dyDescent="0.25">
      <c r="E73" s="374"/>
      <c r="F73" s="374"/>
      <c r="G73" s="374"/>
      <c r="H73" s="374"/>
      <c r="I73" s="374"/>
      <c r="J73" s="374"/>
    </row>
    <row r="74" spans="1:10" ht="44.25" customHeight="1" x14ac:dyDescent="0.25">
      <c r="E74" s="374"/>
      <c r="F74" s="374"/>
      <c r="G74" s="374"/>
      <c r="H74" s="374"/>
      <c r="I74" s="374"/>
      <c r="J74" s="374"/>
    </row>
    <row r="75" spans="1:10" ht="44.25" customHeight="1" x14ac:dyDescent="0.25">
      <c r="E75" s="374"/>
      <c r="F75" s="374"/>
      <c r="G75" s="374"/>
      <c r="H75" s="374"/>
      <c r="I75" s="374"/>
      <c r="J75" s="374"/>
    </row>
    <row r="76" spans="1:10" ht="44.25" customHeight="1" x14ac:dyDescent="0.25">
      <c r="E76" s="374"/>
      <c r="F76" s="374"/>
      <c r="G76" s="374"/>
      <c r="H76" s="374"/>
      <c r="I76" s="374"/>
      <c r="J76" s="374"/>
    </row>
    <row r="77" spans="1:10" ht="44.25" customHeight="1" x14ac:dyDescent="0.25">
      <c r="E77" s="374"/>
      <c r="F77" s="374"/>
      <c r="G77" s="374"/>
      <c r="H77" s="374"/>
      <c r="I77" s="374"/>
      <c r="J77" s="374"/>
    </row>
    <row r="78" spans="1:10" ht="44.25" customHeight="1" x14ac:dyDescent="0.25">
      <c r="E78" s="374"/>
      <c r="F78" s="374"/>
      <c r="G78" s="374"/>
      <c r="H78" s="374"/>
      <c r="I78" s="374"/>
      <c r="J78" s="374"/>
    </row>
    <row r="79" spans="1:10" ht="44.25" customHeight="1" x14ac:dyDescent="0.25">
      <c r="E79" s="374"/>
      <c r="F79" s="374"/>
      <c r="G79" s="374"/>
      <c r="H79" s="374"/>
      <c r="I79" s="374"/>
      <c r="J79" s="374"/>
    </row>
    <row r="80" spans="1:10" ht="44.25" customHeight="1" x14ac:dyDescent="0.25">
      <c r="E80" s="374"/>
      <c r="F80" s="374"/>
      <c r="G80" s="374"/>
      <c r="H80" s="374"/>
      <c r="I80" s="374"/>
      <c r="J80" s="374"/>
    </row>
    <row r="81" spans="5:10" ht="44.25" customHeight="1" x14ac:dyDescent="0.25">
      <c r="E81" s="374"/>
      <c r="F81" s="374"/>
      <c r="G81" s="374"/>
      <c r="H81" s="374"/>
      <c r="I81" s="374"/>
      <c r="J81" s="374"/>
    </row>
    <row r="82" spans="5:10" ht="44.25" customHeight="1" x14ac:dyDescent="0.25">
      <c r="E82" s="374"/>
      <c r="F82" s="374"/>
      <c r="G82" s="374"/>
      <c r="H82" s="374"/>
      <c r="I82" s="374"/>
      <c r="J82" s="374"/>
    </row>
    <row r="83" spans="5:10" ht="44.25" customHeight="1" x14ac:dyDescent="0.25">
      <c r="E83" s="374"/>
      <c r="F83" s="374"/>
      <c r="G83" s="374"/>
      <c r="H83" s="374"/>
      <c r="I83" s="374"/>
      <c r="J83" s="374"/>
    </row>
    <row r="84" spans="5:10" ht="44.25" customHeight="1" x14ac:dyDescent="0.25">
      <c r="E84" s="374"/>
      <c r="F84" s="374"/>
      <c r="G84" s="374"/>
      <c r="H84" s="374"/>
      <c r="I84" s="374"/>
      <c r="J84" s="374"/>
    </row>
    <row r="85" spans="5:10" ht="44.25" customHeight="1" x14ac:dyDescent="0.25">
      <c r="E85" s="374"/>
      <c r="F85" s="374"/>
      <c r="G85" s="374"/>
      <c r="H85" s="374"/>
      <c r="I85" s="374"/>
      <c r="J85" s="374"/>
    </row>
    <row r="86" spans="5:10" ht="44.25" customHeight="1" x14ac:dyDescent="0.25">
      <c r="E86" s="374"/>
      <c r="F86" s="374"/>
      <c r="G86" s="374"/>
      <c r="H86" s="374"/>
      <c r="I86" s="374"/>
      <c r="J86" s="374"/>
    </row>
    <row r="87" spans="5:10" ht="44.25" customHeight="1" x14ac:dyDescent="0.25">
      <c r="E87" s="374"/>
      <c r="F87" s="374"/>
      <c r="G87" s="374"/>
      <c r="H87" s="374"/>
      <c r="I87" s="374"/>
      <c r="J87" s="374"/>
    </row>
    <row r="88" spans="5:10" ht="44.25" customHeight="1" x14ac:dyDescent="0.25">
      <c r="E88" s="374"/>
      <c r="F88" s="374"/>
      <c r="G88" s="374"/>
      <c r="H88" s="374"/>
      <c r="I88" s="374"/>
      <c r="J88" s="374"/>
    </row>
    <row r="89" spans="5:10" ht="44.25" customHeight="1" x14ac:dyDescent="0.25">
      <c r="E89" s="374"/>
      <c r="F89" s="374"/>
      <c r="G89" s="374"/>
      <c r="H89" s="374"/>
      <c r="I89" s="374"/>
      <c r="J89" s="374"/>
    </row>
    <row r="90" spans="5:10" ht="44.25" customHeight="1" x14ac:dyDescent="0.25">
      <c r="E90" s="374"/>
      <c r="F90" s="374"/>
      <c r="G90" s="374"/>
      <c r="H90" s="374"/>
      <c r="I90" s="374"/>
      <c r="J90" s="374"/>
    </row>
    <row r="91" spans="5:10" ht="44.25" customHeight="1" x14ac:dyDescent="0.25">
      <c r="E91" s="374"/>
      <c r="F91" s="374"/>
      <c r="G91" s="374"/>
      <c r="H91" s="374"/>
      <c r="I91" s="374"/>
      <c r="J91" s="374"/>
    </row>
    <row r="92" spans="5:10" ht="44.25" customHeight="1" x14ac:dyDescent="0.25">
      <c r="E92" s="374"/>
      <c r="F92" s="374"/>
      <c r="G92" s="374"/>
      <c r="H92" s="374"/>
      <c r="I92" s="374"/>
      <c r="J92" s="374"/>
    </row>
    <row r="93" spans="5:10" ht="44.25" customHeight="1" x14ac:dyDescent="0.25">
      <c r="E93" s="374"/>
      <c r="F93" s="374"/>
      <c r="G93" s="374"/>
      <c r="H93" s="374"/>
      <c r="I93" s="374"/>
      <c r="J93" s="374"/>
    </row>
    <row r="94" spans="5:10" ht="44.25" customHeight="1" x14ac:dyDescent="0.25">
      <c r="E94" s="374"/>
      <c r="F94" s="374"/>
      <c r="G94" s="374"/>
      <c r="H94" s="374"/>
      <c r="I94" s="374"/>
      <c r="J94" s="374"/>
    </row>
    <row r="95" spans="5:10" ht="44.25" customHeight="1" x14ac:dyDescent="0.25">
      <c r="E95" s="374"/>
      <c r="F95" s="374"/>
      <c r="G95" s="374"/>
      <c r="H95" s="374"/>
      <c r="I95" s="374"/>
      <c r="J95" s="374"/>
    </row>
    <row r="96" spans="5:10" ht="44.25" customHeight="1" x14ac:dyDescent="0.25">
      <c r="E96" s="374"/>
      <c r="F96" s="374"/>
      <c r="G96" s="374"/>
      <c r="H96" s="374"/>
      <c r="I96" s="374"/>
      <c r="J96" s="374"/>
    </row>
    <row r="97" spans="5:10" ht="44.25" customHeight="1" x14ac:dyDescent="0.25">
      <c r="E97" s="374"/>
      <c r="F97" s="374"/>
      <c r="G97" s="374"/>
      <c r="H97" s="374"/>
      <c r="I97" s="374"/>
      <c r="J97" s="374"/>
    </row>
    <row r="98" spans="5:10" ht="44.25" customHeight="1" x14ac:dyDescent="0.25">
      <c r="E98" s="374"/>
      <c r="F98" s="374"/>
      <c r="G98" s="374"/>
      <c r="H98" s="374"/>
      <c r="I98" s="374"/>
      <c r="J98" s="374"/>
    </row>
    <row r="99" spans="5:10" ht="44.25" customHeight="1" x14ac:dyDescent="0.25">
      <c r="E99" s="374"/>
      <c r="F99" s="374"/>
      <c r="G99" s="374"/>
      <c r="H99" s="374"/>
      <c r="I99" s="374"/>
      <c r="J99" s="374"/>
    </row>
    <row r="100" spans="5:10" ht="44.25" customHeight="1" x14ac:dyDescent="0.25">
      <c r="E100" s="374"/>
      <c r="F100" s="374"/>
      <c r="G100" s="374"/>
      <c r="H100" s="374"/>
      <c r="I100" s="374"/>
      <c r="J100" s="374"/>
    </row>
    <row r="101" spans="5:10" ht="44.25" customHeight="1" x14ac:dyDescent="0.25">
      <c r="E101" s="374"/>
      <c r="F101" s="374"/>
      <c r="G101" s="374"/>
      <c r="H101" s="374"/>
      <c r="I101" s="374"/>
      <c r="J101" s="374"/>
    </row>
    <row r="102" spans="5:10" ht="44.25" customHeight="1" x14ac:dyDescent="0.25">
      <c r="E102" s="374"/>
      <c r="F102" s="374"/>
      <c r="G102" s="374"/>
      <c r="H102" s="374"/>
      <c r="I102" s="374"/>
      <c r="J102" s="374"/>
    </row>
    <row r="103" spans="5:10" ht="44.25" customHeight="1" x14ac:dyDescent="0.25">
      <c r="E103" s="374"/>
      <c r="F103" s="374"/>
      <c r="G103" s="374"/>
      <c r="H103" s="374"/>
      <c r="I103" s="374"/>
      <c r="J103" s="374"/>
    </row>
    <row r="104" spans="5:10" ht="44.25" customHeight="1" x14ac:dyDescent="0.25">
      <c r="E104" s="374"/>
      <c r="F104" s="374"/>
      <c r="G104" s="374"/>
      <c r="H104" s="374"/>
      <c r="I104" s="374"/>
      <c r="J104" s="374"/>
    </row>
    <row r="105" spans="5:10" ht="44.25" customHeight="1" x14ac:dyDescent="0.25">
      <c r="E105" s="374"/>
      <c r="F105" s="374"/>
      <c r="G105" s="374"/>
      <c r="H105" s="374"/>
      <c r="I105" s="374"/>
      <c r="J105" s="374"/>
    </row>
    <row r="106" spans="5:10" ht="44.25" customHeight="1" x14ac:dyDescent="0.25">
      <c r="E106" s="374"/>
      <c r="F106" s="374"/>
      <c r="G106" s="374"/>
      <c r="H106" s="374"/>
      <c r="I106" s="374"/>
      <c r="J106" s="374"/>
    </row>
    <row r="107" spans="5:10" ht="44.25" customHeight="1" x14ac:dyDescent="0.25">
      <c r="E107" s="374"/>
      <c r="F107" s="374"/>
      <c r="G107" s="374"/>
      <c r="H107" s="374"/>
      <c r="I107" s="374"/>
      <c r="J107" s="374"/>
    </row>
    <row r="108" spans="5:10" ht="44.25" customHeight="1" x14ac:dyDescent="0.25">
      <c r="E108" s="374"/>
      <c r="F108" s="374"/>
      <c r="G108" s="374"/>
      <c r="H108" s="374"/>
      <c r="I108" s="374"/>
      <c r="J108" s="374"/>
    </row>
    <row r="109" spans="5:10" ht="44.25" customHeight="1" x14ac:dyDescent="0.25">
      <c r="E109" s="374"/>
      <c r="F109" s="374"/>
      <c r="G109" s="374"/>
      <c r="H109" s="374"/>
      <c r="I109" s="374"/>
      <c r="J109" s="374"/>
    </row>
    <row r="110" spans="5:10" ht="44.25" customHeight="1" x14ac:dyDescent="0.25">
      <c r="E110" s="374"/>
      <c r="F110" s="374"/>
      <c r="G110" s="374"/>
      <c r="H110" s="374"/>
      <c r="I110" s="374"/>
      <c r="J110" s="374"/>
    </row>
    <row r="111" spans="5:10" ht="44.25" customHeight="1" x14ac:dyDescent="0.25">
      <c r="E111" s="374"/>
      <c r="F111" s="374"/>
      <c r="G111" s="374"/>
      <c r="H111" s="374"/>
      <c r="I111" s="374"/>
      <c r="J111" s="374"/>
    </row>
    <row r="112" spans="5:10" ht="44.25" customHeight="1" x14ac:dyDescent="0.25">
      <c r="E112" s="374"/>
      <c r="F112" s="374"/>
      <c r="G112" s="374"/>
      <c r="H112" s="374"/>
      <c r="I112" s="374"/>
      <c r="J112" s="374"/>
    </row>
    <row r="113" spans="5:10" ht="44.25" customHeight="1" x14ac:dyDescent="0.25">
      <c r="E113" s="374"/>
      <c r="F113" s="374"/>
      <c r="G113" s="374"/>
      <c r="H113" s="374"/>
      <c r="I113" s="374"/>
      <c r="J113" s="374"/>
    </row>
    <row r="114" spans="5:10" ht="44.25" customHeight="1" x14ac:dyDescent="0.25">
      <c r="E114" s="374"/>
      <c r="F114" s="374"/>
      <c r="G114" s="374"/>
      <c r="H114" s="374"/>
      <c r="I114" s="374"/>
      <c r="J114" s="374"/>
    </row>
    <row r="115" spans="5:10" ht="44.25" customHeight="1" x14ac:dyDescent="0.25">
      <c r="E115" s="374"/>
      <c r="F115" s="374"/>
      <c r="G115" s="374"/>
      <c r="H115" s="374"/>
      <c r="I115" s="374"/>
      <c r="J115" s="374"/>
    </row>
    <row r="116" spans="5:10" ht="44.25" customHeight="1" x14ac:dyDescent="0.25">
      <c r="E116" s="374"/>
      <c r="F116" s="374"/>
      <c r="G116" s="374"/>
      <c r="H116" s="374"/>
      <c r="I116" s="374"/>
      <c r="J116" s="374"/>
    </row>
    <row r="117" spans="5:10" ht="44.25" customHeight="1" x14ac:dyDescent="0.25">
      <c r="E117" s="374"/>
      <c r="F117" s="374"/>
      <c r="G117" s="374"/>
      <c r="H117" s="374"/>
      <c r="I117" s="374"/>
      <c r="J117" s="374"/>
    </row>
    <row r="118" spans="5:10" ht="44.25" customHeight="1" x14ac:dyDescent="0.25">
      <c r="E118" s="374"/>
      <c r="F118" s="374"/>
      <c r="G118" s="374"/>
      <c r="H118" s="374"/>
      <c r="I118" s="374"/>
      <c r="J118" s="374"/>
    </row>
    <row r="119" spans="5:10" ht="44.25" customHeight="1" x14ac:dyDescent="0.25">
      <c r="E119" s="374"/>
      <c r="F119" s="374"/>
      <c r="G119" s="374"/>
      <c r="H119" s="374"/>
      <c r="I119" s="374"/>
      <c r="J119" s="374"/>
    </row>
    <row r="120" spans="5:10" ht="44.25" customHeight="1" x14ac:dyDescent="0.25">
      <c r="E120" s="374"/>
      <c r="F120" s="374"/>
      <c r="G120" s="374"/>
      <c r="H120" s="374"/>
      <c r="I120" s="374"/>
      <c r="J120" s="374"/>
    </row>
    <row r="121" spans="5:10" ht="44.25" customHeight="1" x14ac:dyDescent="0.25">
      <c r="E121" s="374"/>
      <c r="F121" s="374"/>
      <c r="G121" s="374"/>
      <c r="H121" s="374"/>
      <c r="I121" s="374"/>
      <c r="J121" s="374"/>
    </row>
    <row r="122" spans="5:10" ht="44.25" customHeight="1" x14ac:dyDescent="0.25">
      <c r="E122" s="374"/>
      <c r="F122" s="374"/>
      <c r="G122" s="374"/>
      <c r="H122" s="374"/>
      <c r="I122" s="374"/>
      <c r="J122" s="374"/>
    </row>
    <row r="123" spans="5:10" ht="44.25" customHeight="1" x14ac:dyDescent="0.25">
      <c r="E123" s="374"/>
      <c r="F123" s="374"/>
      <c r="G123" s="374"/>
      <c r="H123" s="374"/>
      <c r="I123" s="374"/>
      <c r="J123" s="374"/>
    </row>
    <row r="124" spans="5:10" ht="44.25" customHeight="1" x14ac:dyDescent="0.25">
      <c r="E124" s="374"/>
      <c r="F124" s="374"/>
      <c r="G124" s="374"/>
      <c r="H124" s="374"/>
      <c r="I124" s="374"/>
      <c r="J124" s="374"/>
    </row>
    <row r="125" spans="5:10" ht="44.25" customHeight="1" x14ac:dyDescent="0.25">
      <c r="E125" s="374"/>
      <c r="F125" s="374"/>
      <c r="G125" s="374"/>
      <c r="H125" s="374"/>
      <c r="I125" s="374"/>
      <c r="J125" s="374"/>
    </row>
    <row r="126" spans="5:10" ht="44.25" customHeight="1" x14ac:dyDescent="0.25">
      <c r="E126" s="374"/>
      <c r="F126" s="374"/>
      <c r="G126" s="374"/>
      <c r="H126" s="374"/>
      <c r="I126" s="374"/>
      <c r="J126" s="374"/>
    </row>
    <row r="127" spans="5:10" ht="44.25" customHeight="1" x14ac:dyDescent="0.25">
      <c r="E127" s="374"/>
      <c r="F127" s="374"/>
      <c r="G127" s="374"/>
      <c r="H127" s="374"/>
      <c r="I127" s="374"/>
      <c r="J127" s="374"/>
    </row>
    <row r="128" spans="5:10" ht="44.25" customHeight="1" x14ac:dyDescent="0.25">
      <c r="E128" s="374"/>
      <c r="F128" s="374"/>
      <c r="G128" s="374"/>
      <c r="H128" s="374"/>
      <c r="I128" s="374"/>
      <c r="J128" s="374"/>
    </row>
    <row r="129" spans="5:10" ht="44.25" customHeight="1" x14ac:dyDescent="0.25">
      <c r="E129" s="374"/>
      <c r="F129" s="374"/>
      <c r="G129" s="374"/>
      <c r="H129" s="374"/>
      <c r="I129" s="374"/>
      <c r="J129" s="374"/>
    </row>
    <row r="130" spans="5:10" ht="44.25" customHeight="1" x14ac:dyDescent="0.25">
      <c r="E130" s="374"/>
      <c r="F130" s="374"/>
      <c r="G130" s="374"/>
      <c r="H130" s="374"/>
      <c r="I130" s="374"/>
      <c r="J130" s="374"/>
    </row>
    <row r="131" spans="5:10" ht="44.25" customHeight="1" x14ac:dyDescent="0.25">
      <c r="E131" s="374"/>
      <c r="F131" s="374"/>
      <c r="G131" s="374"/>
      <c r="H131" s="374"/>
      <c r="I131" s="374"/>
      <c r="J131" s="374"/>
    </row>
    <row r="132" spans="5:10" ht="44.25" customHeight="1" x14ac:dyDescent="0.25">
      <c r="E132" s="374"/>
      <c r="F132" s="374"/>
      <c r="G132" s="374"/>
      <c r="H132" s="374"/>
      <c r="I132" s="374"/>
      <c r="J132" s="374"/>
    </row>
    <row r="133" spans="5:10" ht="44.25" customHeight="1" x14ac:dyDescent="0.25">
      <c r="E133" s="374"/>
      <c r="F133" s="374"/>
      <c r="G133" s="374"/>
      <c r="H133" s="374"/>
      <c r="I133" s="374"/>
      <c r="J133" s="374"/>
    </row>
    <row r="134" spans="5:10" ht="44.25" customHeight="1" x14ac:dyDescent="0.25">
      <c r="E134" s="374"/>
      <c r="F134" s="374"/>
      <c r="G134" s="374"/>
      <c r="H134" s="374"/>
      <c r="I134" s="374"/>
      <c r="J134" s="374"/>
    </row>
    <row r="135" spans="5:10" ht="44.25" customHeight="1" x14ac:dyDescent="0.25">
      <c r="E135" s="374"/>
      <c r="F135" s="374"/>
      <c r="G135" s="374"/>
      <c r="H135" s="374"/>
      <c r="I135" s="374"/>
      <c r="J135" s="374"/>
    </row>
    <row r="136" spans="5:10" ht="44.25" customHeight="1" x14ac:dyDescent="0.25">
      <c r="E136" s="374"/>
      <c r="F136" s="374"/>
      <c r="G136" s="374"/>
      <c r="H136" s="374"/>
      <c r="I136" s="374"/>
      <c r="J136" s="374"/>
    </row>
    <row r="137" spans="5:10" ht="44.25" customHeight="1" x14ac:dyDescent="0.25">
      <c r="E137" s="374"/>
      <c r="F137" s="374"/>
      <c r="G137" s="374"/>
      <c r="H137" s="374"/>
      <c r="I137" s="374"/>
      <c r="J137" s="374"/>
    </row>
    <row r="138" spans="5:10" ht="44.25" customHeight="1" x14ac:dyDescent="0.25">
      <c r="E138" s="374"/>
      <c r="F138" s="374"/>
      <c r="G138" s="374"/>
      <c r="H138" s="374"/>
      <c r="I138" s="374"/>
      <c r="J138" s="374"/>
    </row>
    <row r="139" spans="5:10" ht="44.25" customHeight="1" x14ac:dyDescent="0.25">
      <c r="E139" s="374"/>
      <c r="F139" s="374"/>
      <c r="G139" s="374"/>
      <c r="H139" s="374"/>
      <c r="I139" s="374"/>
      <c r="J139" s="374"/>
    </row>
    <row r="140" spans="5:10" ht="44.25" customHeight="1" x14ac:dyDescent="0.25">
      <c r="E140" s="374"/>
      <c r="F140" s="374"/>
      <c r="G140" s="374"/>
      <c r="H140" s="374"/>
      <c r="I140" s="374"/>
      <c r="J140" s="374"/>
    </row>
    <row r="141" spans="5:10" ht="44.25" customHeight="1" x14ac:dyDescent="0.25">
      <c r="E141" s="374"/>
      <c r="F141" s="374"/>
      <c r="G141" s="374"/>
      <c r="H141" s="374"/>
      <c r="I141" s="374"/>
      <c r="J141" s="374"/>
    </row>
    <row r="142" spans="5:10" ht="44.25" customHeight="1" x14ac:dyDescent="0.25">
      <c r="E142" s="374"/>
      <c r="F142" s="374"/>
      <c r="G142" s="374"/>
      <c r="H142" s="374"/>
      <c r="I142" s="374"/>
      <c r="J142" s="374"/>
    </row>
    <row r="143" spans="5:10" ht="44.25" customHeight="1" x14ac:dyDescent="0.25">
      <c r="E143" s="374"/>
      <c r="F143" s="374"/>
      <c r="G143" s="374"/>
      <c r="H143" s="374"/>
      <c r="I143" s="374"/>
      <c r="J143" s="374"/>
    </row>
  </sheetData>
  <mergeCells count="323">
    <mergeCell ref="C1:G2"/>
    <mergeCell ref="C3:G4"/>
    <mergeCell ref="A1:B4"/>
    <mergeCell ref="M26:P29"/>
    <mergeCell ref="C39:D39"/>
    <mergeCell ref="E39:F39"/>
    <mergeCell ref="G39:J39"/>
    <mergeCell ref="C40:D40"/>
    <mergeCell ref="E40:F40"/>
    <mergeCell ref="G40:J40"/>
    <mergeCell ref="G34:J34"/>
    <mergeCell ref="C35:D35"/>
    <mergeCell ref="E35:F35"/>
    <mergeCell ref="G35:J35"/>
    <mergeCell ref="C32:D32"/>
    <mergeCell ref="E32:F32"/>
    <mergeCell ref="G32:J32"/>
    <mergeCell ref="C33:D33"/>
    <mergeCell ref="E33:F33"/>
    <mergeCell ref="G33:J33"/>
    <mergeCell ref="L39:N49"/>
    <mergeCell ref="C48:D48"/>
    <mergeCell ref="E48:F48"/>
    <mergeCell ref="G48:J48"/>
    <mergeCell ref="C45:D45"/>
    <mergeCell ref="E45:F45"/>
    <mergeCell ref="C41:D41"/>
    <mergeCell ref="A5:J5"/>
    <mergeCell ref="A6:J7"/>
    <mergeCell ref="I1:J4"/>
    <mergeCell ref="A8:D25"/>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G14:J14"/>
    <mergeCell ref="E21:F21"/>
    <mergeCell ref="G21:J21"/>
    <mergeCell ref="E22:F22"/>
    <mergeCell ref="G22:J22"/>
    <mergeCell ref="E23:F23"/>
    <mergeCell ref="G23:J23"/>
    <mergeCell ref="E18:F18"/>
    <mergeCell ref="G18:J18"/>
    <mergeCell ref="E19:F19"/>
    <mergeCell ref="G19:J19"/>
    <mergeCell ref="E20:F20"/>
    <mergeCell ref="G20:J20"/>
    <mergeCell ref="E24:F24"/>
    <mergeCell ref="G24:J24"/>
    <mergeCell ref="E25:F25"/>
    <mergeCell ref="G25:J25"/>
    <mergeCell ref="A26:A65"/>
    <mergeCell ref="B26:B38"/>
    <mergeCell ref="C26:D26"/>
    <mergeCell ref="E26:F26"/>
    <mergeCell ref="G26:J26"/>
    <mergeCell ref="C27:D27"/>
    <mergeCell ref="C30:D30"/>
    <mergeCell ref="E30:F30"/>
    <mergeCell ref="G30:J30"/>
    <mergeCell ref="C31:D31"/>
    <mergeCell ref="E31:F31"/>
    <mergeCell ref="G31:J31"/>
    <mergeCell ref="E27:F27"/>
    <mergeCell ref="G27:J27"/>
    <mergeCell ref="C28:D28"/>
    <mergeCell ref="E28:F28"/>
    <mergeCell ref="G28:J28"/>
    <mergeCell ref="C29:D29"/>
    <mergeCell ref="E29:F29"/>
    <mergeCell ref="G29:J29"/>
    <mergeCell ref="C34:D34"/>
    <mergeCell ref="E34:F34"/>
    <mergeCell ref="B50:B65"/>
    <mergeCell ref="C50:D50"/>
    <mergeCell ref="E50:F50"/>
    <mergeCell ref="G50:J50"/>
    <mergeCell ref="C51:D51"/>
    <mergeCell ref="E51:F51"/>
    <mergeCell ref="G51:J51"/>
    <mergeCell ref="C36:D36"/>
    <mergeCell ref="E36:F36"/>
    <mergeCell ref="G36:J36"/>
    <mergeCell ref="C37:D37"/>
    <mergeCell ref="E37:F37"/>
    <mergeCell ref="G37:J37"/>
    <mergeCell ref="C52:D52"/>
    <mergeCell ref="E52:F52"/>
    <mergeCell ref="G52:J52"/>
    <mergeCell ref="C53:D53"/>
    <mergeCell ref="E53:F53"/>
    <mergeCell ref="G53:J53"/>
    <mergeCell ref="C38:D38"/>
    <mergeCell ref="E38:F38"/>
    <mergeCell ref="G38:J38"/>
    <mergeCell ref="C56:D56"/>
    <mergeCell ref="E56:F56"/>
    <mergeCell ref="G56:J56"/>
    <mergeCell ref="C57:D57"/>
    <mergeCell ref="E57:F57"/>
    <mergeCell ref="G57:J57"/>
    <mergeCell ref="C54:D54"/>
    <mergeCell ref="E54:F54"/>
    <mergeCell ref="G54:J54"/>
    <mergeCell ref="C55:D55"/>
    <mergeCell ref="E55:F55"/>
    <mergeCell ref="G55:J55"/>
    <mergeCell ref="C60:D60"/>
    <mergeCell ref="E60:F60"/>
    <mergeCell ref="G60:J60"/>
    <mergeCell ref="C61:D61"/>
    <mergeCell ref="E61:F61"/>
    <mergeCell ref="G61:J61"/>
    <mergeCell ref="C58:D58"/>
    <mergeCell ref="E58:F58"/>
    <mergeCell ref="G58:J58"/>
    <mergeCell ref="C59:D59"/>
    <mergeCell ref="E59:F59"/>
    <mergeCell ref="G59:J59"/>
    <mergeCell ref="C64:D64"/>
    <mergeCell ref="E64:F64"/>
    <mergeCell ref="G64:J64"/>
    <mergeCell ref="C65:D65"/>
    <mergeCell ref="E65:F65"/>
    <mergeCell ref="G65:J65"/>
    <mergeCell ref="C62:D62"/>
    <mergeCell ref="E62:F62"/>
    <mergeCell ref="G62:J62"/>
    <mergeCell ref="C63:D63"/>
    <mergeCell ref="E63:F63"/>
    <mergeCell ref="G63:J63"/>
    <mergeCell ref="E69:F69"/>
    <mergeCell ref="G69:J69"/>
    <mergeCell ref="E70:F70"/>
    <mergeCell ref="G70:J70"/>
    <mergeCell ref="E71:F71"/>
    <mergeCell ref="G71:J71"/>
    <mergeCell ref="E66:F66"/>
    <mergeCell ref="G66:J66"/>
    <mergeCell ref="E67:F67"/>
    <mergeCell ref="G67:J67"/>
    <mergeCell ref="E68:F68"/>
    <mergeCell ref="G68:J68"/>
    <mergeCell ref="E75:F75"/>
    <mergeCell ref="G75:J75"/>
    <mergeCell ref="E76:F76"/>
    <mergeCell ref="G76:J76"/>
    <mergeCell ref="E77:F77"/>
    <mergeCell ref="G77:J77"/>
    <mergeCell ref="E72:F72"/>
    <mergeCell ref="G72:J72"/>
    <mergeCell ref="E73:F73"/>
    <mergeCell ref="G73:J73"/>
    <mergeCell ref="E74:F74"/>
    <mergeCell ref="G74:J74"/>
    <mergeCell ref="E81:F81"/>
    <mergeCell ref="G81:J81"/>
    <mergeCell ref="E82:F82"/>
    <mergeCell ref="G82:J82"/>
    <mergeCell ref="E83:F83"/>
    <mergeCell ref="G83:J83"/>
    <mergeCell ref="E78:F78"/>
    <mergeCell ref="G78:J78"/>
    <mergeCell ref="E79:F79"/>
    <mergeCell ref="G79:J79"/>
    <mergeCell ref="E80:F80"/>
    <mergeCell ref="G80:J80"/>
    <mergeCell ref="E87:F87"/>
    <mergeCell ref="G87:J87"/>
    <mergeCell ref="E88:F88"/>
    <mergeCell ref="G88:J88"/>
    <mergeCell ref="E89:F89"/>
    <mergeCell ref="G89:J89"/>
    <mergeCell ref="E84:F84"/>
    <mergeCell ref="G84:J84"/>
    <mergeCell ref="E85:F85"/>
    <mergeCell ref="G85:J85"/>
    <mergeCell ref="E86:F86"/>
    <mergeCell ref="G86:J86"/>
    <mergeCell ref="E93:F93"/>
    <mergeCell ref="G93:J93"/>
    <mergeCell ref="E94:F94"/>
    <mergeCell ref="G94:J94"/>
    <mergeCell ref="E95:F95"/>
    <mergeCell ref="G95:J95"/>
    <mergeCell ref="E90:F90"/>
    <mergeCell ref="G90:J90"/>
    <mergeCell ref="E91:F91"/>
    <mergeCell ref="G91:J91"/>
    <mergeCell ref="E92:F92"/>
    <mergeCell ref="G92:J92"/>
    <mergeCell ref="E99:F99"/>
    <mergeCell ref="G99:J99"/>
    <mergeCell ref="E100:F100"/>
    <mergeCell ref="G100:J100"/>
    <mergeCell ref="E101:F101"/>
    <mergeCell ref="G101:J101"/>
    <mergeCell ref="E96:F96"/>
    <mergeCell ref="G96:J96"/>
    <mergeCell ref="E97:F97"/>
    <mergeCell ref="G97:J97"/>
    <mergeCell ref="E98:F98"/>
    <mergeCell ref="G98:J98"/>
    <mergeCell ref="E105:F105"/>
    <mergeCell ref="G105:J105"/>
    <mergeCell ref="E106:F106"/>
    <mergeCell ref="G106:J106"/>
    <mergeCell ref="E107:F107"/>
    <mergeCell ref="G107:J107"/>
    <mergeCell ref="E102:F102"/>
    <mergeCell ref="G102:J102"/>
    <mergeCell ref="E103:F103"/>
    <mergeCell ref="G103:J103"/>
    <mergeCell ref="E104:F104"/>
    <mergeCell ref="G104:J104"/>
    <mergeCell ref="E111:F111"/>
    <mergeCell ref="G111:J111"/>
    <mergeCell ref="E112:F112"/>
    <mergeCell ref="G112:J112"/>
    <mergeCell ref="E113:F113"/>
    <mergeCell ref="G113:J113"/>
    <mergeCell ref="E108:F108"/>
    <mergeCell ref="G108:J108"/>
    <mergeCell ref="E109:F109"/>
    <mergeCell ref="G109:J109"/>
    <mergeCell ref="E110:F110"/>
    <mergeCell ref="G110:J110"/>
    <mergeCell ref="E117:F117"/>
    <mergeCell ref="G117:J117"/>
    <mergeCell ref="E118:F118"/>
    <mergeCell ref="G118:J118"/>
    <mergeCell ref="E119:F119"/>
    <mergeCell ref="G119:J119"/>
    <mergeCell ref="E114:F114"/>
    <mergeCell ref="G114:J114"/>
    <mergeCell ref="E115:F115"/>
    <mergeCell ref="G115:J115"/>
    <mergeCell ref="E116:F116"/>
    <mergeCell ref="G116:J116"/>
    <mergeCell ref="E123:F123"/>
    <mergeCell ref="G123:J123"/>
    <mergeCell ref="E124:F124"/>
    <mergeCell ref="G124:J124"/>
    <mergeCell ref="E125:F125"/>
    <mergeCell ref="G125:J125"/>
    <mergeCell ref="E120:F120"/>
    <mergeCell ref="G120:J120"/>
    <mergeCell ref="E121:F121"/>
    <mergeCell ref="G121:J121"/>
    <mergeCell ref="E122:F122"/>
    <mergeCell ref="G122:J122"/>
    <mergeCell ref="E129:F129"/>
    <mergeCell ref="G129:J129"/>
    <mergeCell ref="E130:F130"/>
    <mergeCell ref="G130:J130"/>
    <mergeCell ref="E131:F131"/>
    <mergeCell ref="G131:J131"/>
    <mergeCell ref="E126:F126"/>
    <mergeCell ref="G126:J126"/>
    <mergeCell ref="E127:F127"/>
    <mergeCell ref="G127:J127"/>
    <mergeCell ref="E128:F128"/>
    <mergeCell ref="G128:J128"/>
    <mergeCell ref="E135:F135"/>
    <mergeCell ref="G135:J135"/>
    <mergeCell ref="E136:F136"/>
    <mergeCell ref="G136:J136"/>
    <mergeCell ref="E137:F137"/>
    <mergeCell ref="G137:J137"/>
    <mergeCell ref="E132:F132"/>
    <mergeCell ref="G132:J132"/>
    <mergeCell ref="E133:F133"/>
    <mergeCell ref="G133:J133"/>
    <mergeCell ref="E134:F134"/>
    <mergeCell ref="G134:J134"/>
    <mergeCell ref="E141:F141"/>
    <mergeCell ref="G141:J141"/>
    <mergeCell ref="E142:F142"/>
    <mergeCell ref="G142:J142"/>
    <mergeCell ref="E143:F143"/>
    <mergeCell ref="G143:J143"/>
    <mergeCell ref="E138:F138"/>
    <mergeCell ref="G138:J138"/>
    <mergeCell ref="E139:F139"/>
    <mergeCell ref="G139:J139"/>
    <mergeCell ref="E140:F140"/>
    <mergeCell ref="G140:J140"/>
    <mergeCell ref="E41:F41"/>
    <mergeCell ref="G41:J41"/>
    <mergeCell ref="C42:D42"/>
    <mergeCell ref="E42:F42"/>
    <mergeCell ref="G45:J45"/>
    <mergeCell ref="C49:D49"/>
    <mergeCell ref="E49:F49"/>
    <mergeCell ref="G49:J49"/>
    <mergeCell ref="C43:D43"/>
    <mergeCell ref="E43:F43"/>
    <mergeCell ref="G43:J43"/>
    <mergeCell ref="C46:D46"/>
    <mergeCell ref="E46:F46"/>
    <mergeCell ref="G46:J46"/>
    <mergeCell ref="C47:D47"/>
    <mergeCell ref="E47:F47"/>
    <mergeCell ref="G47:J47"/>
    <mergeCell ref="G42:J42"/>
    <mergeCell ref="E44:F44"/>
    <mergeCell ref="G44:J44"/>
    <mergeCell ref="C44:D44"/>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2060"/>
  </sheetPr>
  <dimension ref="A1:BS71"/>
  <sheetViews>
    <sheetView zoomScale="85" zoomScaleNormal="85" zoomScaleSheetLayoutView="30" workbookViewId="0">
      <pane ySplit="1" topLeftCell="A34" activePane="bottomLeft" state="frozen"/>
      <selection pane="bottomLeft" activeCell="H10" sqref="H10:H15"/>
    </sheetView>
  </sheetViews>
  <sheetFormatPr baseColWidth="10" defaultColWidth="11.44140625" defaultRowHeight="13.8" x14ac:dyDescent="0.25"/>
  <cols>
    <col min="1" max="1" width="4" style="2" bestFit="1" customWidth="1"/>
    <col min="2" max="2" width="7.44140625" style="2" customWidth="1"/>
    <col min="3" max="3" width="15.5546875" style="207" customWidth="1"/>
    <col min="4" max="4" width="9.6640625" style="207" customWidth="1"/>
    <col min="5" max="5" width="19.6640625" style="213" customWidth="1"/>
    <col min="6" max="6" width="28.5546875" style="205" customWidth="1"/>
    <col min="7" max="7" width="5.6640625" style="215" customWidth="1"/>
    <col min="8" max="8" width="15.5546875" style="1" customWidth="1"/>
    <col min="9" max="9" width="7.6640625" style="4" customWidth="1"/>
    <col min="10" max="10" width="9.109375" style="1" customWidth="1"/>
    <col min="11" max="11" width="7.33203125" style="215" customWidth="1"/>
    <col min="12" max="12" width="6.6640625" style="1" customWidth="1"/>
    <col min="13" max="13" width="9" style="1" customWidth="1"/>
    <col min="14" max="14" width="28.33203125" style="1" hidden="1" customWidth="1"/>
    <col min="15" max="15" width="6" style="215" customWidth="1"/>
    <col min="16" max="16" width="7.6640625" style="1" customWidth="1"/>
    <col min="17" max="17" width="7" style="215" customWidth="1"/>
    <col min="18" max="18" width="5.88671875" style="1" customWidth="1"/>
    <col min="19" max="19" width="51.5546875" style="1" customWidth="1"/>
    <col min="20" max="20" width="5.88671875" style="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6.6640625" style="1" customWidth="1"/>
    <col min="28" max="28" width="5.88671875" style="1" customWidth="1"/>
    <col min="29" max="29" width="7.44140625" style="1" customWidth="1"/>
    <col min="30" max="30" width="4.33203125" style="1" customWidth="1"/>
    <col min="31" max="31" width="9.109375" style="1" customWidth="1"/>
    <col min="32" max="32" width="3.88671875" style="1" customWidth="1"/>
    <col min="33" max="33" width="7.33203125" style="1" customWidth="1"/>
    <col min="34" max="34" width="44.33203125" style="1" customWidth="1"/>
    <col min="35" max="35" width="12.109375" style="1" customWidth="1"/>
    <col min="36" max="36" width="9.109375" style="215" customWidth="1"/>
    <col min="37" max="37" width="8.109375" style="1" customWidth="1"/>
    <col min="38" max="38" width="5.109375" style="1" customWidth="1"/>
    <col min="39" max="39" width="10.33203125" style="1" customWidth="1"/>
    <col min="40" max="16384" width="11.44140625" style="1"/>
  </cols>
  <sheetData>
    <row r="1" spans="1:71" ht="16.5" customHeight="1" x14ac:dyDescent="0.25">
      <c r="A1" s="438" t="s">
        <v>139</v>
      </c>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40"/>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1" ht="24" customHeight="1" x14ac:dyDescent="0.25">
      <c r="A2" s="441"/>
      <c r="B2" s="442"/>
      <c r="C2" s="442"/>
      <c r="D2" s="442"/>
      <c r="E2" s="442"/>
      <c r="F2" s="442"/>
      <c r="G2" s="442"/>
      <c r="H2" s="442"/>
      <c r="I2" s="442"/>
      <c r="J2" s="442"/>
      <c r="K2" s="442"/>
      <c r="L2" s="442"/>
      <c r="M2" s="442"/>
      <c r="N2" s="442"/>
      <c r="O2" s="442"/>
      <c r="P2" s="442"/>
      <c r="Q2" s="442"/>
      <c r="R2" s="442"/>
      <c r="S2" s="442"/>
      <c r="T2" s="442"/>
      <c r="U2" s="442"/>
      <c r="V2" s="442"/>
      <c r="W2" s="442"/>
      <c r="X2" s="442"/>
      <c r="Y2" s="442"/>
      <c r="Z2" s="442"/>
      <c r="AA2" s="442"/>
      <c r="AB2" s="442"/>
      <c r="AC2" s="442"/>
      <c r="AD2" s="442"/>
      <c r="AE2" s="442"/>
      <c r="AF2" s="442"/>
      <c r="AG2" s="442"/>
      <c r="AH2" s="442"/>
      <c r="AI2" s="442"/>
      <c r="AJ2" s="442"/>
      <c r="AK2" s="442"/>
      <c r="AL2" s="442"/>
      <c r="AM2" s="443"/>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x14ac:dyDescent="0.25">
      <c r="A3" s="26"/>
      <c r="B3" s="27"/>
      <c r="C3" s="27"/>
      <c r="D3" s="27"/>
      <c r="E3" s="212"/>
      <c r="F3" s="204"/>
      <c r="G3" s="214"/>
      <c r="H3" s="7"/>
      <c r="I3" s="25"/>
      <c r="J3" s="7"/>
      <c r="K3" s="214"/>
      <c r="L3" s="7"/>
      <c r="M3" s="7"/>
      <c r="N3" s="7"/>
      <c r="O3" s="214"/>
      <c r="P3" s="7"/>
      <c r="Q3" s="214"/>
      <c r="R3" s="7"/>
      <c r="S3" s="7"/>
      <c r="T3" s="7"/>
      <c r="U3" s="7"/>
      <c r="V3" s="7"/>
      <c r="W3" s="7"/>
      <c r="X3" s="7"/>
      <c r="Y3" s="7"/>
      <c r="Z3" s="7"/>
      <c r="AA3" s="7"/>
      <c r="AB3" s="7"/>
      <c r="AC3" s="7"/>
      <c r="AD3" s="7"/>
      <c r="AE3" s="7"/>
      <c r="AF3" s="7"/>
      <c r="AG3" s="7"/>
      <c r="AH3" s="7"/>
      <c r="AI3" s="7"/>
      <c r="AJ3" s="214"/>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26.25" customHeight="1" x14ac:dyDescent="0.25">
      <c r="A4" s="536" t="s">
        <v>43</v>
      </c>
      <c r="B4" s="537"/>
      <c r="C4" s="435" t="s">
        <v>360</v>
      </c>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5"/>
      <c r="AM4" s="435"/>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30" customHeight="1" x14ac:dyDescent="0.25">
      <c r="A5" s="536" t="s">
        <v>125</v>
      </c>
      <c r="B5" s="537"/>
      <c r="C5" s="436" t="s">
        <v>361</v>
      </c>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c r="AL5" s="436"/>
      <c r="AM5" s="436"/>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49.5" customHeight="1" x14ac:dyDescent="0.25">
      <c r="A6" s="536" t="s">
        <v>44</v>
      </c>
      <c r="B6" s="537"/>
      <c r="C6" s="437" t="s">
        <v>362</v>
      </c>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c r="AL6" s="437"/>
      <c r="AM6" s="43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row>
    <row r="7" spans="1:71" x14ac:dyDescent="0.25">
      <c r="A7" s="444" t="s">
        <v>134</v>
      </c>
      <c r="B7" s="445"/>
      <c r="C7" s="446"/>
      <c r="D7" s="446"/>
      <c r="E7" s="446"/>
      <c r="F7" s="446"/>
      <c r="G7" s="446"/>
      <c r="H7" s="446"/>
      <c r="I7" s="446"/>
      <c r="J7" s="447"/>
      <c r="K7" s="448" t="s">
        <v>135</v>
      </c>
      <c r="L7" s="446"/>
      <c r="M7" s="446"/>
      <c r="N7" s="446"/>
      <c r="O7" s="446"/>
      <c r="P7" s="446"/>
      <c r="Q7" s="447"/>
      <c r="R7" s="448" t="s">
        <v>136</v>
      </c>
      <c r="S7" s="446"/>
      <c r="T7" s="446"/>
      <c r="U7" s="446"/>
      <c r="V7" s="446"/>
      <c r="W7" s="446"/>
      <c r="X7" s="446"/>
      <c r="Y7" s="446"/>
      <c r="Z7" s="447"/>
      <c r="AA7" s="448" t="s">
        <v>137</v>
      </c>
      <c r="AB7" s="446"/>
      <c r="AC7" s="446"/>
      <c r="AD7" s="446"/>
      <c r="AE7" s="446"/>
      <c r="AF7" s="446"/>
      <c r="AG7" s="447"/>
      <c r="AH7" s="448" t="s">
        <v>34</v>
      </c>
      <c r="AI7" s="446"/>
      <c r="AJ7" s="446"/>
      <c r="AK7" s="446"/>
      <c r="AL7" s="446"/>
      <c r="AM7" s="44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row>
    <row r="8" spans="1:71" ht="16.5" customHeight="1" x14ac:dyDescent="0.25">
      <c r="A8" s="538" t="s">
        <v>0</v>
      </c>
      <c r="B8" s="554" t="s">
        <v>2</v>
      </c>
      <c r="C8" s="544" t="s">
        <v>3</v>
      </c>
      <c r="D8" s="544" t="s">
        <v>42</v>
      </c>
      <c r="E8" s="555" t="s">
        <v>203</v>
      </c>
      <c r="F8" s="542" t="s">
        <v>1</v>
      </c>
      <c r="G8" s="216"/>
      <c r="H8" s="130"/>
      <c r="I8" s="540" t="s">
        <v>50</v>
      </c>
      <c r="J8" s="541" t="s">
        <v>130</v>
      </c>
      <c r="K8" s="549" t="s">
        <v>33</v>
      </c>
      <c r="L8" s="551" t="s">
        <v>5</v>
      </c>
      <c r="M8" s="540" t="s">
        <v>86</v>
      </c>
      <c r="N8" s="540" t="s">
        <v>91</v>
      </c>
      <c r="O8" s="552" t="s">
        <v>45</v>
      </c>
      <c r="P8" s="551" t="s">
        <v>5</v>
      </c>
      <c r="Q8" s="550" t="s">
        <v>48</v>
      </c>
      <c r="R8" s="546" t="s">
        <v>11</v>
      </c>
      <c r="S8" s="534" t="s">
        <v>152</v>
      </c>
      <c r="T8" s="540" t="s">
        <v>12</v>
      </c>
      <c r="U8" s="534" t="s">
        <v>8</v>
      </c>
      <c r="V8" s="534"/>
      <c r="W8" s="534"/>
      <c r="X8" s="534"/>
      <c r="Y8" s="534"/>
      <c r="Z8" s="534"/>
      <c r="AA8" s="548" t="s">
        <v>133</v>
      </c>
      <c r="AB8" s="548" t="s">
        <v>46</v>
      </c>
      <c r="AC8" s="548" t="s">
        <v>5</v>
      </c>
      <c r="AD8" s="548" t="s">
        <v>47</v>
      </c>
      <c r="AE8" s="548" t="s">
        <v>5</v>
      </c>
      <c r="AF8" s="548" t="s">
        <v>49</v>
      </c>
      <c r="AG8" s="546" t="s">
        <v>29</v>
      </c>
      <c r="AH8" s="534" t="s">
        <v>34</v>
      </c>
      <c r="AI8" s="534" t="s">
        <v>35</v>
      </c>
      <c r="AJ8" s="535" t="s">
        <v>36</v>
      </c>
      <c r="AK8" s="534" t="s">
        <v>38</v>
      </c>
      <c r="AL8" s="534" t="s">
        <v>37</v>
      </c>
      <c r="AM8" s="534" t="s">
        <v>39</v>
      </c>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row>
    <row r="9" spans="1:71" s="3" customFormat="1" ht="94.5" customHeight="1" x14ac:dyDescent="0.3">
      <c r="A9" s="539"/>
      <c r="B9" s="554"/>
      <c r="C9" s="545"/>
      <c r="D9" s="545"/>
      <c r="E9" s="556"/>
      <c r="F9" s="543"/>
      <c r="G9" s="216" t="s">
        <v>259</v>
      </c>
      <c r="H9" s="130" t="s">
        <v>204</v>
      </c>
      <c r="I9" s="541"/>
      <c r="J9" s="534"/>
      <c r="K9" s="550"/>
      <c r="L9" s="448"/>
      <c r="M9" s="541"/>
      <c r="N9" s="541"/>
      <c r="O9" s="553"/>
      <c r="P9" s="448"/>
      <c r="Q9" s="535"/>
      <c r="R9" s="547"/>
      <c r="S9" s="534"/>
      <c r="T9" s="541"/>
      <c r="U9" s="6" t="s">
        <v>13</v>
      </c>
      <c r="V9" s="6" t="s">
        <v>17</v>
      </c>
      <c r="W9" s="6" t="s">
        <v>28</v>
      </c>
      <c r="X9" s="6" t="s">
        <v>18</v>
      </c>
      <c r="Y9" s="6" t="s">
        <v>21</v>
      </c>
      <c r="Z9" s="6" t="s">
        <v>24</v>
      </c>
      <c r="AA9" s="548"/>
      <c r="AB9" s="548"/>
      <c r="AC9" s="548"/>
      <c r="AD9" s="548"/>
      <c r="AE9" s="548"/>
      <c r="AF9" s="548"/>
      <c r="AG9" s="547"/>
      <c r="AH9" s="534"/>
      <c r="AI9" s="534"/>
      <c r="AJ9" s="535"/>
      <c r="AK9" s="534"/>
      <c r="AL9" s="534"/>
      <c r="AM9" s="53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row>
    <row r="10" spans="1:71" s="232" customFormat="1" ht="375.75" customHeight="1" x14ac:dyDescent="0.3">
      <c r="A10" s="485">
        <v>1</v>
      </c>
      <c r="B10" s="512" t="s">
        <v>129</v>
      </c>
      <c r="C10" s="557" t="s">
        <v>417</v>
      </c>
      <c r="D10" s="560" t="s">
        <v>363</v>
      </c>
      <c r="E10" s="218" t="str">
        <f>'Priorizacion de Causas'!B35</f>
        <v>Deficiente seguimiento por parte de los ordenadores del gasto  en la ejecución presupuestal</v>
      </c>
      <c r="F10" s="563" t="s">
        <v>420</v>
      </c>
      <c r="G10" s="569" t="s">
        <v>364</v>
      </c>
      <c r="H10" s="566" t="s">
        <v>365</v>
      </c>
      <c r="I10" s="578" t="s">
        <v>118</v>
      </c>
      <c r="J10" s="522">
        <f>11+3</f>
        <v>14</v>
      </c>
      <c r="K10" s="509" t="str">
        <f>IF(J10&lt;=0,"",IF(J10&lt;=2,"Muy Baja",IF(J10&lt;=24,"Baja",IF(J10&lt;=500,"Media",IF(J10&lt;=5000,"Alta","Muy Alta")))))</f>
        <v>Baja</v>
      </c>
      <c r="L10" s="479">
        <f>IF(K10="","",IF(K10="Muy Baja",0.2,IF(K10="Baja",0.4,IF(K10="Media",0.6,IF(K10="Alta",0.8,IF(K10="Muy Alta",1,))))))</f>
        <v>0.4</v>
      </c>
      <c r="M10" s="525" t="s">
        <v>213</v>
      </c>
      <c r="N10" s="479" t="str">
        <f>IF(NOT(ISERROR(MATCH(M10,'Tabla Impacto'!$B$221:$B$223,0))),'Tabla Impacto'!$F$223&amp;"Por favor no seleccionar los criterios de impacto(Afectación Económica o presupuestal y Pérdida Reputacional)",M10)</f>
        <v xml:space="preserve">     Mayor a 10000 SMLMV</v>
      </c>
      <c r="O10" s="509" t="str">
        <f>IF(OR(N10='Tabla Impacto'!$C$11,N10='Tabla Impacto'!$D$11),"Leve",IF(OR(N10='Tabla Impacto'!$C$12,N10='Tabla Impacto'!$D$12),"Menor",IF(OR(N10='Tabla Impacto'!$C$13,N10='Tabla Impacto'!$D$13),"Moderado",IF(OR(N10='Tabla Impacto'!$C$14,N10='Tabla Impacto'!$D$14),"Mayor",IF(OR(N10='Tabla Impacto'!$C$15,N10='Tabla Impacto'!$D$15),"Catastrófico","")))))</f>
        <v>Catastrófico</v>
      </c>
      <c r="P10" s="479">
        <f>IF(O10="","",IF(O10="Leve",0.2,IF(O10="Menor",0.4,IF(O10="Moderado",0.6,IF(O10="Mayor",0.8,IF(O10="Catastrófico",1,))))))</f>
        <v>1</v>
      </c>
      <c r="Q10" s="482"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Extremo</v>
      </c>
      <c r="R10" s="219">
        <v>1</v>
      </c>
      <c r="S10" s="104" t="str">
        <f>DOFA!E39</f>
        <v>D3, O4-El director (a) de Presupuesto por medio de su equipo de trabajo, realizará seguimiento a la ejecución presupuestal elaborando y presentando de manera mensual un INFORME EJECUTIVO  DE LA EJECUCIÓN PRESUPUESTAL DE GASTOS, que resume las principales líneas de la ejecución oficial de gastos con el fin de generar las alertas  tempranas que procuren un incremento en la ejecución del gasto público por parte de las secretarias del despacho municipal,
Dejando como evidencia los correos electrónicos institucionales. (MANUAL  PRESUPUESTO: MAN-GHP-01- ELABORACIÓN DEL INFORME EJECUTIVO DE EJECUCIÓN PRESUPUESTAL DE GASTOS //CARACTERIZACION DEL PROCESO: CAR-GHP-001 )</v>
      </c>
      <c r="T10" s="220" t="str">
        <f t="shared" ref="T10:T40" si="0">IF(OR(U10="Preventivo",U10="Detectivo"),"Probabilidad",IF(U10="Correctivo","Impacto",""))</f>
        <v>Probabilidad</v>
      </c>
      <c r="U10" s="221" t="s">
        <v>14</v>
      </c>
      <c r="V10" s="221" t="s">
        <v>9</v>
      </c>
      <c r="W10" s="222" t="str">
        <f t="shared" ref="W10:W40" si="1">IF(AND(U10="Preventivo",V10="Automático"),"50%",IF(AND(U10="Preventivo",V10="Manual"),"40%",IF(AND(U10="Detectivo",V10="Automático"),"40%",IF(AND(U10="Detectivo",V10="Manual"),"30%",IF(AND(U10="Correctivo",V10="Automático"),"35%",IF(AND(U10="Correctivo",V10="Manual"),"25%",""))))))</f>
        <v>40%</v>
      </c>
      <c r="X10" s="221" t="s">
        <v>19</v>
      </c>
      <c r="Y10" s="221" t="s">
        <v>22</v>
      </c>
      <c r="Z10" s="221" t="s">
        <v>114</v>
      </c>
      <c r="AA10" s="223">
        <f>IFERROR(IF(T10="Probabilidad",(L10-(+L10*W10)),IF(T10="Impacto",L10,"")),"")</f>
        <v>0.24</v>
      </c>
      <c r="AB10" s="224" t="str">
        <f t="shared" ref="AB10:AB40" si="2">IFERROR(IF(AA10="","",IF(AA10&lt;=0.2,"Muy Baja",IF(AA10&lt;=0.4,"Baja",IF(AA10&lt;=0.6,"Media",IF(AA10&lt;=0.8,"Alta","Muy Alta"))))),"")</f>
        <v>Baja</v>
      </c>
      <c r="AC10" s="225">
        <f t="shared" ref="AC10:AC40" si="3">+AA10</f>
        <v>0.24</v>
      </c>
      <c r="AD10" s="224" t="str">
        <f t="shared" ref="AD10:AD40" si="4">IFERROR(IF(AE10="","",IF(AE10&lt;=0.2,"Leve",IF(AE10&lt;=0.4,"Menor",IF(AE10&lt;=0.6,"Moderado",IF(AE10&lt;=0.8,"Mayor","Catastrófico"))))),"")</f>
        <v>Catastrófico</v>
      </c>
      <c r="AE10" s="225">
        <f>IFERROR(IF(T10="Impacto",(P10-(+P10*W10)),IF(T10="Probabilidad",P10,"")),"")</f>
        <v>1</v>
      </c>
      <c r="AF10" s="226" t="str">
        <f t="shared" ref="AF10:AF40" si="5">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Extremo</v>
      </c>
      <c r="AG10" s="227" t="s">
        <v>131</v>
      </c>
      <c r="AH10" s="104" t="s">
        <v>421</v>
      </c>
      <c r="AI10" s="104" t="s">
        <v>410</v>
      </c>
      <c r="AJ10" s="228">
        <v>45352</v>
      </c>
      <c r="AK10" s="229"/>
      <c r="AL10" s="104"/>
      <c r="AM10" s="230" t="s">
        <v>41</v>
      </c>
      <c r="AN10" s="231"/>
      <c r="AO10" s="231"/>
      <c r="AP10" s="231"/>
      <c r="AQ10" s="231"/>
      <c r="AR10" s="231"/>
      <c r="AS10" s="231"/>
      <c r="AT10" s="231"/>
      <c r="AU10" s="231"/>
      <c r="AV10" s="231"/>
      <c r="AW10" s="231"/>
      <c r="AX10" s="231"/>
      <c r="AY10" s="231"/>
      <c r="AZ10" s="231"/>
      <c r="BA10" s="231"/>
      <c r="BB10" s="231"/>
      <c r="BC10" s="231"/>
      <c r="BD10" s="231"/>
      <c r="BE10" s="231"/>
      <c r="BF10" s="231"/>
      <c r="BG10" s="231"/>
      <c r="BH10" s="231"/>
      <c r="BI10" s="231"/>
      <c r="BJ10" s="231"/>
      <c r="BK10" s="231"/>
      <c r="BL10" s="231"/>
      <c r="BM10" s="231"/>
      <c r="BN10" s="231"/>
      <c r="BO10" s="231"/>
      <c r="BP10" s="231"/>
      <c r="BQ10" s="231"/>
      <c r="BR10" s="231"/>
      <c r="BS10" s="231"/>
    </row>
    <row r="11" spans="1:71" s="232" customFormat="1" hidden="1" x14ac:dyDescent="0.3">
      <c r="A11" s="486"/>
      <c r="B11" s="513"/>
      <c r="C11" s="558"/>
      <c r="D11" s="561"/>
      <c r="E11" s="218"/>
      <c r="F11" s="564"/>
      <c r="G11" s="570"/>
      <c r="H11" s="567"/>
      <c r="I11" s="579"/>
      <c r="J11" s="523"/>
      <c r="K11" s="510"/>
      <c r="L11" s="480"/>
      <c r="M11" s="526"/>
      <c r="N11" s="480">
        <f>IF(NOT(ISERROR(MATCH(M11,_xlfn.ANCHORARRAY(F22),0))),L24&amp;"Por favor no seleccionar los criterios de impacto",M11)</f>
        <v>0</v>
      </c>
      <c r="O11" s="510"/>
      <c r="P11" s="480"/>
      <c r="Q11" s="483"/>
      <c r="R11" s="219">
        <v>2</v>
      </c>
      <c r="S11" s="104"/>
      <c r="T11" s="220" t="str">
        <f t="shared" si="0"/>
        <v/>
      </c>
      <c r="U11" s="221"/>
      <c r="V11" s="221"/>
      <c r="W11" s="222" t="str">
        <f t="shared" si="1"/>
        <v/>
      </c>
      <c r="X11" s="221"/>
      <c r="Y11" s="221"/>
      <c r="Z11" s="221"/>
      <c r="AA11" s="223" t="str">
        <f>IFERROR(IF(AND(T10="Probabilidad",T11="Probabilidad"),(AC10-(+AC10*W11)),IF(AND(T10="Impacto",T11="Probabilidad"),(L10-(+L10*W11)),IF(T11="Impacto",AC10,""))),"")</f>
        <v/>
      </c>
      <c r="AB11" s="224" t="str">
        <f t="shared" si="2"/>
        <v/>
      </c>
      <c r="AC11" s="225" t="str">
        <f t="shared" si="3"/>
        <v/>
      </c>
      <c r="AD11" s="224" t="str">
        <f t="shared" si="4"/>
        <v/>
      </c>
      <c r="AE11" s="225" t="str">
        <f>IFERROR(IF(AND(T10="Impacto",T11="Impacto"),(AE10-(+AE10*W11)),IF(AND(T10="Probabilidad",T11="Impacto"),(P10-(+P10*W11)),IF(T11="Probabilidad",AE10,""))),"")</f>
        <v/>
      </c>
      <c r="AF11" s="226" t="str">
        <f t="shared" si="5"/>
        <v/>
      </c>
      <c r="AG11" s="227"/>
      <c r="AH11" s="104"/>
      <c r="AI11" s="230"/>
      <c r="AJ11" s="228"/>
      <c r="AK11" s="229"/>
      <c r="AL11" s="104"/>
      <c r="AM11" s="230"/>
      <c r="AN11" s="231"/>
      <c r="AO11" s="231"/>
      <c r="AP11" s="231"/>
      <c r="AQ11" s="231"/>
      <c r="AR11" s="231"/>
      <c r="AS11" s="231"/>
      <c r="AT11" s="231"/>
      <c r="AU11" s="231"/>
      <c r="AV11" s="231"/>
      <c r="AW11" s="231"/>
      <c r="AX11" s="231"/>
      <c r="AY11" s="231"/>
      <c r="AZ11" s="231"/>
      <c r="BA11" s="231"/>
      <c r="BB11" s="231"/>
      <c r="BC11" s="231"/>
      <c r="BD11" s="231"/>
      <c r="BE11" s="231"/>
      <c r="BF11" s="231"/>
      <c r="BG11" s="231"/>
      <c r="BH11" s="231"/>
      <c r="BI11" s="231"/>
      <c r="BJ11" s="231"/>
      <c r="BK11" s="231"/>
      <c r="BL11" s="231"/>
      <c r="BM11" s="231"/>
      <c r="BN11" s="231"/>
      <c r="BO11" s="231"/>
      <c r="BP11" s="231"/>
      <c r="BQ11" s="231"/>
      <c r="BR11" s="231"/>
      <c r="BS11" s="231"/>
    </row>
    <row r="12" spans="1:71" s="232" customFormat="1" ht="16.5" hidden="1" customHeight="1" x14ac:dyDescent="0.3">
      <c r="A12" s="486"/>
      <c r="B12" s="513"/>
      <c r="C12" s="558"/>
      <c r="D12" s="561"/>
      <c r="E12" s="233"/>
      <c r="F12" s="564"/>
      <c r="G12" s="570"/>
      <c r="H12" s="567"/>
      <c r="I12" s="579"/>
      <c r="J12" s="523"/>
      <c r="K12" s="510"/>
      <c r="L12" s="480"/>
      <c r="M12" s="526"/>
      <c r="N12" s="480">
        <f>IF(NOT(ISERROR(MATCH(M12,_xlfn.ANCHORARRAY(F23),0))),L25&amp;"Por favor no seleccionar los criterios de impacto",M12)</f>
        <v>0</v>
      </c>
      <c r="O12" s="510"/>
      <c r="P12" s="480"/>
      <c r="Q12" s="483"/>
      <c r="R12" s="219">
        <v>3</v>
      </c>
      <c r="S12" s="230"/>
      <c r="T12" s="220" t="str">
        <f t="shared" si="0"/>
        <v/>
      </c>
      <c r="U12" s="221"/>
      <c r="V12" s="221"/>
      <c r="W12" s="222" t="str">
        <f t="shared" si="1"/>
        <v/>
      </c>
      <c r="X12" s="221"/>
      <c r="Y12" s="221"/>
      <c r="Z12" s="221"/>
      <c r="AA12" s="223" t="str">
        <f>IFERROR(IF(AND(T11="Probabilidad",T12="Probabilidad"),(AC11-(+AC11*W12)),IF(AND(T11="Impacto",T12="Probabilidad"),(AC10-(+AC10*W12)),IF(T12="Impacto",AC11,""))),"")</f>
        <v/>
      </c>
      <c r="AB12" s="224" t="str">
        <f t="shared" si="2"/>
        <v/>
      </c>
      <c r="AC12" s="225" t="str">
        <f t="shared" si="3"/>
        <v/>
      </c>
      <c r="AD12" s="224" t="str">
        <f t="shared" si="4"/>
        <v/>
      </c>
      <c r="AE12" s="225" t="str">
        <f>IFERROR(IF(AND(T11="Impacto",T12="Impacto"),(AE11-(+AE11*W12)),IF(AND(T11="Probabilidad",T12="Impacto"),(AE10-(+AE10*W12)),IF(T12="Probabilidad",AE11,""))),"")</f>
        <v/>
      </c>
      <c r="AF12" s="226" t="str">
        <f t="shared" si="5"/>
        <v/>
      </c>
      <c r="AG12" s="227"/>
      <c r="AH12" s="104"/>
      <c r="AI12" s="230"/>
      <c r="AJ12" s="228"/>
      <c r="AK12" s="229"/>
      <c r="AL12" s="104"/>
      <c r="AM12" s="230"/>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231"/>
      <c r="BK12" s="231"/>
      <c r="BL12" s="231"/>
      <c r="BM12" s="231"/>
      <c r="BN12" s="231"/>
      <c r="BO12" s="231"/>
      <c r="BP12" s="231"/>
      <c r="BQ12" s="231"/>
      <c r="BR12" s="231"/>
      <c r="BS12" s="231"/>
    </row>
    <row r="13" spans="1:71" s="232" customFormat="1" ht="16.5" hidden="1" customHeight="1" x14ac:dyDescent="0.3">
      <c r="A13" s="486"/>
      <c r="B13" s="513"/>
      <c r="C13" s="558"/>
      <c r="D13" s="561"/>
      <c r="E13" s="233"/>
      <c r="F13" s="564"/>
      <c r="G13" s="570"/>
      <c r="H13" s="567"/>
      <c r="I13" s="579"/>
      <c r="J13" s="523"/>
      <c r="K13" s="510"/>
      <c r="L13" s="480"/>
      <c r="M13" s="526"/>
      <c r="N13" s="480">
        <f>IF(NOT(ISERROR(MATCH(M13,_xlfn.ANCHORARRAY(F24),0))),L26&amp;"Por favor no seleccionar los criterios de impacto",M13)</f>
        <v>0</v>
      </c>
      <c r="O13" s="510"/>
      <c r="P13" s="480"/>
      <c r="Q13" s="483"/>
      <c r="R13" s="219">
        <v>4</v>
      </c>
      <c r="S13" s="104"/>
      <c r="T13" s="220" t="str">
        <f t="shared" si="0"/>
        <v/>
      </c>
      <c r="U13" s="221"/>
      <c r="V13" s="221"/>
      <c r="W13" s="222" t="str">
        <f t="shared" si="1"/>
        <v/>
      </c>
      <c r="X13" s="221"/>
      <c r="Y13" s="221"/>
      <c r="Z13" s="221"/>
      <c r="AA13" s="223" t="str">
        <f>IFERROR(IF(AND(T12="Probabilidad",T13="Probabilidad"),(AC12-(+AC12*W13)),IF(AND(T12="Impacto",T13="Probabilidad"),(AC11-(+AC11*W13)),IF(T13="Impacto",AC12,""))),"")</f>
        <v/>
      </c>
      <c r="AB13" s="224" t="str">
        <f t="shared" si="2"/>
        <v/>
      </c>
      <c r="AC13" s="225" t="str">
        <f t="shared" si="3"/>
        <v/>
      </c>
      <c r="AD13" s="224" t="str">
        <f t="shared" si="4"/>
        <v/>
      </c>
      <c r="AE13" s="225" t="str">
        <f>IFERROR(IF(AND(T12="Impacto",T13="Impacto"),(AE12-(+AE12*W13)),IF(AND(T12="Probabilidad",T13="Impacto"),(AE11-(+AE11*W13)),IF(T13="Probabilidad",AE12,""))),"")</f>
        <v/>
      </c>
      <c r="AF13" s="226" t="str">
        <f t="shared" si="5"/>
        <v/>
      </c>
      <c r="AG13" s="227"/>
      <c r="AH13" s="104"/>
      <c r="AI13" s="230"/>
      <c r="AJ13" s="228"/>
      <c r="AK13" s="229"/>
      <c r="AL13" s="104"/>
      <c r="AM13" s="230"/>
      <c r="AN13" s="231"/>
      <c r="AO13" s="231"/>
      <c r="AP13" s="231"/>
      <c r="AQ13" s="231"/>
      <c r="AR13" s="231"/>
      <c r="AS13" s="231"/>
      <c r="AT13" s="231"/>
      <c r="AU13" s="231"/>
      <c r="AV13" s="231"/>
      <c r="AW13" s="231"/>
      <c r="AX13" s="231"/>
      <c r="AY13" s="231"/>
      <c r="AZ13" s="231"/>
      <c r="BA13" s="231"/>
      <c r="BB13" s="231"/>
      <c r="BC13" s="231"/>
      <c r="BD13" s="231"/>
      <c r="BE13" s="231"/>
      <c r="BF13" s="231"/>
      <c r="BG13" s="231"/>
      <c r="BH13" s="231"/>
      <c r="BI13" s="231"/>
      <c r="BJ13" s="231"/>
      <c r="BK13" s="231"/>
      <c r="BL13" s="231"/>
      <c r="BM13" s="231"/>
      <c r="BN13" s="231"/>
      <c r="BO13" s="231"/>
      <c r="BP13" s="231"/>
      <c r="BQ13" s="231"/>
      <c r="BR13" s="231"/>
      <c r="BS13" s="231"/>
    </row>
    <row r="14" spans="1:71" s="232" customFormat="1" ht="16.5" hidden="1" customHeight="1" x14ac:dyDescent="0.3">
      <c r="A14" s="486"/>
      <c r="B14" s="513"/>
      <c r="C14" s="558"/>
      <c r="D14" s="561"/>
      <c r="E14" s="233"/>
      <c r="F14" s="564"/>
      <c r="G14" s="570"/>
      <c r="H14" s="567"/>
      <c r="I14" s="579"/>
      <c r="J14" s="523"/>
      <c r="K14" s="510"/>
      <c r="L14" s="480"/>
      <c r="M14" s="526"/>
      <c r="N14" s="480">
        <f>IF(NOT(ISERROR(MATCH(M14,_xlfn.ANCHORARRAY(F25),0))),L27&amp;"Por favor no seleccionar los criterios de impacto",M14)</f>
        <v>0</v>
      </c>
      <c r="O14" s="510"/>
      <c r="P14" s="480"/>
      <c r="Q14" s="483"/>
      <c r="R14" s="219">
        <v>5</v>
      </c>
      <c r="S14" s="104"/>
      <c r="T14" s="220" t="str">
        <f t="shared" si="0"/>
        <v/>
      </c>
      <c r="U14" s="221"/>
      <c r="V14" s="221"/>
      <c r="W14" s="222" t="str">
        <f t="shared" si="1"/>
        <v/>
      </c>
      <c r="X14" s="221"/>
      <c r="Y14" s="221"/>
      <c r="Z14" s="221"/>
      <c r="AA14" s="223" t="str">
        <f>IFERROR(IF(AND(T13="Probabilidad",T14="Probabilidad"),(AC13-(+AC13*W14)),IF(AND(T13="Impacto",T14="Probabilidad"),(AC12-(+AC12*W14)),IF(T14="Impacto",AC13,""))),"")</f>
        <v/>
      </c>
      <c r="AB14" s="224" t="str">
        <f t="shared" si="2"/>
        <v/>
      </c>
      <c r="AC14" s="225" t="str">
        <f t="shared" si="3"/>
        <v/>
      </c>
      <c r="AD14" s="224" t="str">
        <f t="shared" si="4"/>
        <v/>
      </c>
      <c r="AE14" s="225" t="str">
        <f>IFERROR(IF(AND(T13="Impacto",T14="Impacto"),(AE13-(+AE13*W14)),IF(AND(T13="Probabilidad",T14="Impacto"),(AE12-(+AE12*W14)),IF(T14="Probabilidad",AE13,""))),"")</f>
        <v/>
      </c>
      <c r="AF14" s="226" t="str">
        <f t="shared" si="5"/>
        <v/>
      </c>
      <c r="AG14" s="227"/>
      <c r="AH14" s="104"/>
      <c r="AI14" s="230"/>
      <c r="AJ14" s="228"/>
      <c r="AK14" s="229"/>
      <c r="AL14" s="104"/>
      <c r="AM14" s="230"/>
      <c r="AN14" s="231"/>
      <c r="AO14" s="231"/>
      <c r="AP14" s="231"/>
      <c r="AQ14" s="231"/>
      <c r="AR14" s="231"/>
      <c r="AS14" s="231"/>
      <c r="AT14" s="231"/>
      <c r="AU14" s="231"/>
      <c r="AV14" s="231"/>
      <c r="AW14" s="231"/>
      <c r="AX14" s="231"/>
      <c r="AY14" s="231"/>
      <c r="AZ14" s="231"/>
      <c r="BA14" s="231"/>
      <c r="BB14" s="231"/>
      <c r="BC14" s="231"/>
      <c r="BD14" s="231"/>
      <c r="BE14" s="231"/>
      <c r="BF14" s="231"/>
      <c r="BG14" s="231"/>
      <c r="BH14" s="231"/>
      <c r="BI14" s="231"/>
      <c r="BJ14" s="231"/>
      <c r="BK14" s="231"/>
      <c r="BL14" s="231"/>
      <c r="BM14" s="231"/>
      <c r="BN14" s="231"/>
      <c r="BO14" s="231"/>
      <c r="BP14" s="231"/>
      <c r="BQ14" s="231"/>
      <c r="BR14" s="231"/>
      <c r="BS14" s="231"/>
    </row>
    <row r="15" spans="1:71" s="232" customFormat="1" ht="16.5" hidden="1" customHeight="1" x14ac:dyDescent="0.3">
      <c r="A15" s="487"/>
      <c r="B15" s="514"/>
      <c r="C15" s="559"/>
      <c r="D15" s="562"/>
      <c r="E15" s="233"/>
      <c r="F15" s="565"/>
      <c r="G15" s="571"/>
      <c r="H15" s="568"/>
      <c r="I15" s="580"/>
      <c r="J15" s="524"/>
      <c r="K15" s="511"/>
      <c r="L15" s="481"/>
      <c r="M15" s="527"/>
      <c r="N15" s="481">
        <f>IF(NOT(ISERROR(MATCH(M15,_xlfn.ANCHORARRAY(F26),0))),L28&amp;"Por favor no seleccionar los criterios de impacto",M15)</f>
        <v>0</v>
      </c>
      <c r="O15" s="511"/>
      <c r="P15" s="481"/>
      <c r="Q15" s="484"/>
      <c r="R15" s="219">
        <v>6</v>
      </c>
      <c r="S15" s="104"/>
      <c r="T15" s="220" t="str">
        <f t="shared" si="0"/>
        <v/>
      </c>
      <c r="U15" s="221"/>
      <c r="V15" s="221"/>
      <c r="W15" s="222" t="str">
        <f t="shared" si="1"/>
        <v/>
      </c>
      <c r="X15" s="221"/>
      <c r="Y15" s="221"/>
      <c r="Z15" s="221"/>
      <c r="AA15" s="223" t="str">
        <f>IFERROR(IF(AND(T14="Probabilidad",T15="Probabilidad"),(AC14-(+AC14*W15)),IF(AND(T14="Impacto",T15="Probabilidad"),(AC13-(+AC13*W15)),IF(T15="Impacto",AC14,""))),"")</f>
        <v/>
      </c>
      <c r="AB15" s="224" t="str">
        <f t="shared" si="2"/>
        <v/>
      </c>
      <c r="AC15" s="225" t="str">
        <f t="shared" si="3"/>
        <v/>
      </c>
      <c r="AD15" s="224" t="str">
        <f t="shared" si="4"/>
        <v/>
      </c>
      <c r="AE15" s="225" t="str">
        <f>IFERROR(IF(AND(T14="Impacto",T15="Impacto"),(AE14-(+AE14*W15)),IF(AND(T14="Probabilidad",T15="Impacto"),(AE13-(+AE13*W15)),IF(T15="Probabilidad",AE14,""))),"")</f>
        <v/>
      </c>
      <c r="AF15" s="226" t="str">
        <f t="shared" si="5"/>
        <v/>
      </c>
      <c r="AG15" s="227"/>
      <c r="AH15" s="104"/>
      <c r="AI15" s="230"/>
      <c r="AJ15" s="228"/>
      <c r="AK15" s="229"/>
      <c r="AL15" s="104"/>
      <c r="AM15" s="230"/>
      <c r="AN15" s="231"/>
      <c r="AO15" s="231"/>
      <c r="AP15" s="231"/>
      <c r="AQ15" s="231"/>
      <c r="AR15" s="231"/>
      <c r="AS15" s="231"/>
      <c r="AT15" s="231"/>
      <c r="AU15" s="231"/>
      <c r="AV15" s="231"/>
      <c r="AW15" s="231"/>
      <c r="AX15" s="231"/>
      <c r="AY15" s="231"/>
      <c r="AZ15" s="231"/>
      <c r="BA15" s="231"/>
      <c r="BB15" s="231"/>
      <c r="BC15" s="231"/>
      <c r="BD15" s="231"/>
      <c r="BE15" s="231"/>
      <c r="BF15" s="231"/>
      <c r="BG15" s="231"/>
      <c r="BH15" s="231"/>
      <c r="BI15" s="231"/>
      <c r="BJ15" s="231"/>
      <c r="BK15" s="231"/>
      <c r="BL15" s="231"/>
      <c r="BM15" s="231"/>
      <c r="BN15" s="231"/>
      <c r="BO15" s="231"/>
      <c r="BP15" s="231"/>
      <c r="BQ15" s="231"/>
      <c r="BR15" s="231"/>
      <c r="BS15" s="231"/>
    </row>
    <row r="16" spans="1:71" s="232" customFormat="1" ht="238.5" customHeight="1" x14ac:dyDescent="0.3">
      <c r="A16" s="485">
        <v>2</v>
      </c>
      <c r="B16" s="512" t="s">
        <v>129</v>
      </c>
      <c r="C16" s="528" t="s">
        <v>368</v>
      </c>
      <c r="D16" s="531" t="s">
        <v>422</v>
      </c>
      <c r="E16" s="234" t="s">
        <v>370</v>
      </c>
      <c r="F16" s="521" t="s">
        <v>423</v>
      </c>
      <c r="G16" s="569" t="s">
        <v>364</v>
      </c>
      <c r="H16" s="235" t="s">
        <v>369</v>
      </c>
      <c r="I16" s="506" t="s">
        <v>118</v>
      </c>
      <c r="J16" s="522">
        <v>120000</v>
      </c>
      <c r="K16" s="509" t="str">
        <f>IF(J16&lt;=0,"",IF(J16&lt;=2,"Muy Baja",IF(J16&lt;=24,"Baja",IF(J16&lt;=500,"Media",IF(J16&lt;=5000,"Alta","Muy Alta")))))</f>
        <v>Muy Alta</v>
      </c>
      <c r="L16" s="479">
        <f>IF(K16="","",IF(K16="Muy Baja",0.2,IF(K16="Baja",0.4,IF(K16="Media",0.6,IF(K16="Alta",0.8,IF(K16="Muy Alta",1,))))))</f>
        <v>1</v>
      </c>
      <c r="M16" s="525" t="s">
        <v>145</v>
      </c>
      <c r="N16" s="479" t="str">
        <f>IF(NOT(ISERROR(MATCH(M16,'Tabla Impacto'!$B$221:$B$223,0))),'Tabla Impacto'!$F$223&amp;"Por favor no seleccionar los criterios de impacto(Afectación Económica o presupuestal y Pérdida Reputacional)",M16)</f>
        <v xml:space="preserve">     El riesgo afecta la imagen de la entidad con algunos usuarios de relevancia frente al logro de los objetivos</v>
      </c>
      <c r="O16" s="509" t="str">
        <f>IF(OR(N16='Tabla Impacto'!$C$11,N16='Tabla Impacto'!$D$11),"Leve",IF(OR(N16='Tabla Impacto'!$C$12,N16='Tabla Impacto'!$D$12),"Menor",IF(OR(N16='Tabla Impacto'!$C$13,N16='Tabla Impacto'!$D$13),"Moderado",IF(OR(N16='Tabla Impacto'!$C$14,N16='Tabla Impacto'!$D$14),"Mayor",IF(OR(N16='Tabla Impacto'!$C$15,N16='Tabla Impacto'!$D$15),"Catastrófico","")))))</f>
        <v>Moderado</v>
      </c>
      <c r="P16" s="479">
        <f>IF(O16="","",IF(O16="Leve",0.2,IF(O16="Menor",0.4,IF(O16="Moderado",0.6,IF(O16="Mayor",0.8,IF(O16="Catastrófico",1,))))))</f>
        <v>0.6</v>
      </c>
      <c r="Q16" s="482"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Alto</v>
      </c>
      <c r="R16" s="219">
        <v>1</v>
      </c>
      <c r="S16" s="104" t="str">
        <f>DOFA!E40</f>
        <v>D1, D3, D12, O4, O7, F7 El Profesional Universitado y/o técnico Operativo cada vez que se requiera controla el prestamo y devolución de expedientes   deacuerdo a los lineamientos establecidos por Gestión Documental, dejando como Evidencia Planillas de control.
(GESTION DOCUMENTAL: FORMATO CONTROL PRESTAMO: PRO-GD-03)</v>
      </c>
      <c r="T16" s="220" t="str">
        <f t="shared" si="0"/>
        <v>Probabilidad</v>
      </c>
      <c r="U16" s="221" t="s">
        <v>14</v>
      </c>
      <c r="V16" s="221" t="s">
        <v>9</v>
      </c>
      <c r="W16" s="222" t="str">
        <f t="shared" si="1"/>
        <v>40%</v>
      </c>
      <c r="X16" s="221" t="s">
        <v>19</v>
      </c>
      <c r="Y16" s="221" t="s">
        <v>22</v>
      </c>
      <c r="Z16" s="221" t="s">
        <v>114</v>
      </c>
      <c r="AA16" s="223">
        <f>IFERROR(IF(T16="Probabilidad",(L16-(+L16*W16)),IF(T16="Impacto",L16,"")),"")</f>
        <v>0.6</v>
      </c>
      <c r="AB16" s="224" t="str">
        <f t="shared" si="2"/>
        <v>Media</v>
      </c>
      <c r="AC16" s="225">
        <f t="shared" si="3"/>
        <v>0.6</v>
      </c>
      <c r="AD16" s="224" t="str">
        <f t="shared" si="4"/>
        <v>Moderado</v>
      </c>
      <c r="AE16" s="225">
        <f>IFERROR(IF(T16="Impacto",(P16-(+P16*W16)),IF(T16="Probabilidad",P16,"")),"")</f>
        <v>0.6</v>
      </c>
      <c r="AF16" s="226" t="str">
        <f t="shared" si="5"/>
        <v>Moderado</v>
      </c>
      <c r="AG16" s="227" t="s">
        <v>131</v>
      </c>
      <c r="AH16" s="104" t="s">
        <v>424</v>
      </c>
      <c r="AI16" s="104" t="s">
        <v>396</v>
      </c>
      <c r="AJ16" s="228">
        <v>45352</v>
      </c>
      <c r="AK16" s="229"/>
      <c r="AL16" s="104"/>
      <c r="AM16" s="230" t="s">
        <v>41</v>
      </c>
      <c r="AN16" s="231"/>
      <c r="AO16" s="231"/>
      <c r="AP16" s="231"/>
      <c r="AQ16" s="231"/>
      <c r="AR16" s="231"/>
      <c r="AS16" s="231"/>
      <c r="AT16" s="231"/>
      <c r="AU16" s="231"/>
      <c r="AV16" s="231"/>
      <c r="AW16" s="231"/>
      <c r="AX16" s="231"/>
      <c r="AY16" s="231"/>
      <c r="AZ16" s="231"/>
      <c r="BA16" s="231"/>
      <c r="BB16" s="231"/>
      <c r="BC16" s="231"/>
      <c r="BD16" s="231"/>
      <c r="BE16" s="231"/>
      <c r="BF16" s="231"/>
      <c r="BG16" s="231"/>
      <c r="BH16" s="231"/>
      <c r="BI16" s="231"/>
      <c r="BJ16" s="231"/>
      <c r="BK16" s="231"/>
      <c r="BL16" s="231"/>
      <c r="BM16" s="231"/>
      <c r="BN16" s="231"/>
      <c r="BO16" s="231"/>
      <c r="BP16" s="231"/>
      <c r="BQ16" s="231"/>
      <c r="BR16" s="231"/>
      <c r="BS16" s="231"/>
    </row>
    <row r="17" spans="1:71" s="232" customFormat="1" ht="16.5" hidden="1" customHeight="1" x14ac:dyDescent="0.3">
      <c r="A17" s="486"/>
      <c r="B17" s="513"/>
      <c r="C17" s="529"/>
      <c r="D17" s="532"/>
      <c r="E17" s="233"/>
      <c r="F17" s="521"/>
      <c r="G17" s="570"/>
      <c r="H17" s="236"/>
      <c r="I17" s="507"/>
      <c r="J17" s="523"/>
      <c r="K17" s="510"/>
      <c r="L17" s="480"/>
      <c r="M17" s="526"/>
      <c r="N17" s="480">
        <f>IF(NOT(ISERROR(MATCH(M17,_xlfn.ANCHORARRAY(F28),0))),L29&amp;"Por favor no seleccionar los criterios de impacto",M17)</f>
        <v>0</v>
      </c>
      <c r="O17" s="510"/>
      <c r="P17" s="480"/>
      <c r="Q17" s="483"/>
      <c r="R17" s="219">
        <v>2</v>
      </c>
      <c r="S17" s="104"/>
      <c r="T17" s="220" t="str">
        <f t="shared" si="0"/>
        <v/>
      </c>
      <c r="U17" s="221"/>
      <c r="V17" s="221"/>
      <c r="W17" s="222" t="str">
        <f t="shared" si="1"/>
        <v/>
      </c>
      <c r="X17" s="221"/>
      <c r="Y17" s="221"/>
      <c r="Z17" s="221"/>
      <c r="AA17" s="223" t="str">
        <f>IFERROR(IF(AND(T16="Probabilidad",T17="Probabilidad"),(AC16-(+AC16*W17)),IF(AND(T16="Impacto",T17="Probabilidad"),(L16-(+L16*W17)),IF(T17="Impacto",AC16,""))),"")</f>
        <v/>
      </c>
      <c r="AB17" s="224" t="str">
        <f t="shared" si="2"/>
        <v/>
      </c>
      <c r="AC17" s="225" t="str">
        <f t="shared" si="3"/>
        <v/>
      </c>
      <c r="AD17" s="224" t="str">
        <f t="shared" si="4"/>
        <v/>
      </c>
      <c r="AE17" s="225" t="str">
        <f>IFERROR(IF(AND(T16="Impacto",T17="Impacto"),(AE16-(+AE16*W17)),IF(AND(T16="Probabilidad",T17="Impacto"),(P16-(+P16*W17)),IF(T17="Probabilidad",AE16,""))),"")</f>
        <v/>
      </c>
      <c r="AF17" s="226" t="str">
        <f t="shared" si="5"/>
        <v/>
      </c>
      <c r="AG17" s="227"/>
      <c r="AH17" s="104"/>
      <c r="AI17" s="230"/>
      <c r="AJ17" s="228"/>
      <c r="AK17" s="229"/>
      <c r="AL17" s="104"/>
      <c r="AM17" s="230"/>
      <c r="AN17" s="231"/>
      <c r="AO17" s="231"/>
      <c r="AP17" s="231"/>
      <c r="AQ17" s="231"/>
      <c r="AR17" s="231"/>
      <c r="AS17" s="231"/>
      <c r="AT17" s="231"/>
      <c r="AU17" s="231"/>
      <c r="AV17" s="231"/>
      <c r="AW17" s="231"/>
      <c r="AX17" s="231"/>
      <c r="AY17" s="231"/>
      <c r="AZ17" s="231"/>
      <c r="BA17" s="231"/>
      <c r="BB17" s="231"/>
      <c r="BC17" s="231"/>
      <c r="BD17" s="231"/>
      <c r="BE17" s="231"/>
      <c r="BF17" s="231"/>
      <c r="BG17" s="231"/>
      <c r="BH17" s="231"/>
      <c r="BI17" s="231"/>
      <c r="BJ17" s="231"/>
      <c r="BK17" s="231"/>
      <c r="BL17" s="231"/>
      <c r="BM17" s="231"/>
      <c r="BN17" s="231"/>
      <c r="BO17" s="231"/>
      <c r="BP17" s="231"/>
      <c r="BQ17" s="231"/>
      <c r="BR17" s="231"/>
      <c r="BS17" s="231"/>
    </row>
    <row r="18" spans="1:71" s="232" customFormat="1" ht="16.5" hidden="1" customHeight="1" x14ac:dyDescent="0.3">
      <c r="A18" s="486"/>
      <c r="B18" s="513"/>
      <c r="C18" s="529"/>
      <c r="D18" s="532"/>
      <c r="E18" s="233"/>
      <c r="F18" s="521"/>
      <c r="G18" s="570"/>
      <c r="H18" s="236"/>
      <c r="I18" s="507"/>
      <c r="J18" s="523"/>
      <c r="K18" s="510"/>
      <c r="L18" s="480"/>
      <c r="M18" s="526"/>
      <c r="N18" s="480">
        <f>IF(NOT(ISERROR(MATCH(M18,_xlfn.ANCHORARRAY(#REF!),0))),L30&amp;"Por favor no seleccionar los criterios de impacto",M18)</f>
        <v>0</v>
      </c>
      <c r="O18" s="510"/>
      <c r="P18" s="480"/>
      <c r="Q18" s="483"/>
      <c r="R18" s="219">
        <v>3</v>
      </c>
      <c r="S18" s="230"/>
      <c r="T18" s="220" t="str">
        <f t="shared" si="0"/>
        <v/>
      </c>
      <c r="U18" s="221"/>
      <c r="V18" s="221"/>
      <c r="W18" s="222" t="str">
        <f t="shared" si="1"/>
        <v/>
      </c>
      <c r="X18" s="221"/>
      <c r="Y18" s="221"/>
      <c r="Z18" s="221"/>
      <c r="AA18" s="223" t="str">
        <f>IFERROR(IF(AND(T17="Probabilidad",T18="Probabilidad"),(AC17-(+AC17*W18)),IF(AND(T17="Impacto",T18="Probabilidad"),(AC16-(+AC16*W18)),IF(T18="Impacto",AC17,""))),"")</f>
        <v/>
      </c>
      <c r="AB18" s="224" t="str">
        <f t="shared" si="2"/>
        <v/>
      </c>
      <c r="AC18" s="225" t="str">
        <f t="shared" si="3"/>
        <v/>
      </c>
      <c r="AD18" s="224" t="str">
        <f t="shared" si="4"/>
        <v/>
      </c>
      <c r="AE18" s="225" t="str">
        <f>IFERROR(IF(AND(T17="Impacto",T18="Impacto"),(AE17-(+AE17*W18)),IF(AND(T17="Probabilidad",T18="Impacto"),(AE16-(+AE16*W18)),IF(T18="Probabilidad",AE17,""))),"")</f>
        <v/>
      </c>
      <c r="AF18" s="226" t="str">
        <f t="shared" si="5"/>
        <v/>
      </c>
      <c r="AG18" s="227"/>
      <c r="AH18" s="104"/>
      <c r="AI18" s="230"/>
      <c r="AJ18" s="228"/>
      <c r="AK18" s="229"/>
      <c r="AL18" s="104"/>
      <c r="AM18" s="230"/>
      <c r="AN18" s="231"/>
      <c r="AO18" s="231"/>
      <c r="AP18" s="231"/>
      <c r="AQ18" s="231"/>
      <c r="AR18" s="231"/>
      <c r="AS18" s="231"/>
      <c r="AT18" s="231"/>
      <c r="AU18" s="231"/>
      <c r="AV18" s="231"/>
      <c r="AW18" s="231"/>
      <c r="AX18" s="231"/>
      <c r="AY18" s="231"/>
      <c r="AZ18" s="231"/>
      <c r="BA18" s="231"/>
      <c r="BB18" s="231"/>
      <c r="BC18" s="231"/>
      <c r="BD18" s="231"/>
      <c r="BE18" s="231"/>
      <c r="BF18" s="231"/>
      <c r="BG18" s="231"/>
      <c r="BH18" s="231"/>
      <c r="BI18" s="231"/>
      <c r="BJ18" s="231"/>
      <c r="BK18" s="231"/>
      <c r="BL18" s="231"/>
      <c r="BM18" s="231"/>
      <c r="BN18" s="231"/>
      <c r="BO18" s="231"/>
      <c r="BP18" s="231"/>
      <c r="BQ18" s="231"/>
      <c r="BR18" s="231"/>
      <c r="BS18" s="231"/>
    </row>
    <row r="19" spans="1:71" s="232" customFormat="1" ht="16.5" hidden="1" customHeight="1" x14ac:dyDescent="0.3">
      <c r="A19" s="486"/>
      <c r="B19" s="513"/>
      <c r="C19" s="529"/>
      <c r="D19" s="532"/>
      <c r="E19" s="233"/>
      <c r="F19" s="521"/>
      <c r="G19" s="570"/>
      <c r="H19" s="236"/>
      <c r="I19" s="507"/>
      <c r="J19" s="523"/>
      <c r="K19" s="510"/>
      <c r="L19" s="480"/>
      <c r="M19" s="526"/>
      <c r="N19" s="480">
        <f>IF(NOT(ISERROR(MATCH(M19,_xlfn.ANCHORARRAY(F29),0))),L31&amp;"Por favor no seleccionar los criterios de impacto",M19)</f>
        <v>0</v>
      </c>
      <c r="O19" s="510"/>
      <c r="P19" s="480"/>
      <c r="Q19" s="483"/>
      <c r="R19" s="219">
        <v>4</v>
      </c>
      <c r="S19" s="104"/>
      <c r="T19" s="220" t="str">
        <f t="shared" si="0"/>
        <v/>
      </c>
      <c r="U19" s="221"/>
      <c r="V19" s="221"/>
      <c r="W19" s="222" t="str">
        <f t="shared" si="1"/>
        <v/>
      </c>
      <c r="X19" s="221"/>
      <c r="Y19" s="221"/>
      <c r="Z19" s="221"/>
      <c r="AA19" s="223" t="str">
        <f>IFERROR(IF(AND(T18="Probabilidad",T19="Probabilidad"),(AC18-(+AC18*W19)),IF(AND(T18="Impacto",T19="Probabilidad"),(AC17-(+AC17*W19)),IF(T19="Impacto",AC18,""))),"")</f>
        <v/>
      </c>
      <c r="AB19" s="224" t="str">
        <f t="shared" si="2"/>
        <v/>
      </c>
      <c r="AC19" s="225" t="str">
        <f t="shared" si="3"/>
        <v/>
      </c>
      <c r="AD19" s="224" t="str">
        <f t="shared" si="4"/>
        <v/>
      </c>
      <c r="AE19" s="225" t="str">
        <f>IFERROR(IF(AND(T18="Impacto",T19="Impacto"),(AE18-(+AE18*W19)),IF(AND(T18="Probabilidad",T19="Impacto"),(AE17-(+AE17*W19)),IF(T19="Probabilidad",AE18,""))),"")</f>
        <v/>
      </c>
      <c r="AF19" s="226" t="str">
        <f t="shared" si="5"/>
        <v/>
      </c>
      <c r="AG19" s="227"/>
      <c r="AH19" s="104"/>
      <c r="AI19" s="230"/>
      <c r="AJ19" s="228"/>
      <c r="AK19" s="229"/>
      <c r="AL19" s="104"/>
      <c r="AM19" s="230"/>
      <c r="AN19" s="231"/>
      <c r="AO19" s="231"/>
      <c r="AP19" s="231"/>
      <c r="AQ19" s="231"/>
      <c r="AR19" s="231"/>
      <c r="AS19" s="231"/>
      <c r="AT19" s="231"/>
      <c r="AU19" s="231"/>
      <c r="AV19" s="231"/>
      <c r="AW19" s="231"/>
      <c r="AX19" s="231"/>
      <c r="AY19" s="231"/>
      <c r="AZ19" s="231"/>
      <c r="BA19" s="231"/>
      <c r="BB19" s="231"/>
      <c r="BC19" s="231"/>
      <c r="BD19" s="231"/>
      <c r="BE19" s="231"/>
      <c r="BF19" s="231"/>
      <c r="BG19" s="231"/>
      <c r="BH19" s="231"/>
      <c r="BI19" s="231"/>
      <c r="BJ19" s="231"/>
      <c r="BK19" s="231"/>
      <c r="BL19" s="231"/>
      <c r="BM19" s="231"/>
      <c r="BN19" s="231"/>
      <c r="BO19" s="231"/>
      <c r="BP19" s="231"/>
      <c r="BQ19" s="231"/>
      <c r="BR19" s="231"/>
      <c r="BS19" s="231"/>
    </row>
    <row r="20" spans="1:71" s="232" customFormat="1" ht="16.5" hidden="1" customHeight="1" x14ac:dyDescent="0.3">
      <c r="A20" s="486"/>
      <c r="B20" s="513"/>
      <c r="C20" s="529"/>
      <c r="D20" s="532"/>
      <c r="E20" s="233"/>
      <c r="F20" s="521"/>
      <c r="G20" s="570"/>
      <c r="H20" s="236"/>
      <c r="I20" s="507"/>
      <c r="J20" s="523"/>
      <c r="K20" s="510"/>
      <c r="L20" s="480"/>
      <c r="M20" s="526"/>
      <c r="N20" s="480">
        <f>IF(NOT(ISERROR(MATCH(M20,_xlfn.ANCHORARRAY(F30),0))),L32&amp;"Por favor no seleccionar los criterios de impacto",M20)</f>
        <v>0</v>
      </c>
      <c r="O20" s="510"/>
      <c r="P20" s="480"/>
      <c r="Q20" s="483"/>
      <c r="R20" s="219">
        <v>5</v>
      </c>
      <c r="S20" s="104"/>
      <c r="T20" s="220" t="str">
        <f t="shared" si="0"/>
        <v/>
      </c>
      <c r="U20" s="221"/>
      <c r="V20" s="221"/>
      <c r="W20" s="222" t="str">
        <f t="shared" si="1"/>
        <v/>
      </c>
      <c r="X20" s="221"/>
      <c r="Y20" s="221"/>
      <c r="Z20" s="221"/>
      <c r="AA20" s="223" t="str">
        <f>IFERROR(IF(AND(T19="Probabilidad",T20="Probabilidad"),(AC19-(+AC19*W20)),IF(AND(T19="Impacto",T20="Probabilidad"),(AC18-(+AC18*W20)),IF(T20="Impacto",AC19,""))),"")</f>
        <v/>
      </c>
      <c r="AB20" s="224" t="str">
        <f t="shared" si="2"/>
        <v/>
      </c>
      <c r="AC20" s="225" t="str">
        <f t="shared" si="3"/>
        <v/>
      </c>
      <c r="AD20" s="224" t="str">
        <f t="shared" si="4"/>
        <v/>
      </c>
      <c r="AE20" s="225" t="str">
        <f>IFERROR(IF(AND(T19="Impacto",T20="Impacto"),(AE19-(+AE19*W20)),IF(AND(T19="Probabilidad",T20="Impacto"),(AE18-(+AE18*W20)),IF(T20="Probabilidad",AE19,""))),"")</f>
        <v/>
      </c>
      <c r="AF20" s="226" t="str">
        <f t="shared" si="5"/>
        <v/>
      </c>
      <c r="AG20" s="227"/>
      <c r="AH20" s="104"/>
      <c r="AI20" s="230"/>
      <c r="AJ20" s="228"/>
      <c r="AK20" s="229"/>
      <c r="AL20" s="104"/>
      <c r="AM20" s="230"/>
      <c r="AN20" s="231"/>
      <c r="AO20" s="231"/>
      <c r="AP20" s="231"/>
      <c r="AQ20" s="231"/>
      <c r="AR20" s="231"/>
      <c r="AS20" s="231"/>
      <c r="AT20" s="231"/>
      <c r="AU20" s="231"/>
      <c r="AV20" s="231"/>
      <c r="AW20" s="231"/>
      <c r="AX20" s="231"/>
      <c r="AY20" s="231"/>
      <c r="AZ20" s="231"/>
      <c r="BA20" s="231"/>
      <c r="BB20" s="231"/>
      <c r="BC20" s="231"/>
      <c r="BD20" s="231"/>
      <c r="BE20" s="231"/>
      <c r="BF20" s="231"/>
      <c r="BG20" s="231"/>
      <c r="BH20" s="231"/>
      <c r="BI20" s="231"/>
      <c r="BJ20" s="231"/>
      <c r="BK20" s="231"/>
      <c r="BL20" s="231"/>
      <c r="BM20" s="231"/>
      <c r="BN20" s="231"/>
      <c r="BO20" s="231"/>
      <c r="BP20" s="231"/>
      <c r="BQ20" s="231"/>
      <c r="BR20" s="231"/>
      <c r="BS20" s="231"/>
    </row>
    <row r="21" spans="1:71" s="232" customFormat="1" ht="66.75" hidden="1" customHeight="1" x14ac:dyDescent="0.3">
      <c r="A21" s="487"/>
      <c r="B21" s="514"/>
      <c r="C21" s="530"/>
      <c r="D21" s="533"/>
      <c r="E21" s="233"/>
      <c r="F21" s="521"/>
      <c r="G21" s="571"/>
      <c r="H21" s="236"/>
      <c r="I21" s="508"/>
      <c r="J21" s="524"/>
      <c r="K21" s="511"/>
      <c r="L21" s="481"/>
      <c r="M21" s="527"/>
      <c r="N21" s="481">
        <f>IF(NOT(ISERROR(MATCH(M21,_xlfn.ANCHORARRAY(F31),0))),L33&amp;"Por favor no seleccionar los criterios de impacto",M21)</f>
        <v>0</v>
      </c>
      <c r="O21" s="511"/>
      <c r="P21" s="481"/>
      <c r="Q21" s="484"/>
      <c r="R21" s="219">
        <v>6</v>
      </c>
      <c r="S21" s="104"/>
      <c r="T21" s="220" t="str">
        <f t="shared" si="0"/>
        <v/>
      </c>
      <c r="U21" s="221"/>
      <c r="V21" s="221"/>
      <c r="W21" s="222" t="str">
        <f t="shared" si="1"/>
        <v/>
      </c>
      <c r="X21" s="221"/>
      <c r="Y21" s="221"/>
      <c r="Z21" s="221"/>
      <c r="AA21" s="223" t="str">
        <f>IFERROR(IF(AND(T20="Probabilidad",T21="Probabilidad"),(AC20-(+AC20*W21)),IF(AND(T20="Impacto",T21="Probabilidad"),(AC19-(+AC19*W21)),IF(T21="Impacto",AC20,""))),"")</f>
        <v/>
      </c>
      <c r="AB21" s="224" t="str">
        <f t="shared" si="2"/>
        <v/>
      </c>
      <c r="AC21" s="225" t="str">
        <f t="shared" si="3"/>
        <v/>
      </c>
      <c r="AD21" s="224" t="str">
        <f t="shared" si="4"/>
        <v/>
      </c>
      <c r="AE21" s="225" t="str">
        <f>IFERROR(IF(AND(T20="Impacto",T21="Impacto"),(AE20-(+AE20*W21)),IF(AND(T20="Probabilidad",T21="Impacto"),(AE19-(+AE19*W21)),IF(T21="Probabilidad",AE20,""))),"")</f>
        <v/>
      </c>
      <c r="AF21" s="226" t="str">
        <f t="shared" si="5"/>
        <v/>
      </c>
      <c r="AG21" s="227"/>
      <c r="AH21" s="104"/>
      <c r="AI21" s="230"/>
      <c r="AJ21" s="228"/>
      <c r="AK21" s="229"/>
      <c r="AL21" s="104"/>
      <c r="AM21" s="230"/>
      <c r="AN21" s="231"/>
      <c r="AO21" s="231"/>
      <c r="AP21" s="231"/>
      <c r="AQ21" s="231"/>
      <c r="AR21" s="231"/>
      <c r="AS21" s="231"/>
      <c r="AT21" s="231"/>
      <c r="AU21" s="231"/>
      <c r="AV21" s="231"/>
      <c r="AW21" s="231"/>
      <c r="AX21" s="231"/>
      <c r="AY21" s="231"/>
      <c r="AZ21" s="231"/>
      <c r="BA21" s="231"/>
      <c r="BB21" s="231"/>
      <c r="BC21" s="231"/>
      <c r="BD21" s="231"/>
      <c r="BE21" s="231"/>
      <c r="BF21" s="231"/>
      <c r="BG21" s="231"/>
      <c r="BH21" s="231"/>
      <c r="BI21" s="231"/>
      <c r="BJ21" s="231"/>
      <c r="BK21" s="231"/>
      <c r="BL21" s="231"/>
      <c r="BM21" s="231"/>
      <c r="BN21" s="231"/>
      <c r="BO21" s="231"/>
      <c r="BP21" s="231"/>
      <c r="BQ21" s="231"/>
      <c r="BR21" s="231"/>
      <c r="BS21" s="231"/>
    </row>
    <row r="22" spans="1:71" s="232" customFormat="1" ht="188.25" customHeight="1" x14ac:dyDescent="0.3">
      <c r="A22" s="485">
        <v>3</v>
      </c>
      <c r="B22" s="512" t="s">
        <v>127</v>
      </c>
      <c r="C22" s="515" t="s">
        <v>372</v>
      </c>
      <c r="D22" s="518" t="s">
        <v>373</v>
      </c>
      <c r="E22" s="234" t="s">
        <v>374</v>
      </c>
      <c r="F22" s="521" t="s">
        <v>425</v>
      </c>
      <c r="G22" s="569" t="s">
        <v>364</v>
      </c>
      <c r="H22" s="235" t="s">
        <v>375</v>
      </c>
      <c r="I22" s="506" t="s">
        <v>118</v>
      </c>
      <c r="J22" s="522">
        <v>5</v>
      </c>
      <c r="K22" s="509" t="str">
        <f>IF(J22&lt;=0,"",IF(J22&lt;=2,"Muy Baja",IF(J22&lt;=24,"Baja",IF(J22&lt;=500,"Media",IF(J22&lt;=5000,"Alta","Muy Alta")))))</f>
        <v>Baja</v>
      </c>
      <c r="L22" s="479">
        <f>IF(K22="","",IF(K22="Muy Baja",0.2,IF(K22="Baja",0.4,IF(K22="Media",0.6,IF(K22="Alta",0.8,IF(K22="Muy Alta",1,))))))</f>
        <v>0.4</v>
      </c>
      <c r="M22" s="525" t="s">
        <v>145</v>
      </c>
      <c r="N22" s="479" t="str">
        <f>IF(NOT(ISERROR(MATCH(M22,'Tabla Impacto'!$B$221:$B$223,0))),'Tabla Impacto'!$F$223&amp;"Por favor no seleccionar los criterios de impacto(Afectación Económica o presupuestal y Pérdida Reputacional)",M22)</f>
        <v xml:space="preserve">     El riesgo afecta la imagen de la entidad con algunos usuarios de relevancia frente al logro de los objetivos</v>
      </c>
      <c r="O22" s="509" t="str">
        <f>IF(OR(N22='Tabla Impacto'!$C$11,N22='Tabla Impacto'!$D$11),"Leve",IF(OR(N22='Tabla Impacto'!$C$12,N22='Tabla Impacto'!$D$12),"Menor",IF(OR(N22='Tabla Impacto'!$C$13,N22='Tabla Impacto'!$D$13),"Moderado",IF(OR(N22='Tabla Impacto'!$C$14,N22='Tabla Impacto'!$D$14),"Mayor",IF(OR(N22='Tabla Impacto'!$C$15,N22='Tabla Impacto'!$D$15),"Catastrófico","")))))</f>
        <v>Moderado</v>
      </c>
      <c r="P22" s="479">
        <f>IF(O22="","",IF(O22="Leve",0.2,IF(O22="Menor",0.4,IF(O22="Moderado",0.6,IF(O22="Mayor",0.8,IF(O22="Catastrófico",1,))))))</f>
        <v>0.6</v>
      </c>
      <c r="Q22" s="482" t="str">
        <f>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Moderado</v>
      </c>
      <c r="R22" s="219">
        <v>1</v>
      </c>
      <c r="S22" s="104" t="str">
        <f>DOFA!E41</f>
        <v>D2, D6,  F2, O5 Los Directores  por medio de su equipo de trabajo revisarán los documentos del proceso de gestión de Hacienda Pública  y actualizará si se requiere  anualmente los documentos, dejando como evidencia el correo electrónico con el envío de los docuementos a actualizar a la Dirección de Fortalecimiento Institucional.
(GESTION DOCUMENTAL: POLITICA GESTION DOCUMENTAL: POL-GD-001-PRO-SIG-001 CONTROL DE DOCUMENTOS DEL SIGAMI)</v>
      </c>
      <c r="T22" s="220" t="str">
        <f t="shared" si="0"/>
        <v>Probabilidad</v>
      </c>
      <c r="U22" s="221" t="s">
        <v>14</v>
      </c>
      <c r="V22" s="221" t="s">
        <v>9</v>
      </c>
      <c r="W22" s="222" t="str">
        <f t="shared" si="1"/>
        <v>40%</v>
      </c>
      <c r="X22" s="221" t="s">
        <v>19</v>
      </c>
      <c r="Y22" s="221" t="s">
        <v>22</v>
      </c>
      <c r="Z22" s="221" t="s">
        <v>114</v>
      </c>
      <c r="AA22" s="223">
        <f>IFERROR(IF(T22="Probabilidad",(L22-(+L22*W22)),IF(T22="Impacto",L22,"")),"")</f>
        <v>0.24</v>
      </c>
      <c r="AB22" s="224" t="str">
        <f t="shared" si="2"/>
        <v>Baja</v>
      </c>
      <c r="AC22" s="225">
        <f t="shared" si="3"/>
        <v>0.24</v>
      </c>
      <c r="AD22" s="224" t="str">
        <f t="shared" si="4"/>
        <v>Moderado</v>
      </c>
      <c r="AE22" s="225">
        <f>IFERROR(IF(T22="Impacto",(P22-(+P22*W22)),IF(T22="Probabilidad",P22,"")),"")</f>
        <v>0.6</v>
      </c>
      <c r="AF22" s="226" t="str">
        <f t="shared" si="5"/>
        <v>Moderado</v>
      </c>
      <c r="AG22" s="227" t="s">
        <v>131</v>
      </c>
      <c r="AH22" s="104" t="s">
        <v>426</v>
      </c>
      <c r="AI22" s="104" t="s">
        <v>385</v>
      </c>
      <c r="AJ22" s="228">
        <v>45352</v>
      </c>
      <c r="AK22" s="229"/>
      <c r="AL22" s="104"/>
      <c r="AM22" s="230" t="s">
        <v>41</v>
      </c>
      <c r="AN22" s="231"/>
      <c r="AO22" s="231"/>
      <c r="AP22" s="231"/>
      <c r="AQ22" s="231"/>
      <c r="AR22" s="231"/>
      <c r="AS22" s="231"/>
      <c r="AT22" s="231"/>
      <c r="AU22" s="231"/>
      <c r="AV22" s="231"/>
      <c r="AW22" s="231"/>
      <c r="AX22" s="231"/>
      <c r="AY22" s="231"/>
      <c r="AZ22" s="231"/>
      <c r="BA22" s="231"/>
      <c r="BB22" s="231"/>
      <c r="BC22" s="231"/>
      <c r="BD22" s="231"/>
      <c r="BE22" s="231"/>
      <c r="BF22" s="231"/>
      <c r="BG22" s="231"/>
      <c r="BH22" s="231"/>
      <c r="BI22" s="231"/>
      <c r="BJ22" s="231"/>
      <c r="BK22" s="231"/>
      <c r="BL22" s="231"/>
      <c r="BM22" s="231"/>
      <c r="BN22" s="231"/>
      <c r="BO22" s="231"/>
      <c r="BP22" s="231"/>
      <c r="BQ22" s="231"/>
      <c r="BR22" s="231"/>
      <c r="BS22" s="231"/>
    </row>
    <row r="23" spans="1:71" s="232" customFormat="1" ht="26.25" hidden="1" customHeight="1" x14ac:dyDescent="0.3">
      <c r="A23" s="486"/>
      <c r="B23" s="513"/>
      <c r="C23" s="516"/>
      <c r="D23" s="519"/>
      <c r="E23" s="233"/>
      <c r="F23" s="521"/>
      <c r="G23" s="570"/>
      <c r="H23" s="236"/>
      <c r="I23" s="507"/>
      <c r="J23" s="523"/>
      <c r="K23" s="510"/>
      <c r="L23" s="480"/>
      <c r="M23" s="526"/>
      <c r="N23" s="480">
        <f>IF(NOT(ISERROR(MATCH(M23,_xlfn.ANCHORARRAY(F33),0))),L35&amp;"Por favor no seleccionar los criterios de impacto",M23)</f>
        <v>0</v>
      </c>
      <c r="O23" s="510"/>
      <c r="P23" s="480"/>
      <c r="Q23" s="483"/>
      <c r="R23" s="219">
        <v>2</v>
      </c>
      <c r="S23" s="104"/>
      <c r="T23" s="220" t="str">
        <f t="shared" si="0"/>
        <v/>
      </c>
      <c r="U23" s="221"/>
      <c r="V23" s="221"/>
      <c r="W23" s="222" t="str">
        <f t="shared" si="1"/>
        <v/>
      </c>
      <c r="X23" s="221"/>
      <c r="Y23" s="221"/>
      <c r="Z23" s="221"/>
      <c r="AA23" s="223" t="str">
        <f>IFERROR(IF(AND(T22="Probabilidad",T23="Probabilidad"),(AC22-(+AC22*W23)),IF(AND(T22="Impacto",T23="Probabilidad"),(L22-(+L22*W23)),IF(T23="Impacto",AC22,""))),"")</f>
        <v/>
      </c>
      <c r="AB23" s="224" t="str">
        <f t="shared" si="2"/>
        <v/>
      </c>
      <c r="AC23" s="225" t="str">
        <f t="shared" si="3"/>
        <v/>
      </c>
      <c r="AD23" s="224" t="str">
        <f t="shared" si="4"/>
        <v/>
      </c>
      <c r="AE23" s="225" t="str">
        <f>IFERROR(IF(AND(T22="Impacto",T23="Impacto"),(AE22-(+AE22*W23)),IF(AND(T22="Probabilidad",T23="Impacto"),(P22-(+P22*W23)),IF(T23="Probabilidad",AE22,""))),"")</f>
        <v/>
      </c>
      <c r="AF23" s="226" t="str">
        <f t="shared" si="5"/>
        <v/>
      </c>
      <c r="AG23" s="227"/>
      <c r="AH23" s="104"/>
      <c r="AI23" s="230"/>
      <c r="AJ23" s="228"/>
      <c r="AK23" s="229"/>
      <c r="AL23" s="104"/>
      <c r="AM23" s="230"/>
      <c r="AN23" s="231"/>
      <c r="AO23" s="231"/>
      <c r="AP23" s="231"/>
      <c r="AQ23" s="231"/>
      <c r="AR23" s="231"/>
      <c r="AS23" s="231"/>
      <c r="AT23" s="231"/>
      <c r="AU23" s="231"/>
      <c r="AV23" s="231"/>
      <c r="AW23" s="231"/>
      <c r="AX23" s="231"/>
      <c r="AY23" s="231"/>
      <c r="AZ23" s="231"/>
      <c r="BA23" s="231"/>
      <c r="BB23" s="231"/>
      <c r="BC23" s="231"/>
      <c r="BD23" s="231"/>
      <c r="BE23" s="231"/>
      <c r="BF23" s="231"/>
      <c r="BG23" s="231"/>
      <c r="BH23" s="231"/>
      <c r="BI23" s="231"/>
      <c r="BJ23" s="231"/>
      <c r="BK23" s="231"/>
      <c r="BL23" s="231"/>
      <c r="BM23" s="231"/>
      <c r="BN23" s="231"/>
      <c r="BO23" s="231"/>
      <c r="BP23" s="231"/>
      <c r="BQ23" s="231"/>
      <c r="BR23" s="231"/>
      <c r="BS23" s="231"/>
    </row>
    <row r="24" spans="1:71" s="232" customFormat="1" ht="26.25" hidden="1" customHeight="1" x14ac:dyDescent="0.3">
      <c r="A24" s="486"/>
      <c r="B24" s="513"/>
      <c r="C24" s="516"/>
      <c r="D24" s="519"/>
      <c r="E24" s="233"/>
      <c r="F24" s="521"/>
      <c r="G24" s="570"/>
      <c r="H24" s="236"/>
      <c r="I24" s="507"/>
      <c r="J24" s="523"/>
      <c r="K24" s="510"/>
      <c r="L24" s="480"/>
      <c r="M24" s="526"/>
      <c r="N24" s="480">
        <f>IF(NOT(ISERROR(MATCH(M24,_xlfn.ANCHORARRAY(F34),0))),L36&amp;"Por favor no seleccionar los criterios de impacto",M24)</f>
        <v>0</v>
      </c>
      <c r="O24" s="510"/>
      <c r="P24" s="480"/>
      <c r="Q24" s="483"/>
      <c r="R24" s="219">
        <v>3</v>
      </c>
      <c r="S24" s="230"/>
      <c r="T24" s="220" t="str">
        <f t="shared" si="0"/>
        <v/>
      </c>
      <c r="U24" s="221"/>
      <c r="V24" s="221"/>
      <c r="W24" s="222" t="str">
        <f t="shared" si="1"/>
        <v/>
      </c>
      <c r="X24" s="221"/>
      <c r="Y24" s="221"/>
      <c r="Z24" s="221"/>
      <c r="AA24" s="223" t="str">
        <f>IFERROR(IF(AND(T23="Probabilidad",T24="Probabilidad"),(AC23-(+AC23*W24)),IF(AND(T23="Impacto",T24="Probabilidad"),(AC22-(+AC22*W24)),IF(T24="Impacto",AC23,""))),"")</f>
        <v/>
      </c>
      <c r="AB24" s="224" t="str">
        <f t="shared" si="2"/>
        <v/>
      </c>
      <c r="AC24" s="225" t="str">
        <f t="shared" si="3"/>
        <v/>
      </c>
      <c r="AD24" s="224" t="str">
        <f t="shared" si="4"/>
        <v/>
      </c>
      <c r="AE24" s="225" t="str">
        <f>IFERROR(IF(AND(T23="Impacto",T24="Impacto"),(AE23-(+AE23*W24)),IF(AND(T23="Probabilidad",T24="Impacto"),(AE22-(+AE22*W24)),IF(T24="Probabilidad",AE23,""))),"")</f>
        <v/>
      </c>
      <c r="AF24" s="226" t="str">
        <f t="shared" si="5"/>
        <v/>
      </c>
      <c r="AG24" s="227"/>
      <c r="AH24" s="104"/>
      <c r="AI24" s="230"/>
      <c r="AJ24" s="228"/>
      <c r="AK24" s="229"/>
      <c r="AL24" s="104"/>
      <c r="AM24" s="230"/>
      <c r="AN24" s="231"/>
      <c r="AO24" s="231"/>
      <c r="AP24" s="231"/>
      <c r="AQ24" s="231"/>
      <c r="AR24" s="231"/>
      <c r="AS24" s="231"/>
      <c r="AT24" s="231"/>
      <c r="AU24" s="231"/>
      <c r="AV24" s="231"/>
      <c r="AW24" s="231"/>
      <c r="AX24" s="231"/>
      <c r="AY24" s="231"/>
      <c r="AZ24" s="231"/>
      <c r="BA24" s="231"/>
      <c r="BB24" s="231"/>
      <c r="BC24" s="231"/>
      <c r="BD24" s="231"/>
      <c r="BE24" s="231"/>
      <c r="BF24" s="231"/>
      <c r="BG24" s="231"/>
      <c r="BH24" s="231"/>
      <c r="BI24" s="231"/>
      <c r="BJ24" s="231"/>
      <c r="BK24" s="231"/>
      <c r="BL24" s="231"/>
      <c r="BM24" s="231"/>
      <c r="BN24" s="231"/>
      <c r="BO24" s="231"/>
      <c r="BP24" s="231"/>
      <c r="BQ24" s="231"/>
      <c r="BR24" s="231"/>
      <c r="BS24" s="231"/>
    </row>
    <row r="25" spans="1:71" s="232" customFormat="1" ht="26.25" hidden="1" customHeight="1" x14ac:dyDescent="0.3">
      <c r="A25" s="486"/>
      <c r="B25" s="513"/>
      <c r="C25" s="516"/>
      <c r="D25" s="519"/>
      <c r="E25" s="233"/>
      <c r="F25" s="521"/>
      <c r="G25" s="570"/>
      <c r="H25" s="236"/>
      <c r="I25" s="507"/>
      <c r="J25" s="523"/>
      <c r="K25" s="510"/>
      <c r="L25" s="480"/>
      <c r="M25" s="526"/>
      <c r="N25" s="480">
        <f>IF(NOT(ISERROR(MATCH(M25,_xlfn.ANCHORARRAY(F35),0))),L37&amp;"Por favor no seleccionar los criterios de impacto",M25)</f>
        <v>0</v>
      </c>
      <c r="O25" s="510"/>
      <c r="P25" s="480"/>
      <c r="Q25" s="483"/>
      <c r="R25" s="219">
        <v>4</v>
      </c>
      <c r="S25" s="104"/>
      <c r="T25" s="220" t="str">
        <f t="shared" si="0"/>
        <v/>
      </c>
      <c r="U25" s="221"/>
      <c r="V25" s="221"/>
      <c r="W25" s="222" t="str">
        <f t="shared" si="1"/>
        <v/>
      </c>
      <c r="X25" s="221"/>
      <c r="Y25" s="221"/>
      <c r="Z25" s="221"/>
      <c r="AA25" s="223" t="str">
        <f>IFERROR(IF(AND(T24="Probabilidad",T25="Probabilidad"),(AC24-(+AC24*W25)),IF(AND(T24="Impacto",T25="Probabilidad"),(AC23-(+AC23*W25)),IF(T25="Impacto",AC24,""))),"")</f>
        <v/>
      </c>
      <c r="AB25" s="224" t="str">
        <f t="shared" si="2"/>
        <v/>
      </c>
      <c r="AC25" s="225" t="str">
        <f t="shared" si="3"/>
        <v/>
      </c>
      <c r="AD25" s="224" t="str">
        <f t="shared" si="4"/>
        <v/>
      </c>
      <c r="AE25" s="225" t="str">
        <f>IFERROR(IF(AND(T24="Impacto",T25="Impacto"),(AE24-(+AE24*W25)),IF(AND(T24="Probabilidad",T25="Impacto"),(AE23-(+AE23*W25)),IF(T25="Probabilidad",AE24,""))),"")</f>
        <v/>
      </c>
      <c r="AF25" s="226" t="str">
        <f t="shared" si="5"/>
        <v/>
      </c>
      <c r="AG25" s="227"/>
      <c r="AH25" s="104"/>
      <c r="AI25" s="230"/>
      <c r="AJ25" s="228"/>
      <c r="AK25" s="229"/>
      <c r="AL25" s="104"/>
      <c r="AM25" s="230"/>
      <c r="AN25" s="231"/>
      <c r="AO25" s="231"/>
      <c r="AP25" s="231"/>
      <c r="AQ25" s="231"/>
      <c r="AR25" s="231"/>
      <c r="AS25" s="231"/>
      <c r="AT25" s="231"/>
      <c r="AU25" s="231"/>
      <c r="AV25" s="231"/>
      <c r="AW25" s="231"/>
      <c r="AX25" s="231"/>
      <c r="AY25" s="231"/>
      <c r="AZ25" s="231"/>
      <c r="BA25" s="231"/>
      <c r="BB25" s="231"/>
      <c r="BC25" s="231"/>
      <c r="BD25" s="231"/>
      <c r="BE25" s="231"/>
      <c r="BF25" s="231"/>
      <c r="BG25" s="231"/>
      <c r="BH25" s="231"/>
      <c r="BI25" s="231"/>
      <c r="BJ25" s="231"/>
      <c r="BK25" s="231"/>
      <c r="BL25" s="231"/>
      <c r="BM25" s="231"/>
      <c r="BN25" s="231"/>
      <c r="BO25" s="231"/>
      <c r="BP25" s="231"/>
      <c r="BQ25" s="231"/>
      <c r="BR25" s="231"/>
      <c r="BS25" s="231"/>
    </row>
    <row r="26" spans="1:71" s="232" customFormat="1" ht="26.25" hidden="1" customHeight="1" x14ac:dyDescent="0.3">
      <c r="A26" s="486"/>
      <c r="B26" s="513"/>
      <c r="C26" s="516"/>
      <c r="D26" s="519"/>
      <c r="E26" s="233"/>
      <c r="F26" s="521"/>
      <c r="G26" s="570"/>
      <c r="H26" s="236"/>
      <c r="I26" s="507"/>
      <c r="J26" s="523"/>
      <c r="K26" s="510"/>
      <c r="L26" s="480"/>
      <c r="M26" s="526"/>
      <c r="N26" s="480">
        <f>IF(NOT(ISERROR(MATCH(M26,_xlfn.ANCHORARRAY(F36),0))),L38&amp;"Por favor no seleccionar los criterios de impacto",M26)</f>
        <v>0</v>
      </c>
      <c r="O26" s="510"/>
      <c r="P26" s="480"/>
      <c r="Q26" s="483"/>
      <c r="R26" s="219">
        <v>5</v>
      </c>
      <c r="S26" s="104"/>
      <c r="T26" s="220" t="str">
        <f t="shared" si="0"/>
        <v/>
      </c>
      <c r="U26" s="221"/>
      <c r="V26" s="221"/>
      <c r="W26" s="222" t="str">
        <f t="shared" si="1"/>
        <v/>
      </c>
      <c r="X26" s="221"/>
      <c r="Y26" s="221"/>
      <c r="Z26" s="221"/>
      <c r="AA26" s="223" t="str">
        <f>IFERROR(IF(AND(T25="Probabilidad",T26="Probabilidad"),(AC25-(+AC25*W26)),IF(AND(T25="Impacto",T26="Probabilidad"),(AC24-(+AC24*W26)),IF(T26="Impacto",AC25,""))),"")</f>
        <v/>
      </c>
      <c r="AB26" s="224" t="str">
        <f t="shared" si="2"/>
        <v/>
      </c>
      <c r="AC26" s="225" t="str">
        <f t="shared" si="3"/>
        <v/>
      </c>
      <c r="AD26" s="224" t="str">
        <f t="shared" si="4"/>
        <v/>
      </c>
      <c r="AE26" s="225" t="str">
        <f>IFERROR(IF(AND(T25="Impacto",T26="Impacto"),(AE25-(+AE25*W26)),IF(AND(T25="Probabilidad",T26="Impacto"),(AE24-(+AE24*W26)),IF(T26="Probabilidad",AE25,""))),"")</f>
        <v/>
      </c>
      <c r="AF26" s="226" t="str">
        <f t="shared" si="5"/>
        <v/>
      </c>
      <c r="AG26" s="227"/>
      <c r="AH26" s="104"/>
      <c r="AI26" s="230"/>
      <c r="AJ26" s="228"/>
      <c r="AK26" s="229"/>
      <c r="AL26" s="104"/>
      <c r="AM26" s="230"/>
      <c r="AN26" s="231"/>
      <c r="AO26" s="231"/>
      <c r="AP26" s="231"/>
      <c r="AQ26" s="231"/>
      <c r="AR26" s="231"/>
      <c r="AS26" s="231"/>
      <c r="AT26" s="231"/>
      <c r="AU26" s="231"/>
      <c r="AV26" s="231"/>
      <c r="AW26" s="231"/>
      <c r="AX26" s="231"/>
      <c r="AY26" s="231"/>
      <c r="AZ26" s="231"/>
      <c r="BA26" s="231"/>
      <c r="BB26" s="231"/>
      <c r="BC26" s="231"/>
      <c r="BD26" s="231"/>
      <c r="BE26" s="231"/>
      <c r="BF26" s="231"/>
      <c r="BG26" s="231"/>
      <c r="BH26" s="231"/>
      <c r="BI26" s="231"/>
      <c r="BJ26" s="231"/>
      <c r="BK26" s="231"/>
      <c r="BL26" s="231"/>
      <c r="BM26" s="231"/>
      <c r="BN26" s="231"/>
      <c r="BO26" s="231"/>
      <c r="BP26" s="231"/>
      <c r="BQ26" s="231"/>
      <c r="BR26" s="231"/>
      <c r="BS26" s="231"/>
    </row>
    <row r="27" spans="1:71" s="232" customFormat="1" ht="60.75" hidden="1" customHeight="1" x14ac:dyDescent="0.3">
      <c r="A27" s="487"/>
      <c r="B27" s="514"/>
      <c r="C27" s="517"/>
      <c r="D27" s="520"/>
      <c r="E27" s="233"/>
      <c r="F27" s="521"/>
      <c r="G27" s="571"/>
      <c r="H27" s="236"/>
      <c r="I27" s="508"/>
      <c r="J27" s="524"/>
      <c r="K27" s="511"/>
      <c r="L27" s="481"/>
      <c r="M27" s="527"/>
      <c r="N27" s="481">
        <f>IF(NOT(ISERROR(MATCH(M27,_xlfn.ANCHORARRAY(F37),0))),L39&amp;"Por favor no seleccionar los criterios de impacto",M27)</f>
        <v>0</v>
      </c>
      <c r="O27" s="511"/>
      <c r="P27" s="481"/>
      <c r="Q27" s="484"/>
      <c r="R27" s="219">
        <v>6</v>
      </c>
      <c r="S27" s="104"/>
      <c r="T27" s="220" t="str">
        <f t="shared" si="0"/>
        <v/>
      </c>
      <c r="U27" s="221"/>
      <c r="V27" s="221"/>
      <c r="W27" s="222" t="str">
        <f t="shared" si="1"/>
        <v/>
      </c>
      <c r="X27" s="221"/>
      <c r="Y27" s="221"/>
      <c r="Z27" s="221"/>
      <c r="AA27" s="223" t="str">
        <f>IFERROR(IF(AND(T26="Probabilidad",T27="Probabilidad"),(AC26-(+AC26*W27)),IF(AND(T26="Impacto",T27="Probabilidad"),(AC25-(+AC25*W27)),IF(T27="Impacto",AC26,""))),"")</f>
        <v/>
      </c>
      <c r="AB27" s="224" t="str">
        <f t="shared" si="2"/>
        <v/>
      </c>
      <c r="AC27" s="225" t="str">
        <f t="shared" si="3"/>
        <v/>
      </c>
      <c r="AD27" s="224" t="str">
        <f t="shared" si="4"/>
        <v/>
      </c>
      <c r="AE27" s="225" t="str">
        <f>IFERROR(IF(AND(T26="Impacto",T27="Impacto"),(AE26-(+AE26*W27)),IF(AND(T26="Probabilidad",T27="Impacto"),(AE25-(+AE25*W27)),IF(T27="Probabilidad",AE26,""))),"")</f>
        <v/>
      </c>
      <c r="AF27" s="226" t="str">
        <f t="shared" si="5"/>
        <v/>
      </c>
      <c r="AG27" s="227"/>
      <c r="AH27" s="104"/>
      <c r="AI27" s="230"/>
      <c r="AJ27" s="228"/>
      <c r="AK27" s="229"/>
      <c r="AL27" s="104"/>
      <c r="AM27" s="230"/>
      <c r="AN27" s="231"/>
      <c r="AO27" s="231"/>
      <c r="AP27" s="231"/>
      <c r="AQ27" s="231"/>
      <c r="AR27" s="231"/>
      <c r="AS27" s="231"/>
      <c r="AT27" s="231"/>
      <c r="AU27" s="231"/>
      <c r="AV27" s="231"/>
      <c r="AW27" s="231"/>
      <c r="AX27" s="231"/>
      <c r="AY27" s="231"/>
      <c r="AZ27" s="231"/>
      <c r="BA27" s="231"/>
      <c r="BB27" s="231"/>
      <c r="BC27" s="231"/>
      <c r="BD27" s="231"/>
      <c r="BE27" s="231"/>
      <c r="BF27" s="231"/>
      <c r="BG27" s="231"/>
      <c r="BH27" s="231"/>
      <c r="BI27" s="231"/>
      <c r="BJ27" s="231"/>
      <c r="BK27" s="231"/>
      <c r="BL27" s="231"/>
      <c r="BM27" s="231"/>
      <c r="BN27" s="231"/>
      <c r="BO27" s="231"/>
      <c r="BP27" s="231"/>
      <c r="BQ27" s="231"/>
      <c r="BR27" s="231"/>
      <c r="BS27" s="231"/>
    </row>
    <row r="28" spans="1:71" s="232" customFormat="1" ht="134.25" customHeight="1" x14ac:dyDescent="0.3">
      <c r="A28" s="237">
        <v>4</v>
      </c>
      <c r="B28" s="238" t="s">
        <v>127</v>
      </c>
      <c r="C28" s="239" t="s">
        <v>386</v>
      </c>
      <c r="D28" s="240" t="s">
        <v>427</v>
      </c>
      <c r="E28" s="234" t="s">
        <v>387</v>
      </c>
      <c r="F28" s="241" t="s">
        <v>428</v>
      </c>
      <c r="G28" s="242" t="s">
        <v>364</v>
      </c>
      <c r="H28" s="235" t="s">
        <v>388</v>
      </c>
      <c r="I28" s="243" t="s">
        <v>118</v>
      </c>
      <c r="J28" s="244">
        <v>1</v>
      </c>
      <c r="K28" s="245" t="str">
        <f>IF(J28&lt;=0,"",IF(J28&lt;=2,"Muy Baja",IF(J28&lt;=24,"Baja",IF(J28&lt;=500,"Media",IF(J28&lt;=5000,"Alta","Muy Alta")))))</f>
        <v>Muy Baja</v>
      </c>
      <c r="L28" s="246">
        <f>IF(K28="","",IF(K28="Muy Baja",0.2,IF(K28="Baja",0.4,IF(K28="Media",0.6,IF(K28="Alta",0.8,IF(K28="Muy Alta",1,))))))</f>
        <v>0.2</v>
      </c>
      <c r="M28" s="247" t="s">
        <v>143</v>
      </c>
      <c r="N28" s="246" t="str">
        <f>IF(NOT(ISERROR(MATCH(M28,'Tabla Impacto'!$B$221:$B$223,0))),'Tabla Impacto'!$F$223&amp;"Por favor no seleccionar los criterios de impacto(Afectación Económica o presupuestal y Pérdida Reputacional)",M28)</f>
        <v xml:space="preserve">     El riesgo afecta la imagen de alguna área de la organización</v>
      </c>
      <c r="O28" s="245" t="str">
        <f>IF(OR(N28='Tabla Impacto'!$C$11,N28='Tabla Impacto'!$D$11),"Leve",IF(OR(N28='Tabla Impacto'!$C$12,N28='Tabla Impacto'!$D$12),"Menor",IF(OR(N28='Tabla Impacto'!$C$13,N28='Tabla Impacto'!$D$13),"Moderado",IF(OR(N28='Tabla Impacto'!$C$14,N28='Tabla Impacto'!$D$14),"Mayor",IF(OR(N28='Tabla Impacto'!$C$15,N28='Tabla Impacto'!$D$15),"Catastrófico","")))))</f>
        <v>Leve</v>
      </c>
      <c r="P28" s="246">
        <f>IF(O28="","",IF(O28="Leve",0.2,IF(O28="Menor",0.4,IF(O28="Moderado",0.6,IF(O28="Mayor",0.8,IF(O28="Catastrófico",1,))))))</f>
        <v>0.2</v>
      </c>
      <c r="Q28" s="248" t="str">
        <f>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Bajo</v>
      </c>
      <c r="R28" s="219">
        <v>1</v>
      </c>
      <c r="S28" s="104" t="str">
        <f>DOFA!E42</f>
        <v>D 13, D14. O10, F11 , A4. El Director de Tesoreria , anualmente, emitirá Certificado de superávit o déficit fiscal, dejando como evidencia dicha certificación. 
(PRO-GHP-010: PROCEDIMIENTO: CIERRE DEL EJERCICIO FISCAL)</v>
      </c>
      <c r="T28" s="220" t="str">
        <f t="shared" si="0"/>
        <v>Probabilidad</v>
      </c>
      <c r="U28" s="221" t="s">
        <v>14</v>
      </c>
      <c r="V28" s="221" t="s">
        <v>9</v>
      </c>
      <c r="W28" s="222" t="str">
        <f t="shared" si="1"/>
        <v>40%</v>
      </c>
      <c r="X28" s="221" t="s">
        <v>20</v>
      </c>
      <c r="Y28" s="221" t="s">
        <v>22</v>
      </c>
      <c r="Z28" s="221" t="s">
        <v>114</v>
      </c>
      <c r="AA28" s="223">
        <f>IFERROR(IF(T28="Probabilidad",(L28-(+L28*W28)),IF(T28="Impacto",L28,"")),"")</f>
        <v>0.12</v>
      </c>
      <c r="AB28" s="224" t="str">
        <f t="shared" si="2"/>
        <v>Muy Baja</v>
      </c>
      <c r="AC28" s="225">
        <f t="shared" si="3"/>
        <v>0.12</v>
      </c>
      <c r="AD28" s="224" t="str">
        <f t="shared" si="4"/>
        <v>Leve</v>
      </c>
      <c r="AE28" s="225">
        <f>IFERROR(IF(T28="Impacto",(P28-(+P28*W28)),IF(T28="Probabilidad",P28,"")),"")</f>
        <v>0.2</v>
      </c>
      <c r="AF28" s="226" t="str">
        <f t="shared" si="5"/>
        <v>Bajo</v>
      </c>
      <c r="AG28" s="227" t="s">
        <v>131</v>
      </c>
      <c r="AH28" s="104" t="s">
        <v>429</v>
      </c>
      <c r="AI28" s="230" t="s">
        <v>396</v>
      </c>
      <c r="AJ28" s="228">
        <v>45352</v>
      </c>
      <c r="AK28" s="229"/>
      <c r="AL28" s="104"/>
      <c r="AM28" s="230" t="s">
        <v>41</v>
      </c>
      <c r="AN28" s="231"/>
      <c r="AO28" s="231"/>
      <c r="AP28" s="231"/>
      <c r="AQ28" s="231"/>
      <c r="AR28" s="231"/>
      <c r="AS28" s="231"/>
      <c r="AT28" s="231"/>
      <c r="AU28" s="231"/>
      <c r="AV28" s="231"/>
      <c r="AW28" s="231"/>
      <c r="AX28" s="231"/>
      <c r="AY28" s="231"/>
      <c r="AZ28" s="231"/>
      <c r="BA28" s="231"/>
      <c r="BB28" s="231"/>
      <c r="BC28" s="231"/>
      <c r="BD28" s="231"/>
      <c r="BE28" s="231"/>
      <c r="BF28" s="231"/>
      <c r="BG28" s="231"/>
      <c r="BH28" s="231"/>
      <c r="BI28" s="231"/>
      <c r="BJ28" s="231"/>
      <c r="BK28" s="231"/>
      <c r="BL28" s="231"/>
      <c r="BM28" s="231"/>
      <c r="BN28" s="231"/>
      <c r="BO28" s="231"/>
      <c r="BP28" s="231"/>
      <c r="BQ28" s="231"/>
      <c r="BR28" s="231"/>
      <c r="BS28" s="231"/>
    </row>
    <row r="29" spans="1:71" s="232" customFormat="1" ht="18.75" hidden="1" customHeight="1" x14ac:dyDescent="0.3">
      <c r="A29" s="249"/>
      <c r="B29" s="250"/>
      <c r="C29" s="251"/>
      <c r="D29" s="252"/>
      <c r="E29" s="233"/>
      <c r="F29" s="241"/>
      <c r="G29" s="253"/>
      <c r="H29" s="236"/>
      <c r="I29" s="254"/>
      <c r="J29" s="255"/>
      <c r="K29" s="256"/>
      <c r="L29" s="257"/>
      <c r="M29" s="258"/>
      <c r="N29" s="257">
        <f>IF(NOT(ISERROR(MATCH(M29,_xlfn.ANCHORARRAY(F40),0))),L42&amp;"Por favor no seleccionar los criterios de impacto",M29)</f>
        <v>0</v>
      </c>
      <c r="O29" s="256"/>
      <c r="P29" s="257"/>
      <c r="Q29" s="259"/>
      <c r="R29" s="219">
        <v>3</v>
      </c>
      <c r="S29" s="104"/>
      <c r="T29" s="220" t="str">
        <f t="shared" si="0"/>
        <v/>
      </c>
      <c r="U29" s="221"/>
      <c r="V29" s="221"/>
      <c r="W29" s="222" t="str">
        <f t="shared" si="1"/>
        <v/>
      </c>
      <c r="X29" s="221"/>
      <c r="Y29" s="221"/>
      <c r="Z29" s="221"/>
      <c r="AA29" s="223" t="str">
        <f>IFERROR(IF(AND(#REF!="Probabilidad",T29="Probabilidad"),(#REF!-(+#REF!*W29)),IF(AND(#REF!="Impacto",T29="Probabilidad"),(AC28-(+AC28*W29)),IF(T29="Impacto",#REF!,""))),"")</f>
        <v/>
      </c>
      <c r="AB29" s="224" t="str">
        <f t="shared" si="2"/>
        <v/>
      </c>
      <c r="AC29" s="225" t="str">
        <f t="shared" si="3"/>
        <v/>
      </c>
      <c r="AD29" s="224" t="str">
        <f t="shared" si="4"/>
        <v/>
      </c>
      <c r="AE29" s="225" t="str">
        <f>IFERROR(IF(AND(#REF!="Impacto",T29="Impacto"),(#REF!-(+#REF!*W29)),IF(AND(#REF!="Probabilidad",T29="Impacto"),(AE28-(+AE28*W29)),IF(T29="Probabilidad",#REF!,""))),"")</f>
        <v/>
      </c>
      <c r="AF29" s="226" t="str">
        <f t="shared" si="5"/>
        <v/>
      </c>
      <c r="AG29" s="227"/>
      <c r="AH29" s="104"/>
      <c r="AI29" s="230"/>
      <c r="AJ29" s="228"/>
      <c r="AK29" s="229"/>
      <c r="AL29" s="104"/>
      <c r="AM29" s="230"/>
      <c r="AN29" s="231"/>
      <c r="AO29" s="231"/>
      <c r="AP29" s="231"/>
      <c r="AQ29" s="231"/>
      <c r="AR29" s="231"/>
      <c r="AS29" s="231"/>
      <c r="AT29" s="231"/>
      <c r="AU29" s="231"/>
      <c r="AV29" s="231"/>
      <c r="AW29" s="231"/>
      <c r="AX29" s="231"/>
      <c r="AY29" s="231"/>
      <c r="AZ29" s="231"/>
      <c r="BA29" s="231"/>
      <c r="BB29" s="231"/>
      <c r="BC29" s="231"/>
      <c r="BD29" s="231"/>
      <c r="BE29" s="231"/>
      <c r="BF29" s="231"/>
      <c r="BG29" s="231"/>
      <c r="BH29" s="231"/>
      <c r="BI29" s="231"/>
      <c r="BJ29" s="231"/>
      <c r="BK29" s="231"/>
      <c r="BL29" s="231"/>
      <c r="BM29" s="231"/>
      <c r="BN29" s="231"/>
      <c r="BO29" s="231"/>
      <c r="BP29" s="231"/>
      <c r="BQ29" s="231"/>
      <c r="BR29" s="231"/>
      <c r="BS29" s="231"/>
    </row>
    <row r="30" spans="1:71" s="232" customFormat="1" ht="30" hidden="1" customHeight="1" x14ac:dyDescent="0.3">
      <c r="A30" s="249"/>
      <c r="B30" s="250"/>
      <c r="C30" s="251"/>
      <c r="D30" s="252"/>
      <c r="E30" s="233"/>
      <c r="F30" s="241"/>
      <c r="G30" s="253"/>
      <c r="H30" s="236"/>
      <c r="I30" s="254"/>
      <c r="J30" s="255"/>
      <c r="K30" s="256"/>
      <c r="L30" s="257"/>
      <c r="M30" s="258"/>
      <c r="N30" s="257">
        <f>IF(NOT(ISERROR(MATCH(M30,_xlfn.ANCHORARRAY(F41),0))),L43&amp;"Por favor no seleccionar los criterios de impacto",M30)</f>
        <v>0</v>
      </c>
      <c r="O30" s="256"/>
      <c r="P30" s="257"/>
      <c r="Q30" s="259"/>
      <c r="R30" s="219">
        <v>4</v>
      </c>
      <c r="S30" s="104">
        <f>DOFA!E46</f>
        <v>0</v>
      </c>
      <c r="T30" s="220" t="str">
        <f t="shared" si="0"/>
        <v/>
      </c>
      <c r="U30" s="221"/>
      <c r="V30" s="221"/>
      <c r="W30" s="222" t="str">
        <f t="shared" si="1"/>
        <v/>
      </c>
      <c r="X30" s="221"/>
      <c r="Y30" s="221"/>
      <c r="Z30" s="221"/>
      <c r="AA30" s="223" t="str">
        <f>IFERROR(IF(AND(T29="Probabilidad",T30="Probabilidad"),(AC29-(+AC29*W30)),IF(AND(T29="Impacto",T30="Probabilidad"),(#REF!-(+#REF!*W30)),IF(T30="Impacto",AC29,""))),"")</f>
        <v/>
      </c>
      <c r="AB30" s="224" t="str">
        <f t="shared" si="2"/>
        <v/>
      </c>
      <c r="AC30" s="225" t="str">
        <f t="shared" si="3"/>
        <v/>
      </c>
      <c r="AD30" s="224" t="str">
        <f t="shared" si="4"/>
        <v/>
      </c>
      <c r="AE30" s="225" t="str">
        <f>IFERROR(IF(AND(T29="Impacto",T30="Impacto"),(AE29-(+AE29*W30)),IF(AND(T29="Probabilidad",T30="Impacto"),(#REF!-(+#REF!*W30)),IF(T30="Probabilidad",AE29,""))),"")</f>
        <v/>
      </c>
      <c r="AF30" s="226" t="str">
        <f t="shared" si="5"/>
        <v/>
      </c>
      <c r="AG30" s="227"/>
      <c r="AH30" s="104"/>
      <c r="AI30" s="230"/>
      <c r="AJ30" s="228"/>
      <c r="AK30" s="229"/>
      <c r="AL30" s="104"/>
      <c r="AM30" s="230"/>
      <c r="AN30" s="231"/>
      <c r="AO30" s="231"/>
      <c r="AP30" s="231"/>
      <c r="AQ30" s="231"/>
      <c r="AR30" s="231"/>
      <c r="AS30" s="231"/>
      <c r="AT30" s="231"/>
      <c r="AU30" s="231"/>
      <c r="AV30" s="231"/>
      <c r="AW30" s="231"/>
      <c r="AX30" s="231"/>
      <c r="AY30" s="231"/>
      <c r="AZ30" s="231"/>
      <c r="BA30" s="231"/>
      <c r="BB30" s="231"/>
      <c r="BC30" s="231"/>
      <c r="BD30" s="231"/>
      <c r="BE30" s="231"/>
      <c r="BF30" s="231"/>
      <c r="BG30" s="231"/>
      <c r="BH30" s="231"/>
      <c r="BI30" s="231"/>
      <c r="BJ30" s="231"/>
      <c r="BK30" s="231"/>
      <c r="BL30" s="231"/>
      <c r="BM30" s="231"/>
      <c r="BN30" s="231"/>
      <c r="BO30" s="231"/>
      <c r="BP30" s="231"/>
      <c r="BQ30" s="231"/>
      <c r="BR30" s="231"/>
      <c r="BS30" s="231"/>
    </row>
    <row r="31" spans="1:71" s="232" customFormat="1" ht="26.25" hidden="1" customHeight="1" x14ac:dyDescent="0.3">
      <c r="A31" s="249"/>
      <c r="B31" s="250"/>
      <c r="C31" s="251"/>
      <c r="D31" s="252"/>
      <c r="E31" s="233"/>
      <c r="F31" s="241"/>
      <c r="G31" s="253"/>
      <c r="H31" s="236"/>
      <c r="I31" s="254"/>
      <c r="J31" s="255"/>
      <c r="K31" s="256"/>
      <c r="L31" s="257"/>
      <c r="M31" s="258"/>
      <c r="N31" s="257">
        <f>IF(NOT(ISERROR(MATCH(M31,_xlfn.ANCHORARRAY(F42),0))),L44&amp;"Por favor no seleccionar los criterios de impacto",M31)</f>
        <v>0</v>
      </c>
      <c r="O31" s="256"/>
      <c r="P31" s="257"/>
      <c r="Q31" s="259"/>
      <c r="R31" s="219">
        <v>5</v>
      </c>
      <c r="S31" s="104">
        <f>DOFA!E47</f>
        <v>0</v>
      </c>
      <c r="T31" s="220" t="str">
        <f t="shared" si="0"/>
        <v/>
      </c>
      <c r="U31" s="221"/>
      <c r="V31" s="221"/>
      <c r="W31" s="222" t="str">
        <f t="shared" si="1"/>
        <v/>
      </c>
      <c r="X31" s="221"/>
      <c r="Y31" s="221"/>
      <c r="Z31" s="221"/>
      <c r="AA31" s="223" t="str">
        <f>IFERROR(IF(AND(T30="Probabilidad",T31="Probabilidad"),(AC30-(+AC30*W31)),IF(AND(T30="Impacto",T31="Probabilidad"),(AC29-(+AC29*W31)),IF(T31="Impacto",AC30,""))),"")</f>
        <v/>
      </c>
      <c r="AB31" s="224" t="str">
        <f t="shared" si="2"/>
        <v/>
      </c>
      <c r="AC31" s="225" t="str">
        <f t="shared" si="3"/>
        <v/>
      </c>
      <c r="AD31" s="224" t="str">
        <f t="shared" si="4"/>
        <v/>
      </c>
      <c r="AE31" s="225" t="str">
        <f>IFERROR(IF(AND(T30="Impacto",T31="Impacto"),(AE30-(+AE30*W31)),IF(AND(T30="Probabilidad",T31="Impacto"),(AE29-(+AE29*W31)),IF(T31="Probabilidad",AE30,""))),"")</f>
        <v/>
      </c>
      <c r="AF31" s="226" t="str">
        <f t="shared" si="5"/>
        <v/>
      </c>
      <c r="AG31" s="227"/>
      <c r="AH31" s="104"/>
      <c r="AI31" s="230"/>
      <c r="AJ31" s="228"/>
      <c r="AK31" s="229"/>
      <c r="AL31" s="104"/>
      <c r="AM31" s="230"/>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S31" s="231"/>
    </row>
    <row r="32" spans="1:71" s="232" customFormat="1" ht="23.25" hidden="1" customHeight="1" x14ac:dyDescent="0.3">
      <c r="A32" s="260"/>
      <c r="B32" s="261"/>
      <c r="C32" s="262"/>
      <c r="D32" s="263"/>
      <c r="E32" s="233"/>
      <c r="F32" s="241"/>
      <c r="G32" s="264"/>
      <c r="H32" s="236"/>
      <c r="I32" s="265"/>
      <c r="J32" s="266"/>
      <c r="K32" s="267"/>
      <c r="L32" s="268"/>
      <c r="M32" s="269"/>
      <c r="N32" s="268">
        <f>IF(NOT(ISERROR(MATCH(M32,_xlfn.ANCHORARRAY(F43),0))),L45&amp;"Por favor no seleccionar los criterios de impacto",M32)</f>
        <v>0</v>
      </c>
      <c r="O32" s="267"/>
      <c r="P32" s="268"/>
      <c r="Q32" s="270"/>
      <c r="R32" s="219">
        <v>6</v>
      </c>
      <c r="S32" s="104">
        <f>DOFA!E48</f>
        <v>0</v>
      </c>
      <c r="T32" s="220" t="str">
        <f t="shared" si="0"/>
        <v/>
      </c>
      <c r="U32" s="221"/>
      <c r="V32" s="221"/>
      <c r="W32" s="222" t="str">
        <f t="shared" si="1"/>
        <v/>
      </c>
      <c r="X32" s="221"/>
      <c r="Y32" s="221"/>
      <c r="Z32" s="221"/>
      <c r="AA32" s="223" t="str">
        <f>IFERROR(IF(AND(T31="Probabilidad",T32="Probabilidad"),(AC31-(+AC31*W32)),IF(AND(T31="Impacto",T32="Probabilidad"),(AC30-(+AC30*W32)),IF(T32="Impacto",AC31,""))),"")</f>
        <v/>
      </c>
      <c r="AB32" s="224" t="str">
        <f t="shared" si="2"/>
        <v/>
      </c>
      <c r="AC32" s="225" t="str">
        <f t="shared" si="3"/>
        <v/>
      </c>
      <c r="AD32" s="224" t="str">
        <f t="shared" si="4"/>
        <v/>
      </c>
      <c r="AE32" s="225" t="str">
        <f>IFERROR(IF(AND(T31="Impacto",T32="Impacto"),(AE31-(+AE31*W32)),IF(AND(T31="Probabilidad",T32="Impacto"),(AE30-(+AE30*W32)),IF(T32="Probabilidad",AE31,""))),"")</f>
        <v/>
      </c>
      <c r="AF32" s="226" t="str">
        <f t="shared" si="5"/>
        <v/>
      </c>
      <c r="AG32" s="227"/>
      <c r="AH32" s="104"/>
      <c r="AI32" s="230"/>
      <c r="AJ32" s="228"/>
      <c r="AK32" s="229"/>
      <c r="AL32" s="104"/>
      <c r="AM32" s="230"/>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S32" s="231"/>
    </row>
    <row r="33" spans="1:71" s="232" customFormat="1" ht="306" customHeight="1" x14ac:dyDescent="0.3">
      <c r="A33" s="485">
        <v>5</v>
      </c>
      <c r="B33" s="488" t="s">
        <v>129</v>
      </c>
      <c r="C33" s="491" t="s">
        <v>408</v>
      </c>
      <c r="D33" s="502" t="s">
        <v>409</v>
      </c>
      <c r="E33" s="271" t="s">
        <v>412</v>
      </c>
      <c r="F33" s="505" t="s">
        <v>430</v>
      </c>
      <c r="G33" s="572" t="s">
        <v>403</v>
      </c>
      <c r="H33" s="272" t="s">
        <v>407</v>
      </c>
      <c r="I33" s="506" t="s">
        <v>118</v>
      </c>
      <c r="J33" s="273">
        <v>100</v>
      </c>
      <c r="K33" s="274" t="str">
        <f>IF(J33&lt;=0,"",IF(J33&lt;=2,"Muy Baja",IF(J33&lt;=24,"Baja",IF(J33&lt;=500,"Media",IF(J33&lt;=5000,"Alta","Muy Alta")))))</f>
        <v>Media</v>
      </c>
      <c r="L33" s="275">
        <f>IF(K33="","",IF(K33="Muy Baja",0.2,IF(K33="Baja",0.4,IF(K33="Media",0.6,IF(K33="Alta",0.8,IF(K33="Muy Alta",1,))))))</f>
        <v>0.6</v>
      </c>
      <c r="M33" s="276" t="s">
        <v>208</v>
      </c>
      <c r="N33" s="479" t="str">
        <f>IF(NOT(ISERROR(MATCH(M33,'Tabla Impacto'!$B$221:$B$223,0))),'Tabla Impacto'!$F$223&amp;"Por favor no seleccionar los criterios de impacto(Afectación Económica o presupuestal y Pérdida Reputacional)",M33)</f>
        <v xml:space="preserve">     Entre 200 y 1000 SMLMV</v>
      </c>
      <c r="O33" s="274" t="str">
        <f>IF(OR(N33='Tabla Impacto'!$C$11,N33='Tabla Impacto'!$D$11),"Leve",IF(OR(N33='Tabla Impacto'!$C$12,N33='Tabla Impacto'!$D$12),"Menor",IF(OR(N33='Tabla Impacto'!$C$13,N33='Tabla Impacto'!$D$13),"Moderado",IF(OR(N33='Tabla Impacto'!$C$14,N33='Tabla Impacto'!$D$14),"Mayor",IF(OR(N33='Tabla Impacto'!$C$15,N33='Tabla Impacto'!$D$15),"Catastrófico","")))))</f>
        <v>Menor</v>
      </c>
      <c r="P33" s="275">
        <f>IF(O33="","",IF(O33="Leve",0.2,IF(O33="Menor",0.4,IF(O33="Moderado",0.6,IF(O33="Mayor",0.8,IF(O33="Catastrófico",1,))))))</f>
        <v>0.4</v>
      </c>
      <c r="Q33" s="277" t="str">
        <f>IF(OR(AND(K33="Muy Baja",O33="Leve"),AND(K33="Muy Baja",O33="Menor"),AND(K33="Baja",O33="Leve")),"Bajo",IF(OR(AND(K33="Muy baja",O33="Moderado"),AND(K33="Baja",O33="Menor"),AND(K33="Baja",O33="Moderado"),AND(K33="Media",O33="Leve"),AND(K33="Media",O33="Menor"),AND(K33="Media",O33="Moderado"),AND(K33="Alta",O33="Leve"),AND(K33="Alta",O33="Menor")),"Moderado",IF(OR(AND(K33="Muy Baja",O33="Mayor"),AND(K33="Baja",O33="Mayor"),AND(K33="Media",O33="Mayor"),AND(K33="Alta",O33="Moderado"),AND(K33="Alta",O33="Mayor"),AND(K33="Muy Alta",O33="Leve"),AND(K33="Muy Alta",O33="Menor"),AND(K33="Muy Alta",O33="Moderado"),AND(K33="Muy Alta",O33="Mayor")),"Alto",IF(OR(AND(K33="Muy Baja",O33="Catastrófico"),AND(K33="Baja",O33="Catastrófico"),AND(K33="Media",O33="Catastrófico"),AND(K33="Alta",O33="Catastrófico"),AND(K33="Muy Alta",O33="Catastrófico")),"Extremo",""))))</f>
        <v>Moderado</v>
      </c>
      <c r="R33" s="219">
        <v>1</v>
      </c>
      <c r="S33" s="291" t="str">
        <f>DOFA!E43</f>
        <v>F10, A4, D5, O10  El director (a) de Rentas,el Profesional Especializado encargado de Causar el impuesto predial Unificado,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accion de gestion trimestral de la direccion de rentas. 
 PRO-GHP-05 FACTURACION  Impuesto Predial Unificado.</v>
      </c>
      <c r="T33" s="220" t="str">
        <f>IF(OR(U33="Preventivo",U33="Detectivo"),"Probabilidad",IF(U33="Correctivo","Impacto",""))</f>
        <v>Probabilidad</v>
      </c>
      <c r="U33" s="221" t="s">
        <v>14</v>
      </c>
      <c r="V33" s="221" t="s">
        <v>9</v>
      </c>
      <c r="W33" s="222" t="str">
        <f t="shared" si="1"/>
        <v>40%</v>
      </c>
      <c r="X33" s="221" t="s">
        <v>19</v>
      </c>
      <c r="Y33" s="221" t="s">
        <v>22</v>
      </c>
      <c r="Z33" s="221" t="s">
        <v>114</v>
      </c>
      <c r="AA33" s="223">
        <f>IFERROR(IF(T33="Probabilidad",(L33-(+L33*W33)),IF(T33="Impacto",L33,"")),"")</f>
        <v>0.36</v>
      </c>
      <c r="AB33" s="224" t="str">
        <f t="shared" si="2"/>
        <v>Baja</v>
      </c>
      <c r="AC33" s="225">
        <f t="shared" si="3"/>
        <v>0.36</v>
      </c>
      <c r="AD33" s="224" t="str">
        <f t="shared" si="4"/>
        <v>Menor</v>
      </c>
      <c r="AE33" s="225">
        <f>IFERROR(IF(T33="Impacto",(P33-(+P33*W33)),IF(T33="Probabilidad",P33,"")),"")</f>
        <v>0.4</v>
      </c>
      <c r="AF33" s="226" t="str">
        <f t="shared" si="5"/>
        <v>Moderado</v>
      </c>
      <c r="AG33" s="227" t="s">
        <v>131</v>
      </c>
      <c r="AH33" s="291" t="s">
        <v>397</v>
      </c>
      <c r="AI33" s="230" t="s">
        <v>398</v>
      </c>
      <c r="AJ33" s="228">
        <v>45352</v>
      </c>
      <c r="AK33" s="229"/>
      <c r="AL33" s="104"/>
      <c r="AM33" s="230" t="s">
        <v>41</v>
      </c>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S33" s="231"/>
    </row>
    <row r="34" spans="1:71" s="232" customFormat="1" ht="222" customHeight="1" x14ac:dyDescent="0.3">
      <c r="A34" s="486"/>
      <c r="B34" s="489"/>
      <c r="C34" s="489"/>
      <c r="D34" s="503"/>
      <c r="E34" s="278" t="s">
        <v>431</v>
      </c>
      <c r="F34" s="505"/>
      <c r="G34" s="573"/>
      <c r="H34" s="279" t="s">
        <v>413</v>
      </c>
      <c r="I34" s="507"/>
      <c r="J34" s="273">
        <v>300000000</v>
      </c>
      <c r="K34" s="274" t="str">
        <f>IF(J34&lt;=0,"",IF(J34&lt;=2,"Muy Baja",IF(J34&lt;=24,"Baja",IF(J34&lt;=500,"Media",IF(J34&lt;=5000,"Alta","Muy Alta")))))</f>
        <v>Muy Alta</v>
      </c>
      <c r="L34" s="275">
        <f>IF(K34="","",IF(K34="Muy Baja",0.2,IF(K34="Baja",0.4,IF(K34="Media",0.6,IF(K34="Alta",0.8,IF(K34="Muy Alta",1,))))))</f>
        <v>1</v>
      </c>
      <c r="M34" s="280" t="s">
        <v>214</v>
      </c>
      <c r="N34" s="480" t="str">
        <f>IF(NOT(ISERROR(MATCH(M34,_xlfn.ANCHORARRAY(F45),0))),L47&amp;"Por favor no seleccionar los criterios de impacto",M34)</f>
        <v xml:space="preserve">     Entre 5000 y 10000 SMLMV</v>
      </c>
      <c r="O34" s="274" t="str">
        <f>IF(OR(N34='Tabla Impacto'!$C$11,N34='Tabla Impacto'!$D$11),"Leve",IF(OR(N34='Tabla Impacto'!$C$12,N34='Tabla Impacto'!$D$12),"Menor",IF(OR(N34='Tabla Impacto'!$C$13,N34='Tabla Impacto'!$D$13),"Moderado",IF(OR(N34='Tabla Impacto'!$C$14,N34='Tabla Impacto'!$D$14),"Mayor",IF(OR(N34='Tabla Impacto'!$C$15,N34='Tabla Impacto'!$D$15),"Catastrófico","")))))</f>
        <v>Mayor</v>
      </c>
      <c r="P34" s="275">
        <f>IF(O34="","",IF(O34="Leve",0.2,IF(O34="Menor",0.4,IF(O34="Moderado",0.6,IF(O34="Mayor",0.8,IF(O34="Catastrófico",1,))))))</f>
        <v>0.8</v>
      </c>
      <c r="Q34" s="277" t="str">
        <f>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Alto</v>
      </c>
      <c r="R34" s="219">
        <v>2</v>
      </c>
      <c r="S34" s="292" t="str">
        <f>DOFA!E44</f>
        <v>F10, A4, D5, O10 , El director de Tesorería trimestralmente, solicitará un informe a los coordinadores de las diferentes áreas de impulso, donde se especifique los mandamientos de pago efectuados y el trámite de las notificaciones de los mismos y de igual forma los embargos efectuados y el valor de los mismos para llevar el control de los vencimientos de plazos para la labor de cobro.  
dejando como evidencia los informes trimestrales presentados al Director de Tesoreria
MANUAL ESPECÍFICO DE FUNCIONES Y COMPETENCIAS
LABORALES (MAN-GHS-003) ( DESCRIPCION DE FUNCIONES ESENCIALES y Página: 491 de 731)</v>
      </c>
      <c r="T34" s="220" t="str">
        <f>IF(OR(U34="Preventivo",U34="Detectivo"),"Probabilidad",IF(U34="Correctivo","Impacto",""))</f>
        <v>Probabilidad</v>
      </c>
      <c r="U34" s="221" t="s">
        <v>14</v>
      </c>
      <c r="V34" s="221" t="s">
        <v>9</v>
      </c>
      <c r="W34" s="222" t="str">
        <f t="shared" si="1"/>
        <v>40%</v>
      </c>
      <c r="X34" s="221" t="s">
        <v>19</v>
      </c>
      <c r="Y34" s="221" t="s">
        <v>22</v>
      </c>
      <c r="Z34" s="221" t="s">
        <v>114</v>
      </c>
      <c r="AA34" s="223">
        <f>IFERROR(IF(AND(T33="Probabilidad",T34="Probabilidad"),(AC33-(+AC33*W34)),IF(AND(T33="Impacto",T34="Probabilidad"),(L33-(+L33*W34)),IF(T34="Impacto",AC33,""))),"")</f>
        <v>0.216</v>
      </c>
      <c r="AB34" s="224" t="str">
        <f t="shared" si="2"/>
        <v>Baja</v>
      </c>
      <c r="AC34" s="225">
        <f t="shared" si="3"/>
        <v>0.216</v>
      </c>
      <c r="AD34" s="224" t="str">
        <f t="shared" si="4"/>
        <v>Menor</v>
      </c>
      <c r="AE34" s="225">
        <f>IFERROR(IF(AND(T33="Impacto",T34="Impacto"),(AE33-(+AE33*W34)),IF(AND(T33="Probabilidad",T34="Impacto"),(P33-(+P33*W34)),IF(T34="Probabilidad",AE33,""))),"")</f>
        <v>0.4</v>
      </c>
      <c r="AF34" s="226" t="str">
        <f t="shared" si="5"/>
        <v>Moderado</v>
      </c>
      <c r="AG34" s="227" t="s">
        <v>131</v>
      </c>
      <c r="AH34" s="281" t="s">
        <v>415</v>
      </c>
      <c r="AI34" s="230" t="s">
        <v>396</v>
      </c>
      <c r="AJ34" s="228">
        <v>45597</v>
      </c>
      <c r="AK34" s="229"/>
      <c r="AL34" s="104"/>
      <c r="AM34" s="230" t="s">
        <v>41</v>
      </c>
      <c r="AN34" s="231"/>
      <c r="AO34" s="231"/>
      <c r="AP34" s="231"/>
      <c r="AQ34" s="231"/>
      <c r="AR34" s="231"/>
      <c r="AS34" s="231"/>
      <c r="AT34" s="231"/>
      <c r="AU34" s="231"/>
      <c r="AV34" s="231"/>
      <c r="AW34" s="231"/>
      <c r="AX34" s="231"/>
      <c r="AY34" s="231"/>
      <c r="AZ34" s="231"/>
      <c r="BA34" s="231"/>
      <c r="BB34" s="231"/>
      <c r="BC34" s="231"/>
      <c r="BD34" s="231"/>
      <c r="BE34" s="231"/>
      <c r="BF34" s="231"/>
      <c r="BG34" s="231"/>
      <c r="BH34" s="231"/>
      <c r="BI34" s="231"/>
      <c r="BJ34" s="231"/>
      <c r="BK34" s="231"/>
      <c r="BL34" s="231"/>
      <c r="BM34" s="231"/>
      <c r="BN34" s="231"/>
      <c r="BO34" s="231"/>
      <c r="BP34" s="231"/>
      <c r="BQ34" s="231"/>
      <c r="BR34" s="231"/>
      <c r="BS34" s="231"/>
    </row>
    <row r="35" spans="1:71" s="232" customFormat="1" ht="21" hidden="1" customHeight="1" x14ac:dyDescent="0.3">
      <c r="A35" s="486"/>
      <c r="B35" s="489"/>
      <c r="C35" s="489"/>
      <c r="D35" s="503"/>
      <c r="E35" s="233"/>
      <c r="F35" s="505"/>
      <c r="G35" s="573"/>
      <c r="H35" s="236"/>
      <c r="I35" s="507"/>
      <c r="J35" s="282"/>
      <c r="K35" s="283"/>
      <c r="L35" s="284"/>
      <c r="M35" s="280"/>
      <c r="N35" s="480">
        <f>IF(NOT(ISERROR(MATCH(M35,_xlfn.ANCHORARRAY(F46),0))),L48&amp;"Por favor no seleccionar los criterios de impacto",M35)</f>
        <v>0</v>
      </c>
      <c r="O35" s="283"/>
      <c r="P35" s="284"/>
      <c r="Q35" s="285"/>
      <c r="R35" s="219">
        <v>3</v>
      </c>
      <c r="S35" s="230"/>
      <c r="T35" s="220" t="str">
        <f t="shared" si="0"/>
        <v/>
      </c>
      <c r="U35" s="221"/>
      <c r="V35" s="221"/>
      <c r="W35" s="222" t="str">
        <f t="shared" si="1"/>
        <v/>
      </c>
      <c r="X35" s="221"/>
      <c r="Y35" s="221"/>
      <c r="Z35" s="221"/>
      <c r="AA35" s="223" t="str">
        <f>IFERROR(IF(AND(T34="Probabilidad",T35="Probabilidad"),(AC34-(+AC34*W35)),IF(AND(T34="Impacto",T35="Probabilidad"),(AC33-(+AC33*W35)),IF(T35="Impacto",AC34,""))),"")</f>
        <v/>
      </c>
      <c r="AB35" s="224" t="str">
        <f t="shared" si="2"/>
        <v/>
      </c>
      <c r="AC35" s="225" t="str">
        <f t="shared" si="3"/>
        <v/>
      </c>
      <c r="AD35" s="224" t="str">
        <f t="shared" si="4"/>
        <v/>
      </c>
      <c r="AE35" s="225" t="str">
        <f>IFERROR(IF(AND(T34="Impacto",T35="Impacto"),(AE34-(+AE34*W35)),IF(AND(T34="Probabilidad",T35="Impacto"),(AE33-(+AE33*W35)),IF(T35="Probabilidad",AE34,""))),"")</f>
        <v/>
      </c>
      <c r="AF35" s="226" t="str">
        <f t="shared" si="5"/>
        <v/>
      </c>
      <c r="AG35" s="227" t="s">
        <v>131</v>
      </c>
      <c r="AH35" s="104"/>
      <c r="AI35" s="230"/>
      <c r="AJ35" s="228"/>
      <c r="AK35" s="229"/>
      <c r="AL35" s="104"/>
      <c r="AM35" s="230"/>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1"/>
      <c r="BQ35" s="231"/>
      <c r="BR35" s="231"/>
      <c r="BS35" s="231"/>
    </row>
    <row r="36" spans="1:71" s="232" customFormat="1" ht="21.75" hidden="1" customHeight="1" x14ac:dyDescent="0.3">
      <c r="A36" s="486"/>
      <c r="B36" s="489"/>
      <c r="C36" s="489"/>
      <c r="D36" s="503"/>
      <c r="E36" s="233"/>
      <c r="F36" s="505"/>
      <c r="G36" s="573"/>
      <c r="H36" s="236"/>
      <c r="I36" s="507"/>
      <c r="J36" s="282"/>
      <c r="K36" s="283"/>
      <c r="L36" s="284"/>
      <c r="M36" s="280"/>
      <c r="N36" s="480">
        <f>IF(NOT(ISERROR(MATCH(M36,_xlfn.ANCHORARRAY(F47),0))),L49&amp;"Por favor no seleccionar los criterios de impacto",M36)</f>
        <v>0</v>
      </c>
      <c r="O36" s="283"/>
      <c r="P36" s="284"/>
      <c r="Q36" s="285"/>
      <c r="R36" s="219">
        <v>4</v>
      </c>
      <c r="S36" s="104"/>
      <c r="T36" s="220" t="str">
        <f t="shared" si="0"/>
        <v/>
      </c>
      <c r="U36" s="221"/>
      <c r="V36" s="221"/>
      <c r="W36" s="222" t="str">
        <f t="shared" si="1"/>
        <v/>
      </c>
      <c r="X36" s="221"/>
      <c r="Y36" s="221"/>
      <c r="Z36" s="221"/>
      <c r="AA36" s="223" t="str">
        <f>IFERROR(IF(AND(T35="Probabilidad",T36="Probabilidad"),(AC35-(+AC35*W36)),IF(AND(T35="Impacto",T36="Probabilidad"),(AC34-(+AC34*W36)),IF(T36="Impacto",AC35,""))),"")</f>
        <v/>
      </c>
      <c r="AB36" s="224" t="str">
        <f t="shared" si="2"/>
        <v/>
      </c>
      <c r="AC36" s="225" t="str">
        <f t="shared" si="3"/>
        <v/>
      </c>
      <c r="AD36" s="224" t="str">
        <f t="shared" si="4"/>
        <v/>
      </c>
      <c r="AE36" s="225" t="str">
        <f>IFERROR(IF(AND(T35="Impacto",T36="Impacto"),(AE35-(+AE35*W36)),IF(AND(T35="Probabilidad",T36="Impacto"),(AE34-(+AE34*W36)),IF(T36="Probabilidad",AE35,""))),"")</f>
        <v/>
      </c>
      <c r="AF36" s="226" t="str">
        <f t="shared" si="5"/>
        <v/>
      </c>
      <c r="AG36" s="227" t="s">
        <v>131</v>
      </c>
      <c r="AH36" s="104"/>
      <c r="AI36" s="230"/>
      <c r="AJ36" s="228"/>
      <c r="AK36" s="229"/>
      <c r="AL36" s="104"/>
      <c r="AM36" s="230"/>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1"/>
      <c r="BR36" s="231"/>
      <c r="BS36" s="231"/>
    </row>
    <row r="37" spans="1:71" s="232" customFormat="1" ht="21.75" hidden="1" customHeight="1" x14ac:dyDescent="0.3">
      <c r="A37" s="486"/>
      <c r="B37" s="489"/>
      <c r="C37" s="489"/>
      <c r="D37" s="503"/>
      <c r="E37" s="233"/>
      <c r="F37" s="505"/>
      <c r="G37" s="573"/>
      <c r="H37" s="236"/>
      <c r="I37" s="507"/>
      <c r="J37" s="282"/>
      <c r="K37" s="283"/>
      <c r="L37" s="284"/>
      <c r="M37" s="280"/>
      <c r="N37" s="480">
        <f>IF(NOT(ISERROR(MATCH(M37,_xlfn.ANCHORARRAY(F48),0))),L50&amp;"Por favor no seleccionar los criterios de impacto",M37)</f>
        <v>0</v>
      </c>
      <c r="O37" s="283"/>
      <c r="P37" s="284"/>
      <c r="Q37" s="285"/>
      <c r="R37" s="219">
        <v>5</v>
      </c>
      <c r="S37" s="104"/>
      <c r="T37" s="220" t="str">
        <f t="shared" si="0"/>
        <v/>
      </c>
      <c r="U37" s="221"/>
      <c r="V37" s="221"/>
      <c r="W37" s="222" t="str">
        <f t="shared" si="1"/>
        <v/>
      </c>
      <c r="X37" s="221"/>
      <c r="Y37" s="221"/>
      <c r="Z37" s="221"/>
      <c r="AA37" s="223" t="str">
        <f>IFERROR(IF(AND(T36="Probabilidad",T37="Probabilidad"),(AC36-(+AC36*W37)),IF(AND(T36="Impacto",T37="Probabilidad"),(AC35-(+AC35*W37)),IF(T37="Impacto",AC36,""))),"")</f>
        <v/>
      </c>
      <c r="AB37" s="224" t="str">
        <f t="shared" si="2"/>
        <v/>
      </c>
      <c r="AC37" s="225" t="str">
        <f t="shared" si="3"/>
        <v/>
      </c>
      <c r="AD37" s="224" t="str">
        <f t="shared" si="4"/>
        <v/>
      </c>
      <c r="AE37" s="225" t="str">
        <f>IFERROR(IF(AND(T36="Impacto",T37="Impacto"),(AE36-(+AE36*W37)),IF(AND(T36="Probabilidad",T37="Impacto"),(AE35-(+AE35*W37)),IF(T37="Probabilidad",AE36,""))),"")</f>
        <v/>
      </c>
      <c r="AF37" s="226" t="str">
        <f t="shared" si="5"/>
        <v/>
      </c>
      <c r="AG37" s="227" t="s">
        <v>131</v>
      </c>
      <c r="AH37" s="104"/>
      <c r="AI37" s="230"/>
      <c r="AJ37" s="228"/>
      <c r="AK37" s="229"/>
      <c r="AL37" s="104"/>
      <c r="AM37" s="230"/>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1"/>
      <c r="BR37" s="231"/>
      <c r="BS37" s="231"/>
    </row>
    <row r="38" spans="1:71" s="232" customFormat="1" ht="17.25" hidden="1" customHeight="1" x14ac:dyDescent="0.3">
      <c r="A38" s="487"/>
      <c r="B38" s="490"/>
      <c r="C38" s="490"/>
      <c r="D38" s="504"/>
      <c r="E38" s="233"/>
      <c r="F38" s="505"/>
      <c r="G38" s="574"/>
      <c r="H38" s="236"/>
      <c r="I38" s="508"/>
      <c r="J38" s="286"/>
      <c r="K38" s="287"/>
      <c r="L38" s="288"/>
      <c r="M38" s="289"/>
      <c r="N38" s="481">
        <f>IF(NOT(ISERROR(MATCH(M38,_xlfn.ANCHORARRAY(F49),0))),L51&amp;"Por favor no seleccionar los criterios de impacto",M38)</f>
        <v>0</v>
      </c>
      <c r="O38" s="287"/>
      <c r="P38" s="288"/>
      <c r="Q38" s="290"/>
      <c r="R38" s="219">
        <v>6</v>
      </c>
      <c r="S38" s="104"/>
      <c r="T38" s="220" t="str">
        <f t="shared" si="0"/>
        <v/>
      </c>
      <c r="U38" s="221"/>
      <c r="V38" s="221"/>
      <c r="W38" s="222" t="str">
        <f t="shared" si="1"/>
        <v/>
      </c>
      <c r="X38" s="221"/>
      <c r="Y38" s="221"/>
      <c r="Z38" s="221"/>
      <c r="AA38" s="223" t="str">
        <f>IFERROR(IF(AND(T37="Probabilidad",T38="Probabilidad"),(AC37-(+AC37*W38)),IF(AND(T37="Impacto",T38="Probabilidad"),(AC36-(+AC36*W38)),IF(T38="Impacto",AC37,""))),"")</f>
        <v/>
      </c>
      <c r="AB38" s="224" t="str">
        <f t="shared" si="2"/>
        <v/>
      </c>
      <c r="AC38" s="225" t="str">
        <f t="shared" si="3"/>
        <v/>
      </c>
      <c r="AD38" s="224" t="str">
        <f t="shared" si="4"/>
        <v/>
      </c>
      <c r="AE38" s="225" t="str">
        <f>IFERROR(IF(AND(T37="Impacto",T38="Impacto"),(AE37-(+AE37*W38)),IF(AND(T37="Probabilidad",T38="Impacto"),(AE36-(+AE36*W38)),IF(T38="Probabilidad",AE37,""))),"")</f>
        <v/>
      </c>
      <c r="AF38" s="226" t="str">
        <f t="shared" si="5"/>
        <v/>
      </c>
      <c r="AG38" s="227" t="s">
        <v>131</v>
      </c>
      <c r="AH38" s="104"/>
      <c r="AI38" s="230"/>
      <c r="AJ38" s="228"/>
      <c r="AK38" s="229"/>
      <c r="AL38" s="104"/>
      <c r="AM38" s="230"/>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31"/>
      <c r="BR38" s="231"/>
      <c r="BS38" s="231"/>
    </row>
    <row r="39" spans="1:71" s="232" customFormat="1" ht="273.75" customHeight="1" x14ac:dyDescent="0.3">
      <c r="A39" s="458">
        <v>6</v>
      </c>
      <c r="B39" s="461" t="s">
        <v>129</v>
      </c>
      <c r="C39" s="492" t="s">
        <v>400</v>
      </c>
      <c r="D39" s="495" t="s">
        <v>401</v>
      </c>
      <c r="E39" s="234" t="str">
        <f>'Priorizacion de Causas'!B34</f>
        <v>Inadecuada deducción de impuestos, tasas o contribuciones al contratista</v>
      </c>
      <c r="F39" s="498" t="s">
        <v>404</v>
      </c>
      <c r="G39" s="575" t="s">
        <v>403</v>
      </c>
      <c r="H39" s="236" t="s">
        <v>432</v>
      </c>
      <c r="I39" s="499" t="s">
        <v>118</v>
      </c>
      <c r="J39" s="470">
        <v>6000</v>
      </c>
      <c r="K39" s="473" t="str">
        <f>IF(J39&lt;=0,"",IF(J39&lt;=2,"Muy Baja",IF(J39&lt;=24,"Baja",IF(J39&lt;=500,"Media",IF(J39&lt;=5000,"Alta","Muy Alta")))))</f>
        <v>Muy Alta</v>
      </c>
      <c r="L39" s="452">
        <f>IF(K39="","",IF(K39="Muy Baja",0.2,IF(K39="Baja",0.4,IF(K39="Media",0.6,IF(K39="Alta",0.8,IF(K39="Muy Alta",1,))))))</f>
        <v>1</v>
      </c>
      <c r="M39" s="476" t="s">
        <v>214</v>
      </c>
      <c r="N39" s="452" t="str">
        <f>IF(NOT(ISERROR(MATCH(M39,'Tabla Impacto'!$B$221:$B$223,0))),'Tabla Impacto'!$F$223&amp;"Por favor no seleccionar los criterios de impacto(Afectación Económica o presupuestal y Pérdida Reputacional)",M39)</f>
        <v xml:space="preserve">     Entre 5000 y 10000 SMLMV</v>
      </c>
      <c r="O39" s="473" t="str">
        <f>IF(OR(N39='Tabla Impacto'!$C$11,N39='Tabla Impacto'!$D$11),"Leve",IF(OR(N39='Tabla Impacto'!$C$12,N39='Tabla Impacto'!$D$12),"Menor",IF(OR(N39='Tabla Impacto'!$C$13,N39='Tabla Impacto'!$D$13),"Moderado",IF(OR(N39='Tabla Impacto'!$C$14,N39='Tabla Impacto'!$D$14),"Mayor",IF(OR(N39='Tabla Impacto'!$C$15,N39='Tabla Impacto'!$D$15),"Catastrófico","")))))</f>
        <v>Mayor</v>
      </c>
      <c r="P39" s="452">
        <f>IF(O39="","",IF(O39="Leve",0.2,IF(O39="Menor",0.4,IF(O39="Moderado",0.6,IF(O39="Mayor",0.8,IF(O39="Catastrófico",1,))))))</f>
        <v>0.8</v>
      </c>
      <c r="Q39" s="455" t="str">
        <f>IF(OR(AND(K39="Muy Baja",O39="Leve"),AND(K39="Muy Baja",O39="Menor"),AND(K39="Baja",O39="Leve")),"Bajo",IF(OR(AND(K39="Muy baja",O39="Moderado"),AND(K39="Baja",O39="Menor"),AND(K39="Baja",O39="Moderado"),AND(K39="Media",O39="Leve"),AND(K39="Media",O39="Menor"),AND(K39="Media",O39="Moderado"),AND(K39="Alta",O39="Leve"),AND(K39="Alta",O39="Menor")),"Moderado",IF(OR(AND(K39="Muy Baja",O39="Mayor"),AND(K39="Baja",O39="Mayor"),AND(K39="Media",O39="Mayor"),AND(K39="Alta",O39="Moderado"),AND(K39="Alta",O39="Mayor"),AND(K39="Muy Alta",O39="Leve"),AND(K39="Muy Alta",O39="Menor"),AND(K39="Muy Alta",O39="Moderado"),AND(K39="Muy Alta",O39="Mayor")),"Alto",IF(OR(AND(K39="Muy Baja",O39="Catastrófico"),AND(K39="Baja",O39="Catastrófico"),AND(K39="Media",O39="Catastrófico"),AND(K39="Alta",O39="Catastrófico"),AND(K39="Muy Alta",O39="Catastrófico")),"Extremo",""))))</f>
        <v>Alto</v>
      </c>
      <c r="R39" s="219">
        <v>1</v>
      </c>
      <c r="S39" s="104" t="str">
        <f>DOFA!E45</f>
        <v>El técnico, los profesionales y el Grupo de Apoyo cada vez que llegue al correo documentos y órdenes de pago para tramite revisaran y compararan que los documentos que se requieren para la generación de una Orden de Pago de Prestación de Servicios Profesionales y de Apoyo a la Gestión y los soportes que acompañan la Orden de Pago de Otras Tipologías Contractuales son los requeridos y definidos como anexos en las condiciones generales y verificaran que los cálculos de las deducciones correspondan a los conceptos del hecho económico a pagar, bases gravables y tarifas estipuladas por la normatividad que les dio origen y que se encuentre vigente.
 dejando como evidencia Correos Institucionales para manejo de documentos de órdenes de pago
PROCEDIMIENTO: ÓRDENES DE PAGO Código: PRO-GHP-008</v>
      </c>
      <c r="T39" s="220" t="str">
        <f t="shared" si="0"/>
        <v>Probabilidad</v>
      </c>
      <c r="U39" s="221" t="s">
        <v>14</v>
      </c>
      <c r="V39" s="221" t="s">
        <v>9</v>
      </c>
      <c r="W39" s="222" t="str">
        <f t="shared" si="1"/>
        <v>40%</v>
      </c>
      <c r="X39" s="221" t="s">
        <v>19</v>
      </c>
      <c r="Y39" s="221" t="s">
        <v>22</v>
      </c>
      <c r="Z39" s="221" t="s">
        <v>114</v>
      </c>
      <c r="AA39" s="223">
        <f>IFERROR(IF(T39="Probabilidad",(L39-(+L39*W39)),IF(T39="Impacto",L39,"")),"")</f>
        <v>0.6</v>
      </c>
      <c r="AB39" s="224" t="str">
        <f t="shared" si="2"/>
        <v>Media</v>
      </c>
      <c r="AC39" s="225">
        <f t="shared" si="3"/>
        <v>0.6</v>
      </c>
      <c r="AD39" s="224" t="str">
        <f t="shared" si="4"/>
        <v>Mayor</v>
      </c>
      <c r="AE39" s="225">
        <f>IFERROR(IF(T39="Impacto",(P39-(+P39*W39)),IF(T39="Probabilidad",P39,"")),"")</f>
        <v>0.8</v>
      </c>
      <c r="AF39" s="226" t="str">
        <f t="shared" si="5"/>
        <v>Alto</v>
      </c>
      <c r="AG39" s="227" t="s">
        <v>131</v>
      </c>
      <c r="AH39" s="104" t="s">
        <v>416</v>
      </c>
      <c r="AI39" s="230" t="s">
        <v>410</v>
      </c>
      <c r="AJ39" s="228">
        <v>45597</v>
      </c>
      <c r="AK39" s="229"/>
      <c r="AL39" s="104"/>
      <c r="AM39" s="230" t="s">
        <v>41</v>
      </c>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c r="BQ39" s="231"/>
      <c r="BR39" s="231"/>
      <c r="BS39" s="231"/>
    </row>
    <row r="40" spans="1:71" ht="26.25" hidden="1" customHeight="1" x14ac:dyDescent="0.25">
      <c r="A40" s="459"/>
      <c r="B40" s="462"/>
      <c r="C40" s="493"/>
      <c r="D40" s="496"/>
      <c r="E40" s="206"/>
      <c r="F40" s="498"/>
      <c r="G40" s="576"/>
      <c r="H40" s="131"/>
      <c r="I40" s="500"/>
      <c r="J40" s="471"/>
      <c r="K40" s="474"/>
      <c r="L40" s="453"/>
      <c r="M40" s="477"/>
      <c r="N40" s="453">
        <f>IF(NOT(ISERROR(MATCH(M40,_xlfn.ANCHORARRAY(F51),0))),L53&amp;"Por favor no seleccionar los criterios de impacto",M40)</f>
        <v>0</v>
      </c>
      <c r="O40" s="474"/>
      <c r="P40" s="453"/>
      <c r="Q40" s="456"/>
      <c r="R40" s="103">
        <v>2</v>
      </c>
      <c r="S40" s="104"/>
      <c r="T40" s="105" t="str">
        <f t="shared" si="0"/>
        <v/>
      </c>
      <c r="U40" s="111"/>
      <c r="V40" s="111"/>
      <c r="W40" s="112" t="str">
        <f t="shared" si="1"/>
        <v/>
      </c>
      <c r="X40" s="111"/>
      <c r="Y40" s="111"/>
      <c r="Z40" s="111"/>
      <c r="AA40" s="106" t="str">
        <f>IFERROR(IF(AND(T39="Probabilidad",T40="Probabilidad"),(AC39-(+AC39*W40)),IF(AND(T39="Impacto",T40="Probabilidad"),(L39-(+L39*W40)),IF(T40="Impacto",AC39,""))),"")</f>
        <v/>
      </c>
      <c r="AB40" s="113" t="str">
        <f t="shared" si="2"/>
        <v/>
      </c>
      <c r="AC40" s="114" t="str">
        <f t="shared" si="3"/>
        <v/>
      </c>
      <c r="AD40" s="113" t="str">
        <f t="shared" si="4"/>
        <v/>
      </c>
      <c r="AE40" s="114" t="str">
        <f>IFERROR(IF(AND(T39="Impacto",T40="Impacto"),(AE39-(+AE39*W40)),IF(AND(T39="Probabilidad",T40="Impacto"),(P39-(+P39*W40)),IF(T40="Probabilidad",AE39,""))),"")</f>
        <v/>
      </c>
      <c r="AF40" s="115" t="str">
        <f t="shared" si="5"/>
        <v/>
      </c>
      <c r="AG40" s="116"/>
      <c r="AH40" s="107"/>
      <c r="AI40" s="108"/>
      <c r="AJ40" s="217"/>
      <c r="AK40" s="109"/>
      <c r="AL40" s="107"/>
      <c r="AM40" s="108"/>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row>
    <row r="41" spans="1:71" ht="26.25" hidden="1" customHeight="1" x14ac:dyDescent="0.25">
      <c r="A41" s="459"/>
      <c r="B41" s="462"/>
      <c r="C41" s="493"/>
      <c r="D41" s="496"/>
      <c r="E41" s="206"/>
      <c r="F41" s="498"/>
      <c r="G41" s="576"/>
      <c r="H41" s="131"/>
      <c r="I41" s="500"/>
      <c r="J41" s="471"/>
      <c r="K41" s="474"/>
      <c r="L41" s="453"/>
      <c r="M41" s="477"/>
      <c r="N41" s="453">
        <f>IF(NOT(ISERROR(MATCH(M41,_xlfn.ANCHORARRAY(F52),0))),L54&amp;"Por favor no seleccionar los criterios de impacto",M41)</f>
        <v>0</v>
      </c>
      <c r="O41" s="474"/>
      <c r="P41" s="453"/>
      <c r="Q41" s="456"/>
      <c r="R41" s="103">
        <v>3</v>
      </c>
      <c r="S41" s="110"/>
      <c r="T41" s="105" t="str">
        <f t="shared" ref="T41:T68" si="6">IF(OR(U41="Preventivo",U41="Detectivo"),"Probabilidad",IF(U41="Correctivo","Impacto",""))</f>
        <v/>
      </c>
      <c r="U41" s="111"/>
      <c r="V41" s="111"/>
      <c r="W41" s="112" t="str">
        <f t="shared" ref="W41:W68" si="7">IF(AND(U41="Preventivo",V41="Automático"),"50%",IF(AND(U41="Preventivo",V41="Manual"),"40%",IF(AND(U41="Detectivo",V41="Automático"),"40%",IF(AND(U41="Detectivo",V41="Manual"),"30%",IF(AND(U41="Correctivo",V41="Automático"),"35%",IF(AND(U41="Correctivo",V41="Manual"),"25%",""))))))</f>
        <v/>
      </c>
      <c r="X41" s="111"/>
      <c r="Y41" s="111"/>
      <c r="Z41" s="111"/>
      <c r="AA41" s="106" t="str">
        <f>IFERROR(IF(AND(T40="Probabilidad",T41="Probabilidad"),(AC40-(+AC40*W41)),IF(AND(T40="Impacto",T41="Probabilidad"),(AC39-(+AC39*W41)),IF(T41="Impacto",AC40,""))),"")</f>
        <v/>
      </c>
      <c r="AB41" s="113" t="str">
        <f t="shared" ref="AB41:AB68" si="8">IFERROR(IF(AA41="","",IF(AA41&lt;=0.2,"Muy Baja",IF(AA41&lt;=0.4,"Baja",IF(AA41&lt;=0.6,"Media",IF(AA41&lt;=0.8,"Alta","Muy Alta"))))),"")</f>
        <v/>
      </c>
      <c r="AC41" s="114" t="str">
        <f t="shared" ref="AC41:AC68" si="9">+AA41</f>
        <v/>
      </c>
      <c r="AD41" s="113" t="str">
        <f t="shared" ref="AD41:AD68" si="10">IFERROR(IF(AE41="","",IF(AE41&lt;=0.2,"Leve",IF(AE41&lt;=0.4,"Menor",IF(AE41&lt;=0.6,"Moderado",IF(AE41&lt;=0.8,"Mayor","Catastrófico"))))),"")</f>
        <v/>
      </c>
      <c r="AE41" s="114" t="str">
        <f>IFERROR(IF(AND(T40="Impacto",T41="Impacto"),(AE40-(+AE40*W41)),IF(AND(T40="Probabilidad",T41="Impacto"),(AE39-(+AE39*W41)),IF(T41="Probabilidad",AE40,""))),"")</f>
        <v/>
      </c>
      <c r="AF41" s="115" t="str">
        <f t="shared" ref="AF41:AF68" si="11">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16"/>
      <c r="AH41" s="107"/>
      <c r="AI41" s="108"/>
      <c r="AJ41" s="217"/>
      <c r="AK41" s="109"/>
      <c r="AL41" s="107"/>
      <c r="AM41" s="108"/>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row>
    <row r="42" spans="1:71" ht="26.25" hidden="1" customHeight="1" x14ac:dyDescent="0.25">
      <c r="A42" s="459"/>
      <c r="B42" s="462"/>
      <c r="C42" s="493"/>
      <c r="D42" s="496"/>
      <c r="E42" s="206"/>
      <c r="F42" s="498"/>
      <c r="G42" s="576"/>
      <c r="H42" s="131"/>
      <c r="I42" s="500"/>
      <c r="J42" s="471"/>
      <c r="K42" s="474"/>
      <c r="L42" s="453"/>
      <c r="M42" s="477"/>
      <c r="N42" s="453">
        <f>IF(NOT(ISERROR(MATCH(M42,_xlfn.ANCHORARRAY(F53),0))),L55&amp;"Por favor no seleccionar los criterios de impacto",M42)</f>
        <v>0</v>
      </c>
      <c r="O42" s="474"/>
      <c r="P42" s="453"/>
      <c r="Q42" s="456"/>
      <c r="R42" s="103">
        <v>4</v>
      </c>
      <c r="S42" s="104"/>
      <c r="T42" s="105" t="str">
        <f t="shared" si="6"/>
        <v/>
      </c>
      <c r="U42" s="111"/>
      <c r="V42" s="111"/>
      <c r="W42" s="112" t="str">
        <f t="shared" si="7"/>
        <v/>
      </c>
      <c r="X42" s="111"/>
      <c r="Y42" s="111"/>
      <c r="Z42" s="111"/>
      <c r="AA42" s="106" t="str">
        <f>IFERROR(IF(AND(T41="Probabilidad",T42="Probabilidad"),(AC41-(+AC41*W42)),IF(AND(T41="Impacto",T42="Probabilidad"),(AC40-(+AC40*W42)),IF(T42="Impacto",AC41,""))),"")</f>
        <v/>
      </c>
      <c r="AB42" s="113" t="str">
        <f t="shared" si="8"/>
        <v/>
      </c>
      <c r="AC42" s="114" t="str">
        <f t="shared" si="9"/>
        <v/>
      </c>
      <c r="AD42" s="113" t="str">
        <f t="shared" si="10"/>
        <v/>
      </c>
      <c r="AE42" s="114" t="str">
        <f>IFERROR(IF(AND(T41="Impacto",T42="Impacto"),(AE41-(+AE41*W42)),IF(AND(T41="Probabilidad",T42="Impacto"),(AE40-(+AE40*W42)),IF(T42="Probabilidad",AE41,""))),"")</f>
        <v/>
      </c>
      <c r="AF42" s="115" t="str">
        <f t="shared" si="11"/>
        <v/>
      </c>
      <c r="AG42" s="116"/>
      <c r="AH42" s="107"/>
      <c r="AI42" s="108"/>
      <c r="AJ42" s="217"/>
      <c r="AK42" s="109"/>
      <c r="AL42" s="107"/>
      <c r="AM42" s="108"/>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row>
    <row r="43" spans="1:71" ht="26.25" hidden="1" customHeight="1" x14ac:dyDescent="0.25">
      <c r="A43" s="459"/>
      <c r="B43" s="462"/>
      <c r="C43" s="493"/>
      <c r="D43" s="496"/>
      <c r="E43" s="206"/>
      <c r="F43" s="498"/>
      <c r="G43" s="576"/>
      <c r="H43" s="131"/>
      <c r="I43" s="500"/>
      <c r="J43" s="471"/>
      <c r="K43" s="474"/>
      <c r="L43" s="453"/>
      <c r="M43" s="477"/>
      <c r="N43" s="453">
        <f>IF(NOT(ISERROR(MATCH(M43,_xlfn.ANCHORARRAY(F54),0))),L56&amp;"Por favor no seleccionar los criterios de impacto",M43)</f>
        <v>0</v>
      </c>
      <c r="O43" s="474"/>
      <c r="P43" s="453"/>
      <c r="Q43" s="456"/>
      <c r="R43" s="103">
        <v>5</v>
      </c>
      <c r="S43" s="104"/>
      <c r="T43" s="105" t="str">
        <f t="shared" si="6"/>
        <v/>
      </c>
      <c r="U43" s="111"/>
      <c r="V43" s="111"/>
      <c r="W43" s="112" t="str">
        <f t="shared" si="7"/>
        <v/>
      </c>
      <c r="X43" s="111"/>
      <c r="Y43" s="111"/>
      <c r="Z43" s="111"/>
      <c r="AA43" s="106" t="str">
        <f>IFERROR(IF(AND(T42="Probabilidad",T43="Probabilidad"),(AC42-(+AC42*W43)),IF(AND(T42="Impacto",T43="Probabilidad"),(AC41-(+AC41*W43)),IF(T43="Impacto",AC42,""))),"")</f>
        <v/>
      </c>
      <c r="AB43" s="113" t="str">
        <f t="shared" si="8"/>
        <v/>
      </c>
      <c r="AC43" s="114" t="str">
        <f t="shared" si="9"/>
        <v/>
      </c>
      <c r="AD43" s="113" t="str">
        <f t="shared" si="10"/>
        <v/>
      </c>
      <c r="AE43" s="114" t="str">
        <f>IFERROR(IF(AND(T42="Impacto",T43="Impacto"),(AE42-(+AE42*W43)),IF(AND(T42="Probabilidad",T43="Impacto"),(AE41-(+AE41*W43)),IF(T43="Probabilidad",AE42,""))),"")</f>
        <v/>
      </c>
      <c r="AF43" s="115" t="str">
        <f t="shared" si="11"/>
        <v/>
      </c>
      <c r="AG43" s="116"/>
      <c r="AH43" s="107"/>
      <c r="AI43" s="108"/>
      <c r="AJ43" s="217"/>
      <c r="AK43" s="109"/>
      <c r="AL43" s="107"/>
      <c r="AM43" s="108"/>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row>
    <row r="44" spans="1:71" ht="47.25" hidden="1" customHeight="1" x14ac:dyDescent="0.25">
      <c r="A44" s="460"/>
      <c r="B44" s="463"/>
      <c r="C44" s="494"/>
      <c r="D44" s="497"/>
      <c r="E44" s="206"/>
      <c r="F44" s="498"/>
      <c r="G44" s="577"/>
      <c r="H44" s="131"/>
      <c r="I44" s="501"/>
      <c r="J44" s="472"/>
      <c r="K44" s="475"/>
      <c r="L44" s="454"/>
      <c r="M44" s="478"/>
      <c r="N44" s="454">
        <f>IF(NOT(ISERROR(MATCH(M44,_xlfn.ANCHORARRAY(F55),0))),L57&amp;"Por favor no seleccionar los criterios de impacto",M44)</f>
        <v>0</v>
      </c>
      <c r="O44" s="475"/>
      <c r="P44" s="454"/>
      <c r="Q44" s="457"/>
      <c r="R44" s="103">
        <v>6</v>
      </c>
      <c r="S44" s="104"/>
      <c r="T44" s="105" t="str">
        <f t="shared" si="6"/>
        <v/>
      </c>
      <c r="U44" s="111"/>
      <c r="V44" s="111"/>
      <c r="W44" s="112" t="str">
        <f t="shared" si="7"/>
        <v/>
      </c>
      <c r="X44" s="111"/>
      <c r="Y44" s="111"/>
      <c r="Z44" s="111"/>
      <c r="AA44" s="106" t="str">
        <f>IFERROR(IF(AND(T43="Probabilidad",T44="Probabilidad"),(AC43-(+AC43*W44)),IF(AND(T43="Impacto",T44="Probabilidad"),(AC42-(+AC42*W44)),IF(T44="Impacto",AC43,""))),"")</f>
        <v/>
      </c>
      <c r="AB44" s="113" t="str">
        <f t="shared" si="8"/>
        <v/>
      </c>
      <c r="AC44" s="114" t="str">
        <f t="shared" si="9"/>
        <v/>
      </c>
      <c r="AD44" s="113" t="str">
        <f t="shared" si="10"/>
        <v/>
      </c>
      <c r="AE44" s="114" t="str">
        <f>IFERROR(IF(AND(T43="Impacto",T44="Impacto"),(AE43-(+AE43*W44)),IF(AND(T43="Probabilidad",T44="Impacto"),(AE42-(+AE42*W44)),IF(T44="Probabilidad",AE43,""))),"")</f>
        <v/>
      </c>
      <c r="AF44" s="115" t="str">
        <f t="shared" si="11"/>
        <v/>
      </c>
      <c r="AG44" s="116"/>
      <c r="AH44" s="107"/>
      <c r="AI44" s="108"/>
      <c r="AJ44" s="217"/>
      <c r="AK44" s="109"/>
      <c r="AL44" s="107"/>
      <c r="AM44" s="108"/>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row>
    <row r="45" spans="1:71" ht="26.25" hidden="1" customHeight="1" x14ac:dyDescent="0.25">
      <c r="A45" s="458">
        <v>7</v>
      </c>
      <c r="B45" s="461"/>
      <c r="C45" s="464"/>
      <c r="D45" s="464"/>
      <c r="E45" s="210"/>
      <c r="F45" s="468"/>
      <c r="G45" s="575"/>
      <c r="H45" s="118"/>
      <c r="I45" s="461"/>
      <c r="J45" s="470"/>
      <c r="K45" s="473" t="str">
        <f>IF(J45&lt;=0,"",IF(J45&lt;=2,"Muy Baja",IF(J45&lt;=24,"Baja",IF(J45&lt;=500,"Media",IF(J45&lt;=5000,"Alta","Muy Alta")))))</f>
        <v/>
      </c>
      <c r="L45" s="452" t="str">
        <f>IF(K45="","",IF(K45="Muy Baja",0.2,IF(K45="Baja",0.4,IF(K45="Media",0.6,IF(K45="Alta",0.8,IF(K45="Muy Alta",1,))))))</f>
        <v/>
      </c>
      <c r="M45" s="476"/>
      <c r="N45" s="452">
        <f>IF(NOT(ISERROR(MATCH(M45,'Tabla Impacto'!$B$221:$B$223,0))),'Tabla Impacto'!$F$223&amp;"Por favor no seleccionar los criterios de impacto(Afectación Económica o presupuestal y Pérdida Reputacional)",M45)</f>
        <v>0</v>
      </c>
      <c r="O45" s="473" t="str">
        <f>IF(OR(N45='Tabla Impacto'!$C$11,N45='Tabla Impacto'!$D$11),"Leve",IF(OR(N45='Tabla Impacto'!$C$12,N45='Tabla Impacto'!$D$12),"Menor",IF(OR(N45='Tabla Impacto'!$C$13,N45='Tabla Impacto'!$D$13),"Moderado",IF(OR(N45='Tabla Impacto'!$C$14,N45='Tabla Impacto'!$D$14),"Mayor",IF(OR(N45='Tabla Impacto'!$C$15,N45='Tabla Impacto'!$D$15),"Catastrófico","")))))</f>
        <v/>
      </c>
      <c r="P45" s="452" t="str">
        <f>IF(O45="","",IF(O45="Leve",0.2,IF(O45="Menor",0.4,IF(O45="Moderado",0.6,IF(O45="Mayor",0.8,IF(O45="Catastrófico",1,))))))</f>
        <v/>
      </c>
      <c r="Q45" s="455" t="str">
        <f>IF(OR(AND(K45="Muy Baja",O45="Leve"),AND(K45="Muy Baja",O45="Menor"),AND(K45="Baja",O45="Leve")),"Bajo",IF(OR(AND(K45="Muy baja",O45="Moderado"),AND(K45="Baja",O45="Menor"),AND(K45="Baja",O45="Moderado"),AND(K45="Media",O45="Leve"),AND(K45="Media",O45="Menor"),AND(K45="Media",O45="Moderado"),AND(K45="Alta",O45="Leve"),AND(K45="Alta",O45="Menor")),"Moderado",IF(OR(AND(K45="Muy Baja",O45="Mayor"),AND(K45="Baja",O45="Mayor"),AND(K45="Media",O45="Mayor"),AND(K45="Alta",O45="Moderado"),AND(K45="Alta",O45="Mayor"),AND(K45="Muy Alta",O45="Leve"),AND(K45="Muy Alta",O45="Menor"),AND(K45="Muy Alta",O45="Moderado"),AND(K45="Muy Alta",O45="Mayor")),"Alto",IF(OR(AND(K45="Muy Baja",O45="Catastrófico"),AND(K45="Baja",O45="Catastrófico"),AND(K45="Media",O45="Catastrófico"),AND(K45="Alta",O45="Catastrófico"),AND(K45="Muy Alta",O45="Catastrófico")),"Extremo",""))))</f>
        <v/>
      </c>
      <c r="R45" s="103">
        <v>1</v>
      </c>
      <c r="S45" s="104">
        <f>DOFA!E46</f>
        <v>0</v>
      </c>
      <c r="T45" s="105" t="str">
        <f t="shared" si="6"/>
        <v/>
      </c>
      <c r="U45" s="111"/>
      <c r="V45" s="111"/>
      <c r="W45" s="112" t="str">
        <f t="shared" si="7"/>
        <v/>
      </c>
      <c r="X45" s="111"/>
      <c r="Y45" s="111"/>
      <c r="Z45" s="111"/>
      <c r="AA45" s="106" t="str">
        <f>IFERROR(IF(T45="Probabilidad",(L45-(+L45*W45)),IF(T45="Impacto",L45,"")),"")</f>
        <v/>
      </c>
      <c r="AB45" s="113" t="str">
        <f t="shared" si="8"/>
        <v/>
      </c>
      <c r="AC45" s="114" t="str">
        <f t="shared" si="9"/>
        <v/>
      </c>
      <c r="AD45" s="113" t="str">
        <f t="shared" si="10"/>
        <v/>
      </c>
      <c r="AE45" s="114" t="str">
        <f>IFERROR(IF(T45="Impacto",(P45-(+P45*W45)),IF(T45="Probabilidad",P45,"")),"")</f>
        <v/>
      </c>
      <c r="AF45" s="115" t="str">
        <f t="shared" si="11"/>
        <v/>
      </c>
      <c r="AG45" s="116"/>
      <c r="AH45" s="107"/>
      <c r="AI45" s="108"/>
      <c r="AJ45" s="217"/>
      <c r="AK45" s="109"/>
      <c r="AL45" s="107"/>
      <c r="AM45" s="108"/>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row>
    <row r="46" spans="1:71" ht="24.75" hidden="1" customHeight="1" x14ac:dyDescent="0.25">
      <c r="A46" s="459"/>
      <c r="B46" s="462"/>
      <c r="C46" s="465"/>
      <c r="D46" s="465"/>
      <c r="E46" s="210"/>
      <c r="F46" s="468"/>
      <c r="G46" s="576"/>
      <c r="H46" s="118"/>
      <c r="I46" s="462"/>
      <c r="J46" s="471"/>
      <c r="K46" s="474"/>
      <c r="L46" s="453"/>
      <c r="M46" s="477"/>
      <c r="N46" s="453">
        <f>IF(NOT(ISERROR(MATCH(M46,_xlfn.ANCHORARRAY(F57),0))),L59&amp;"Por favor no seleccionar los criterios de impacto",M46)</f>
        <v>0</v>
      </c>
      <c r="O46" s="474"/>
      <c r="P46" s="453"/>
      <c r="Q46" s="456"/>
      <c r="R46" s="103">
        <v>2</v>
      </c>
      <c r="S46" s="104"/>
      <c r="T46" s="105" t="str">
        <f t="shared" si="6"/>
        <v/>
      </c>
      <c r="U46" s="111"/>
      <c r="V46" s="111"/>
      <c r="W46" s="112" t="str">
        <f t="shared" si="7"/>
        <v/>
      </c>
      <c r="X46" s="111"/>
      <c r="Y46" s="111"/>
      <c r="Z46" s="111"/>
      <c r="AA46" s="106" t="str">
        <f>IFERROR(IF(AND(T45="Probabilidad",T46="Probabilidad"),(AC45-(+AC45*W46)),IF(AND(T45="Impacto",T46="Probabilidad"),(L45-(+L45*W46)),IF(T46="Impacto",AC45,""))),"")</f>
        <v/>
      </c>
      <c r="AB46" s="113" t="str">
        <f t="shared" si="8"/>
        <v/>
      </c>
      <c r="AC46" s="114" t="str">
        <f t="shared" si="9"/>
        <v/>
      </c>
      <c r="AD46" s="113" t="str">
        <f t="shared" si="10"/>
        <v/>
      </c>
      <c r="AE46" s="114" t="str">
        <f>IFERROR(IF(AND(T45="Impacto",T46="Impacto"),(AE45-(+AE45*W46)),IF(AND(T45="Probabilidad",T46="Impacto"),(P45-(+P45*W46)),IF(T46="Probabilidad",AE45,""))),"")</f>
        <v/>
      </c>
      <c r="AF46" s="115" t="str">
        <f t="shared" si="11"/>
        <v/>
      </c>
      <c r="AG46" s="116"/>
      <c r="AH46" s="107"/>
      <c r="AI46" s="108"/>
      <c r="AJ46" s="217"/>
      <c r="AK46" s="109"/>
      <c r="AL46" s="107"/>
      <c r="AM46" s="108"/>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row>
    <row r="47" spans="1:71" ht="26.25" hidden="1" customHeight="1" x14ac:dyDescent="0.25">
      <c r="A47" s="459"/>
      <c r="B47" s="462"/>
      <c r="C47" s="465"/>
      <c r="D47" s="465"/>
      <c r="E47" s="210"/>
      <c r="F47" s="468"/>
      <c r="G47" s="576"/>
      <c r="H47" s="118"/>
      <c r="I47" s="462"/>
      <c r="J47" s="471"/>
      <c r="K47" s="474"/>
      <c r="L47" s="453"/>
      <c r="M47" s="477"/>
      <c r="N47" s="453">
        <f>IF(NOT(ISERROR(MATCH(M47,_xlfn.ANCHORARRAY(F58),0))),L60&amp;"Por favor no seleccionar los criterios de impacto",M47)</f>
        <v>0</v>
      </c>
      <c r="O47" s="474"/>
      <c r="P47" s="453"/>
      <c r="Q47" s="456"/>
      <c r="R47" s="103">
        <v>3</v>
      </c>
      <c r="S47" s="110"/>
      <c r="T47" s="105" t="str">
        <f t="shared" si="6"/>
        <v/>
      </c>
      <c r="U47" s="111"/>
      <c r="V47" s="111"/>
      <c r="W47" s="112" t="str">
        <f t="shared" si="7"/>
        <v/>
      </c>
      <c r="X47" s="111"/>
      <c r="Y47" s="111"/>
      <c r="Z47" s="111"/>
      <c r="AA47" s="106" t="str">
        <f>IFERROR(IF(AND(T46="Probabilidad",T47="Probabilidad"),(AC46-(+AC46*W47)),IF(AND(T46="Impacto",T47="Probabilidad"),(AC45-(+AC45*W47)),IF(T47="Impacto",AC46,""))),"")</f>
        <v/>
      </c>
      <c r="AB47" s="113" t="str">
        <f t="shared" si="8"/>
        <v/>
      </c>
      <c r="AC47" s="114" t="str">
        <f t="shared" si="9"/>
        <v/>
      </c>
      <c r="AD47" s="113" t="str">
        <f t="shared" si="10"/>
        <v/>
      </c>
      <c r="AE47" s="114" t="str">
        <f>IFERROR(IF(AND(T46="Impacto",T47="Impacto"),(AE46-(+AE46*W47)),IF(AND(T46="Probabilidad",T47="Impacto"),(AE45-(+AE45*W47)),IF(T47="Probabilidad",AE46,""))),"")</f>
        <v/>
      </c>
      <c r="AF47" s="115" t="str">
        <f t="shared" si="11"/>
        <v/>
      </c>
      <c r="AG47" s="116"/>
      <c r="AH47" s="107"/>
      <c r="AI47" s="108"/>
      <c r="AJ47" s="217"/>
      <c r="AK47" s="109"/>
      <c r="AL47" s="107"/>
      <c r="AM47" s="108"/>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row>
    <row r="48" spans="1:71" ht="26.25" hidden="1" customHeight="1" x14ac:dyDescent="0.25">
      <c r="A48" s="459"/>
      <c r="B48" s="462"/>
      <c r="C48" s="465"/>
      <c r="D48" s="465"/>
      <c r="E48" s="210"/>
      <c r="F48" s="468"/>
      <c r="G48" s="576"/>
      <c r="H48" s="118"/>
      <c r="I48" s="462"/>
      <c r="J48" s="471"/>
      <c r="K48" s="474"/>
      <c r="L48" s="453"/>
      <c r="M48" s="477"/>
      <c r="N48" s="453">
        <f>IF(NOT(ISERROR(MATCH(M48,_xlfn.ANCHORARRAY(F59),0))),L61&amp;"Por favor no seleccionar los criterios de impacto",M48)</f>
        <v>0</v>
      </c>
      <c r="O48" s="474"/>
      <c r="P48" s="453"/>
      <c r="Q48" s="456"/>
      <c r="R48" s="103">
        <v>4</v>
      </c>
      <c r="S48" s="104"/>
      <c r="T48" s="105" t="str">
        <f t="shared" si="6"/>
        <v/>
      </c>
      <c r="U48" s="111"/>
      <c r="V48" s="111"/>
      <c r="W48" s="112" t="str">
        <f t="shared" si="7"/>
        <v/>
      </c>
      <c r="X48" s="111"/>
      <c r="Y48" s="111"/>
      <c r="Z48" s="111"/>
      <c r="AA48" s="106" t="str">
        <f>IFERROR(IF(AND(T47="Probabilidad",T48="Probabilidad"),(AC47-(+AC47*W48)),IF(AND(T47="Impacto",T48="Probabilidad"),(AC46-(+AC46*W48)),IF(T48="Impacto",AC47,""))),"")</f>
        <v/>
      </c>
      <c r="AB48" s="113" t="str">
        <f t="shared" si="8"/>
        <v/>
      </c>
      <c r="AC48" s="114" t="str">
        <f t="shared" si="9"/>
        <v/>
      </c>
      <c r="AD48" s="113" t="str">
        <f t="shared" si="10"/>
        <v/>
      </c>
      <c r="AE48" s="114" t="str">
        <f>IFERROR(IF(AND(T47="Impacto",T48="Impacto"),(AE47-(+AE47*W48)),IF(AND(T47="Probabilidad",T48="Impacto"),(AE46-(+AE46*W48)),IF(T48="Probabilidad",AE47,""))),"")</f>
        <v/>
      </c>
      <c r="AF48" s="115" t="str">
        <f t="shared" si="11"/>
        <v/>
      </c>
      <c r="AG48" s="116"/>
      <c r="AH48" s="107"/>
      <c r="AI48" s="108"/>
      <c r="AJ48" s="217"/>
      <c r="AK48" s="109"/>
      <c r="AL48" s="107"/>
      <c r="AM48" s="108"/>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row>
    <row r="49" spans="1:71" ht="26.25" hidden="1" customHeight="1" x14ac:dyDescent="0.25">
      <c r="A49" s="459"/>
      <c r="B49" s="462"/>
      <c r="C49" s="465"/>
      <c r="D49" s="465"/>
      <c r="E49" s="210"/>
      <c r="F49" s="468"/>
      <c r="G49" s="576"/>
      <c r="H49" s="118"/>
      <c r="I49" s="462"/>
      <c r="J49" s="471"/>
      <c r="K49" s="474"/>
      <c r="L49" s="453"/>
      <c r="M49" s="477"/>
      <c r="N49" s="453">
        <f>IF(NOT(ISERROR(MATCH(M49,_xlfn.ANCHORARRAY(F60),0))),L62&amp;"Por favor no seleccionar los criterios de impacto",M49)</f>
        <v>0</v>
      </c>
      <c r="O49" s="474"/>
      <c r="P49" s="453"/>
      <c r="Q49" s="456"/>
      <c r="R49" s="103">
        <v>5</v>
      </c>
      <c r="S49" s="104"/>
      <c r="T49" s="105" t="str">
        <f t="shared" si="6"/>
        <v/>
      </c>
      <c r="U49" s="111"/>
      <c r="V49" s="111"/>
      <c r="W49" s="112" t="str">
        <f t="shared" si="7"/>
        <v/>
      </c>
      <c r="X49" s="111"/>
      <c r="Y49" s="111"/>
      <c r="Z49" s="111"/>
      <c r="AA49" s="106" t="str">
        <f>IFERROR(IF(AND(T48="Probabilidad",T49="Probabilidad"),(AC48-(+AC48*W49)),IF(AND(T48="Impacto",T49="Probabilidad"),(AC47-(+AC47*W49)),IF(T49="Impacto",AC48,""))),"")</f>
        <v/>
      </c>
      <c r="AB49" s="113" t="str">
        <f t="shared" si="8"/>
        <v/>
      </c>
      <c r="AC49" s="114" t="str">
        <f t="shared" si="9"/>
        <v/>
      </c>
      <c r="AD49" s="113" t="str">
        <f t="shared" si="10"/>
        <v/>
      </c>
      <c r="AE49" s="114" t="str">
        <f>IFERROR(IF(AND(T48="Impacto",T49="Impacto"),(AE48-(+AE48*W49)),IF(AND(T48="Probabilidad",T49="Impacto"),(AE47-(+AE47*W49)),IF(T49="Probabilidad",AE48,""))),"")</f>
        <v/>
      </c>
      <c r="AF49" s="115" t="str">
        <f t="shared" si="11"/>
        <v/>
      </c>
      <c r="AG49" s="116"/>
      <c r="AH49" s="107"/>
      <c r="AI49" s="108"/>
      <c r="AJ49" s="217"/>
      <c r="AK49" s="109"/>
      <c r="AL49" s="107"/>
      <c r="AM49" s="108"/>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row>
    <row r="50" spans="1:71" ht="26.25" hidden="1" customHeight="1" x14ac:dyDescent="0.25">
      <c r="A50" s="460"/>
      <c r="B50" s="463"/>
      <c r="C50" s="466"/>
      <c r="D50" s="466"/>
      <c r="E50" s="211"/>
      <c r="F50" s="469"/>
      <c r="G50" s="577"/>
      <c r="H50" s="119"/>
      <c r="I50" s="463"/>
      <c r="J50" s="472"/>
      <c r="K50" s="475"/>
      <c r="L50" s="454"/>
      <c r="M50" s="478"/>
      <c r="N50" s="454">
        <f>IF(NOT(ISERROR(MATCH(M50,_xlfn.ANCHORARRAY(F61),0))),L63&amp;"Por favor no seleccionar los criterios de impacto",M50)</f>
        <v>0</v>
      </c>
      <c r="O50" s="475"/>
      <c r="P50" s="454"/>
      <c r="Q50" s="457"/>
      <c r="R50" s="103">
        <v>6</v>
      </c>
      <c r="S50" s="104"/>
      <c r="T50" s="105" t="str">
        <f t="shared" si="6"/>
        <v/>
      </c>
      <c r="U50" s="111"/>
      <c r="V50" s="111"/>
      <c r="W50" s="112" t="str">
        <f t="shared" si="7"/>
        <v/>
      </c>
      <c r="X50" s="111"/>
      <c r="Y50" s="111"/>
      <c r="Z50" s="111"/>
      <c r="AA50" s="106" t="str">
        <f>IFERROR(IF(AND(T49="Probabilidad",T50="Probabilidad"),(AC49-(+AC49*W50)),IF(AND(T49="Impacto",T50="Probabilidad"),(AC48-(+AC48*W50)),IF(T50="Impacto",AC49,""))),"")</f>
        <v/>
      </c>
      <c r="AB50" s="113" t="str">
        <f t="shared" si="8"/>
        <v/>
      </c>
      <c r="AC50" s="114" t="str">
        <f t="shared" si="9"/>
        <v/>
      </c>
      <c r="AD50" s="113" t="str">
        <f t="shared" si="10"/>
        <v/>
      </c>
      <c r="AE50" s="114" t="str">
        <f>IFERROR(IF(AND(T49="Impacto",T50="Impacto"),(AE49-(+AE49*W50)),IF(AND(T49="Probabilidad",T50="Impacto"),(AE48-(+AE48*W50)),IF(T50="Probabilidad",AE49,""))),"")</f>
        <v/>
      </c>
      <c r="AF50" s="115" t="str">
        <f t="shared" si="11"/>
        <v/>
      </c>
      <c r="AG50" s="116"/>
      <c r="AH50" s="107"/>
      <c r="AI50" s="108"/>
      <c r="AJ50" s="217"/>
      <c r="AK50" s="109"/>
      <c r="AL50" s="107"/>
      <c r="AM50" s="108"/>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row>
    <row r="51" spans="1:71" ht="26.25" hidden="1" customHeight="1" x14ac:dyDescent="0.25">
      <c r="A51" s="458">
        <v>8</v>
      </c>
      <c r="B51" s="461"/>
      <c r="C51" s="464"/>
      <c r="D51" s="464"/>
      <c r="E51" s="209"/>
      <c r="F51" s="467"/>
      <c r="G51" s="575"/>
      <c r="H51" s="117"/>
      <c r="I51" s="461"/>
      <c r="J51" s="470"/>
      <c r="K51" s="473" t="str">
        <f>IF(J51&lt;=0,"",IF(J51&lt;=2,"Muy Baja",IF(J51&lt;=24,"Baja",IF(J51&lt;=500,"Media",IF(J51&lt;=5000,"Alta","Muy Alta")))))</f>
        <v/>
      </c>
      <c r="L51" s="452" t="str">
        <f>IF(K51="","",IF(K51="Muy Baja",0.2,IF(K51="Baja",0.4,IF(K51="Media",0.6,IF(K51="Alta",0.8,IF(K51="Muy Alta",1,))))))</f>
        <v/>
      </c>
      <c r="M51" s="476"/>
      <c r="N51" s="452">
        <f>IF(NOT(ISERROR(MATCH(M51,'Tabla Impacto'!$B$221:$B$223,0))),'Tabla Impacto'!$F$223&amp;"Por favor no seleccionar los criterios de impacto(Afectación Económica o presupuestal y Pérdida Reputacional)",M51)</f>
        <v>0</v>
      </c>
      <c r="O51" s="473" t="str">
        <f>IF(OR(N51='Tabla Impacto'!$C$11,N51='Tabla Impacto'!$D$11),"Leve",IF(OR(N51='Tabla Impacto'!$C$12,N51='Tabla Impacto'!$D$12),"Menor",IF(OR(N51='Tabla Impacto'!$C$13,N51='Tabla Impacto'!$D$13),"Moderado",IF(OR(N51='Tabla Impacto'!$C$14,N51='Tabla Impacto'!$D$14),"Mayor",IF(OR(N51='Tabla Impacto'!$C$15,N51='Tabla Impacto'!$D$15),"Catastrófico","")))))</f>
        <v/>
      </c>
      <c r="P51" s="452" t="str">
        <f>IF(O51="","",IF(O51="Leve",0.2,IF(O51="Menor",0.4,IF(O51="Moderado",0.6,IF(O51="Mayor",0.8,IF(O51="Catastrófico",1,))))))</f>
        <v/>
      </c>
      <c r="Q51" s="455" t="str">
        <f>IF(OR(AND(K51="Muy Baja",O51="Leve"),AND(K51="Muy Baja",O51="Menor"),AND(K51="Baja",O51="Leve")),"Bajo",IF(OR(AND(K51="Muy baja",O51="Moderado"),AND(K51="Baja",O51="Menor"),AND(K51="Baja",O51="Moderado"),AND(K51="Media",O51="Leve"),AND(K51="Media",O51="Menor"),AND(K51="Media",O51="Moderado"),AND(K51="Alta",O51="Leve"),AND(K51="Alta",O51="Menor")),"Moderado",IF(OR(AND(K51="Muy Baja",O51="Mayor"),AND(K51="Baja",O51="Mayor"),AND(K51="Media",O51="Mayor"),AND(K51="Alta",O51="Moderado"),AND(K51="Alta",O51="Mayor"),AND(K51="Muy Alta",O51="Leve"),AND(K51="Muy Alta",O51="Menor"),AND(K51="Muy Alta",O51="Moderado"),AND(K51="Muy Alta",O51="Mayor")),"Alto",IF(OR(AND(K51="Muy Baja",O51="Catastrófico"),AND(K51="Baja",O51="Catastrófico"),AND(K51="Media",O51="Catastrófico"),AND(K51="Alta",O51="Catastrófico"),AND(K51="Muy Alta",O51="Catastrófico")),"Extremo",""))))</f>
        <v/>
      </c>
      <c r="R51" s="103">
        <v>1</v>
      </c>
      <c r="S51" s="104">
        <f>DOFA!E47</f>
        <v>0</v>
      </c>
      <c r="T51" s="105" t="str">
        <f t="shared" si="6"/>
        <v/>
      </c>
      <c r="U51" s="111"/>
      <c r="V51" s="111"/>
      <c r="W51" s="112" t="str">
        <f t="shared" si="7"/>
        <v/>
      </c>
      <c r="X51" s="111"/>
      <c r="Y51" s="111"/>
      <c r="Z51" s="111"/>
      <c r="AA51" s="106" t="str">
        <f>IFERROR(IF(T51="Probabilidad",(L51-(+L51*W51)),IF(T51="Impacto",L51,"")),"")</f>
        <v/>
      </c>
      <c r="AB51" s="113" t="str">
        <f t="shared" si="8"/>
        <v/>
      </c>
      <c r="AC51" s="114" t="str">
        <f t="shared" si="9"/>
        <v/>
      </c>
      <c r="AD51" s="113" t="str">
        <f t="shared" si="10"/>
        <v/>
      </c>
      <c r="AE51" s="114" t="str">
        <f>IFERROR(IF(T51="Impacto",(P51-(+P51*W51)),IF(T51="Probabilidad",P51,"")),"")</f>
        <v/>
      </c>
      <c r="AF51" s="115" t="str">
        <f t="shared" si="11"/>
        <v/>
      </c>
      <c r="AG51" s="116"/>
      <c r="AH51" s="107"/>
      <c r="AI51" s="108"/>
      <c r="AJ51" s="217"/>
      <c r="AK51" s="109"/>
      <c r="AL51" s="107"/>
      <c r="AM51" s="108"/>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row>
    <row r="52" spans="1:71" ht="26.25" hidden="1" customHeight="1" x14ac:dyDescent="0.25">
      <c r="A52" s="459"/>
      <c r="B52" s="462"/>
      <c r="C52" s="465"/>
      <c r="D52" s="465"/>
      <c r="E52" s="210"/>
      <c r="F52" s="468"/>
      <c r="G52" s="576"/>
      <c r="H52" s="118"/>
      <c r="I52" s="462"/>
      <c r="J52" s="471"/>
      <c r="K52" s="474"/>
      <c r="L52" s="453"/>
      <c r="M52" s="477"/>
      <c r="N52" s="453">
        <f>IF(NOT(ISERROR(MATCH(M52,_xlfn.ANCHORARRAY(F63),0))),L65&amp;"Por favor no seleccionar los criterios de impacto",M52)</f>
        <v>0</v>
      </c>
      <c r="O52" s="474"/>
      <c r="P52" s="453"/>
      <c r="Q52" s="456"/>
      <c r="R52" s="103">
        <v>2</v>
      </c>
      <c r="S52" s="104"/>
      <c r="T52" s="105" t="str">
        <f t="shared" si="6"/>
        <v/>
      </c>
      <c r="U52" s="111"/>
      <c r="V52" s="111"/>
      <c r="W52" s="112" t="str">
        <f t="shared" si="7"/>
        <v/>
      </c>
      <c r="X52" s="111"/>
      <c r="Y52" s="111"/>
      <c r="Z52" s="111"/>
      <c r="AA52" s="106" t="str">
        <f>IFERROR(IF(AND(T51="Probabilidad",T52="Probabilidad"),(AC51-(+AC51*W52)),IF(AND(T51="Impacto",T52="Probabilidad"),(L51-(+L51*W52)),IF(T52="Impacto",AC51,""))),"")</f>
        <v/>
      </c>
      <c r="AB52" s="113" t="str">
        <f t="shared" si="8"/>
        <v/>
      </c>
      <c r="AC52" s="114" t="str">
        <f t="shared" si="9"/>
        <v/>
      </c>
      <c r="AD52" s="113" t="str">
        <f t="shared" si="10"/>
        <v/>
      </c>
      <c r="AE52" s="114" t="str">
        <f>IFERROR(IF(AND(T51="Impacto",T52="Impacto"),(AE51-(+AE51*W52)),IF(AND(T51="Probabilidad",T52="Impacto"),(P51-(+P51*W52)),IF(T52="Probabilidad",AE51,""))),"")</f>
        <v/>
      </c>
      <c r="AF52" s="115" t="str">
        <f t="shared" si="11"/>
        <v/>
      </c>
      <c r="AG52" s="116"/>
      <c r="AH52" s="107"/>
      <c r="AI52" s="108"/>
      <c r="AJ52" s="217"/>
      <c r="AK52" s="109"/>
      <c r="AL52" s="107"/>
      <c r="AM52" s="108"/>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row>
    <row r="53" spans="1:71" ht="26.25" hidden="1" customHeight="1" x14ac:dyDescent="0.25">
      <c r="A53" s="459"/>
      <c r="B53" s="462"/>
      <c r="C53" s="465"/>
      <c r="D53" s="465"/>
      <c r="E53" s="210"/>
      <c r="F53" s="468"/>
      <c r="G53" s="576"/>
      <c r="H53" s="118"/>
      <c r="I53" s="462"/>
      <c r="J53" s="471"/>
      <c r="K53" s="474"/>
      <c r="L53" s="453"/>
      <c r="M53" s="477"/>
      <c r="N53" s="453">
        <f>IF(NOT(ISERROR(MATCH(M53,_xlfn.ANCHORARRAY(F64),0))),L66&amp;"Por favor no seleccionar los criterios de impacto",M53)</f>
        <v>0</v>
      </c>
      <c r="O53" s="474"/>
      <c r="P53" s="453"/>
      <c r="Q53" s="456"/>
      <c r="R53" s="103">
        <v>3</v>
      </c>
      <c r="S53" s="110"/>
      <c r="T53" s="105" t="str">
        <f t="shared" si="6"/>
        <v/>
      </c>
      <c r="U53" s="111"/>
      <c r="V53" s="111"/>
      <c r="W53" s="112" t="str">
        <f t="shared" si="7"/>
        <v/>
      </c>
      <c r="X53" s="111"/>
      <c r="Y53" s="111"/>
      <c r="Z53" s="111"/>
      <c r="AA53" s="106" t="str">
        <f>IFERROR(IF(AND(T52="Probabilidad",T53="Probabilidad"),(AC52-(+AC52*W53)),IF(AND(T52="Impacto",T53="Probabilidad"),(AC51-(+AC51*W53)),IF(T53="Impacto",AC52,""))),"")</f>
        <v/>
      </c>
      <c r="AB53" s="113" t="str">
        <f t="shared" si="8"/>
        <v/>
      </c>
      <c r="AC53" s="114" t="str">
        <f t="shared" si="9"/>
        <v/>
      </c>
      <c r="AD53" s="113" t="str">
        <f t="shared" si="10"/>
        <v/>
      </c>
      <c r="AE53" s="114" t="str">
        <f>IFERROR(IF(AND(T52="Impacto",T53="Impacto"),(AE52-(+AE52*W53)),IF(AND(T52="Probabilidad",T53="Impacto"),(AE51-(+AE51*W53)),IF(T53="Probabilidad",AE52,""))),"")</f>
        <v/>
      </c>
      <c r="AF53" s="115" t="str">
        <f t="shared" si="11"/>
        <v/>
      </c>
      <c r="AG53" s="116"/>
      <c r="AH53" s="107"/>
      <c r="AI53" s="108"/>
      <c r="AJ53" s="217"/>
      <c r="AK53" s="109"/>
      <c r="AL53" s="107"/>
      <c r="AM53" s="108"/>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row>
    <row r="54" spans="1:71" ht="26.25" hidden="1" customHeight="1" x14ac:dyDescent="0.25">
      <c r="A54" s="459"/>
      <c r="B54" s="462"/>
      <c r="C54" s="465"/>
      <c r="D54" s="465"/>
      <c r="E54" s="210"/>
      <c r="F54" s="468"/>
      <c r="G54" s="576"/>
      <c r="H54" s="118"/>
      <c r="I54" s="462"/>
      <c r="J54" s="471"/>
      <c r="K54" s="474"/>
      <c r="L54" s="453"/>
      <c r="M54" s="477"/>
      <c r="N54" s="453">
        <f>IF(NOT(ISERROR(MATCH(M54,_xlfn.ANCHORARRAY(F65),0))),L67&amp;"Por favor no seleccionar los criterios de impacto",M54)</f>
        <v>0</v>
      </c>
      <c r="O54" s="474"/>
      <c r="P54" s="453"/>
      <c r="Q54" s="456"/>
      <c r="R54" s="103">
        <v>4</v>
      </c>
      <c r="S54" s="104"/>
      <c r="T54" s="105" t="str">
        <f t="shared" si="6"/>
        <v/>
      </c>
      <c r="U54" s="111"/>
      <c r="V54" s="111"/>
      <c r="W54" s="112" t="str">
        <f t="shared" si="7"/>
        <v/>
      </c>
      <c r="X54" s="111"/>
      <c r="Y54" s="111"/>
      <c r="Z54" s="111"/>
      <c r="AA54" s="106" t="str">
        <f>IFERROR(IF(AND(T53="Probabilidad",T54="Probabilidad"),(AC53-(+AC53*W54)),IF(AND(T53="Impacto",T54="Probabilidad"),(AC52-(+AC52*W54)),IF(T54="Impacto",AC53,""))),"")</f>
        <v/>
      </c>
      <c r="AB54" s="113" t="str">
        <f t="shared" si="8"/>
        <v/>
      </c>
      <c r="AC54" s="114" t="str">
        <f t="shared" si="9"/>
        <v/>
      </c>
      <c r="AD54" s="113" t="str">
        <f t="shared" si="10"/>
        <v/>
      </c>
      <c r="AE54" s="114" t="str">
        <f>IFERROR(IF(AND(T53="Impacto",T54="Impacto"),(AE53-(+AE53*W54)),IF(AND(T53="Probabilidad",T54="Impacto"),(AE52-(+AE52*W54)),IF(T54="Probabilidad",AE53,""))),"")</f>
        <v/>
      </c>
      <c r="AF54" s="115" t="str">
        <f t="shared" si="11"/>
        <v/>
      </c>
      <c r="AG54" s="116"/>
      <c r="AH54" s="107"/>
      <c r="AI54" s="108"/>
      <c r="AJ54" s="217"/>
      <c r="AK54" s="109"/>
      <c r="AL54" s="107"/>
      <c r="AM54" s="108"/>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row>
    <row r="55" spans="1:71" ht="26.25" hidden="1" customHeight="1" x14ac:dyDescent="0.25">
      <c r="A55" s="459"/>
      <c r="B55" s="462"/>
      <c r="C55" s="465"/>
      <c r="D55" s="465"/>
      <c r="E55" s="210"/>
      <c r="F55" s="468"/>
      <c r="G55" s="576"/>
      <c r="H55" s="118"/>
      <c r="I55" s="462"/>
      <c r="J55" s="471"/>
      <c r="K55" s="474"/>
      <c r="L55" s="453"/>
      <c r="M55" s="477"/>
      <c r="N55" s="453">
        <f>IF(NOT(ISERROR(MATCH(M55,_xlfn.ANCHORARRAY(F66),0))),L68&amp;"Por favor no seleccionar los criterios de impacto",M55)</f>
        <v>0</v>
      </c>
      <c r="O55" s="474"/>
      <c r="P55" s="453"/>
      <c r="Q55" s="456"/>
      <c r="R55" s="103">
        <v>5</v>
      </c>
      <c r="S55" s="104"/>
      <c r="T55" s="105" t="str">
        <f t="shared" si="6"/>
        <v/>
      </c>
      <c r="U55" s="111"/>
      <c r="V55" s="111"/>
      <c r="W55" s="112" t="str">
        <f t="shared" si="7"/>
        <v/>
      </c>
      <c r="X55" s="111"/>
      <c r="Y55" s="111"/>
      <c r="Z55" s="111"/>
      <c r="AA55" s="106" t="str">
        <f>IFERROR(IF(AND(T54="Probabilidad",T55="Probabilidad"),(AC54-(+AC54*W55)),IF(AND(T54="Impacto",T55="Probabilidad"),(AC53-(+AC53*W55)),IF(T55="Impacto",AC54,""))),"")</f>
        <v/>
      </c>
      <c r="AB55" s="113" t="str">
        <f t="shared" si="8"/>
        <v/>
      </c>
      <c r="AC55" s="114" t="str">
        <f t="shared" si="9"/>
        <v/>
      </c>
      <c r="AD55" s="113" t="str">
        <f t="shared" si="10"/>
        <v/>
      </c>
      <c r="AE55" s="114" t="str">
        <f>IFERROR(IF(AND(T54="Impacto",T55="Impacto"),(AE54-(+AE54*W55)),IF(AND(T54="Probabilidad",T55="Impacto"),(AE53-(+AE53*W55)),IF(T55="Probabilidad",AE54,""))),"")</f>
        <v/>
      </c>
      <c r="AF55" s="115" t="str">
        <f t="shared" si="11"/>
        <v/>
      </c>
      <c r="AG55" s="116"/>
      <c r="AH55" s="107"/>
      <c r="AI55" s="108"/>
      <c r="AJ55" s="217"/>
      <c r="AK55" s="109"/>
      <c r="AL55" s="107"/>
      <c r="AM55" s="108"/>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row>
    <row r="56" spans="1:71" ht="26.25" hidden="1" customHeight="1" x14ac:dyDescent="0.25">
      <c r="A56" s="460"/>
      <c r="B56" s="463"/>
      <c r="C56" s="466"/>
      <c r="D56" s="466"/>
      <c r="E56" s="211"/>
      <c r="F56" s="469"/>
      <c r="G56" s="577"/>
      <c r="H56" s="119"/>
      <c r="I56" s="463"/>
      <c r="J56" s="472"/>
      <c r="K56" s="475"/>
      <c r="L56" s="454"/>
      <c r="M56" s="478"/>
      <c r="N56" s="454">
        <f>IF(NOT(ISERROR(MATCH(M56,_xlfn.ANCHORARRAY(F67),0))),L69&amp;"Por favor no seleccionar los criterios de impacto",M56)</f>
        <v>0</v>
      </c>
      <c r="O56" s="475"/>
      <c r="P56" s="454"/>
      <c r="Q56" s="457"/>
      <c r="R56" s="103">
        <v>6</v>
      </c>
      <c r="S56" s="104"/>
      <c r="T56" s="105" t="str">
        <f t="shared" si="6"/>
        <v/>
      </c>
      <c r="U56" s="111"/>
      <c r="V56" s="111"/>
      <c r="W56" s="112" t="str">
        <f t="shared" si="7"/>
        <v/>
      </c>
      <c r="X56" s="111"/>
      <c r="Y56" s="111"/>
      <c r="Z56" s="111"/>
      <c r="AA56" s="106" t="str">
        <f>IFERROR(IF(AND(T55="Probabilidad",T56="Probabilidad"),(AC55-(+AC55*W56)),IF(AND(T55="Impacto",T56="Probabilidad"),(AC54-(+AC54*W56)),IF(T56="Impacto",AC55,""))),"")</f>
        <v/>
      </c>
      <c r="AB56" s="113" t="str">
        <f t="shared" si="8"/>
        <v/>
      </c>
      <c r="AC56" s="114" t="str">
        <f t="shared" si="9"/>
        <v/>
      </c>
      <c r="AD56" s="113" t="str">
        <f t="shared" si="10"/>
        <v/>
      </c>
      <c r="AE56" s="114" t="str">
        <f>IFERROR(IF(AND(T55="Impacto",T56="Impacto"),(AE55-(+AE55*W56)),IF(AND(T55="Probabilidad",T56="Impacto"),(AE54-(+AE54*W56)),IF(T56="Probabilidad",AE55,""))),"")</f>
        <v/>
      </c>
      <c r="AF56" s="115" t="str">
        <f t="shared" si="11"/>
        <v/>
      </c>
      <c r="AG56" s="116"/>
      <c r="AH56" s="107"/>
      <c r="AI56" s="108"/>
      <c r="AJ56" s="217"/>
      <c r="AK56" s="109"/>
      <c r="AL56" s="107"/>
      <c r="AM56" s="108"/>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row>
    <row r="57" spans="1:71" ht="26.25" hidden="1" customHeight="1" x14ac:dyDescent="0.25">
      <c r="A57" s="458">
        <v>9</v>
      </c>
      <c r="B57" s="461"/>
      <c r="C57" s="464"/>
      <c r="D57" s="464"/>
      <c r="E57" s="209"/>
      <c r="F57" s="467"/>
      <c r="G57" s="575"/>
      <c r="H57" s="117"/>
      <c r="I57" s="461"/>
      <c r="J57" s="470"/>
      <c r="K57" s="473" t="str">
        <f>IF(J57&lt;=0,"",IF(J57&lt;=2,"Muy Baja",IF(J57&lt;=24,"Baja",IF(J57&lt;=500,"Media",IF(J57&lt;=5000,"Alta","Muy Alta")))))</f>
        <v/>
      </c>
      <c r="L57" s="452" t="str">
        <f>IF(K57="","",IF(K57="Muy Baja",0.2,IF(K57="Baja",0.4,IF(K57="Media",0.6,IF(K57="Alta",0.8,IF(K57="Muy Alta",1,))))))</f>
        <v/>
      </c>
      <c r="M57" s="476"/>
      <c r="N57" s="452">
        <f>IF(NOT(ISERROR(MATCH(M57,'Tabla Impacto'!$B$221:$B$223,0))),'Tabla Impacto'!$F$223&amp;"Por favor no seleccionar los criterios de impacto(Afectación Económica o presupuestal y Pérdida Reputacional)",M57)</f>
        <v>0</v>
      </c>
      <c r="O57" s="473" t="str">
        <f>IF(OR(N57='Tabla Impacto'!$C$11,N57='Tabla Impacto'!$D$11),"Leve",IF(OR(N57='Tabla Impacto'!$C$12,N57='Tabla Impacto'!$D$12),"Menor",IF(OR(N57='Tabla Impacto'!$C$13,N57='Tabla Impacto'!$D$13),"Moderado",IF(OR(N57='Tabla Impacto'!$C$14,N57='Tabla Impacto'!$D$14),"Mayor",IF(OR(N57='Tabla Impacto'!$C$15,N57='Tabla Impacto'!$D$15),"Catastrófico","")))))</f>
        <v/>
      </c>
      <c r="P57" s="452" t="str">
        <f>IF(O57="","",IF(O57="Leve",0.2,IF(O57="Menor",0.4,IF(O57="Moderado",0.6,IF(O57="Mayor",0.8,IF(O57="Catastrófico",1,))))))</f>
        <v/>
      </c>
      <c r="Q57" s="455" t="str">
        <f>IF(OR(AND(K57="Muy Baja",O57="Leve"),AND(K57="Muy Baja",O57="Menor"),AND(K57="Baja",O57="Leve")),"Bajo",IF(OR(AND(K57="Muy baja",O57="Moderado"),AND(K57="Baja",O57="Menor"),AND(K57="Baja",O57="Moderado"),AND(K57="Media",O57="Leve"),AND(K57="Media",O57="Menor"),AND(K57="Media",O57="Moderado"),AND(K57="Alta",O57="Leve"),AND(K57="Alta",O57="Menor")),"Moderado",IF(OR(AND(K57="Muy Baja",O57="Mayor"),AND(K57="Baja",O57="Mayor"),AND(K57="Media",O57="Mayor"),AND(K57="Alta",O57="Moderado"),AND(K57="Alta",O57="Mayor"),AND(K57="Muy Alta",O57="Leve"),AND(K57="Muy Alta",O57="Menor"),AND(K57="Muy Alta",O57="Moderado"),AND(K57="Muy Alta",O57="Mayor")),"Alto",IF(OR(AND(K57="Muy Baja",O57="Catastrófico"),AND(K57="Baja",O57="Catastrófico"),AND(K57="Media",O57="Catastrófico"),AND(K57="Alta",O57="Catastrófico"),AND(K57="Muy Alta",O57="Catastrófico")),"Extremo",""))))</f>
        <v/>
      </c>
      <c r="R57" s="103">
        <v>1</v>
      </c>
      <c r="S57" s="104">
        <f>DOFA!E48</f>
        <v>0</v>
      </c>
      <c r="T57" s="105" t="str">
        <f t="shared" si="6"/>
        <v/>
      </c>
      <c r="U57" s="111"/>
      <c r="V57" s="111"/>
      <c r="W57" s="112" t="str">
        <f t="shared" si="7"/>
        <v/>
      </c>
      <c r="X57" s="111"/>
      <c r="Y57" s="111"/>
      <c r="Z57" s="111"/>
      <c r="AA57" s="106" t="str">
        <f>IFERROR(IF(T57="Probabilidad",(L57-(+L57*W57)),IF(T57="Impacto",L57,"")),"")</f>
        <v/>
      </c>
      <c r="AB57" s="113" t="str">
        <f t="shared" si="8"/>
        <v/>
      </c>
      <c r="AC57" s="114" t="str">
        <f t="shared" si="9"/>
        <v/>
      </c>
      <c r="AD57" s="113" t="str">
        <f t="shared" si="10"/>
        <v/>
      </c>
      <c r="AE57" s="114" t="str">
        <f>IFERROR(IF(T57="Impacto",(P57-(+P57*W57)),IF(T57="Probabilidad",P57,"")),"")</f>
        <v/>
      </c>
      <c r="AF57" s="115" t="str">
        <f t="shared" si="11"/>
        <v/>
      </c>
      <c r="AG57" s="116"/>
      <c r="AH57" s="107"/>
      <c r="AI57" s="108"/>
      <c r="AJ57" s="217"/>
      <c r="AK57" s="109"/>
      <c r="AL57" s="107"/>
      <c r="AM57" s="108"/>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row>
    <row r="58" spans="1:71" ht="26.25" hidden="1" customHeight="1" x14ac:dyDescent="0.25">
      <c r="A58" s="459"/>
      <c r="B58" s="462"/>
      <c r="C58" s="465"/>
      <c r="D58" s="465"/>
      <c r="E58" s="210"/>
      <c r="F58" s="468"/>
      <c r="G58" s="576"/>
      <c r="H58" s="118"/>
      <c r="I58" s="462"/>
      <c r="J58" s="471"/>
      <c r="K58" s="474"/>
      <c r="L58" s="453"/>
      <c r="M58" s="477"/>
      <c r="N58" s="453">
        <f>IF(NOT(ISERROR(MATCH(M58,_xlfn.ANCHORARRAY(F69),0))),L71&amp;"Por favor no seleccionar los criterios de impacto",M58)</f>
        <v>0</v>
      </c>
      <c r="O58" s="474"/>
      <c r="P58" s="453"/>
      <c r="Q58" s="456"/>
      <c r="R58" s="103">
        <v>2</v>
      </c>
      <c r="S58" s="104"/>
      <c r="T58" s="105" t="str">
        <f t="shared" si="6"/>
        <v/>
      </c>
      <c r="U58" s="111"/>
      <c r="V58" s="111"/>
      <c r="W58" s="112" t="str">
        <f t="shared" si="7"/>
        <v/>
      </c>
      <c r="X58" s="111"/>
      <c r="Y58" s="111"/>
      <c r="Z58" s="111"/>
      <c r="AA58" s="106" t="str">
        <f>IFERROR(IF(AND(T57="Probabilidad",T58="Probabilidad"),(AC57-(+AC57*W58)),IF(AND(T57="Impacto",T58="Probabilidad"),(L57-(+L57*W58)),IF(T58="Impacto",AC57,""))),"")</f>
        <v/>
      </c>
      <c r="AB58" s="113" t="str">
        <f t="shared" si="8"/>
        <v/>
      </c>
      <c r="AC58" s="114" t="str">
        <f t="shared" si="9"/>
        <v/>
      </c>
      <c r="AD58" s="113" t="str">
        <f t="shared" si="10"/>
        <v/>
      </c>
      <c r="AE58" s="114" t="str">
        <f>IFERROR(IF(AND(T57="Impacto",T58="Impacto"),(AE57-(+AE57*W58)),IF(AND(T57="Probabilidad",T58="Impacto"),(P57-(+P57*W58)),IF(T58="Probabilidad",AE57,""))),"")</f>
        <v/>
      </c>
      <c r="AF58" s="115" t="str">
        <f t="shared" si="11"/>
        <v/>
      </c>
      <c r="AG58" s="116"/>
      <c r="AH58" s="107"/>
      <c r="AI58" s="108"/>
      <c r="AJ58" s="217"/>
      <c r="AK58" s="109"/>
      <c r="AL58" s="107"/>
      <c r="AM58" s="108"/>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row>
    <row r="59" spans="1:71" ht="26.25" hidden="1" customHeight="1" x14ac:dyDescent="0.25">
      <c r="A59" s="459"/>
      <c r="B59" s="462"/>
      <c r="C59" s="465"/>
      <c r="D59" s="465"/>
      <c r="E59" s="210"/>
      <c r="F59" s="468"/>
      <c r="G59" s="576"/>
      <c r="H59" s="118"/>
      <c r="I59" s="462"/>
      <c r="J59" s="471"/>
      <c r="K59" s="474"/>
      <c r="L59" s="453"/>
      <c r="M59" s="477"/>
      <c r="N59" s="453">
        <f>IF(NOT(ISERROR(MATCH(M59,_xlfn.ANCHORARRAY(F70),0))),L72&amp;"Por favor no seleccionar los criterios de impacto",M59)</f>
        <v>0</v>
      </c>
      <c r="O59" s="474"/>
      <c r="P59" s="453"/>
      <c r="Q59" s="456"/>
      <c r="R59" s="103">
        <v>3</v>
      </c>
      <c r="S59" s="110"/>
      <c r="T59" s="105" t="str">
        <f t="shared" si="6"/>
        <v/>
      </c>
      <c r="U59" s="111"/>
      <c r="V59" s="111"/>
      <c r="W59" s="112" t="str">
        <f t="shared" si="7"/>
        <v/>
      </c>
      <c r="X59" s="111"/>
      <c r="Y59" s="111"/>
      <c r="Z59" s="111"/>
      <c r="AA59" s="106" t="str">
        <f>IFERROR(IF(AND(T58="Probabilidad",T59="Probabilidad"),(AC58-(+AC58*W59)),IF(AND(T58="Impacto",T59="Probabilidad"),(AC57-(+AC57*W59)),IF(T59="Impacto",AC58,""))),"")</f>
        <v/>
      </c>
      <c r="AB59" s="113" t="str">
        <f t="shared" si="8"/>
        <v/>
      </c>
      <c r="AC59" s="114" t="str">
        <f t="shared" si="9"/>
        <v/>
      </c>
      <c r="AD59" s="113" t="str">
        <f t="shared" si="10"/>
        <v/>
      </c>
      <c r="AE59" s="114" t="str">
        <f>IFERROR(IF(AND(T58="Impacto",T59="Impacto"),(AE58-(+AE58*W59)),IF(AND(T58="Probabilidad",T59="Impacto"),(AE57-(+AE57*W59)),IF(T59="Probabilidad",AE58,""))),"")</f>
        <v/>
      </c>
      <c r="AF59" s="115" t="str">
        <f t="shared" si="11"/>
        <v/>
      </c>
      <c r="AG59" s="116"/>
      <c r="AH59" s="107"/>
      <c r="AI59" s="108"/>
      <c r="AJ59" s="217"/>
      <c r="AK59" s="109"/>
      <c r="AL59" s="107"/>
      <c r="AM59" s="108"/>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row>
    <row r="60" spans="1:71" ht="26.25" hidden="1" customHeight="1" x14ac:dyDescent="0.25">
      <c r="A60" s="459"/>
      <c r="B60" s="462"/>
      <c r="C60" s="465"/>
      <c r="D60" s="465"/>
      <c r="E60" s="210"/>
      <c r="F60" s="468"/>
      <c r="G60" s="576"/>
      <c r="H60" s="118"/>
      <c r="I60" s="462"/>
      <c r="J60" s="471"/>
      <c r="K60" s="474"/>
      <c r="L60" s="453"/>
      <c r="M60" s="477"/>
      <c r="N60" s="453">
        <f>IF(NOT(ISERROR(MATCH(M60,_xlfn.ANCHORARRAY(F71),0))),L73&amp;"Por favor no seleccionar los criterios de impacto",M60)</f>
        <v>0</v>
      </c>
      <c r="O60" s="474"/>
      <c r="P60" s="453"/>
      <c r="Q60" s="456"/>
      <c r="R60" s="103">
        <v>4</v>
      </c>
      <c r="S60" s="104"/>
      <c r="T60" s="105" t="str">
        <f t="shared" si="6"/>
        <v/>
      </c>
      <c r="U60" s="111"/>
      <c r="V60" s="111"/>
      <c r="W60" s="112" t="str">
        <f t="shared" si="7"/>
        <v/>
      </c>
      <c r="X60" s="111"/>
      <c r="Y60" s="111"/>
      <c r="Z60" s="111"/>
      <c r="AA60" s="106" t="str">
        <f>IFERROR(IF(AND(T59="Probabilidad",T60="Probabilidad"),(AC59-(+AC59*W60)),IF(AND(T59="Impacto",T60="Probabilidad"),(AC58-(+AC58*W60)),IF(T60="Impacto",AC59,""))),"")</f>
        <v/>
      </c>
      <c r="AB60" s="113" t="str">
        <f t="shared" si="8"/>
        <v/>
      </c>
      <c r="AC60" s="114" t="str">
        <f t="shared" si="9"/>
        <v/>
      </c>
      <c r="AD60" s="113" t="str">
        <f t="shared" si="10"/>
        <v/>
      </c>
      <c r="AE60" s="114" t="str">
        <f>IFERROR(IF(AND(T59="Impacto",T60="Impacto"),(AE59-(+AE59*W60)),IF(AND(T59="Probabilidad",T60="Impacto"),(AE58-(+AE58*W60)),IF(T60="Probabilidad",AE59,""))),"")</f>
        <v/>
      </c>
      <c r="AF60" s="115" t="str">
        <f t="shared" si="11"/>
        <v/>
      </c>
      <c r="AG60" s="116"/>
      <c r="AH60" s="107"/>
      <c r="AI60" s="108"/>
      <c r="AJ60" s="217"/>
      <c r="AK60" s="109"/>
      <c r="AL60" s="107"/>
      <c r="AM60" s="108"/>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row>
    <row r="61" spans="1:71" ht="26.25" hidden="1" customHeight="1" x14ac:dyDescent="0.25">
      <c r="A61" s="459"/>
      <c r="B61" s="462"/>
      <c r="C61" s="465"/>
      <c r="D61" s="465"/>
      <c r="E61" s="210"/>
      <c r="F61" s="468"/>
      <c r="G61" s="576"/>
      <c r="H61" s="118"/>
      <c r="I61" s="462"/>
      <c r="J61" s="471"/>
      <c r="K61" s="474"/>
      <c r="L61" s="453"/>
      <c r="M61" s="477"/>
      <c r="N61" s="453">
        <f>IF(NOT(ISERROR(MATCH(M61,_xlfn.ANCHORARRAY(F72),0))),L74&amp;"Por favor no seleccionar los criterios de impacto",M61)</f>
        <v>0</v>
      </c>
      <c r="O61" s="474"/>
      <c r="P61" s="453"/>
      <c r="Q61" s="456"/>
      <c r="R61" s="103">
        <v>5</v>
      </c>
      <c r="S61" s="104"/>
      <c r="T61" s="105" t="str">
        <f t="shared" si="6"/>
        <v/>
      </c>
      <c r="U61" s="111"/>
      <c r="V61" s="111"/>
      <c r="W61" s="112" t="str">
        <f t="shared" si="7"/>
        <v/>
      </c>
      <c r="X61" s="111"/>
      <c r="Y61" s="111"/>
      <c r="Z61" s="111"/>
      <c r="AA61" s="106" t="str">
        <f>IFERROR(IF(AND(T60="Probabilidad",T61="Probabilidad"),(AC60-(+AC60*W61)),IF(AND(T60="Impacto",T61="Probabilidad"),(AC59-(+AC59*W61)),IF(T61="Impacto",AC60,""))),"")</f>
        <v/>
      </c>
      <c r="AB61" s="113" t="str">
        <f t="shared" si="8"/>
        <v/>
      </c>
      <c r="AC61" s="114" t="str">
        <f t="shared" si="9"/>
        <v/>
      </c>
      <c r="AD61" s="113" t="str">
        <f t="shared" si="10"/>
        <v/>
      </c>
      <c r="AE61" s="114" t="str">
        <f>IFERROR(IF(AND(T60="Impacto",T61="Impacto"),(AE60-(+AE60*W61)),IF(AND(T60="Probabilidad",T61="Impacto"),(AE59-(+AE59*W61)),IF(T61="Probabilidad",AE60,""))),"")</f>
        <v/>
      </c>
      <c r="AF61" s="115" t="str">
        <f t="shared" si="11"/>
        <v/>
      </c>
      <c r="AG61" s="116"/>
      <c r="AH61" s="107"/>
      <c r="AI61" s="108"/>
      <c r="AJ61" s="217"/>
      <c r="AK61" s="109"/>
      <c r="AL61" s="107"/>
      <c r="AM61" s="108"/>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row>
    <row r="62" spans="1:71" ht="26.25" hidden="1" customHeight="1" x14ac:dyDescent="0.25">
      <c r="A62" s="460"/>
      <c r="B62" s="463"/>
      <c r="C62" s="466"/>
      <c r="D62" s="466"/>
      <c r="E62" s="211"/>
      <c r="F62" s="469"/>
      <c r="G62" s="577"/>
      <c r="H62" s="119"/>
      <c r="I62" s="463"/>
      <c r="J62" s="472"/>
      <c r="K62" s="475"/>
      <c r="L62" s="454"/>
      <c r="M62" s="478"/>
      <c r="N62" s="454">
        <f>IF(NOT(ISERROR(MATCH(M62,_xlfn.ANCHORARRAY(F73),0))),L75&amp;"Por favor no seleccionar los criterios de impacto",M62)</f>
        <v>0</v>
      </c>
      <c r="O62" s="475"/>
      <c r="P62" s="454"/>
      <c r="Q62" s="457"/>
      <c r="R62" s="103">
        <v>6</v>
      </c>
      <c r="S62" s="104"/>
      <c r="T62" s="105" t="str">
        <f t="shared" si="6"/>
        <v/>
      </c>
      <c r="U62" s="111"/>
      <c r="V62" s="111"/>
      <c r="W62" s="112" t="str">
        <f t="shared" si="7"/>
        <v/>
      </c>
      <c r="X62" s="111"/>
      <c r="Y62" s="111"/>
      <c r="Z62" s="111"/>
      <c r="AA62" s="106" t="str">
        <f>IFERROR(IF(AND(T61="Probabilidad",T62="Probabilidad"),(AC61-(+AC61*W62)),IF(AND(T61="Impacto",T62="Probabilidad"),(AC60-(+AC60*W62)),IF(T62="Impacto",AC61,""))),"")</f>
        <v/>
      </c>
      <c r="AB62" s="113" t="str">
        <f t="shared" si="8"/>
        <v/>
      </c>
      <c r="AC62" s="114" t="str">
        <f t="shared" si="9"/>
        <v/>
      </c>
      <c r="AD62" s="113" t="str">
        <f t="shared" si="10"/>
        <v/>
      </c>
      <c r="AE62" s="114" t="str">
        <f>IFERROR(IF(AND(T61="Impacto",T62="Impacto"),(AE61-(+AE61*W62)),IF(AND(T61="Probabilidad",T62="Impacto"),(AE60-(+AE60*W62)),IF(T62="Probabilidad",AE61,""))),"")</f>
        <v/>
      </c>
      <c r="AF62" s="115" t="str">
        <f t="shared" si="11"/>
        <v/>
      </c>
      <c r="AG62" s="116"/>
      <c r="AH62" s="107"/>
      <c r="AI62" s="108"/>
      <c r="AJ62" s="217"/>
      <c r="AK62" s="109"/>
      <c r="AL62" s="107"/>
      <c r="AM62" s="108"/>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row>
    <row r="63" spans="1:71" ht="19.5" hidden="1" customHeight="1" x14ac:dyDescent="0.25">
      <c r="A63" s="458">
        <v>10</v>
      </c>
      <c r="B63" s="461"/>
      <c r="C63" s="464"/>
      <c r="D63" s="464"/>
      <c r="E63" s="209"/>
      <c r="F63" s="467"/>
      <c r="G63" s="575"/>
      <c r="H63" s="117"/>
      <c r="I63" s="461"/>
      <c r="J63" s="470"/>
      <c r="K63" s="473" t="str">
        <f>IF(J63&lt;=0,"",IF(J63&lt;=2,"Muy Baja",IF(J63&lt;=24,"Baja",IF(J63&lt;=500,"Media",IF(J63&lt;=5000,"Alta","Muy Alta")))))</f>
        <v/>
      </c>
      <c r="L63" s="452" t="str">
        <f>IF(K63="","",IF(K63="Muy Baja",0.2,IF(K63="Baja",0.4,IF(K63="Media",0.6,IF(K63="Alta",0.8,IF(K63="Muy Alta",1,))))))</f>
        <v/>
      </c>
      <c r="M63" s="476"/>
      <c r="N63" s="452">
        <f>IF(NOT(ISERROR(MATCH(M63,'Tabla Impacto'!$B$221:$B$223,0))),'Tabla Impacto'!$F$223&amp;"Por favor no seleccionar los criterios de impacto(Afectación Económica o presupuestal y Pérdida Reputacional)",M63)</f>
        <v>0</v>
      </c>
      <c r="O63" s="473" t="str">
        <f>IF(OR(N63='Tabla Impacto'!$C$11,N63='Tabla Impacto'!$D$11),"Leve",IF(OR(N63='Tabla Impacto'!$C$12,N63='Tabla Impacto'!$D$12),"Menor",IF(OR(N63='Tabla Impacto'!$C$13,N63='Tabla Impacto'!$D$13),"Moderado",IF(OR(N63='Tabla Impacto'!$C$14,N63='Tabla Impacto'!$D$14),"Mayor",IF(OR(N63='Tabla Impacto'!$C$15,N63='Tabla Impacto'!$D$15),"Catastrófico","")))))</f>
        <v/>
      </c>
      <c r="P63" s="452" t="str">
        <f>IF(O63="","",IF(O63="Leve",0.2,IF(O63="Menor",0.4,IF(O63="Moderado",0.6,IF(O63="Mayor",0.8,IF(O63="Catastrófico",1,))))))</f>
        <v/>
      </c>
      <c r="Q63" s="455" t="str">
        <f>IF(OR(AND(K63="Muy Baja",O63="Leve"),AND(K63="Muy Baja",O63="Menor"),AND(K63="Baja",O63="Leve")),"Bajo",IF(OR(AND(K63="Muy baja",O63="Moderado"),AND(K63="Baja",O63="Menor"),AND(K63="Baja",O63="Moderado"),AND(K63="Media",O63="Leve"),AND(K63="Media",O63="Menor"),AND(K63="Media",O63="Moderado"),AND(K63="Alta",O63="Leve"),AND(K63="Alta",O63="Menor")),"Moderado",IF(OR(AND(K63="Muy Baja",O63="Mayor"),AND(K63="Baja",O63="Mayor"),AND(K63="Media",O63="Mayor"),AND(K63="Alta",O63="Moderado"),AND(K63="Alta",O63="Mayor"),AND(K63="Muy Alta",O63="Leve"),AND(K63="Muy Alta",O63="Menor"),AND(K63="Muy Alta",O63="Moderado"),AND(K63="Muy Alta",O63="Mayor")),"Alto",IF(OR(AND(K63="Muy Baja",O63="Catastrófico"),AND(K63="Baja",O63="Catastrófico"),AND(K63="Media",O63="Catastrófico"),AND(K63="Alta",O63="Catastrófico"),AND(K63="Muy Alta",O63="Catastrófico")),"Extremo",""))))</f>
        <v/>
      </c>
      <c r="R63" s="103">
        <v>1</v>
      </c>
      <c r="S63" s="104">
        <f>DOFA!E49</f>
        <v>0</v>
      </c>
      <c r="T63" s="105" t="str">
        <f t="shared" si="6"/>
        <v/>
      </c>
      <c r="U63" s="111"/>
      <c r="V63" s="111"/>
      <c r="W63" s="112" t="str">
        <f t="shared" si="7"/>
        <v/>
      </c>
      <c r="X63" s="111"/>
      <c r="Y63" s="111"/>
      <c r="Z63" s="111"/>
      <c r="AA63" s="106" t="str">
        <f>IFERROR(IF(T63="Probabilidad",(L63-(+L63*W63)),IF(T63="Impacto",L63,"")),"")</f>
        <v/>
      </c>
      <c r="AB63" s="113" t="str">
        <f t="shared" si="8"/>
        <v/>
      </c>
      <c r="AC63" s="114" t="str">
        <f t="shared" si="9"/>
        <v/>
      </c>
      <c r="AD63" s="113" t="str">
        <f t="shared" si="10"/>
        <v/>
      </c>
      <c r="AE63" s="114" t="str">
        <f>IFERROR(IF(T63="Impacto",(P63-(+P63*W63)),IF(T63="Probabilidad",P63,"")),"")</f>
        <v/>
      </c>
      <c r="AF63" s="115" t="str">
        <f t="shared" si="11"/>
        <v/>
      </c>
      <c r="AG63" s="116"/>
      <c r="AH63" s="107"/>
      <c r="AI63" s="108"/>
      <c r="AJ63" s="217"/>
      <c r="AK63" s="109"/>
      <c r="AL63" s="107"/>
      <c r="AM63" s="108"/>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row r="64" spans="1:71" ht="19.5" hidden="1" customHeight="1" x14ac:dyDescent="0.25">
      <c r="A64" s="459"/>
      <c r="B64" s="462"/>
      <c r="C64" s="465"/>
      <c r="D64" s="465"/>
      <c r="E64" s="210"/>
      <c r="F64" s="468"/>
      <c r="G64" s="576"/>
      <c r="H64" s="118"/>
      <c r="I64" s="462"/>
      <c r="J64" s="471"/>
      <c r="K64" s="474"/>
      <c r="L64" s="453"/>
      <c r="M64" s="477"/>
      <c r="N64" s="453">
        <f>IF(NOT(ISERROR(MATCH(M64,_xlfn.ANCHORARRAY(F75),0))),L77&amp;"Por favor no seleccionar los criterios de impacto",M64)</f>
        <v>0</v>
      </c>
      <c r="O64" s="474"/>
      <c r="P64" s="453"/>
      <c r="Q64" s="456"/>
      <c r="R64" s="103">
        <v>2</v>
      </c>
      <c r="S64" s="104"/>
      <c r="T64" s="105" t="str">
        <f t="shared" si="6"/>
        <v/>
      </c>
      <c r="U64" s="111"/>
      <c r="V64" s="111"/>
      <c r="W64" s="112" t="str">
        <f t="shared" si="7"/>
        <v/>
      </c>
      <c r="X64" s="111"/>
      <c r="Y64" s="111"/>
      <c r="Z64" s="111"/>
      <c r="AA64" s="106" t="str">
        <f>IFERROR(IF(AND(T63="Probabilidad",T64="Probabilidad"),(AC63-(+AC63*W64)),IF(AND(T63="Impacto",T64="Probabilidad"),(L63-(+L63*W64)),IF(T64="Impacto",AC63,""))),"")</f>
        <v/>
      </c>
      <c r="AB64" s="113" t="str">
        <f t="shared" si="8"/>
        <v/>
      </c>
      <c r="AC64" s="114" t="str">
        <f t="shared" si="9"/>
        <v/>
      </c>
      <c r="AD64" s="113" t="str">
        <f t="shared" si="10"/>
        <v/>
      </c>
      <c r="AE64" s="114" t="str">
        <f>IFERROR(IF(AND(T63="Impacto",T64="Impacto"),(AE63-(+AE63*W64)),IF(AND(T63="Probabilidad",T64="Impacto"),(P63-(+P63*W64)),IF(T64="Probabilidad",AE63,""))),"")</f>
        <v/>
      </c>
      <c r="AF64" s="115" t="str">
        <f t="shared" si="11"/>
        <v/>
      </c>
      <c r="AG64" s="116"/>
      <c r="AH64" s="107"/>
      <c r="AI64" s="108"/>
      <c r="AJ64" s="217"/>
      <c r="AK64" s="109"/>
      <c r="AL64" s="107"/>
      <c r="AM64" s="108"/>
    </row>
    <row r="65" spans="1:39" ht="19.5" hidden="1" customHeight="1" x14ac:dyDescent="0.25">
      <c r="A65" s="459"/>
      <c r="B65" s="462"/>
      <c r="C65" s="465"/>
      <c r="D65" s="465"/>
      <c r="E65" s="210"/>
      <c r="F65" s="468"/>
      <c r="G65" s="576"/>
      <c r="H65" s="118"/>
      <c r="I65" s="462"/>
      <c r="J65" s="471"/>
      <c r="K65" s="474"/>
      <c r="L65" s="453"/>
      <c r="M65" s="477"/>
      <c r="N65" s="453">
        <f>IF(NOT(ISERROR(MATCH(M65,_xlfn.ANCHORARRAY(F76),0))),L78&amp;"Por favor no seleccionar los criterios de impacto",M65)</f>
        <v>0</v>
      </c>
      <c r="O65" s="474"/>
      <c r="P65" s="453"/>
      <c r="Q65" s="456"/>
      <c r="R65" s="103">
        <v>3</v>
      </c>
      <c r="S65" s="110"/>
      <c r="T65" s="105" t="str">
        <f t="shared" si="6"/>
        <v/>
      </c>
      <c r="U65" s="111"/>
      <c r="V65" s="111"/>
      <c r="W65" s="112" t="str">
        <f t="shared" si="7"/>
        <v/>
      </c>
      <c r="X65" s="111"/>
      <c r="Y65" s="111"/>
      <c r="Z65" s="111"/>
      <c r="AA65" s="106" t="str">
        <f>IFERROR(IF(AND(T64="Probabilidad",T65="Probabilidad"),(AC64-(+AC64*W65)),IF(AND(T64="Impacto",T65="Probabilidad"),(AC63-(+AC63*W65)),IF(T65="Impacto",AC64,""))),"")</f>
        <v/>
      </c>
      <c r="AB65" s="113" t="str">
        <f t="shared" si="8"/>
        <v/>
      </c>
      <c r="AC65" s="114" t="str">
        <f t="shared" si="9"/>
        <v/>
      </c>
      <c r="AD65" s="113" t="str">
        <f t="shared" si="10"/>
        <v/>
      </c>
      <c r="AE65" s="114" t="str">
        <f>IFERROR(IF(AND(T64="Impacto",T65="Impacto"),(AE64-(+AE64*W65)),IF(AND(T64="Probabilidad",T65="Impacto"),(AE63-(+AE63*W65)),IF(T65="Probabilidad",AE64,""))),"")</f>
        <v/>
      </c>
      <c r="AF65" s="115" t="str">
        <f t="shared" si="11"/>
        <v/>
      </c>
      <c r="AG65" s="116"/>
      <c r="AH65" s="107"/>
      <c r="AI65" s="108"/>
      <c r="AJ65" s="217"/>
      <c r="AK65" s="109"/>
      <c r="AL65" s="107"/>
      <c r="AM65" s="108"/>
    </row>
    <row r="66" spans="1:39" ht="19.5" hidden="1" customHeight="1" x14ac:dyDescent="0.25">
      <c r="A66" s="459"/>
      <c r="B66" s="462"/>
      <c r="C66" s="465"/>
      <c r="D66" s="465"/>
      <c r="E66" s="210"/>
      <c r="F66" s="468"/>
      <c r="G66" s="576"/>
      <c r="H66" s="118"/>
      <c r="I66" s="462"/>
      <c r="J66" s="471"/>
      <c r="K66" s="474"/>
      <c r="L66" s="453"/>
      <c r="M66" s="477"/>
      <c r="N66" s="453">
        <f>IF(NOT(ISERROR(MATCH(M66,_xlfn.ANCHORARRAY(F77),0))),L79&amp;"Por favor no seleccionar los criterios de impacto",M66)</f>
        <v>0</v>
      </c>
      <c r="O66" s="474"/>
      <c r="P66" s="453"/>
      <c r="Q66" s="456"/>
      <c r="R66" s="103">
        <v>4</v>
      </c>
      <c r="S66" s="104"/>
      <c r="T66" s="105" t="str">
        <f t="shared" si="6"/>
        <v/>
      </c>
      <c r="U66" s="111"/>
      <c r="V66" s="111"/>
      <c r="W66" s="112" t="str">
        <f t="shared" si="7"/>
        <v/>
      </c>
      <c r="X66" s="111"/>
      <c r="Y66" s="111"/>
      <c r="Z66" s="111"/>
      <c r="AA66" s="106" t="str">
        <f>IFERROR(IF(AND(T65="Probabilidad",T66="Probabilidad"),(AC65-(+AC65*W66)),IF(AND(T65="Impacto",T66="Probabilidad"),(AC64-(+AC64*W66)),IF(T66="Impacto",AC65,""))),"")</f>
        <v/>
      </c>
      <c r="AB66" s="113" t="str">
        <f t="shared" si="8"/>
        <v/>
      </c>
      <c r="AC66" s="114" t="str">
        <f t="shared" si="9"/>
        <v/>
      </c>
      <c r="AD66" s="113" t="str">
        <f t="shared" si="10"/>
        <v/>
      </c>
      <c r="AE66" s="114" t="str">
        <f>IFERROR(IF(AND(T65="Impacto",T66="Impacto"),(AE65-(+AE65*W66)),IF(AND(T65="Probabilidad",T66="Impacto"),(AE64-(+AE64*W66)),IF(T66="Probabilidad",AE65,""))),"")</f>
        <v/>
      </c>
      <c r="AF66" s="115" t="str">
        <f t="shared" si="11"/>
        <v/>
      </c>
      <c r="AG66" s="116"/>
      <c r="AH66" s="107"/>
      <c r="AI66" s="108"/>
      <c r="AJ66" s="217"/>
      <c r="AK66" s="109"/>
      <c r="AL66" s="107"/>
      <c r="AM66" s="108"/>
    </row>
    <row r="67" spans="1:39" ht="19.5" hidden="1" customHeight="1" x14ac:dyDescent="0.25">
      <c r="A67" s="459"/>
      <c r="B67" s="462"/>
      <c r="C67" s="465"/>
      <c r="D67" s="465"/>
      <c r="E67" s="210"/>
      <c r="F67" s="468"/>
      <c r="G67" s="576"/>
      <c r="H67" s="118"/>
      <c r="I67" s="462"/>
      <c r="J67" s="471"/>
      <c r="K67" s="474"/>
      <c r="L67" s="453"/>
      <c r="M67" s="477"/>
      <c r="N67" s="453">
        <f>IF(NOT(ISERROR(MATCH(M67,_xlfn.ANCHORARRAY(F78),0))),L80&amp;"Por favor no seleccionar los criterios de impacto",M67)</f>
        <v>0</v>
      </c>
      <c r="O67" s="474"/>
      <c r="P67" s="453"/>
      <c r="Q67" s="456"/>
      <c r="R67" s="103">
        <v>5</v>
      </c>
      <c r="S67" s="104"/>
      <c r="T67" s="105" t="str">
        <f t="shared" si="6"/>
        <v/>
      </c>
      <c r="U67" s="111"/>
      <c r="V67" s="111"/>
      <c r="W67" s="112" t="str">
        <f t="shared" si="7"/>
        <v/>
      </c>
      <c r="X67" s="111"/>
      <c r="Y67" s="111"/>
      <c r="Z67" s="111"/>
      <c r="AA67" s="106" t="str">
        <f>IFERROR(IF(AND(T66="Probabilidad",T67="Probabilidad"),(AC66-(+AC66*W67)),IF(AND(T66="Impacto",T67="Probabilidad"),(AC65-(+AC65*W67)),IF(T67="Impacto",AC66,""))),"")</f>
        <v/>
      </c>
      <c r="AB67" s="113" t="str">
        <f t="shared" si="8"/>
        <v/>
      </c>
      <c r="AC67" s="114" t="str">
        <f t="shared" si="9"/>
        <v/>
      </c>
      <c r="AD67" s="113" t="str">
        <f t="shared" si="10"/>
        <v/>
      </c>
      <c r="AE67" s="114" t="str">
        <f>IFERROR(IF(AND(T66="Impacto",T67="Impacto"),(AE66-(+AE66*W67)),IF(AND(T66="Probabilidad",T67="Impacto"),(AE65-(+AE65*W67)),IF(T67="Probabilidad",AE66,""))),"")</f>
        <v/>
      </c>
      <c r="AF67" s="115" t="str">
        <f t="shared" si="11"/>
        <v/>
      </c>
      <c r="AG67" s="116"/>
      <c r="AH67" s="107"/>
      <c r="AI67" s="108"/>
      <c r="AJ67" s="217"/>
      <c r="AK67" s="109"/>
      <c r="AL67" s="107"/>
      <c r="AM67" s="108"/>
    </row>
    <row r="68" spans="1:39" ht="19.5" hidden="1" customHeight="1" x14ac:dyDescent="0.25">
      <c r="A68" s="460"/>
      <c r="B68" s="463"/>
      <c r="C68" s="466"/>
      <c r="D68" s="466"/>
      <c r="E68" s="211"/>
      <c r="F68" s="469"/>
      <c r="G68" s="577"/>
      <c r="H68" s="119"/>
      <c r="I68" s="463"/>
      <c r="J68" s="472"/>
      <c r="K68" s="475"/>
      <c r="L68" s="454"/>
      <c r="M68" s="478"/>
      <c r="N68" s="454">
        <f>IF(NOT(ISERROR(MATCH(M68,_xlfn.ANCHORARRAY(F79),0))),L81&amp;"Por favor no seleccionar los criterios de impacto",M68)</f>
        <v>0</v>
      </c>
      <c r="O68" s="475"/>
      <c r="P68" s="454"/>
      <c r="Q68" s="457"/>
      <c r="R68" s="103">
        <v>6</v>
      </c>
      <c r="S68" s="104"/>
      <c r="T68" s="105" t="str">
        <f t="shared" si="6"/>
        <v/>
      </c>
      <c r="U68" s="111"/>
      <c r="V68" s="111"/>
      <c r="W68" s="112" t="str">
        <f t="shared" si="7"/>
        <v/>
      </c>
      <c r="X68" s="111"/>
      <c r="Y68" s="111"/>
      <c r="Z68" s="111"/>
      <c r="AA68" s="106" t="str">
        <f>IFERROR(IF(AND(T67="Probabilidad",T68="Probabilidad"),(AC67-(+AC67*W68)),IF(AND(T67="Impacto",T68="Probabilidad"),(AC66-(+AC66*W68)),IF(T68="Impacto",AC67,""))),"")</f>
        <v/>
      </c>
      <c r="AB68" s="113" t="str">
        <f t="shared" si="8"/>
        <v/>
      </c>
      <c r="AC68" s="114" t="str">
        <f t="shared" si="9"/>
        <v/>
      </c>
      <c r="AD68" s="113" t="str">
        <f t="shared" si="10"/>
        <v/>
      </c>
      <c r="AE68" s="114" t="str">
        <f>IFERROR(IF(AND(T67="Impacto",T68="Impacto"),(AE67-(+AE67*W68)),IF(AND(T67="Probabilidad",T68="Impacto"),(AE66-(+AE66*W68)),IF(T68="Probabilidad",AE67,""))),"")</f>
        <v/>
      </c>
      <c r="AF68" s="115" t="str">
        <f t="shared" si="11"/>
        <v/>
      </c>
      <c r="AG68" s="116"/>
      <c r="AH68" s="107"/>
      <c r="AI68" s="108"/>
      <c r="AJ68" s="217"/>
      <c r="AK68" s="109"/>
      <c r="AL68" s="107"/>
      <c r="AM68" s="108"/>
    </row>
    <row r="69" spans="1:39" ht="49.5" customHeight="1" x14ac:dyDescent="0.25">
      <c r="A69" s="5"/>
      <c r="B69" s="449" t="s">
        <v>126</v>
      </c>
      <c r="C69" s="450"/>
      <c r="D69" s="450"/>
      <c r="E69" s="450"/>
      <c r="F69" s="450"/>
      <c r="G69" s="450"/>
      <c r="H69" s="450"/>
      <c r="I69" s="450"/>
      <c r="J69" s="450"/>
      <c r="K69" s="450"/>
      <c r="L69" s="450"/>
      <c r="M69" s="450"/>
      <c r="N69" s="450"/>
      <c r="O69" s="450"/>
      <c r="P69" s="450"/>
      <c r="Q69" s="450"/>
      <c r="R69" s="450"/>
      <c r="S69" s="450"/>
      <c r="T69" s="450"/>
      <c r="U69" s="450"/>
      <c r="V69" s="450"/>
      <c r="W69" s="450"/>
      <c r="X69" s="450"/>
      <c r="Y69" s="450"/>
      <c r="Z69" s="450"/>
      <c r="AA69" s="450"/>
      <c r="AB69" s="450"/>
      <c r="AC69" s="450"/>
      <c r="AD69" s="450"/>
      <c r="AE69" s="450"/>
      <c r="AF69" s="450"/>
      <c r="AG69" s="450"/>
      <c r="AH69" s="450"/>
      <c r="AI69" s="450"/>
      <c r="AJ69" s="450"/>
      <c r="AK69" s="450"/>
      <c r="AL69" s="450"/>
      <c r="AM69" s="451"/>
    </row>
    <row r="71" spans="1:39" x14ac:dyDescent="0.25">
      <c r="A71" s="1"/>
      <c r="B71" s="23" t="s">
        <v>138</v>
      </c>
      <c r="C71" s="205"/>
      <c r="D71" s="205"/>
      <c r="I71" s="1"/>
    </row>
  </sheetData>
  <dataConsolidate link="1"/>
  <mergeCells count="174">
    <mergeCell ref="G16:G21"/>
    <mergeCell ref="G22:G27"/>
    <mergeCell ref="G33:G38"/>
    <mergeCell ref="G39:G44"/>
    <mergeCell ref="G45:G50"/>
    <mergeCell ref="G51:G56"/>
    <mergeCell ref="G57:G62"/>
    <mergeCell ref="G63:G68"/>
    <mergeCell ref="I10:I15"/>
    <mergeCell ref="J10:J15"/>
    <mergeCell ref="K10:K15"/>
    <mergeCell ref="A10:A15"/>
    <mergeCell ref="B10:B15"/>
    <mergeCell ref="C10:C15"/>
    <mergeCell ref="D10:D15"/>
    <mergeCell ref="F10:F15"/>
    <mergeCell ref="Q10:Q15"/>
    <mergeCell ref="L10:L15"/>
    <mergeCell ref="M10:M15"/>
    <mergeCell ref="N10:N15"/>
    <mergeCell ref="O10:O15"/>
    <mergeCell ref="P10:P15"/>
    <mergeCell ref="H10:H15"/>
    <mergeCell ref="G10:G15"/>
    <mergeCell ref="AC8:AC9"/>
    <mergeCell ref="J8:J9"/>
    <mergeCell ref="K8:K9"/>
    <mergeCell ref="L8:L9"/>
    <mergeCell ref="O8:O9"/>
    <mergeCell ref="P8:P9"/>
    <mergeCell ref="B8:B9"/>
    <mergeCell ref="Q8:Q9"/>
    <mergeCell ref="M8:M9"/>
    <mergeCell ref="N8:N9"/>
    <mergeCell ref="T8:T9"/>
    <mergeCell ref="U8:Z8"/>
    <mergeCell ref="E8:E9"/>
    <mergeCell ref="D16:D21"/>
    <mergeCell ref="F16:F21"/>
    <mergeCell ref="AH8:AH9"/>
    <mergeCell ref="AM8:AM9"/>
    <mergeCell ref="AL8:AL9"/>
    <mergeCell ref="AK8:AK9"/>
    <mergeCell ref="AJ8:AJ9"/>
    <mergeCell ref="AI8:AI9"/>
    <mergeCell ref="A4:B4"/>
    <mergeCell ref="A5:B5"/>
    <mergeCell ref="A6:B6"/>
    <mergeCell ref="A8:A9"/>
    <mergeCell ref="I8:I9"/>
    <mergeCell ref="F8:F9"/>
    <mergeCell ref="D8:D9"/>
    <mergeCell ref="C8:C9"/>
    <mergeCell ref="AG8:AG9"/>
    <mergeCell ref="R8:R9"/>
    <mergeCell ref="AF8:AF9"/>
    <mergeCell ref="AE8:AE9"/>
    <mergeCell ref="AA8:AA9"/>
    <mergeCell ref="S8:S9"/>
    <mergeCell ref="AD8:AD9"/>
    <mergeCell ref="AB8:AB9"/>
    <mergeCell ref="N16:N21"/>
    <mergeCell ref="O16:O21"/>
    <mergeCell ref="P16:P21"/>
    <mergeCell ref="Q16:Q21"/>
    <mergeCell ref="A22:A27"/>
    <mergeCell ref="B22:B27"/>
    <mergeCell ref="C22:C27"/>
    <mergeCell ref="D22:D27"/>
    <mergeCell ref="F22:F27"/>
    <mergeCell ref="I22:I27"/>
    <mergeCell ref="J22:J27"/>
    <mergeCell ref="K22:K27"/>
    <mergeCell ref="L22:L27"/>
    <mergeCell ref="M22:M27"/>
    <mergeCell ref="N22:N27"/>
    <mergeCell ref="O22:O27"/>
    <mergeCell ref="I16:I21"/>
    <mergeCell ref="J16:J21"/>
    <mergeCell ref="K16:K21"/>
    <mergeCell ref="L16:L21"/>
    <mergeCell ref="M16:M21"/>
    <mergeCell ref="A16:A21"/>
    <mergeCell ref="B16:B21"/>
    <mergeCell ref="C16:C21"/>
    <mergeCell ref="P22:P27"/>
    <mergeCell ref="Q22:Q27"/>
    <mergeCell ref="P39:P44"/>
    <mergeCell ref="Q39:Q44"/>
    <mergeCell ref="M45:M50"/>
    <mergeCell ref="N45:N50"/>
    <mergeCell ref="O45:O50"/>
    <mergeCell ref="A33:A38"/>
    <mergeCell ref="B33:B38"/>
    <mergeCell ref="C33:C38"/>
    <mergeCell ref="A39:A44"/>
    <mergeCell ref="B39:B44"/>
    <mergeCell ref="C39:C44"/>
    <mergeCell ref="D39:D44"/>
    <mergeCell ref="F39:F44"/>
    <mergeCell ref="I39:I44"/>
    <mergeCell ref="D33:D38"/>
    <mergeCell ref="F33:F38"/>
    <mergeCell ref="M39:M44"/>
    <mergeCell ref="N39:N44"/>
    <mergeCell ref="O39:O44"/>
    <mergeCell ref="I33:I38"/>
    <mergeCell ref="J39:J44"/>
    <mergeCell ref="K39:K44"/>
    <mergeCell ref="L39:L44"/>
    <mergeCell ref="N33:N38"/>
    <mergeCell ref="A51:A56"/>
    <mergeCell ref="B51:B56"/>
    <mergeCell ref="C51:C56"/>
    <mergeCell ref="D51:D56"/>
    <mergeCell ref="F51:F56"/>
    <mergeCell ref="A45:A50"/>
    <mergeCell ref="B45:B50"/>
    <mergeCell ref="C45:C50"/>
    <mergeCell ref="D45:D50"/>
    <mergeCell ref="F45:F50"/>
    <mergeCell ref="F57:F62"/>
    <mergeCell ref="I57:I62"/>
    <mergeCell ref="J57:J62"/>
    <mergeCell ref="K57:K62"/>
    <mergeCell ref="L57:L62"/>
    <mergeCell ref="P45:P50"/>
    <mergeCell ref="Q45:Q50"/>
    <mergeCell ref="I51:I56"/>
    <mergeCell ref="J51:J56"/>
    <mergeCell ref="K51:K56"/>
    <mergeCell ref="L51:L56"/>
    <mergeCell ref="M51:M56"/>
    <mergeCell ref="I45:I50"/>
    <mergeCell ref="J45:J50"/>
    <mergeCell ref="K45:K50"/>
    <mergeCell ref="L45:L50"/>
    <mergeCell ref="N51:N56"/>
    <mergeCell ref="O51:O56"/>
    <mergeCell ref="P51:P56"/>
    <mergeCell ref="Q51:Q56"/>
    <mergeCell ref="B69:AM69"/>
    <mergeCell ref="P57:P62"/>
    <mergeCell ref="Q57:Q62"/>
    <mergeCell ref="A63:A68"/>
    <mergeCell ref="B63:B68"/>
    <mergeCell ref="C63:C68"/>
    <mergeCell ref="D63:D68"/>
    <mergeCell ref="F63:F68"/>
    <mergeCell ref="I63:I68"/>
    <mergeCell ref="J63:J68"/>
    <mergeCell ref="K63:K68"/>
    <mergeCell ref="L63:L68"/>
    <mergeCell ref="M63:M68"/>
    <mergeCell ref="N63:N68"/>
    <mergeCell ref="O63:O68"/>
    <mergeCell ref="P63:P68"/>
    <mergeCell ref="Q63:Q68"/>
    <mergeCell ref="M57:M62"/>
    <mergeCell ref="N57:N62"/>
    <mergeCell ref="O57:O62"/>
    <mergeCell ref="A57:A62"/>
    <mergeCell ref="B57:B62"/>
    <mergeCell ref="C57:C62"/>
    <mergeCell ref="D57:D62"/>
    <mergeCell ref="C4:AM4"/>
    <mergeCell ref="C5:AM5"/>
    <mergeCell ref="C6:AM6"/>
    <mergeCell ref="A1:AM2"/>
    <mergeCell ref="A7:J7"/>
    <mergeCell ref="K7:Q7"/>
    <mergeCell ref="R7:Z7"/>
    <mergeCell ref="AA7:AG7"/>
    <mergeCell ref="AH7:AM7"/>
  </mergeCells>
  <conditionalFormatting sqref="K10 AB10:AB68 K16 K22 K28 K39 K45 K51 K57 K63">
    <cfRule type="cellIs" dxfId="32" priority="659" operator="equal">
      <formula>"Muy Baja"</formula>
    </cfRule>
    <cfRule type="cellIs" dxfId="31" priority="655" operator="equal">
      <formula>"Muy Alta"</formula>
    </cfRule>
    <cfRule type="cellIs" dxfId="30" priority="656" operator="equal">
      <formula>"Alta"</formula>
    </cfRule>
    <cfRule type="cellIs" dxfId="29" priority="657" operator="equal">
      <formula>"Media"</formula>
    </cfRule>
    <cfRule type="cellIs" dxfId="28" priority="658" operator="equal">
      <formula>"Baja"</formula>
    </cfRule>
  </conditionalFormatting>
  <conditionalFormatting sqref="K33:K34">
    <cfRule type="cellIs" dxfId="27" priority="10" operator="equal">
      <formula>"Muy Alta"</formula>
    </cfRule>
    <cfRule type="cellIs" dxfId="26" priority="11" operator="equal">
      <formula>"Alta"</formula>
    </cfRule>
    <cfRule type="cellIs" dxfId="25" priority="12" operator="equal">
      <formula>"Media"</formula>
    </cfRule>
    <cfRule type="cellIs" dxfId="24" priority="13" operator="equal">
      <formula>"Baja"</formula>
    </cfRule>
    <cfRule type="cellIs" dxfId="23" priority="14" operator="equal">
      <formula>"Muy Baja"</formula>
    </cfRule>
  </conditionalFormatting>
  <conditionalFormatting sqref="N10:N68">
    <cfRule type="containsText" dxfId="22" priority="337" operator="containsText" text="❌">
      <formula>NOT(ISERROR(SEARCH("❌",N10)))</formula>
    </cfRule>
  </conditionalFormatting>
  <conditionalFormatting sqref="O10 AD10:AD68 O16 O22 O28 O39 O45 O51 O57 O63">
    <cfRule type="cellIs" dxfId="21" priority="650" operator="equal">
      <formula>"Catastrófico"</formula>
    </cfRule>
    <cfRule type="cellIs" dxfId="20" priority="651" operator="equal">
      <formula>"Mayor"</formula>
    </cfRule>
    <cfRule type="cellIs" dxfId="19" priority="652" operator="equal">
      <formula>"Moderado"</formula>
    </cfRule>
    <cfRule type="cellIs" dxfId="18" priority="653" operator="equal">
      <formula>"Menor"</formula>
    </cfRule>
    <cfRule type="cellIs" dxfId="17" priority="654" operator="equal">
      <formula>"Leve"</formula>
    </cfRule>
  </conditionalFormatting>
  <conditionalFormatting sqref="O33:O34">
    <cfRule type="cellIs" dxfId="16" priority="5" operator="equal">
      <formula>"Catastrófico"</formula>
    </cfRule>
    <cfRule type="cellIs" dxfId="15" priority="6" operator="equal">
      <formula>"Mayor"</formula>
    </cfRule>
    <cfRule type="cellIs" dxfId="14" priority="7" operator="equal">
      <formula>"Moderado"</formula>
    </cfRule>
    <cfRule type="cellIs" dxfId="13" priority="8" operator="equal">
      <formula>"Menor"</formula>
    </cfRule>
    <cfRule type="cellIs" dxfId="12" priority="9" operator="equal">
      <formula>"Leve"</formula>
    </cfRule>
  </conditionalFormatting>
  <conditionalFormatting sqref="Q10 AF10:AF68">
    <cfRule type="cellIs" dxfId="11" priority="648" operator="equal">
      <formula>"Moderado"</formula>
    </cfRule>
    <cfRule type="cellIs" dxfId="10" priority="647" operator="equal">
      <formula>"Alto"</formula>
    </cfRule>
    <cfRule type="cellIs" dxfId="9" priority="646" operator="equal">
      <formula>"Extremo"</formula>
    </cfRule>
    <cfRule type="cellIs" dxfId="8" priority="649" operator="equal">
      <formula>"Bajo"</formula>
    </cfRule>
  </conditionalFormatting>
  <conditionalFormatting sqref="Q16 Q22 Q28 Q39 Q45 Q51 Q57 Q63">
    <cfRule type="cellIs" dxfId="7" priority="578" operator="equal">
      <formula>"Moderado"</formula>
    </cfRule>
    <cfRule type="cellIs" dxfId="6" priority="579" operator="equal">
      <formula>"Bajo"</formula>
    </cfRule>
    <cfRule type="cellIs" dxfId="5" priority="576" operator="equal">
      <formula>"Extremo"</formula>
    </cfRule>
    <cfRule type="cellIs" dxfId="4" priority="577" operator="equal">
      <formula>"Alto"</formula>
    </cfRule>
  </conditionalFormatting>
  <conditionalFormatting sqref="Q33:Q34">
    <cfRule type="cellIs" dxfId="3" priority="3" operator="equal">
      <formula>"Moderado"</formula>
    </cfRule>
    <cfRule type="cellIs" dxfId="2" priority="2" operator="equal">
      <formula>"Alto"</formula>
    </cfRule>
    <cfRule type="cellIs" dxfId="1" priority="4" operator="equal">
      <formula>"Bajo"</formula>
    </cfRule>
    <cfRule type="cellIs" dxfId="0" priority="1" operator="equal">
      <formula>"Extremo"</formula>
    </cfRule>
  </conditionalFormatting>
  <dataValidations count="1">
    <dataValidation type="list" allowBlank="1" showInputMessage="1" showErrorMessage="1" sqref="G10:G68" xr:uid="{00000000-0002-0000-0400-000000000000}">
      <formula1>"Gestión, FISCAL,"</formula1>
    </dataValidation>
  </dataValidations>
  <pageMargins left="0.70866141732283472" right="0.70866141732283472" top="0.74803149606299213" bottom="0.74803149606299213" header="0.31496062992125984" footer="0.31496062992125984"/>
  <pageSetup paperSize="5" scale="40" orientation="landscape" r:id="rId1"/>
  <rowBreaks count="1" manualBreakCount="1">
    <brk id="32" max="16383" man="1"/>
  </rowBreaks>
  <colBreaks count="1" manualBreakCount="1">
    <brk id="39" max="1048575" man="1"/>
  </colBreaks>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5000000}">
          <x14:formula1>
            <xm:f>'Opciones Tratamiento'!$B$9:$B$10</xm:f>
          </x14:formula1>
          <xm:sqref>AM10:AM11 AM13:AM14 AM16:AM17 AM19:AM20 AM22:AM23 AM25:AM26 AM28 AM30:AM31 AM33:AM34 AM36:AM37 AM39:AM40 AM42:AM43 AM45:AM46 AM48:AM49 AM51:AM52 AM54:AM55 AM57:AM58 AM60:AM61 AM63:AM64 AM66:AM67</xm:sqref>
        </x14:dataValidation>
        <x14:dataValidation type="list" allowBlank="1" showInputMessage="1" showErrorMessage="1" xr:uid="{00000000-0002-0000-0400-000009000000}">
          <x14:formula1>
            <xm:f>'Opciones Tratamiento'!$B$2:$B$5</xm:f>
          </x14:formula1>
          <xm:sqref>AG10 AG12:AG16 AG18:AG22 AG24:AG28 AG65:AG68 AG41:AG45 AG47:AG51 AG53:AG57 AG59:AG63 AG29:AG39</xm:sqref>
        </x14:dataValidation>
        <x14:dataValidation type="list" allowBlank="1" showInputMessage="1" showErrorMessage="1" xr:uid="{00000000-0002-0000-0400-000010000000}">
          <x14:formula1>
            <xm:f>'C:\Users\HOME\Downloads\[Formato Matriz de Riesgos 2021 (1).xlsx]Opciones Tratamiento'!#REF!</xm:f>
          </x14:formula1>
          <xm:sqref>AG11 AG17 AG23 AG64 AG40 AG46 AG52 AG58</xm:sqref>
        </x14:dataValidation>
        <x14:dataValidation type="list" allowBlank="1" showInputMessage="1" showErrorMessage="1" xr:uid="{00000000-0002-0000-0400-000001000000}">
          <x14:formula1>
            <xm:f>'Tabla Valoración controles'!$D$4:$D$6</xm:f>
          </x14:formula1>
          <xm:sqref>U10:U68</xm:sqref>
        </x14:dataValidation>
        <x14:dataValidation type="list" allowBlank="1" showInputMessage="1" showErrorMessage="1" xr:uid="{00000000-0002-0000-0400-000002000000}">
          <x14:formula1>
            <xm:f>'Tabla Valoración controles'!$D$7:$D$8</xm:f>
          </x14:formula1>
          <xm:sqref>V10:V68</xm:sqref>
        </x14:dataValidation>
        <x14:dataValidation type="list" allowBlank="1" showInputMessage="1" showErrorMessage="1" xr:uid="{00000000-0002-0000-0400-000003000000}">
          <x14:formula1>
            <xm:f>'Tabla Valoración controles'!$D$9:$D$10</xm:f>
          </x14:formula1>
          <xm:sqref>X10:X68</xm:sqref>
        </x14:dataValidation>
        <x14:dataValidation type="list" allowBlank="1" showInputMessage="1" showErrorMessage="1" xr:uid="{00000000-0002-0000-0400-000004000000}">
          <x14:formula1>
            <xm:f>'Tabla Valoración controles'!$D$11:$D$12</xm:f>
          </x14:formula1>
          <xm:sqref>Y10:Y68</xm:sqref>
        </x14:dataValidation>
        <x14:dataValidation type="list" allowBlank="1" showInputMessage="1" showErrorMessage="1" xr:uid="{00000000-0002-0000-0400-000006000000}">
          <x14:formula1>
            <xm:f>'Tabla Valoración controles'!$D$13:$D$14</xm:f>
          </x14:formula1>
          <xm:sqref>Z10:Z68</xm:sqref>
        </x14:dataValidation>
        <x14:dataValidation type="list" allowBlank="1" showInputMessage="1" showErrorMessage="1" xr:uid="{00000000-0002-0000-0400-000007000000}">
          <x14:formula1>
            <xm:f>'Opciones Tratamiento'!$B$13:$B$19</xm:f>
          </x14:formula1>
          <xm:sqref>I10:I68</xm:sqref>
        </x14:dataValidation>
        <x14:dataValidation type="list" allowBlank="1" showInputMessage="1" showErrorMessage="1" xr:uid="{00000000-0002-0000-0400-000008000000}">
          <x14:formula1>
            <xm:f>'Opciones Tratamiento'!$E$2:$E$4</xm:f>
          </x14:formula1>
          <xm:sqref>B10:B68</xm:sqref>
        </x14:dataValidation>
        <x14:dataValidation type="list" allowBlank="1" showInputMessage="1" showErrorMessage="1" xr:uid="{00000000-0002-0000-0400-00000A000000}">
          <x14:formula1>
            <xm:f>'Tabla Impacto'!$F$210:$F$221</xm:f>
          </x14:formula1>
          <xm:sqref>M10:M68</xm:sqref>
        </x14:dataValidation>
        <x14:dataValidation type="custom" allowBlank="1" showInputMessage="1" showErrorMessage="1" error="Recuerde que las acciones se generan bajo la medida de mitigar el riesgo" xr:uid="{00000000-0002-0000-0400-00000B000000}">
          <x14:formula1>
            <xm:f>IF(OR(AG10='Opciones Tratamiento'!$B$2,AG10='Opciones Tratamiento'!$B$3,AG10='Opciones Tratamiento'!$B$4),ISBLANK(AG10),ISTEXT(AG10))</xm:f>
          </x14:formula1>
          <xm:sqref>AH10:AH68</xm:sqref>
        </x14:dataValidation>
        <x14:dataValidation type="custom" allowBlank="1" showInputMessage="1" showErrorMessage="1" error="Recuerde que las acciones se generan bajo la medida de mitigar el riesgo" xr:uid="{00000000-0002-0000-0400-00000C000000}">
          <x14:formula1>
            <xm:f>IF(OR(AG10='Opciones Tratamiento'!$B$2,AG10='Opciones Tratamiento'!$B$3,AG10='Opciones Tratamiento'!$B$4),ISBLANK(AG10),ISTEXT(AG10))</xm:f>
          </x14:formula1>
          <xm:sqref>AI10:AI68</xm:sqref>
        </x14:dataValidation>
        <x14:dataValidation type="custom" allowBlank="1" showInputMessage="1" showErrorMessage="1" error="Recuerde que las acciones se generan bajo la medida de mitigar el riesgo" xr:uid="{00000000-0002-0000-0400-00000D000000}">
          <x14:formula1>
            <xm:f>IF(OR(AG10='Opciones Tratamiento'!$B$2,AG10='Opciones Tratamiento'!$B$3,AG10='Opciones Tratamiento'!$B$4),ISBLANK(AG10),ISTEXT(AG10))</xm:f>
          </x14:formula1>
          <xm:sqref>AJ10:AJ68</xm:sqref>
        </x14:dataValidation>
        <x14:dataValidation type="custom" allowBlank="1" showInputMessage="1" showErrorMessage="1" error="Recuerde que las acciones se generan bajo la medida de mitigar el riesgo" xr:uid="{00000000-0002-0000-0400-00000E000000}">
          <x14:formula1>
            <xm:f>IF(OR(AG10='Opciones Tratamiento'!$B$2,AG10='Opciones Tratamiento'!$B$3,AG10='Opciones Tratamiento'!$B$4),ISBLANK(AG10),ISTEXT(AG10))</xm:f>
          </x14:formula1>
          <xm:sqref>AK10:AK68</xm:sqref>
        </x14:dataValidation>
        <x14:dataValidation type="custom" allowBlank="1" showInputMessage="1" showErrorMessage="1" error="Recuerde que las acciones se generan bajo la medida de mitigar el riesgo" xr:uid="{00000000-0002-0000-0400-00000F000000}">
          <x14:formula1>
            <xm:f>IF(OR(AG10='Opciones Tratamiento'!$B$2,AG10='Opciones Tratamiento'!$B$3,AG10='Opciones Tratamiento'!$B$4),ISBLANK(AG10),ISTEXT(AG10))</xm:f>
          </x14:formula1>
          <xm:sqref>AL10:AL68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CU140"/>
  <sheetViews>
    <sheetView zoomScale="41" zoomScaleNormal="41" workbookViewId="0">
      <selection activeCell="AW39" sqref="AW39:AW40"/>
    </sheetView>
  </sheetViews>
  <sheetFormatPr baseColWidth="10" defaultRowHeight="14.4" x14ac:dyDescent="0.3"/>
  <cols>
    <col min="2" max="39" width="5.6640625" customWidth="1"/>
    <col min="41" max="46" width="5.6640625" customWidth="1"/>
  </cols>
  <sheetData>
    <row r="1" spans="1:99" x14ac:dyDescent="0.3">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row>
    <row r="2" spans="1:99" ht="18" customHeight="1" x14ac:dyDescent="0.3">
      <c r="A2" s="65"/>
      <c r="B2" s="666" t="s">
        <v>150</v>
      </c>
      <c r="C2" s="666"/>
      <c r="D2" s="666"/>
      <c r="E2" s="666"/>
      <c r="F2" s="666"/>
      <c r="G2" s="666"/>
      <c r="H2" s="666"/>
      <c r="I2" s="666"/>
      <c r="J2" s="634" t="s">
        <v>2</v>
      </c>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c r="AJ2" s="634"/>
      <c r="AK2" s="634"/>
      <c r="AL2" s="634"/>
      <c r="AM2" s="634"/>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row>
    <row r="3" spans="1:99" ht="18.75" customHeight="1" x14ac:dyDescent="0.3">
      <c r="A3" s="65"/>
      <c r="B3" s="666"/>
      <c r="C3" s="666"/>
      <c r="D3" s="666"/>
      <c r="E3" s="666"/>
      <c r="F3" s="666"/>
      <c r="G3" s="666"/>
      <c r="H3" s="666"/>
      <c r="I3" s="666"/>
      <c r="J3" s="634"/>
      <c r="K3" s="634"/>
      <c r="L3" s="634"/>
      <c r="M3" s="634"/>
      <c r="N3" s="634"/>
      <c r="O3" s="634"/>
      <c r="P3" s="634"/>
      <c r="Q3" s="634"/>
      <c r="R3" s="634"/>
      <c r="S3" s="634"/>
      <c r="T3" s="634"/>
      <c r="U3" s="634"/>
      <c r="V3" s="634"/>
      <c r="W3" s="634"/>
      <c r="X3" s="634"/>
      <c r="Y3" s="634"/>
      <c r="Z3" s="634"/>
      <c r="AA3" s="634"/>
      <c r="AB3" s="634"/>
      <c r="AC3" s="634"/>
      <c r="AD3" s="634"/>
      <c r="AE3" s="634"/>
      <c r="AF3" s="634"/>
      <c r="AG3" s="634"/>
      <c r="AH3" s="634"/>
      <c r="AI3" s="634"/>
      <c r="AJ3" s="634"/>
      <c r="AK3" s="634"/>
      <c r="AL3" s="634"/>
      <c r="AM3" s="634"/>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row>
    <row r="4" spans="1:99" ht="15" customHeight="1" x14ac:dyDescent="0.3">
      <c r="A4" s="65"/>
      <c r="B4" s="666"/>
      <c r="C4" s="666"/>
      <c r="D4" s="666"/>
      <c r="E4" s="666"/>
      <c r="F4" s="666"/>
      <c r="G4" s="666"/>
      <c r="H4" s="666"/>
      <c r="I4" s="666"/>
      <c r="J4" s="634"/>
      <c r="K4" s="634"/>
      <c r="L4" s="634"/>
      <c r="M4" s="634"/>
      <c r="N4" s="634"/>
      <c r="O4" s="634"/>
      <c r="P4" s="634"/>
      <c r="Q4" s="634"/>
      <c r="R4" s="634"/>
      <c r="S4" s="634"/>
      <c r="T4" s="634"/>
      <c r="U4" s="634"/>
      <c r="V4" s="634"/>
      <c r="W4" s="634"/>
      <c r="X4" s="634"/>
      <c r="Y4" s="634"/>
      <c r="Z4" s="634"/>
      <c r="AA4" s="634"/>
      <c r="AB4" s="634"/>
      <c r="AC4" s="634"/>
      <c r="AD4" s="634"/>
      <c r="AE4" s="634"/>
      <c r="AF4" s="634"/>
      <c r="AG4" s="634"/>
      <c r="AH4" s="634"/>
      <c r="AI4" s="634"/>
      <c r="AJ4" s="634"/>
      <c r="AK4" s="634"/>
      <c r="AL4" s="634"/>
      <c r="AM4" s="634"/>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row>
    <row r="5" spans="1:99" ht="15" thickBot="1" x14ac:dyDescent="0.35">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row>
    <row r="6" spans="1:99" ht="15" customHeight="1" x14ac:dyDescent="0.3">
      <c r="A6" s="65"/>
      <c r="B6" s="581" t="s">
        <v>4</v>
      </c>
      <c r="C6" s="581"/>
      <c r="D6" s="582"/>
      <c r="E6" s="619" t="s">
        <v>111</v>
      </c>
      <c r="F6" s="620"/>
      <c r="G6" s="620"/>
      <c r="H6" s="620"/>
      <c r="I6" s="621"/>
      <c r="J6" s="630" t="str">
        <f>IF(AND('Mapa final'!$K$10="Muy Alta",'Mapa final'!$O$10="Leve"),CONCATENATE("R",'Mapa final'!$A$10),"")</f>
        <v/>
      </c>
      <c r="K6" s="631"/>
      <c r="L6" s="631" t="str">
        <f>IF(AND('Mapa final'!$K$16="Muy Alta",'Mapa final'!$O$16="Leve"),CONCATENATE("R",'Mapa final'!$A$16),"")</f>
        <v/>
      </c>
      <c r="M6" s="631"/>
      <c r="N6" s="631" t="str">
        <f>IF(AND('Mapa final'!$K$22="Muy Alta",'Mapa final'!$O$22="Leve"),CONCATENATE("R",'Mapa final'!$A$22),"")</f>
        <v/>
      </c>
      <c r="O6" s="633"/>
      <c r="P6" s="630" t="str">
        <f>IF(AND('Mapa final'!$K$10="Muy Alta",'Mapa final'!$O$10="Menor"),CONCATENATE("R",'Mapa final'!$A$10),"")</f>
        <v/>
      </c>
      <c r="Q6" s="631"/>
      <c r="R6" s="631" t="str">
        <f>IF(AND('Mapa final'!$K$16="Muy Alta",'Mapa final'!$O$16="Menor"),CONCATENATE("R",'Mapa final'!$A$16),"")</f>
        <v/>
      </c>
      <c r="S6" s="631"/>
      <c r="T6" s="631" t="str">
        <f>IF(AND('Mapa final'!$K$22="Muy Alta",'Mapa final'!$O$22="Menor"),CONCATENATE("R",'Mapa final'!$A$22),"")</f>
        <v/>
      </c>
      <c r="U6" s="633"/>
      <c r="V6" s="630" t="str">
        <f>IF(AND('Mapa final'!$K$10="Muy Alta",'Mapa final'!$O$10="Moderado"),CONCATENATE("R",'Mapa final'!$A$10),"")</f>
        <v/>
      </c>
      <c r="W6" s="631"/>
      <c r="X6" s="631" t="str">
        <f>IF(AND('Mapa final'!$K$16="Muy Alta",'Mapa final'!$O$16="Moderado"),CONCATENATE("R",'Mapa final'!$A$16),"")</f>
        <v>R2</v>
      </c>
      <c r="Y6" s="631"/>
      <c r="Z6" s="631" t="str">
        <f>IF(AND('Mapa final'!$K$22="Muy Alta",'Mapa final'!$O$22="Moderado"),CONCATENATE("R",'Mapa final'!$A$22),"")</f>
        <v/>
      </c>
      <c r="AA6" s="633"/>
      <c r="AB6" s="630" t="str">
        <f>IF(AND('Mapa final'!$K$10="Muy Alta",'Mapa final'!$O$10="Mayor"),CONCATENATE("R",'Mapa final'!$A$10),"")</f>
        <v/>
      </c>
      <c r="AC6" s="631"/>
      <c r="AD6" s="631" t="str">
        <f>IF(AND('Mapa final'!$K$16="Muy Alta",'Mapa final'!$O$16="Mayor"),CONCATENATE("R",'Mapa final'!$A$16),"")</f>
        <v/>
      </c>
      <c r="AE6" s="631"/>
      <c r="AF6" s="631" t="str">
        <f>IF(AND('Mapa final'!$K$22="Muy Alta",'Mapa final'!$O$22="Mayor"),CONCATENATE("R",'Mapa final'!$A$22),"")</f>
        <v/>
      </c>
      <c r="AG6" s="633"/>
      <c r="AH6" s="645" t="str">
        <f>IF(AND('Mapa final'!$K$10="Muy Alta",'Mapa final'!$O$10="Catastrófico"),CONCATENATE("R",'Mapa final'!$A$10),"")</f>
        <v/>
      </c>
      <c r="AI6" s="646"/>
      <c r="AJ6" s="646" t="str">
        <f>IF(AND('Mapa final'!$K$16="Muy Alta",'Mapa final'!$O$16="Catastrófico"),CONCATENATE("R",'Mapa final'!$A$16),"")</f>
        <v/>
      </c>
      <c r="AK6" s="646"/>
      <c r="AL6" s="646" t="str">
        <f>IF(AND('Mapa final'!$K$22="Muy Alta",'Mapa final'!$O$22="Catastrófico"),CONCATENATE("R",'Mapa final'!$A$22),"")</f>
        <v/>
      </c>
      <c r="AM6" s="647"/>
      <c r="AO6" s="583" t="s">
        <v>78</v>
      </c>
      <c r="AP6" s="584"/>
      <c r="AQ6" s="584"/>
      <c r="AR6" s="584"/>
      <c r="AS6" s="584"/>
      <c r="AT6" s="58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row>
    <row r="7" spans="1:99" ht="15" customHeight="1" x14ac:dyDescent="0.3">
      <c r="A7" s="65"/>
      <c r="B7" s="581"/>
      <c r="C7" s="581"/>
      <c r="D7" s="582"/>
      <c r="E7" s="622"/>
      <c r="F7" s="623"/>
      <c r="G7" s="623"/>
      <c r="H7" s="623"/>
      <c r="I7" s="624"/>
      <c r="J7" s="632"/>
      <c r="K7" s="628"/>
      <c r="L7" s="628"/>
      <c r="M7" s="628"/>
      <c r="N7" s="628"/>
      <c r="O7" s="629"/>
      <c r="P7" s="632"/>
      <c r="Q7" s="628"/>
      <c r="R7" s="628"/>
      <c r="S7" s="628"/>
      <c r="T7" s="628"/>
      <c r="U7" s="629"/>
      <c r="V7" s="632"/>
      <c r="W7" s="628"/>
      <c r="X7" s="628"/>
      <c r="Y7" s="628"/>
      <c r="Z7" s="628"/>
      <c r="AA7" s="629"/>
      <c r="AB7" s="632"/>
      <c r="AC7" s="628"/>
      <c r="AD7" s="628"/>
      <c r="AE7" s="628"/>
      <c r="AF7" s="628"/>
      <c r="AG7" s="629"/>
      <c r="AH7" s="639"/>
      <c r="AI7" s="640"/>
      <c r="AJ7" s="640"/>
      <c r="AK7" s="640"/>
      <c r="AL7" s="640"/>
      <c r="AM7" s="641"/>
      <c r="AN7" s="65"/>
      <c r="AO7" s="586"/>
      <c r="AP7" s="587"/>
      <c r="AQ7" s="587"/>
      <c r="AR7" s="587"/>
      <c r="AS7" s="587"/>
      <c r="AT7" s="588"/>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row>
    <row r="8" spans="1:99" ht="15" customHeight="1" x14ac:dyDescent="0.3">
      <c r="A8" s="65"/>
      <c r="B8" s="581"/>
      <c r="C8" s="581"/>
      <c r="D8" s="582"/>
      <c r="E8" s="622"/>
      <c r="F8" s="623"/>
      <c r="G8" s="623"/>
      <c r="H8" s="623"/>
      <c r="I8" s="624"/>
      <c r="J8" s="632" t="str">
        <f>IF(AND('Mapa final'!$K$28="Muy Alta",'Mapa final'!$O$28="Leve"),CONCATENATE("R",'Mapa final'!$A$28),"")</f>
        <v/>
      </c>
      <c r="K8" s="628"/>
      <c r="L8" s="628" t="str">
        <f>IF(AND('Mapa final'!$K$33="Muy Alta",'Mapa final'!$O$33="Leve"),CONCATENATE("R",'Mapa final'!$A$33),"")</f>
        <v/>
      </c>
      <c r="M8" s="628"/>
      <c r="N8" s="628" t="str">
        <f>IF(AND('Mapa final'!$K$39="Muy Alta",'Mapa final'!$O$39="Leve"),CONCATENATE("R",'Mapa final'!$A$39),"")</f>
        <v/>
      </c>
      <c r="O8" s="629"/>
      <c r="P8" s="632" t="str">
        <f>IF(AND('Mapa final'!$K$28="Muy Alta",'Mapa final'!$O$28="Menor"),CONCATENATE("R",'Mapa final'!$A$28),"")</f>
        <v/>
      </c>
      <c r="Q8" s="628"/>
      <c r="R8" s="628" t="str">
        <f>IF(AND('Mapa final'!$K$33="Muy Alta",'Mapa final'!$O$33="Menor"),CONCATENATE("R",'Mapa final'!$A$33),"")</f>
        <v/>
      </c>
      <c r="S8" s="628"/>
      <c r="T8" s="628" t="str">
        <f>IF(AND('Mapa final'!$K$39="Muy Alta",'Mapa final'!$O$39="Menor"),CONCATENATE("R",'Mapa final'!$A$39),"")</f>
        <v/>
      </c>
      <c r="U8" s="629"/>
      <c r="V8" s="632" t="str">
        <f>IF(AND('Mapa final'!$K$28="Muy Alta",'Mapa final'!$O$28="Moderado"),CONCATENATE("R",'Mapa final'!$A$28),"")</f>
        <v/>
      </c>
      <c r="W8" s="628"/>
      <c r="X8" s="628" t="str">
        <f>IF(AND('Mapa final'!$K$33="Muy Alta",'Mapa final'!$O$33="Moderado"),CONCATENATE("R",'Mapa final'!$A$33),"")</f>
        <v/>
      </c>
      <c r="Y8" s="628"/>
      <c r="Z8" s="628" t="str">
        <f>IF(AND('Mapa final'!$K$39="Muy Alta",'Mapa final'!$O$39="Moderado"),CONCATENATE("R",'Mapa final'!$A$39),"")</f>
        <v/>
      </c>
      <c r="AA8" s="629"/>
      <c r="AB8" s="632" t="str">
        <f>IF(AND('Mapa final'!$K$28="Muy Alta",'Mapa final'!$O$28="Mayor"),CONCATENATE("R",'Mapa final'!$A$28),"")</f>
        <v/>
      </c>
      <c r="AC8" s="628"/>
      <c r="AD8" s="628" t="str">
        <f>IF(AND('Mapa final'!$K$33="Muy Alta",'Mapa final'!$O$33="Mayor"),CONCATENATE("R",'Mapa final'!$A$33),"")</f>
        <v/>
      </c>
      <c r="AE8" s="628"/>
      <c r="AF8" s="628" t="str">
        <f>IF(AND('Mapa final'!$K$39="Muy Alta",'Mapa final'!$O$39="Mayor"),CONCATENATE("R",'Mapa final'!$A$39),"")</f>
        <v>R6</v>
      </c>
      <c r="AG8" s="629"/>
      <c r="AH8" s="639" t="str">
        <f>IF(AND('Mapa final'!$K$28="Muy Alta",'Mapa final'!$O$28="Catastrófico"),CONCATENATE("R",'Mapa final'!$A$28),"")</f>
        <v/>
      </c>
      <c r="AI8" s="640"/>
      <c r="AJ8" s="640" t="str">
        <f>IF(AND('Mapa final'!$K$33="Muy Alta",'Mapa final'!$O$33="Catastrófico"),CONCATENATE("R",'Mapa final'!$A$33),"")</f>
        <v/>
      </c>
      <c r="AK8" s="640"/>
      <c r="AL8" s="640" t="str">
        <f>IF(AND('Mapa final'!$K$39="Muy Alta",'Mapa final'!$O$39="Catastrófico"),CONCATENATE("R",'Mapa final'!$A$39),"")</f>
        <v/>
      </c>
      <c r="AM8" s="641"/>
      <c r="AN8" s="65"/>
      <c r="AO8" s="586"/>
      <c r="AP8" s="587"/>
      <c r="AQ8" s="587"/>
      <c r="AR8" s="587"/>
      <c r="AS8" s="587"/>
      <c r="AT8" s="588"/>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row>
    <row r="9" spans="1:99" ht="15" customHeight="1" x14ac:dyDescent="0.3">
      <c r="A9" s="65"/>
      <c r="B9" s="581"/>
      <c r="C9" s="581"/>
      <c r="D9" s="582"/>
      <c r="E9" s="622"/>
      <c r="F9" s="623"/>
      <c r="G9" s="623"/>
      <c r="H9" s="623"/>
      <c r="I9" s="624"/>
      <c r="J9" s="632"/>
      <c r="K9" s="628"/>
      <c r="L9" s="628"/>
      <c r="M9" s="628"/>
      <c r="N9" s="628"/>
      <c r="O9" s="629"/>
      <c r="P9" s="632"/>
      <c r="Q9" s="628"/>
      <c r="R9" s="628"/>
      <c r="S9" s="628"/>
      <c r="T9" s="628"/>
      <c r="U9" s="629"/>
      <c r="V9" s="632"/>
      <c r="W9" s="628"/>
      <c r="X9" s="628"/>
      <c r="Y9" s="628"/>
      <c r="Z9" s="628"/>
      <c r="AA9" s="629"/>
      <c r="AB9" s="632"/>
      <c r="AC9" s="628"/>
      <c r="AD9" s="628"/>
      <c r="AE9" s="628"/>
      <c r="AF9" s="628"/>
      <c r="AG9" s="629"/>
      <c r="AH9" s="639"/>
      <c r="AI9" s="640"/>
      <c r="AJ9" s="640"/>
      <c r="AK9" s="640"/>
      <c r="AL9" s="640"/>
      <c r="AM9" s="641"/>
      <c r="AN9" s="65"/>
      <c r="AO9" s="586"/>
      <c r="AP9" s="587"/>
      <c r="AQ9" s="587"/>
      <c r="AR9" s="587"/>
      <c r="AS9" s="587"/>
      <c r="AT9" s="588"/>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row>
    <row r="10" spans="1:99" ht="15" customHeight="1" x14ac:dyDescent="0.3">
      <c r="A10" s="65"/>
      <c r="B10" s="581"/>
      <c r="C10" s="581"/>
      <c r="D10" s="582"/>
      <c r="E10" s="622"/>
      <c r="F10" s="623"/>
      <c r="G10" s="623"/>
      <c r="H10" s="623"/>
      <c r="I10" s="624"/>
      <c r="J10" s="632" t="str">
        <f>IF(AND('Mapa final'!$K$45="Muy Alta",'Mapa final'!$O$45="Leve"),CONCATENATE("R",'Mapa final'!$A$45),"")</f>
        <v/>
      </c>
      <c r="K10" s="628"/>
      <c r="L10" s="628" t="str">
        <f>IF(AND('Mapa final'!$K$51="Muy Alta",'Mapa final'!$O$51="Leve"),CONCATENATE("R",'Mapa final'!$A$51),"")</f>
        <v/>
      </c>
      <c r="M10" s="628"/>
      <c r="N10" s="628" t="str">
        <f>IF(AND('Mapa final'!$K$57="Muy Alta",'Mapa final'!$O$57="Leve"),CONCATENATE("R",'Mapa final'!$A$57),"")</f>
        <v/>
      </c>
      <c r="O10" s="629"/>
      <c r="P10" s="632" t="str">
        <f>IF(AND('Mapa final'!$K$45="Muy Alta",'Mapa final'!$O$45="Menor"),CONCATENATE("R",'Mapa final'!$A$45),"")</f>
        <v/>
      </c>
      <c r="Q10" s="628"/>
      <c r="R10" s="628" t="str">
        <f>IF(AND('Mapa final'!$K$51="Muy Alta",'Mapa final'!$O$51="Menor"),CONCATENATE("R",'Mapa final'!$A$51),"")</f>
        <v/>
      </c>
      <c r="S10" s="628"/>
      <c r="T10" s="628" t="str">
        <f>IF(AND('Mapa final'!$K$57="Muy Alta",'Mapa final'!$O$57="Menor"),CONCATENATE("R",'Mapa final'!$A$57),"")</f>
        <v/>
      </c>
      <c r="U10" s="629"/>
      <c r="V10" s="632" t="str">
        <f>IF(AND('Mapa final'!$K$45="Muy Alta",'Mapa final'!$O$45="Moderado"),CONCATENATE("R",'Mapa final'!$A$45),"")</f>
        <v/>
      </c>
      <c r="W10" s="628"/>
      <c r="X10" s="628" t="str">
        <f>IF(AND('Mapa final'!$K$51="Muy Alta",'Mapa final'!$O$51="Moderado"),CONCATENATE("R",'Mapa final'!$A$51),"")</f>
        <v/>
      </c>
      <c r="Y10" s="628"/>
      <c r="Z10" s="628" t="str">
        <f>IF(AND('Mapa final'!$K$57="Muy Alta",'Mapa final'!$O$57="Moderado"),CONCATENATE("R",'Mapa final'!$A$57),"")</f>
        <v/>
      </c>
      <c r="AA10" s="629"/>
      <c r="AB10" s="632" t="str">
        <f>IF(AND('Mapa final'!$K$45="Muy Alta",'Mapa final'!$O$45="Mayor"),CONCATENATE("R",'Mapa final'!$A$45),"")</f>
        <v/>
      </c>
      <c r="AC10" s="628"/>
      <c r="AD10" s="628" t="str">
        <f>IF(AND('Mapa final'!$K$51="Muy Alta",'Mapa final'!$O$51="Mayor"),CONCATENATE("R",'Mapa final'!$A$51),"")</f>
        <v/>
      </c>
      <c r="AE10" s="628"/>
      <c r="AF10" s="628" t="str">
        <f>IF(AND('Mapa final'!$K$57="Muy Alta",'Mapa final'!$O$57="Mayor"),CONCATENATE("R",'Mapa final'!$A$57),"")</f>
        <v/>
      </c>
      <c r="AG10" s="629"/>
      <c r="AH10" s="639" t="str">
        <f>IF(AND('Mapa final'!$K$45="Muy Alta",'Mapa final'!$O$45="Catastrófico"),CONCATENATE("R",'Mapa final'!$A$45),"")</f>
        <v/>
      </c>
      <c r="AI10" s="640"/>
      <c r="AJ10" s="640" t="str">
        <f>IF(AND('Mapa final'!$K$51="Muy Alta",'Mapa final'!$O$51="Catastrófico"),CONCATENATE("R",'Mapa final'!$A$51),"")</f>
        <v/>
      </c>
      <c r="AK10" s="640"/>
      <c r="AL10" s="640" t="str">
        <f>IF(AND('Mapa final'!$K$57="Muy Alta",'Mapa final'!$O$57="Catastrófico"),CONCATENATE("R",'Mapa final'!$A$57),"")</f>
        <v/>
      </c>
      <c r="AM10" s="641"/>
      <c r="AN10" s="65"/>
      <c r="AO10" s="586"/>
      <c r="AP10" s="587"/>
      <c r="AQ10" s="587"/>
      <c r="AR10" s="587"/>
      <c r="AS10" s="587"/>
      <c r="AT10" s="588"/>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row>
    <row r="11" spans="1:99" ht="15" customHeight="1" x14ac:dyDescent="0.3">
      <c r="A11" s="65"/>
      <c r="B11" s="581"/>
      <c r="C11" s="581"/>
      <c r="D11" s="582"/>
      <c r="E11" s="622"/>
      <c r="F11" s="623"/>
      <c r="G11" s="623"/>
      <c r="H11" s="623"/>
      <c r="I11" s="624"/>
      <c r="J11" s="632"/>
      <c r="K11" s="628"/>
      <c r="L11" s="628"/>
      <c r="M11" s="628"/>
      <c r="N11" s="628"/>
      <c r="O11" s="629"/>
      <c r="P11" s="632"/>
      <c r="Q11" s="628"/>
      <c r="R11" s="628"/>
      <c r="S11" s="628"/>
      <c r="T11" s="628"/>
      <c r="U11" s="629"/>
      <c r="V11" s="632"/>
      <c r="W11" s="628"/>
      <c r="X11" s="628"/>
      <c r="Y11" s="628"/>
      <c r="Z11" s="628"/>
      <c r="AA11" s="629"/>
      <c r="AB11" s="632"/>
      <c r="AC11" s="628"/>
      <c r="AD11" s="628"/>
      <c r="AE11" s="628"/>
      <c r="AF11" s="628"/>
      <c r="AG11" s="629"/>
      <c r="AH11" s="639"/>
      <c r="AI11" s="640"/>
      <c r="AJ11" s="640"/>
      <c r="AK11" s="640"/>
      <c r="AL11" s="640"/>
      <c r="AM11" s="641"/>
      <c r="AN11" s="65"/>
      <c r="AO11" s="586"/>
      <c r="AP11" s="587"/>
      <c r="AQ11" s="587"/>
      <c r="AR11" s="587"/>
      <c r="AS11" s="587"/>
      <c r="AT11" s="588"/>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row>
    <row r="12" spans="1:99" ht="15" customHeight="1" x14ac:dyDescent="0.3">
      <c r="A12" s="65"/>
      <c r="B12" s="581"/>
      <c r="C12" s="581"/>
      <c r="D12" s="582"/>
      <c r="E12" s="622"/>
      <c r="F12" s="623"/>
      <c r="G12" s="623"/>
      <c r="H12" s="623"/>
      <c r="I12" s="624"/>
      <c r="J12" s="632" t="str">
        <f>IF(AND('Mapa final'!$K$63="Muy Alta",'Mapa final'!$O$63="Leve"),CONCATENATE("R",'Mapa final'!$A$63),"")</f>
        <v/>
      </c>
      <c r="K12" s="628"/>
      <c r="L12" s="628" t="str">
        <f>IF(AND('Mapa final'!$K$69="Muy Alta",'Mapa final'!$O$69="Leve"),CONCATENATE("R",'Mapa final'!$A$69),"")</f>
        <v/>
      </c>
      <c r="M12" s="628"/>
      <c r="N12" s="628" t="str">
        <f>IF(AND('Mapa final'!$K$75="Muy Alta",'Mapa final'!$O$75="Leve"),CONCATENATE("R",'Mapa final'!$A$75),"")</f>
        <v/>
      </c>
      <c r="O12" s="629"/>
      <c r="P12" s="632" t="str">
        <f>IF(AND('Mapa final'!$K$63="Muy Alta",'Mapa final'!$O$63="Menor"),CONCATENATE("R",'Mapa final'!$A$63),"")</f>
        <v/>
      </c>
      <c r="Q12" s="628"/>
      <c r="R12" s="628" t="str">
        <f>IF(AND('Mapa final'!$K$69="Muy Alta",'Mapa final'!$O$69="Menor"),CONCATENATE("R",'Mapa final'!$A$69),"")</f>
        <v/>
      </c>
      <c r="S12" s="628"/>
      <c r="T12" s="628" t="str">
        <f>IF(AND('Mapa final'!$K$75="Muy Alta",'Mapa final'!$O$75="Menor"),CONCATENATE("R",'Mapa final'!$A$75),"")</f>
        <v/>
      </c>
      <c r="U12" s="629"/>
      <c r="V12" s="632" t="str">
        <f>IF(AND('Mapa final'!$K$63="Muy Alta",'Mapa final'!$O$63="Moderado"),CONCATENATE("R",'Mapa final'!$A$63),"")</f>
        <v/>
      </c>
      <c r="W12" s="628"/>
      <c r="X12" s="628" t="str">
        <f>IF(AND('Mapa final'!$K$69="Muy Alta",'Mapa final'!$O$69="Moderado"),CONCATENATE("R",'Mapa final'!$A$69),"")</f>
        <v/>
      </c>
      <c r="Y12" s="628"/>
      <c r="Z12" s="628" t="str">
        <f>IF(AND('Mapa final'!$K$75="Muy Alta",'Mapa final'!$O$75="Moderado"),CONCATENATE("R",'Mapa final'!$A$75),"")</f>
        <v/>
      </c>
      <c r="AA12" s="629"/>
      <c r="AB12" s="632" t="str">
        <f>IF(AND('Mapa final'!$K$63="Muy Alta",'Mapa final'!$O$63="Mayor"),CONCATENATE("R",'Mapa final'!$A$63),"")</f>
        <v/>
      </c>
      <c r="AC12" s="628"/>
      <c r="AD12" s="628" t="str">
        <f>IF(AND('Mapa final'!$K$69="Muy Alta",'Mapa final'!$O$69="Mayor"),CONCATENATE("R",'Mapa final'!$A$69),"")</f>
        <v/>
      </c>
      <c r="AE12" s="628"/>
      <c r="AF12" s="628" t="str">
        <f>IF(AND('Mapa final'!$K$75="Muy Alta",'Mapa final'!$O$75="Mayor"),CONCATENATE("R",'Mapa final'!$A$75),"")</f>
        <v/>
      </c>
      <c r="AG12" s="629"/>
      <c r="AH12" s="639" t="str">
        <f>IF(AND('Mapa final'!$K$63="Muy Alta",'Mapa final'!$O$63="Catastrófico"),CONCATENATE("R",'Mapa final'!$A$63),"")</f>
        <v/>
      </c>
      <c r="AI12" s="640"/>
      <c r="AJ12" s="640" t="str">
        <f>IF(AND('Mapa final'!$K$69="Muy Alta",'Mapa final'!$O$69="Catastrófico"),CONCATENATE("R",'Mapa final'!$A$69),"")</f>
        <v/>
      </c>
      <c r="AK12" s="640"/>
      <c r="AL12" s="640" t="str">
        <f>IF(AND('Mapa final'!$K$75="Muy Alta",'Mapa final'!$O$75="Catastrófico"),CONCATENATE("R",'Mapa final'!$A$75),"")</f>
        <v/>
      </c>
      <c r="AM12" s="641"/>
      <c r="AN12" s="65"/>
      <c r="AO12" s="586"/>
      <c r="AP12" s="587"/>
      <c r="AQ12" s="587"/>
      <c r="AR12" s="587"/>
      <c r="AS12" s="587"/>
      <c r="AT12" s="588"/>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row>
    <row r="13" spans="1:99" ht="15.75" customHeight="1" thickBot="1" x14ac:dyDescent="0.35">
      <c r="A13" s="65"/>
      <c r="B13" s="581"/>
      <c r="C13" s="581"/>
      <c r="D13" s="582"/>
      <c r="E13" s="625"/>
      <c r="F13" s="626"/>
      <c r="G13" s="626"/>
      <c r="H13" s="626"/>
      <c r="I13" s="627"/>
      <c r="J13" s="632"/>
      <c r="K13" s="628"/>
      <c r="L13" s="628"/>
      <c r="M13" s="628"/>
      <c r="N13" s="628"/>
      <c r="O13" s="629"/>
      <c r="P13" s="632"/>
      <c r="Q13" s="628"/>
      <c r="R13" s="628"/>
      <c r="S13" s="628"/>
      <c r="T13" s="628"/>
      <c r="U13" s="629"/>
      <c r="V13" s="632"/>
      <c r="W13" s="628"/>
      <c r="X13" s="628"/>
      <c r="Y13" s="628"/>
      <c r="Z13" s="628"/>
      <c r="AA13" s="629"/>
      <c r="AB13" s="632"/>
      <c r="AC13" s="628"/>
      <c r="AD13" s="628"/>
      <c r="AE13" s="628"/>
      <c r="AF13" s="628"/>
      <c r="AG13" s="629"/>
      <c r="AH13" s="642"/>
      <c r="AI13" s="643"/>
      <c r="AJ13" s="643"/>
      <c r="AK13" s="643"/>
      <c r="AL13" s="643"/>
      <c r="AM13" s="644"/>
      <c r="AN13" s="65"/>
      <c r="AO13" s="589"/>
      <c r="AP13" s="590"/>
      <c r="AQ13" s="590"/>
      <c r="AR13" s="590"/>
      <c r="AS13" s="590"/>
      <c r="AT13" s="591"/>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row>
    <row r="14" spans="1:99" ht="15" customHeight="1" x14ac:dyDescent="0.3">
      <c r="A14" s="65"/>
      <c r="B14" s="581"/>
      <c r="C14" s="581"/>
      <c r="D14" s="582"/>
      <c r="E14" s="619" t="s">
        <v>110</v>
      </c>
      <c r="F14" s="620"/>
      <c r="G14" s="620"/>
      <c r="H14" s="620"/>
      <c r="I14" s="620"/>
      <c r="J14" s="654" t="str">
        <f>IF(AND('Mapa final'!$K$10="Alta",'Mapa final'!$O$10="Leve"),CONCATENATE("R",'Mapa final'!$A$10),"")</f>
        <v/>
      </c>
      <c r="K14" s="655"/>
      <c r="L14" s="655" t="str">
        <f>IF(AND('Mapa final'!$K$16="Alta",'Mapa final'!$O$16="Leve"),CONCATENATE("R",'Mapa final'!$A$16),"")</f>
        <v/>
      </c>
      <c r="M14" s="655"/>
      <c r="N14" s="655" t="str">
        <f>IF(AND('Mapa final'!$K$22="Alta",'Mapa final'!$O$22="Leve"),CONCATENATE("R",'Mapa final'!$A$22),"")</f>
        <v/>
      </c>
      <c r="O14" s="656"/>
      <c r="P14" s="654" t="str">
        <f>IF(AND('Mapa final'!$K$10="Alta",'Mapa final'!$O$10="Menor"),CONCATENATE("R",'Mapa final'!$A$10),"")</f>
        <v/>
      </c>
      <c r="Q14" s="655"/>
      <c r="R14" s="655" t="str">
        <f>IF(AND('Mapa final'!$K$16="Alta",'Mapa final'!$O$16="Menor"),CONCATENATE("R",'Mapa final'!$A$16),"")</f>
        <v/>
      </c>
      <c r="S14" s="655"/>
      <c r="T14" s="655" t="str">
        <f>IF(AND('Mapa final'!$K$22="Alta",'Mapa final'!$O$22="Menor"),CONCATENATE("R",'Mapa final'!$A$22),"")</f>
        <v/>
      </c>
      <c r="U14" s="656"/>
      <c r="V14" s="630" t="str">
        <f>IF(AND('Mapa final'!$K$10="Alta",'Mapa final'!$O$10="Moderado"),CONCATENATE("R",'Mapa final'!$A$10),"")</f>
        <v/>
      </c>
      <c r="W14" s="631"/>
      <c r="X14" s="631" t="str">
        <f>IF(AND('Mapa final'!$K$16="Alta",'Mapa final'!$O$16="Moderado"),CONCATENATE("R",'Mapa final'!$A$16),"")</f>
        <v/>
      </c>
      <c r="Y14" s="631"/>
      <c r="Z14" s="631" t="str">
        <f>IF(AND('Mapa final'!$K$22="Alta",'Mapa final'!$O$22="Moderado"),CONCATENATE("R",'Mapa final'!$A$22),"")</f>
        <v/>
      </c>
      <c r="AA14" s="633"/>
      <c r="AB14" s="630" t="str">
        <f>IF(AND('Mapa final'!$K$10="Alta",'Mapa final'!$O$10="Mayor"),CONCATENATE("R",'Mapa final'!$A$10),"")</f>
        <v/>
      </c>
      <c r="AC14" s="631"/>
      <c r="AD14" s="631" t="str">
        <f>IF(AND('Mapa final'!$K$16="Alta",'Mapa final'!$O$16="Mayor"),CONCATENATE("R",'Mapa final'!$A$16),"")</f>
        <v/>
      </c>
      <c r="AE14" s="631"/>
      <c r="AF14" s="631" t="str">
        <f>IF(AND('Mapa final'!$K$22="Alta",'Mapa final'!$O$22="Mayor"),CONCATENATE("R",'Mapa final'!$A$22),"")</f>
        <v/>
      </c>
      <c r="AG14" s="633"/>
      <c r="AH14" s="645" t="str">
        <f>IF(AND('Mapa final'!$K$10="Alta",'Mapa final'!$O$10="Catastrófico"),CONCATENATE("R",'Mapa final'!$A$10),"")</f>
        <v/>
      </c>
      <c r="AI14" s="646"/>
      <c r="AJ14" s="646" t="str">
        <f>IF(AND('Mapa final'!$K$16="Alta",'Mapa final'!$O$16="Catastrófico"),CONCATENATE("R",'Mapa final'!$A$16),"")</f>
        <v/>
      </c>
      <c r="AK14" s="646"/>
      <c r="AL14" s="646" t="str">
        <f>IF(AND('Mapa final'!$K$22="Alta",'Mapa final'!$O$22="Catastrófico"),CONCATENATE("R",'Mapa final'!$A$22),"")</f>
        <v/>
      </c>
      <c r="AM14" s="647"/>
      <c r="AN14" s="65"/>
      <c r="AO14" s="592" t="s">
        <v>79</v>
      </c>
      <c r="AP14" s="593"/>
      <c r="AQ14" s="593"/>
      <c r="AR14" s="593"/>
      <c r="AS14" s="593"/>
      <c r="AT14" s="594"/>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row>
    <row r="15" spans="1:99" ht="15" customHeight="1" x14ac:dyDescent="0.3">
      <c r="A15" s="65"/>
      <c r="B15" s="581"/>
      <c r="C15" s="581"/>
      <c r="D15" s="582"/>
      <c r="E15" s="622"/>
      <c r="F15" s="623"/>
      <c r="G15" s="623"/>
      <c r="H15" s="623"/>
      <c r="I15" s="623"/>
      <c r="J15" s="648"/>
      <c r="K15" s="649"/>
      <c r="L15" s="649"/>
      <c r="M15" s="649"/>
      <c r="N15" s="649"/>
      <c r="O15" s="650"/>
      <c r="P15" s="648"/>
      <c r="Q15" s="649"/>
      <c r="R15" s="649"/>
      <c r="S15" s="649"/>
      <c r="T15" s="649"/>
      <c r="U15" s="650"/>
      <c r="V15" s="632"/>
      <c r="W15" s="628"/>
      <c r="X15" s="628"/>
      <c r="Y15" s="628"/>
      <c r="Z15" s="628"/>
      <c r="AA15" s="629"/>
      <c r="AB15" s="632"/>
      <c r="AC15" s="628"/>
      <c r="AD15" s="628"/>
      <c r="AE15" s="628"/>
      <c r="AF15" s="628"/>
      <c r="AG15" s="629"/>
      <c r="AH15" s="639"/>
      <c r="AI15" s="640"/>
      <c r="AJ15" s="640"/>
      <c r="AK15" s="640"/>
      <c r="AL15" s="640"/>
      <c r="AM15" s="641"/>
      <c r="AN15" s="65"/>
      <c r="AO15" s="595"/>
      <c r="AP15" s="596"/>
      <c r="AQ15" s="596"/>
      <c r="AR15" s="596"/>
      <c r="AS15" s="596"/>
      <c r="AT15" s="597"/>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row>
    <row r="16" spans="1:99" ht="15" customHeight="1" x14ac:dyDescent="0.3">
      <c r="A16" s="65"/>
      <c r="B16" s="581"/>
      <c r="C16" s="581"/>
      <c r="D16" s="582"/>
      <c r="E16" s="622"/>
      <c r="F16" s="623"/>
      <c r="G16" s="623"/>
      <c r="H16" s="623"/>
      <c r="I16" s="623"/>
      <c r="J16" s="648" t="str">
        <f>IF(AND('Mapa final'!$K$28="Alta",'Mapa final'!$O$28="Leve"),CONCATENATE("R",'Mapa final'!$A$28),"")</f>
        <v/>
      </c>
      <c r="K16" s="649"/>
      <c r="L16" s="649" t="str">
        <f>IF(AND('Mapa final'!$K$33="Alta",'Mapa final'!$O$33="Leve"),CONCATENATE("R",'Mapa final'!$A$33),"")</f>
        <v/>
      </c>
      <c r="M16" s="649"/>
      <c r="N16" s="649" t="str">
        <f>IF(AND('Mapa final'!$K$39="Alta",'Mapa final'!$O$39="Leve"),CONCATENATE("R",'Mapa final'!$A$39),"")</f>
        <v/>
      </c>
      <c r="O16" s="650"/>
      <c r="P16" s="648" t="str">
        <f>IF(AND('Mapa final'!$K$28="Alta",'Mapa final'!$O$28="Menor"),CONCATENATE("R",'Mapa final'!$A$28),"")</f>
        <v/>
      </c>
      <c r="Q16" s="649"/>
      <c r="R16" s="649" t="str">
        <f>IF(AND('Mapa final'!$K$33="Alta",'Mapa final'!$O$33="Menor"),CONCATENATE("R",'Mapa final'!$A$33),"")</f>
        <v/>
      </c>
      <c r="S16" s="649"/>
      <c r="T16" s="649" t="str">
        <f>IF(AND('Mapa final'!$K$39="Alta",'Mapa final'!$O$39="Menor"),CONCATENATE("R",'Mapa final'!$A$39),"")</f>
        <v/>
      </c>
      <c r="U16" s="650"/>
      <c r="V16" s="632" t="str">
        <f>IF(AND('Mapa final'!$K$28="Alta",'Mapa final'!$O$28="Moderado"),CONCATENATE("R",'Mapa final'!$A$28),"")</f>
        <v/>
      </c>
      <c r="W16" s="628"/>
      <c r="X16" s="628" t="str">
        <f>IF(AND('Mapa final'!$K$33="Alta",'Mapa final'!$O$33="Moderado"),CONCATENATE("R",'Mapa final'!$A$33),"")</f>
        <v/>
      </c>
      <c r="Y16" s="628"/>
      <c r="Z16" s="628" t="str">
        <f>IF(AND('Mapa final'!$K$39="Alta",'Mapa final'!$O$39="Moderado"),CONCATENATE("R",'Mapa final'!$A$39),"")</f>
        <v/>
      </c>
      <c r="AA16" s="629"/>
      <c r="AB16" s="632" t="str">
        <f>IF(AND('Mapa final'!$K$28="Alta",'Mapa final'!$O$28="Mayor"),CONCATENATE("R",'Mapa final'!$A$28),"")</f>
        <v/>
      </c>
      <c r="AC16" s="628"/>
      <c r="AD16" s="628" t="str">
        <f>IF(AND('Mapa final'!$K$33="Alta",'Mapa final'!$O$33="Mayor"),CONCATENATE("R",'Mapa final'!$A$33),"")</f>
        <v/>
      </c>
      <c r="AE16" s="628"/>
      <c r="AF16" s="628" t="str">
        <f>IF(AND('Mapa final'!$K$39="Alta",'Mapa final'!$O$39="Mayor"),CONCATENATE("R",'Mapa final'!$A$39),"")</f>
        <v/>
      </c>
      <c r="AG16" s="629"/>
      <c r="AH16" s="639" t="str">
        <f>IF(AND('Mapa final'!$K$28="Alta",'Mapa final'!$O$28="Catastrófico"),CONCATENATE("R",'Mapa final'!$A$28),"")</f>
        <v/>
      </c>
      <c r="AI16" s="640"/>
      <c r="AJ16" s="640" t="str">
        <f>IF(AND('Mapa final'!$K$33="Alta",'Mapa final'!$O$33="Catastrófico"),CONCATENATE("R",'Mapa final'!$A$33),"")</f>
        <v/>
      </c>
      <c r="AK16" s="640"/>
      <c r="AL16" s="640" t="str">
        <f>IF(AND('Mapa final'!$K$39="Alta",'Mapa final'!$O$39="Catastrófico"),CONCATENATE("R",'Mapa final'!$A$39),"")</f>
        <v/>
      </c>
      <c r="AM16" s="641"/>
      <c r="AN16" s="65"/>
      <c r="AO16" s="595"/>
      <c r="AP16" s="596"/>
      <c r="AQ16" s="596"/>
      <c r="AR16" s="596"/>
      <c r="AS16" s="596"/>
      <c r="AT16" s="597"/>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row>
    <row r="17" spans="1:80" ht="15" customHeight="1" x14ac:dyDescent="0.3">
      <c r="A17" s="65"/>
      <c r="B17" s="581"/>
      <c r="C17" s="581"/>
      <c r="D17" s="582"/>
      <c r="E17" s="622"/>
      <c r="F17" s="623"/>
      <c r="G17" s="623"/>
      <c r="H17" s="623"/>
      <c r="I17" s="623"/>
      <c r="J17" s="648"/>
      <c r="K17" s="649"/>
      <c r="L17" s="649"/>
      <c r="M17" s="649"/>
      <c r="N17" s="649"/>
      <c r="O17" s="650"/>
      <c r="P17" s="648"/>
      <c r="Q17" s="649"/>
      <c r="R17" s="649"/>
      <c r="S17" s="649"/>
      <c r="T17" s="649"/>
      <c r="U17" s="650"/>
      <c r="V17" s="632"/>
      <c r="W17" s="628"/>
      <c r="X17" s="628"/>
      <c r="Y17" s="628"/>
      <c r="Z17" s="628"/>
      <c r="AA17" s="629"/>
      <c r="AB17" s="632"/>
      <c r="AC17" s="628"/>
      <c r="AD17" s="628"/>
      <c r="AE17" s="628"/>
      <c r="AF17" s="628"/>
      <c r="AG17" s="629"/>
      <c r="AH17" s="639"/>
      <c r="AI17" s="640"/>
      <c r="AJ17" s="640"/>
      <c r="AK17" s="640"/>
      <c r="AL17" s="640"/>
      <c r="AM17" s="641"/>
      <c r="AN17" s="65"/>
      <c r="AO17" s="595"/>
      <c r="AP17" s="596"/>
      <c r="AQ17" s="596"/>
      <c r="AR17" s="596"/>
      <c r="AS17" s="596"/>
      <c r="AT17" s="597"/>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row>
    <row r="18" spans="1:80" ht="15" customHeight="1" x14ac:dyDescent="0.3">
      <c r="A18" s="65"/>
      <c r="B18" s="581"/>
      <c r="C18" s="581"/>
      <c r="D18" s="582"/>
      <c r="E18" s="622"/>
      <c r="F18" s="623"/>
      <c r="G18" s="623"/>
      <c r="H18" s="623"/>
      <c r="I18" s="623"/>
      <c r="J18" s="648" t="str">
        <f>IF(AND('Mapa final'!$K$45="Alta",'Mapa final'!$O$45="Leve"),CONCATENATE("R",'Mapa final'!$A$45),"")</f>
        <v/>
      </c>
      <c r="K18" s="649"/>
      <c r="L18" s="649" t="str">
        <f>IF(AND('Mapa final'!$K$51="Alta",'Mapa final'!$O$51="Leve"),CONCATENATE("R",'Mapa final'!$A$51),"")</f>
        <v/>
      </c>
      <c r="M18" s="649"/>
      <c r="N18" s="649" t="str">
        <f>IF(AND('Mapa final'!$K$57="Alta",'Mapa final'!$O$57="Leve"),CONCATENATE("R",'Mapa final'!$A$57),"")</f>
        <v/>
      </c>
      <c r="O18" s="650"/>
      <c r="P18" s="648" t="str">
        <f>IF(AND('Mapa final'!$K$45="Alta",'Mapa final'!$O$45="Menor"),CONCATENATE("R",'Mapa final'!$A$45),"")</f>
        <v/>
      </c>
      <c r="Q18" s="649"/>
      <c r="R18" s="649" t="str">
        <f>IF(AND('Mapa final'!$K$51="Alta",'Mapa final'!$O$51="Menor"),CONCATENATE("R",'Mapa final'!$A$51),"")</f>
        <v/>
      </c>
      <c r="S18" s="649"/>
      <c r="T18" s="649" t="str">
        <f>IF(AND('Mapa final'!$K$57="Alta",'Mapa final'!$O$57="Menor"),CONCATENATE("R",'Mapa final'!$A$57),"")</f>
        <v/>
      </c>
      <c r="U18" s="650"/>
      <c r="V18" s="632" t="str">
        <f>IF(AND('Mapa final'!$K$45="Alta",'Mapa final'!$O$45="Moderado"),CONCATENATE("R",'Mapa final'!$A$45),"")</f>
        <v/>
      </c>
      <c r="W18" s="628"/>
      <c r="X18" s="628" t="str">
        <f>IF(AND('Mapa final'!$K$51="Alta",'Mapa final'!$O$51="Moderado"),CONCATENATE("R",'Mapa final'!$A$51),"")</f>
        <v/>
      </c>
      <c r="Y18" s="628"/>
      <c r="Z18" s="628" t="str">
        <f>IF(AND('Mapa final'!$K$57="Alta",'Mapa final'!$O$57="Moderado"),CONCATENATE("R",'Mapa final'!$A$57),"")</f>
        <v/>
      </c>
      <c r="AA18" s="629"/>
      <c r="AB18" s="632" t="str">
        <f>IF(AND('Mapa final'!$K$45="Alta",'Mapa final'!$O$45="Mayor"),CONCATENATE("R",'Mapa final'!$A$45),"")</f>
        <v/>
      </c>
      <c r="AC18" s="628"/>
      <c r="AD18" s="628" t="str">
        <f>IF(AND('Mapa final'!$K$51="Alta",'Mapa final'!$O$51="Mayor"),CONCATENATE("R",'Mapa final'!$A$51),"")</f>
        <v/>
      </c>
      <c r="AE18" s="628"/>
      <c r="AF18" s="628" t="str">
        <f>IF(AND('Mapa final'!$K$57="Alta",'Mapa final'!$O$57="Mayor"),CONCATENATE("R",'Mapa final'!$A$57),"")</f>
        <v/>
      </c>
      <c r="AG18" s="629"/>
      <c r="AH18" s="639" t="str">
        <f>IF(AND('Mapa final'!$K$45="Alta",'Mapa final'!$O$45="Catastrófico"),CONCATENATE("R",'Mapa final'!$A$45),"")</f>
        <v/>
      </c>
      <c r="AI18" s="640"/>
      <c r="AJ18" s="640" t="str">
        <f>IF(AND('Mapa final'!$K$51="Alta",'Mapa final'!$O$51="Catastrófico"),CONCATENATE("R",'Mapa final'!$A$51),"")</f>
        <v/>
      </c>
      <c r="AK18" s="640"/>
      <c r="AL18" s="640" t="str">
        <f>IF(AND('Mapa final'!$K$57="Alta",'Mapa final'!$O$57="Catastrófico"),CONCATENATE("R",'Mapa final'!$A$57),"")</f>
        <v/>
      </c>
      <c r="AM18" s="641"/>
      <c r="AN18" s="65"/>
      <c r="AO18" s="595"/>
      <c r="AP18" s="596"/>
      <c r="AQ18" s="596"/>
      <c r="AR18" s="596"/>
      <c r="AS18" s="596"/>
      <c r="AT18" s="597"/>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row>
    <row r="19" spans="1:80" ht="15" customHeight="1" x14ac:dyDescent="0.3">
      <c r="A19" s="65"/>
      <c r="B19" s="581"/>
      <c r="C19" s="581"/>
      <c r="D19" s="582"/>
      <c r="E19" s="622"/>
      <c r="F19" s="623"/>
      <c r="G19" s="623"/>
      <c r="H19" s="623"/>
      <c r="I19" s="623"/>
      <c r="J19" s="648"/>
      <c r="K19" s="649"/>
      <c r="L19" s="649"/>
      <c r="M19" s="649"/>
      <c r="N19" s="649"/>
      <c r="O19" s="650"/>
      <c r="P19" s="648"/>
      <c r="Q19" s="649"/>
      <c r="R19" s="649"/>
      <c r="S19" s="649"/>
      <c r="T19" s="649"/>
      <c r="U19" s="650"/>
      <c r="V19" s="632"/>
      <c r="W19" s="628"/>
      <c r="X19" s="628"/>
      <c r="Y19" s="628"/>
      <c r="Z19" s="628"/>
      <c r="AA19" s="629"/>
      <c r="AB19" s="632"/>
      <c r="AC19" s="628"/>
      <c r="AD19" s="628"/>
      <c r="AE19" s="628"/>
      <c r="AF19" s="628"/>
      <c r="AG19" s="629"/>
      <c r="AH19" s="639"/>
      <c r="AI19" s="640"/>
      <c r="AJ19" s="640"/>
      <c r="AK19" s="640"/>
      <c r="AL19" s="640"/>
      <c r="AM19" s="641"/>
      <c r="AN19" s="65"/>
      <c r="AO19" s="595"/>
      <c r="AP19" s="596"/>
      <c r="AQ19" s="596"/>
      <c r="AR19" s="596"/>
      <c r="AS19" s="596"/>
      <c r="AT19" s="597"/>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row>
    <row r="20" spans="1:80" ht="15" customHeight="1" x14ac:dyDescent="0.3">
      <c r="A20" s="65"/>
      <c r="B20" s="581"/>
      <c r="C20" s="581"/>
      <c r="D20" s="582"/>
      <c r="E20" s="622"/>
      <c r="F20" s="623"/>
      <c r="G20" s="623"/>
      <c r="H20" s="623"/>
      <c r="I20" s="623"/>
      <c r="J20" s="648" t="str">
        <f>IF(AND('Mapa final'!$K$63="Alta",'Mapa final'!$O$63="Leve"),CONCATENATE("R",'Mapa final'!$A$63),"")</f>
        <v/>
      </c>
      <c r="K20" s="649"/>
      <c r="L20" s="649" t="str">
        <f>IF(AND('Mapa final'!$K$69="Alta",'Mapa final'!$O$69="Leve"),CONCATENATE("R",'Mapa final'!$A$69),"")</f>
        <v/>
      </c>
      <c r="M20" s="649"/>
      <c r="N20" s="649" t="str">
        <f>IF(AND('Mapa final'!$K$75="Alta",'Mapa final'!$O$75="Leve"),CONCATENATE("R",'Mapa final'!$A$75),"")</f>
        <v/>
      </c>
      <c r="O20" s="650"/>
      <c r="P20" s="648" t="str">
        <f>IF(AND('Mapa final'!$K$63="Alta",'Mapa final'!$O$63="Menor"),CONCATENATE("R",'Mapa final'!$A$63),"")</f>
        <v/>
      </c>
      <c r="Q20" s="649"/>
      <c r="R20" s="649" t="str">
        <f>IF(AND('Mapa final'!$K$69="Alta",'Mapa final'!$O$69="Menor"),CONCATENATE("R",'Mapa final'!$A$69),"")</f>
        <v/>
      </c>
      <c r="S20" s="649"/>
      <c r="T20" s="649" t="str">
        <f>IF(AND('Mapa final'!$K$75="Alta",'Mapa final'!$O$75="Menor"),CONCATENATE("R",'Mapa final'!$A$75),"")</f>
        <v/>
      </c>
      <c r="U20" s="650"/>
      <c r="V20" s="632" t="str">
        <f>IF(AND('Mapa final'!$K$63="Alta",'Mapa final'!$O$63="Moderado"),CONCATENATE("R",'Mapa final'!$A$63),"")</f>
        <v/>
      </c>
      <c r="W20" s="628"/>
      <c r="X20" s="628" t="str">
        <f>IF(AND('Mapa final'!$K$69="Alta",'Mapa final'!$O$69="Moderado"),CONCATENATE("R",'Mapa final'!$A$69),"")</f>
        <v/>
      </c>
      <c r="Y20" s="628"/>
      <c r="Z20" s="628" t="str">
        <f>IF(AND('Mapa final'!$K$75="Alta",'Mapa final'!$O$75="Moderado"),CONCATENATE("R",'Mapa final'!$A$75),"")</f>
        <v/>
      </c>
      <c r="AA20" s="629"/>
      <c r="AB20" s="632" t="str">
        <f>IF(AND('Mapa final'!$K$63="Alta",'Mapa final'!$O$63="Mayor"),CONCATENATE("R",'Mapa final'!$A$63),"")</f>
        <v/>
      </c>
      <c r="AC20" s="628"/>
      <c r="AD20" s="628" t="str">
        <f>IF(AND('Mapa final'!$K$69="Alta",'Mapa final'!$O$69="Mayor"),CONCATENATE("R",'Mapa final'!$A$69),"")</f>
        <v/>
      </c>
      <c r="AE20" s="628"/>
      <c r="AF20" s="628" t="str">
        <f>IF(AND('Mapa final'!$K$75="Alta",'Mapa final'!$O$75="Mayor"),CONCATENATE("R",'Mapa final'!$A$75),"")</f>
        <v/>
      </c>
      <c r="AG20" s="629"/>
      <c r="AH20" s="639" t="str">
        <f>IF(AND('Mapa final'!$K$63="Alta",'Mapa final'!$O$63="Catastrófico"),CONCATENATE("R",'Mapa final'!$A$63),"")</f>
        <v/>
      </c>
      <c r="AI20" s="640"/>
      <c r="AJ20" s="640" t="str">
        <f>IF(AND('Mapa final'!$K$69="Alta",'Mapa final'!$O$69="Catastrófico"),CONCATENATE("R",'Mapa final'!$A$69),"")</f>
        <v/>
      </c>
      <c r="AK20" s="640"/>
      <c r="AL20" s="640" t="str">
        <f>IF(AND('Mapa final'!$K$75="Alta",'Mapa final'!$O$75="Catastrófico"),CONCATENATE("R",'Mapa final'!$A$75),"")</f>
        <v/>
      </c>
      <c r="AM20" s="641"/>
      <c r="AN20" s="65"/>
      <c r="AO20" s="595"/>
      <c r="AP20" s="596"/>
      <c r="AQ20" s="596"/>
      <c r="AR20" s="596"/>
      <c r="AS20" s="596"/>
      <c r="AT20" s="597"/>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row>
    <row r="21" spans="1:80" ht="15.75" customHeight="1" thickBot="1" x14ac:dyDescent="0.35">
      <c r="A21" s="65"/>
      <c r="B21" s="581"/>
      <c r="C21" s="581"/>
      <c r="D21" s="582"/>
      <c r="E21" s="625"/>
      <c r="F21" s="626"/>
      <c r="G21" s="626"/>
      <c r="H21" s="626"/>
      <c r="I21" s="626"/>
      <c r="J21" s="651"/>
      <c r="K21" s="652"/>
      <c r="L21" s="652"/>
      <c r="M21" s="652"/>
      <c r="N21" s="652"/>
      <c r="O21" s="653"/>
      <c r="P21" s="651"/>
      <c r="Q21" s="652"/>
      <c r="R21" s="652"/>
      <c r="S21" s="652"/>
      <c r="T21" s="652"/>
      <c r="U21" s="653"/>
      <c r="V21" s="636"/>
      <c r="W21" s="637"/>
      <c r="X21" s="637"/>
      <c r="Y21" s="637"/>
      <c r="Z21" s="637"/>
      <c r="AA21" s="638"/>
      <c r="AB21" s="636"/>
      <c r="AC21" s="637"/>
      <c r="AD21" s="637"/>
      <c r="AE21" s="637"/>
      <c r="AF21" s="637"/>
      <c r="AG21" s="638"/>
      <c r="AH21" s="642"/>
      <c r="AI21" s="643"/>
      <c r="AJ21" s="643"/>
      <c r="AK21" s="643"/>
      <c r="AL21" s="643"/>
      <c r="AM21" s="644"/>
      <c r="AN21" s="65"/>
      <c r="AO21" s="598"/>
      <c r="AP21" s="599"/>
      <c r="AQ21" s="599"/>
      <c r="AR21" s="599"/>
      <c r="AS21" s="599"/>
      <c r="AT21" s="600"/>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row>
    <row r="22" spans="1:80" x14ac:dyDescent="0.3">
      <c r="A22" s="65"/>
      <c r="B22" s="581"/>
      <c r="C22" s="581"/>
      <c r="D22" s="582"/>
      <c r="E22" s="619" t="s">
        <v>112</v>
      </c>
      <c r="F22" s="620"/>
      <c r="G22" s="620"/>
      <c r="H22" s="620"/>
      <c r="I22" s="621"/>
      <c r="J22" s="654" t="str">
        <f>IF(AND('Mapa final'!$K$10="Media",'Mapa final'!$O$10="Leve"),CONCATENATE("R",'Mapa final'!$A$10),"")</f>
        <v/>
      </c>
      <c r="K22" s="655"/>
      <c r="L22" s="655" t="str">
        <f>IF(AND('Mapa final'!$K$16="Media",'Mapa final'!$O$16="Leve"),CONCATENATE("R",'Mapa final'!$A$16),"")</f>
        <v/>
      </c>
      <c r="M22" s="655"/>
      <c r="N22" s="655" t="str">
        <f>IF(AND('Mapa final'!$K$22="Media",'Mapa final'!$O$22="Leve"),CONCATENATE("R",'Mapa final'!$A$22),"")</f>
        <v/>
      </c>
      <c r="O22" s="656"/>
      <c r="P22" s="654" t="str">
        <f>IF(AND('Mapa final'!$K$10="Media",'Mapa final'!$O$10="Menor"),CONCATENATE("R",'Mapa final'!$A$10),"")</f>
        <v/>
      </c>
      <c r="Q22" s="655"/>
      <c r="R22" s="655" t="str">
        <f>IF(AND('Mapa final'!$K$16="Media",'Mapa final'!$O$16="Menor"),CONCATENATE("R",'Mapa final'!$A$16),"")</f>
        <v/>
      </c>
      <c r="S22" s="655"/>
      <c r="T22" s="655" t="str">
        <f>IF(AND('Mapa final'!$K$22="Media",'Mapa final'!$O$22="Menor"),CONCATENATE("R",'Mapa final'!$A$22),"")</f>
        <v/>
      </c>
      <c r="U22" s="656"/>
      <c r="V22" s="654" t="str">
        <f>IF(AND('Mapa final'!$K$10="Media",'Mapa final'!$O$10="Moderado"),CONCATENATE("R",'Mapa final'!$A$10),"")</f>
        <v/>
      </c>
      <c r="W22" s="655"/>
      <c r="X22" s="655" t="str">
        <f>IF(AND('Mapa final'!$K$16="Media",'Mapa final'!$O$16="Moderado"),CONCATENATE("R",'Mapa final'!$A$16),"")</f>
        <v/>
      </c>
      <c r="Y22" s="655"/>
      <c r="Z22" s="655" t="str">
        <f>IF(AND('Mapa final'!$K$22="Media",'Mapa final'!$O$22="Moderado"),CONCATENATE("R",'Mapa final'!$A$22),"")</f>
        <v/>
      </c>
      <c r="AA22" s="656"/>
      <c r="AB22" s="630" t="str">
        <f>IF(AND('Mapa final'!$K$10="Media",'Mapa final'!$O$10="Mayor"),CONCATENATE("R",'Mapa final'!$A$10),"")</f>
        <v/>
      </c>
      <c r="AC22" s="631"/>
      <c r="AD22" s="631" t="str">
        <f>IF(AND('Mapa final'!$K$16="Media",'Mapa final'!$O$16="Mayor"),CONCATENATE("R",'Mapa final'!$A$16),"")</f>
        <v/>
      </c>
      <c r="AE22" s="631"/>
      <c r="AF22" s="631" t="str">
        <f>IF(AND('Mapa final'!$K$22="Media",'Mapa final'!$O$22="Mayor"),CONCATENATE("R",'Mapa final'!$A$22),"")</f>
        <v/>
      </c>
      <c r="AG22" s="633"/>
      <c r="AH22" s="645" t="str">
        <f>IF(AND('Mapa final'!$K$10="Media",'Mapa final'!$O$10="Catastrófico"),CONCATENATE("R",'Mapa final'!$A$10),"")</f>
        <v/>
      </c>
      <c r="AI22" s="646"/>
      <c r="AJ22" s="646" t="str">
        <f>IF(AND('Mapa final'!$K$16="Media",'Mapa final'!$O$16="Catastrófico"),CONCATENATE("R",'Mapa final'!$A$16),"")</f>
        <v/>
      </c>
      <c r="AK22" s="646"/>
      <c r="AL22" s="646" t="str">
        <f>IF(AND('Mapa final'!$K$22="Media",'Mapa final'!$O$22="Catastrófico"),CONCATENATE("R",'Mapa final'!$A$22),"")</f>
        <v/>
      </c>
      <c r="AM22" s="647"/>
      <c r="AN22" s="65"/>
      <c r="AO22" s="601" t="s">
        <v>80</v>
      </c>
      <c r="AP22" s="602"/>
      <c r="AQ22" s="602"/>
      <c r="AR22" s="602"/>
      <c r="AS22" s="602"/>
      <c r="AT22" s="603"/>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row>
    <row r="23" spans="1:80" x14ac:dyDescent="0.3">
      <c r="A23" s="65"/>
      <c r="B23" s="581"/>
      <c r="C23" s="581"/>
      <c r="D23" s="582"/>
      <c r="E23" s="622"/>
      <c r="F23" s="623"/>
      <c r="G23" s="623"/>
      <c r="H23" s="623"/>
      <c r="I23" s="624"/>
      <c r="J23" s="648"/>
      <c r="K23" s="649"/>
      <c r="L23" s="649"/>
      <c r="M23" s="649"/>
      <c r="N23" s="649"/>
      <c r="O23" s="650"/>
      <c r="P23" s="648"/>
      <c r="Q23" s="649"/>
      <c r="R23" s="649"/>
      <c r="S23" s="649"/>
      <c r="T23" s="649"/>
      <c r="U23" s="650"/>
      <c r="V23" s="648"/>
      <c r="W23" s="649"/>
      <c r="X23" s="649"/>
      <c r="Y23" s="649"/>
      <c r="Z23" s="649"/>
      <c r="AA23" s="650"/>
      <c r="AB23" s="632"/>
      <c r="AC23" s="628"/>
      <c r="AD23" s="628"/>
      <c r="AE23" s="628"/>
      <c r="AF23" s="628"/>
      <c r="AG23" s="629"/>
      <c r="AH23" s="639"/>
      <c r="AI23" s="640"/>
      <c r="AJ23" s="640"/>
      <c r="AK23" s="640"/>
      <c r="AL23" s="640"/>
      <c r="AM23" s="641"/>
      <c r="AN23" s="65"/>
      <c r="AO23" s="604"/>
      <c r="AP23" s="605"/>
      <c r="AQ23" s="605"/>
      <c r="AR23" s="605"/>
      <c r="AS23" s="605"/>
      <c r="AT23" s="606"/>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row>
    <row r="24" spans="1:80" x14ac:dyDescent="0.3">
      <c r="A24" s="65"/>
      <c r="B24" s="581"/>
      <c r="C24" s="581"/>
      <c r="D24" s="582"/>
      <c r="E24" s="622"/>
      <c r="F24" s="623"/>
      <c r="G24" s="623"/>
      <c r="H24" s="623"/>
      <c r="I24" s="624"/>
      <c r="J24" s="648" t="str">
        <f>IF(AND('Mapa final'!$K$28="Media",'Mapa final'!$O$28="Leve"),CONCATENATE("R",'Mapa final'!$A$28),"")</f>
        <v/>
      </c>
      <c r="K24" s="649"/>
      <c r="L24" s="649" t="str">
        <f>IF(AND('Mapa final'!$K$33="Media",'Mapa final'!$O$33="Leve"),CONCATENATE("R",'Mapa final'!$A$33),"")</f>
        <v/>
      </c>
      <c r="M24" s="649"/>
      <c r="N24" s="649" t="str">
        <f>IF(AND('Mapa final'!$K$39="Media",'Mapa final'!$O$39="Leve"),CONCATENATE("R",'Mapa final'!$A$39),"")</f>
        <v/>
      </c>
      <c r="O24" s="650"/>
      <c r="P24" s="648" t="str">
        <f>IF(AND('Mapa final'!$K$28="Media",'Mapa final'!$O$28="Menor"),CONCATENATE("R",'Mapa final'!$A$28),"")</f>
        <v/>
      </c>
      <c r="Q24" s="649"/>
      <c r="R24" s="649" t="str">
        <f>IF(AND('Mapa final'!$K$33="Media",'Mapa final'!$O$33="Menor"),CONCATENATE("R",'Mapa final'!$A$33),"")</f>
        <v>R5</v>
      </c>
      <c r="S24" s="649"/>
      <c r="T24" s="649" t="str">
        <f>IF(AND('Mapa final'!$K$39="Media",'Mapa final'!$O$39="Menor"),CONCATENATE("R",'Mapa final'!$A$39),"")</f>
        <v/>
      </c>
      <c r="U24" s="650"/>
      <c r="V24" s="648" t="str">
        <f>IF(AND('Mapa final'!$K$28="Media",'Mapa final'!$O$28="Moderado"),CONCATENATE("R",'Mapa final'!$A$28),"")</f>
        <v/>
      </c>
      <c r="W24" s="649"/>
      <c r="X24" s="649" t="str">
        <f>IF(AND('Mapa final'!$K$33="Media",'Mapa final'!$O$33="Moderado"),CONCATENATE("R",'Mapa final'!$A$33),"")</f>
        <v/>
      </c>
      <c r="Y24" s="649"/>
      <c r="Z24" s="649" t="str">
        <f>IF(AND('Mapa final'!$K$39="Media",'Mapa final'!$O$39="Moderado"),CONCATENATE("R",'Mapa final'!$A$39),"")</f>
        <v/>
      </c>
      <c r="AA24" s="650"/>
      <c r="AB24" s="632" t="str">
        <f>IF(AND('Mapa final'!$K$28="Media",'Mapa final'!$O$28="Mayor"),CONCATENATE("R",'Mapa final'!$A$28),"")</f>
        <v/>
      </c>
      <c r="AC24" s="628"/>
      <c r="AD24" s="628" t="str">
        <f>IF(AND('Mapa final'!$K$33="Media",'Mapa final'!$O$33="Mayor"),CONCATENATE("R",'Mapa final'!$A$33),"")</f>
        <v/>
      </c>
      <c r="AE24" s="628"/>
      <c r="AF24" s="628" t="str">
        <f>IF(AND('Mapa final'!$K$39="Media",'Mapa final'!$O$39="Mayor"),CONCATENATE("R",'Mapa final'!$A$39),"")</f>
        <v/>
      </c>
      <c r="AG24" s="629"/>
      <c r="AH24" s="639" t="str">
        <f>IF(AND('Mapa final'!$K$28="Media",'Mapa final'!$O$28="Catastrófico"),CONCATENATE("R",'Mapa final'!$A$28),"")</f>
        <v/>
      </c>
      <c r="AI24" s="640"/>
      <c r="AJ24" s="640" t="str">
        <f>IF(AND('Mapa final'!$K$33="Media",'Mapa final'!$O$33="Catastrófico"),CONCATENATE("R",'Mapa final'!$A$33),"")</f>
        <v/>
      </c>
      <c r="AK24" s="640"/>
      <c r="AL24" s="640" t="str">
        <f>IF(AND('Mapa final'!$K$39="Media",'Mapa final'!$O$39="Catastrófico"),CONCATENATE("R",'Mapa final'!$A$39),"")</f>
        <v/>
      </c>
      <c r="AM24" s="641"/>
      <c r="AN24" s="65"/>
      <c r="AO24" s="604"/>
      <c r="AP24" s="605"/>
      <c r="AQ24" s="605"/>
      <c r="AR24" s="605"/>
      <c r="AS24" s="605"/>
      <c r="AT24" s="606"/>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row>
    <row r="25" spans="1:80" x14ac:dyDescent="0.3">
      <c r="A25" s="65"/>
      <c r="B25" s="581"/>
      <c r="C25" s="581"/>
      <c r="D25" s="582"/>
      <c r="E25" s="622"/>
      <c r="F25" s="623"/>
      <c r="G25" s="623"/>
      <c r="H25" s="623"/>
      <c r="I25" s="624"/>
      <c r="J25" s="648"/>
      <c r="K25" s="649"/>
      <c r="L25" s="649"/>
      <c r="M25" s="649"/>
      <c r="N25" s="649"/>
      <c r="O25" s="650"/>
      <c r="P25" s="648"/>
      <c r="Q25" s="649"/>
      <c r="R25" s="649"/>
      <c r="S25" s="649"/>
      <c r="T25" s="649"/>
      <c r="U25" s="650"/>
      <c r="V25" s="648"/>
      <c r="W25" s="649"/>
      <c r="X25" s="649"/>
      <c r="Y25" s="649"/>
      <c r="Z25" s="649"/>
      <c r="AA25" s="650"/>
      <c r="AB25" s="632"/>
      <c r="AC25" s="628"/>
      <c r="AD25" s="628"/>
      <c r="AE25" s="628"/>
      <c r="AF25" s="628"/>
      <c r="AG25" s="629"/>
      <c r="AH25" s="639"/>
      <c r="AI25" s="640"/>
      <c r="AJ25" s="640"/>
      <c r="AK25" s="640"/>
      <c r="AL25" s="640"/>
      <c r="AM25" s="641"/>
      <c r="AN25" s="65"/>
      <c r="AO25" s="604"/>
      <c r="AP25" s="605"/>
      <c r="AQ25" s="605"/>
      <c r="AR25" s="605"/>
      <c r="AS25" s="605"/>
      <c r="AT25" s="606"/>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row>
    <row r="26" spans="1:80" x14ac:dyDescent="0.3">
      <c r="A26" s="65"/>
      <c r="B26" s="581"/>
      <c r="C26" s="581"/>
      <c r="D26" s="582"/>
      <c r="E26" s="622"/>
      <c r="F26" s="623"/>
      <c r="G26" s="623"/>
      <c r="H26" s="623"/>
      <c r="I26" s="624"/>
      <c r="J26" s="648" t="str">
        <f>IF(AND('Mapa final'!$K$45="Media",'Mapa final'!$O$45="Leve"),CONCATENATE("R",'Mapa final'!$A$45),"")</f>
        <v/>
      </c>
      <c r="K26" s="649"/>
      <c r="L26" s="649" t="str">
        <f>IF(AND('Mapa final'!$K$51="Media",'Mapa final'!$O$51="Leve"),CONCATENATE("R",'Mapa final'!$A$51),"")</f>
        <v/>
      </c>
      <c r="M26" s="649"/>
      <c r="N26" s="649" t="str">
        <f>IF(AND('Mapa final'!$K$57="Media",'Mapa final'!$O$57="Leve"),CONCATENATE("R",'Mapa final'!$A$57),"")</f>
        <v/>
      </c>
      <c r="O26" s="650"/>
      <c r="P26" s="648" t="str">
        <f>IF(AND('Mapa final'!$K$45="Media",'Mapa final'!$O$45="Menor"),CONCATENATE("R",'Mapa final'!$A$45),"")</f>
        <v/>
      </c>
      <c r="Q26" s="649"/>
      <c r="R26" s="649" t="str">
        <f>IF(AND('Mapa final'!$K$51="Media",'Mapa final'!$O$51="Menor"),CONCATENATE("R",'Mapa final'!$A$51),"")</f>
        <v/>
      </c>
      <c r="S26" s="649"/>
      <c r="T26" s="649" t="str">
        <f>IF(AND('Mapa final'!$K$57="Media",'Mapa final'!$O$57="Menor"),CONCATENATE("R",'Mapa final'!$A$57),"")</f>
        <v/>
      </c>
      <c r="U26" s="650"/>
      <c r="V26" s="648" t="str">
        <f>IF(AND('Mapa final'!$K$45="Media",'Mapa final'!$O$45="Moderado"),CONCATENATE("R",'Mapa final'!$A$45),"")</f>
        <v/>
      </c>
      <c r="W26" s="649"/>
      <c r="X26" s="649" t="str">
        <f>IF(AND('Mapa final'!$K$51="Media",'Mapa final'!$O$51="Moderado"),CONCATENATE("R",'Mapa final'!$A$51),"")</f>
        <v/>
      </c>
      <c r="Y26" s="649"/>
      <c r="Z26" s="649" t="str">
        <f>IF(AND('Mapa final'!$K$57="Media",'Mapa final'!$O$57="Moderado"),CONCATENATE("R",'Mapa final'!$A$57),"")</f>
        <v/>
      </c>
      <c r="AA26" s="650"/>
      <c r="AB26" s="632" t="str">
        <f>IF(AND('Mapa final'!$K$45="Media",'Mapa final'!$O$45="Mayor"),CONCATENATE("R",'Mapa final'!$A$45),"")</f>
        <v/>
      </c>
      <c r="AC26" s="628"/>
      <c r="AD26" s="628" t="str">
        <f>IF(AND('Mapa final'!$K$51="Media",'Mapa final'!$O$51="Mayor"),CONCATENATE("R",'Mapa final'!$A$51),"")</f>
        <v/>
      </c>
      <c r="AE26" s="628"/>
      <c r="AF26" s="628" t="str">
        <f>IF(AND('Mapa final'!$K$57="Media",'Mapa final'!$O$57="Mayor"),CONCATENATE("R",'Mapa final'!$A$57),"")</f>
        <v/>
      </c>
      <c r="AG26" s="629"/>
      <c r="AH26" s="639" t="str">
        <f>IF(AND('Mapa final'!$K$45="Media",'Mapa final'!$O$45="Catastrófico"),CONCATENATE("R",'Mapa final'!$A$45),"")</f>
        <v/>
      </c>
      <c r="AI26" s="640"/>
      <c r="AJ26" s="640" t="str">
        <f>IF(AND('Mapa final'!$K$51="Media",'Mapa final'!$O$51="Catastrófico"),CONCATENATE("R",'Mapa final'!$A$51),"")</f>
        <v/>
      </c>
      <c r="AK26" s="640"/>
      <c r="AL26" s="640" t="str">
        <f>IF(AND('Mapa final'!$K$57="Media",'Mapa final'!$O$57="Catastrófico"),CONCATENATE("R",'Mapa final'!$A$57),"")</f>
        <v/>
      </c>
      <c r="AM26" s="641"/>
      <c r="AN26" s="65"/>
      <c r="AO26" s="604"/>
      <c r="AP26" s="605"/>
      <c r="AQ26" s="605"/>
      <c r="AR26" s="605"/>
      <c r="AS26" s="605"/>
      <c r="AT26" s="606"/>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row>
    <row r="27" spans="1:80" x14ac:dyDescent="0.3">
      <c r="A27" s="65"/>
      <c r="B27" s="581"/>
      <c r="C27" s="581"/>
      <c r="D27" s="582"/>
      <c r="E27" s="622"/>
      <c r="F27" s="623"/>
      <c r="G27" s="623"/>
      <c r="H27" s="623"/>
      <c r="I27" s="624"/>
      <c r="J27" s="648"/>
      <c r="K27" s="649"/>
      <c r="L27" s="649"/>
      <c r="M27" s="649"/>
      <c r="N27" s="649"/>
      <c r="O27" s="650"/>
      <c r="P27" s="648"/>
      <c r="Q27" s="649"/>
      <c r="R27" s="649"/>
      <c r="S27" s="649"/>
      <c r="T27" s="649"/>
      <c r="U27" s="650"/>
      <c r="V27" s="648"/>
      <c r="W27" s="649"/>
      <c r="X27" s="649"/>
      <c r="Y27" s="649"/>
      <c r="Z27" s="649"/>
      <c r="AA27" s="650"/>
      <c r="AB27" s="632"/>
      <c r="AC27" s="628"/>
      <c r="AD27" s="628"/>
      <c r="AE27" s="628"/>
      <c r="AF27" s="628"/>
      <c r="AG27" s="629"/>
      <c r="AH27" s="639"/>
      <c r="AI27" s="640"/>
      <c r="AJ27" s="640"/>
      <c r="AK27" s="640"/>
      <c r="AL27" s="640"/>
      <c r="AM27" s="641"/>
      <c r="AN27" s="65"/>
      <c r="AO27" s="604"/>
      <c r="AP27" s="605"/>
      <c r="AQ27" s="605"/>
      <c r="AR27" s="605"/>
      <c r="AS27" s="605"/>
      <c r="AT27" s="606"/>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row>
    <row r="28" spans="1:80" x14ac:dyDescent="0.3">
      <c r="A28" s="65"/>
      <c r="B28" s="581"/>
      <c r="C28" s="581"/>
      <c r="D28" s="582"/>
      <c r="E28" s="622"/>
      <c r="F28" s="623"/>
      <c r="G28" s="623"/>
      <c r="H28" s="623"/>
      <c r="I28" s="624"/>
      <c r="J28" s="648" t="str">
        <f>IF(AND('Mapa final'!$K$63="Media",'Mapa final'!$O$63="Leve"),CONCATENATE("R",'Mapa final'!$A$63),"")</f>
        <v/>
      </c>
      <c r="K28" s="649"/>
      <c r="L28" s="649" t="str">
        <f>IF(AND('Mapa final'!$K$69="Media",'Mapa final'!$O$69="Leve"),CONCATENATE("R",'Mapa final'!$A$69),"")</f>
        <v/>
      </c>
      <c r="M28" s="649"/>
      <c r="N28" s="649" t="str">
        <f>IF(AND('Mapa final'!$K$75="Media",'Mapa final'!$O$75="Leve"),CONCATENATE("R",'Mapa final'!$A$75),"")</f>
        <v/>
      </c>
      <c r="O28" s="650"/>
      <c r="P28" s="648" t="str">
        <f>IF(AND('Mapa final'!$K$63="Media",'Mapa final'!$O$63="Menor"),CONCATENATE("R",'Mapa final'!$A$63),"")</f>
        <v/>
      </c>
      <c r="Q28" s="649"/>
      <c r="R28" s="649" t="str">
        <f>IF(AND('Mapa final'!$K$69="Media",'Mapa final'!$O$69="Menor"),CONCATENATE("R",'Mapa final'!$A$69),"")</f>
        <v/>
      </c>
      <c r="S28" s="649"/>
      <c r="T28" s="649" t="str">
        <f>IF(AND('Mapa final'!$K$75="Media",'Mapa final'!$O$75="Menor"),CONCATENATE("R",'Mapa final'!$A$75),"")</f>
        <v/>
      </c>
      <c r="U28" s="650"/>
      <c r="V28" s="648" t="str">
        <f>IF(AND('Mapa final'!$K$63="Media",'Mapa final'!$O$63="Moderado"),CONCATENATE("R",'Mapa final'!$A$63),"")</f>
        <v/>
      </c>
      <c r="W28" s="649"/>
      <c r="X28" s="649" t="str">
        <f>IF(AND('Mapa final'!$K$69="Media",'Mapa final'!$O$69="Moderado"),CONCATENATE("R",'Mapa final'!$A$69),"")</f>
        <v/>
      </c>
      <c r="Y28" s="649"/>
      <c r="Z28" s="649" t="str">
        <f>IF(AND('Mapa final'!$K$75="Media",'Mapa final'!$O$75="Moderado"),CONCATENATE("R",'Mapa final'!$A$75),"")</f>
        <v/>
      </c>
      <c r="AA28" s="650"/>
      <c r="AB28" s="632" t="str">
        <f>IF(AND('Mapa final'!$K$63="Media",'Mapa final'!$O$63="Mayor"),CONCATENATE("R",'Mapa final'!$A$63),"")</f>
        <v/>
      </c>
      <c r="AC28" s="628"/>
      <c r="AD28" s="628" t="str">
        <f>IF(AND('Mapa final'!$K$69="Media",'Mapa final'!$O$69="Mayor"),CONCATENATE("R",'Mapa final'!$A$69),"")</f>
        <v/>
      </c>
      <c r="AE28" s="628"/>
      <c r="AF28" s="628" t="str">
        <f>IF(AND('Mapa final'!$K$75="Media",'Mapa final'!$O$75="Mayor"),CONCATENATE("R",'Mapa final'!$A$75),"")</f>
        <v/>
      </c>
      <c r="AG28" s="629"/>
      <c r="AH28" s="639" t="str">
        <f>IF(AND('Mapa final'!$K$63="Media",'Mapa final'!$O$63="Catastrófico"),CONCATENATE("R",'Mapa final'!$A$63),"")</f>
        <v/>
      </c>
      <c r="AI28" s="640"/>
      <c r="AJ28" s="640" t="str">
        <f>IF(AND('Mapa final'!$K$69="Media",'Mapa final'!$O$69="Catastrófico"),CONCATENATE("R",'Mapa final'!$A$69),"")</f>
        <v/>
      </c>
      <c r="AK28" s="640"/>
      <c r="AL28" s="640" t="str">
        <f>IF(AND('Mapa final'!$K$75="Media",'Mapa final'!$O$75="Catastrófico"),CONCATENATE("R",'Mapa final'!$A$75),"")</f>
        <v/>
      </c>
      <c r="AM28" s="641"/>
      <c r="AN28" s="65"/>
      <c r="AO28" s="604"/>
      <c r="AP28" s="605"/>
      <c r="AQ28" s="605"/>
      <c r="AR28" s="605"/>
      <c r="AS28" s="605"/>
      <c r="AT28" s="606"/>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row>
    <row r="29" spans="1:80" ht="15" thickBot="1" x14ac:dyDescent="0.35">
      <c r="A29" s="65"/>
      <c r="B29" s="581"/>
      <c r="C29" s="581"/>
      <c r="D29" s="582"/>
      <c r="E29" s="625"/>
      <c r="F29" s="626"/>
      <c r="G29" s="626"/>
      <c r="H29" s="626"/>
      <c r="I29" s="627"/>
      <c r="J29" s="648"/>
      <c r="K29" s="649"/>
      <c r="L29" s="649"/>
      <c r="M29" s="649"/>
      <c r="N29" s="649"/>
      <c r="O29" s="650"/>
      <c r="P29" s="651"/>
      <c r="Q29" s="652"/>
      <c r="R29" s="652"/>
      <c r="S29" s="652"/>
      <c r="T29" s="652"/>
      <c r="U29" s="653"/>
      <c r="V29" s="651"/>
      <c r="W29" s="652"/>
      <c r="X29" s="652"/>
      <c r="Y29" s="652"/>
      <c r="Z29" s="652"/>
      <c r="AA29" s="653"/>
      <c r="AB29" s="636"/>
      <c r="AC29" s="637"/>
      <c r="AD29" s="637"/>
      <c r="AE29" s="637"/>
      <c r="AF29" s="637"/>
      <c r="AG29" s="638"/>
      <c r="AH29" s="642"/>
      <c r="AI29" s="643"/>
      <c r="AJ29" s="643"/>
      <c r="AK29" s="643"/>
      <c r="AL29" s="643"/>
      <c r="AM29" s="644"/>
      <c r="AN29" s="65"/>
      <c r="AO29" s="607"/>
      <c r="AP29" s="608"/>
      <c r="AQ29" s="608"/>
      <c r="AR29" s="608"/>
      <c r="AS29" s="608"/>
      <c r="AT29" s="609"/>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row>
    <row r="30" spans="1:80" x14ac:dyDescent="0.3">
      <c r="A30" s="65"/>
      <c r="B30" s="581"/>
      <c r="C30" s="581"/>
      <c r="D30" s="582"/>
      <c r="E30" s="619" t="s">
        <v>109</v>
      </c>
      <c r="F30" s="620"/>
      <c r="G30" s="620"/>
      <c r="H30" s="620"/>
      <c r="I30" s="620"/>
      <c r="J30" s="663" t="str">
        <f>IF(AND('Mapa final'!$K$10="Baja",'Mapa final'!$O$10="Leve"),CONCATENATE("R",'Mapa final'!$A$10),"")</f>
        <v/>
      </c>
      <c r="K30" s="664"/>
      <c r="L30" s="664" t="str">
        <f>IF(AND('Mapa final'!$K$16="Baja",'Mapa final'!$O$16="Leve"),CONCATENATE("R",'Mapa final'!$A$16),"")</f>
        <v/>
      </c>
      <c r="M30" s="664"/>
      <c r="N30" s="664" t="str">
        <f>IF(AND('Mapa final'!$K$22="Baja",'Mapa final'!$O$22="Leve"),CONCATENATE("R",'Mapa final'!$A$22),"")</f>
        <v/>
      </c>
      <c r="O30" s="665"/>
      <c r="P30" s="655" t="str">
        <f>IF(AND('Mapa final'!$K$10="Baja",'Mapa final'!$O$10="Menor"),CONCATENATE("R",'Mapa final'!$A$10),"")</f>
        <v/>
      </c>
      <c r="Q30" s="655"/>
      <c r="R30" s="655" t="str">
        <f>IF(AND('Mapa final'!$K$16="Baja",'Mapa final'!$O$16="Menor"),CONCATENATE("R",'Mapa final'!$A$16),"")</f>
        <v/>
      </c>
      <c r="S30" s="655"/>
      <c r="T30" s="655" t="str">
        <f>IF(AND('Mapa final'!$K$22="Baja",'Mapa final'!$O$22="Menor"),CONCATENATE("R",'Mapa final'!$A$22),"")</f>
        <v/>
      </c>
      <c r="U30" s="656"/>
      <c r="V30" s="654" t="str">
        <f>IF(AND('Mapa final'!$K$10="Baja",'Mapa final'!$O$10="Moderado"),CONCATENATE("R",'Mapa final'!$A$10),"")</f>
        <v/>
      </c>
      <c r="W30" s="655"/>
      <c r="X30" s="655" t="str">
        <f>IF(AND('Mapa final'!$K$16="Baja",'Mapa final'!$O$16="Moderado"),CONCATENATE("R",'Mapa final'!$A$16),"")</f>
        <v/>
      </c>
      <c r="Y30" s="655"/>
      <c r="Z30" s="655" t="str">
        <f>IF(AND('Mapa final'!$K$22="Baja",'Mapa final'!$O$22="Moderado"),CONCATENATE("R",'Mapa final'!$A$22),"")</f>
        <v>R3</v>
      </c>
      <c r="AA30" s="656"/>
      <c r="AB30" s="630" t="str">
        <f>IF(AND('Mapa final'!$K$10="Baja",'Mapa final'!$O$10="Mayor"),CONCATENATE("R",'Mapa final'!$A$10),"")</f>
        <v/>
      </c>
      <c r="AC30" s="631"/>
      <c r="AD30" s="631" t="str">
        <f>IF(AND('Mapa final'!$K$16="Baja",'Mapa final'!$O$16="Mayor"),CONCATENATE("R",'Mapa final'!$A$16),"")</f>
        <v/>
      </c>
      <c r="AE30" s="631"/>
      <c r="AF30" s="631" t="str">
        <f>IF(AND('Mapa final'!$K$22="Baja",'Mapa final'!$O$22="Mayor"),CONCATENATE("R",'Mapa final'!$A$22),"")</f>
        <v/>
      </c>
      <c r="AG30" s="633"/>
      <c r="AH30" s="645" t="str">
        <f>IF(AND('Mapa final'!$K$10="Baja",'Mapa final'!$O$10="Catastrófico"),CONCATENATE("R",'Mapa final'!$A$10),"")</f>
        <v>R1</v>
      </c>
      <c r="AI30" s="646"/>
      <c r="AJ30" s="646" t="str">
        <f>IF(AND('Mapa final'!$K$16="Baja",'Mapa final'!$O$16="Catastrófico"),CONCATENATE("R",'Mapa final'!$A$16),"")</f>
        <v/>
      </c>
      <c r="AK30" s="646"/>
      <c r="AL30" s="646" t="str">
        <f>IF(AND('Mapa final'!$K$22="Baja",'Mapa final'!$O$22="Catastrófico"),CONCATENATE("R",'Mapa final'!$A$22),"")</f>
        <v/>
      </c>
      <c r="AM30" s="647"/>
      <c r="AN30" s="65"/>
      <c r="AO30" s="610" t="s">
        <v>81</v>
      </c>
      <c r="AP30" s="611"/>
      <c r="AQ30" s="611"/>
      <c r="AR30" s="611"/>
      <c r="AS30" s="611"/>
      <c r="AT30" s="612"/>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row>
    <row r="31" spans="1:80" x14ac:dyDescent="0.3">
      <c r="A31" s="65"/>
      <c r="B31" s="581"/>
      <c r="C31" s="581"/>
      <c r="D31" s="582"/>
      <c r="E31" s="622"/>
      <c r="F31" s="623"/>
      <c r="G31" s="623"/>
      <c r="H31" s="623"/>
      <c r="I31" s="623"/>
      <c r="J31" s="659"/>
      <c r="K31" s="657"/>
      <c r="L31" s="657"/>
      <c r="M31" s="657"/>
      <c r="N31" s="657"/>
      <c r="O31" s="658"/>
      <c r="P31" s="649"/>
      <c r="Q31" s="649"/>
      <c r="R31" s="649"/>
      <c r="S31" s="649"/>
      <c r="T31" s="649"/>
      <c r="U31" s="650"/>
      <c r="V31" s="648"/>
      <c r="W31" s="649"/>
      <c r="X31" s="649"/>
      <c r="Y31" s="649"/>
      <c r="Z31" s="649"/>
      <c r="AA31" s="650"/>
      <c r="AB31" s="632"/>
      <c r="AC31" s="628"/>
      <c r="AD31" s="628"/>
      <c r="AE31" s="628"/>
      <c r="AF31" s="628"/>
      <c r="AG31" s="629"/>
      <c r="AH31" s="639"/>
      <c r="AI31" s="640"/>
      <c r="AJ31" s="640"/>
      <c r="AK31" s="640"/>
      <c r="AL31" s="640"/>
      <c r="AM31" s="641"/>
      <c r="AN31" s="65"/>
      <c r="AO31" s="613"/>
      <c r="AP31" s="614"/>
      <c r="AQ31" s="614"/>
      <c r="AR31" s="614"/>
      <c r="AS31" s="614"/>
      <c r="AT31" s="61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row>
    <row r="32" spans="1:80" x14ac:dyDescent="0.3">
      <c r="A32" s="65"/>
      <c r="B32" s="581"/>
      <c r="C32" s="581"/>
      <c r="D32" s="582"/>
      <c r="E32" s="622"/>
      <c r="F32" s="623"/>
      <c r="G32" s="623"/>
      <c r="H32" s="623"/>
      <c r="I32" s="623"/>
      <c r="J32" s="659" t="str">
        <f>IF(AND('Mapa final'!$K$28="Baja",'Mapa final'!$O$28="Leve"),CONCATENATE("R",'Mapa final'!$A$28),"")</f>
        <v/>
      </c>
      <c r="K32" s="657"/>
      <c r="L32" s="657" t="str">
        <f>IF(AND('Mapa final'!$K$33="Baja",'Mapa final'!$O$33="Leve"),CONCATENATE("R",'Mapa final'!$A$33),"")</f>
        <v/>
      </c>
      <c r="M32" s="657"/>
      <c r="N32" s="657" t="str">
        <f>IF(AND('Mapa final'!$K$39="Baja",'Mapa final'!$O$39="Leve"),CONCATENATE("R",'Mapa final'!$A$39),"")</f>
        <v/>
      </c>
      <c r="O32" s="658"/>
      <c r="P32" s="649" t="str">
        <f>IF(AND('Mapa final'!$K$28="Baja",'Mapa final'!$O$28="Menor"),CONCATENATE("R",'Mapa final'!$A$28),"")</f>
        <v/>
      </c>
      <c r="Q32" s="649"/>
      <c r="R32" s="649" t="str">
        <f>IF(AND('Mapa final'!$K$33="Baja",'Mapa final'!$O$33="Menor"),CONCATENATE("R",'Mapa final'!$A$33),"")</f>
        <v/>
      </c>
      <c r="S32" s="649"/>
      <c r="T32" s="649" t="str">
        <f>IF(AND('Mapa final'!$K$39="Baja",'Mapa final'!$O$39="Menor"),CONCATENATE("R",'Mapa final'!$A$39),"")</f>
        <v/>
      </c>
      <c r="U32" s="650"/>
      <c r="V32" s="648" t="str">
        <f>IF(AND('Mapa final'!$K$28="Baja",'Mapa final'!$O$28="Moderado"),CONCATENATE("R",'Mapa final'!$A$28),"")</f>
        <v/>
      </c>
      <c r="W32" s="649"/>
      <c r="X32" s="649" t="str">
        <f>IF(AND('Mapa final'!$K$33="Baja",'Mapa final'!$O$33="Moderado"),CONCATENATE("R",'Mapa final'!$A$33),"")</f>
        <v/>
      </c>
      <c r="Y32" s="649"/>
      <c r="Z32" s="649" t="str">
        <f>IF(AND('Mapa final'!$K$39="Baja",'Mapa final'!$O$39="Moderado"),CONCATENATE("R",'Mapa final'!$A$39),"")</f>
        <v/>
      </c>
      <c r="AA32" s="650"/>
      <c r="AB32" s="632" t="str">
        <f>IF(AND('Mapa final'!$K$28="Baja",'Mapa final'!$O$28="Mayor"),CONCATENATE("R",'Mapa final'!$A$28),"")</f>
        <v/>
      </c>
      <c r="AC32" s="628"/>
      <c r="AD32" s="628" t="str">
        <f>IF(AND('Mapa final'!$K$33="Baja",'Mapa final'!$O$33="Mayor"),CONCATENATE("R",'Mapa final'!$A$33),"")</f>
        <v/>
      </c>
      <c r="AE32" s="628"/>
      <c r="AF32" s="628" t="str">
        <f>IF(AND('Mapa final'!$K$39="Baja",'Mapa final'!$O$39="Mayor"),CONCATENATE("R",'Mapa final'!$A$39),"")</f>
        <v/>
      </c>
      <c r="AG32" s="629"/>
      <c r="AH32" s="639" t="str">
        <f>IF(AND('Mapa final'!$K$28="Baja",'Mapa final'!$O$28="Catastrófico"),CONCATENATE("R",'Mapa final'!$A$28),"")</f>
        <v/>
      </c>
      <c r="AI32" s="640"/>
      <c r="AJ32" s="640" t="str">
        <f>IF(AND('Mapa final'!$K$33="Baja",'Mapa final'!$O$33="Catastrófico"),CONCATENATE("R",'Mapa final'!$A$33),"")</f>
        <v/>
      </c>
      <c r="AK32" s="640"/>
      <c r="AL32" s="640" t="str">
        <f>IF(AND('Mapa final'!$K$39="Baja",'Mapa final'!$O$39="Catastrófico"),CONCATENATE("R",'Mapa final'!$A$39),"")</f>
        <v/>
      </c>
      <c r="AM32" s="641"/>
      <c r="AN32" s="65"/>
      <c r="AO32" s="613"/>
      <c r="AP32" s="614"/>
      <c r="AQ32" s="614"/>
      <c r="AR32" s="614"/>
      <c r="AS32" s="614"/>
      <c r="AT32" s="61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row>
    <row r="33" spans="1:80" x14ac:dyDescent="0.3">
      <c r="A33" s="65"/>
      <c r="B33" s="581"/>
      <c r="C33" s="581"/>
      <c r="D33" s="582"/>
      <c r="E33" s="622"/>
      <c r="F33" s="623"/>
      <c r="G33" s="623"/>
      <c r="H33" s="623"/>
      <c r="I33" s="623"/>
      <c r="J33" s="659"/>
      <c r="K33" s="657"/>
      <c r="L33" s="657"/>
      <c r="M33" s="657"/>
      <c r="N33" s="657"/>
      <c r="O33" s="658"/>
      <c r="P33" s="649"/>
      <c r="Q33" s="649"/>
      <c r="R33" s="649"/>
      <c r="S33" s="649"/>
      <c r="T33" s="649"/>
      <c r="U33" s="650"/>
      <c r="V33" s="648"/>
      <c r="W33" s="649"/>
      <c r="X33" s="649"/>
      <c r="Y33" s="649"/>
      <c r="Z33" s="649"/>
      <c r="AA33" s="650"/>
      <c r="AB33" s="632"/>
      <c r="AC33" s="628"/>
      <c r="AD33" s="628"/>
      <c r="AE33" s="628"/>
      <c r="AF33" s="628"/>
      <c r="AG33" s="629"/>
      <c r="AH33" s="639"/>
      <c r="AI33" s="640"/>
      <c r="AJ33" s="640"/>
      <c r="AK33" s="640"/>
      <c r="AL33" s="640"/>
      <c r="AM33" s="641"/>
      <c r="AN33" s="65"/>
      <c r="AO33" s="613"/>
      <c r="AP33" s="614"/>
      <c r="AQ33" s="614"/>
      <c r="AR33" s="614"/>
      <c r="AS33" s="614"/>
      <c r="AT33" s="61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row>
    <row r="34" spans="1:80" x14ac:dyDescent="0.3">
      <c r="A34" s="65"/>
      <c r="B34" s="581"/>
      <c r="C34" s="581"/>
      <c r="D34" s="582"/>
      <c r="E34" s="622"/>
      <c r="F34" s="623"/>
      <c r="G34" s="623"/>
      <c r="H34" s="623"/>
      <c r="I34" s="623"/>
      <c r="J34" s="659" t="str">
        <f>IF(AND('Mapa final'!$K$45="Baja",'Mapa final'!$O$45="Leve"),CONCATENATE("R",'Mapa final'!$A$45),"")</f>
        <v/>
      </c>
      <c r="K34" s="657"/>
      <c r="L34" s="657" t="str">
        <f>IF(AND('Mapa final'!$K$51="Baja",'Mapa final'!$O$51="Leve"),CONCATENATE("R",'Mapa final'!$A$51),"")</f>
        <v/>
      </c>
      <c r="M34" s="657"/>
      <c r="N34" s="657" t="str">
        <f>IF(AND('Mapa final'!$K$57="Baja",'Mapa final'!$O$57="Leve"),CONCATENATE("R",'Mapa final'!$A$57),"")</f>
        <v/>
      </c>
      <c r="O34" s="658"/>
      <c r="P34" s="649" t="str">
        <f>IF(AND('Mapa final'!$K$45="Baja",'Mapa final'!$O$45="Menor"),CONCATENATE("R",'Mapa final'!$A$45),"")</f>
        <v/>
      </c>
      <c r="Q34" s="649"/>
      <c r="R34" s="649" t="str">
        <f>IF(AND('Mapa final'!$K$51="Baja",'Mapa final'!$O$51="Menor"),CONCATENATE("R",'Mapa final'!$A$51),"")</f>
        <v/>
      </c>
      <c r="S34" s="649"/>
      <c r="T34" s="649" t="str">
        <f>IF(AND('Mapa final'!$K$57="Baja",'Mapa final'!$O$57="Menor"),CONCATENATE("R",'Mapa final'!$A$57),"")</f>
        <v/>
      </c>
      <c r="U34" s="650"/>
      <c r="V34" s="648" t="str">
        <f>IF(AND('Mapa final'!$K$45="Baja",'Mapa final'!$O$45="Moderado"),CONCATENATE("R",'Mapa final'!$A$45),"")</f>
        <v/>
      </c>
      <c r="W34" s="649"/>
      <c r="X34" s="649" t="str">
        <f>IF(AND('Mapa final'!$K$51="Baja",'Mapa final'!$O$51="Moderado"),CONCATENATE("R",'Mapa final'!$A$51),"")</f>
        <v/>
      </c>
      <c r="Y34" s="649"/>
      <c r="Z34" s="649" t="str">
        <f>IF(AND('Mapa final'!$K$57="Baja",'Mapa final'!$O$57="Moderado"),CONCATENATE("R",'Mapa final'!$A$57),"")</f>
        <v/>
      </c>
      <c r="AA34" s="650"/>
      <c r="AB34" s="632" t="str">
        <f>IF(AND('Mapa final'!$K$45="Baja",'Mapa final'!$O$45="Mayor"),CONCATENATE("R",'Mapa final'!$A$45),"")</f>
        <v/>
      </c>
      <c r="AC34" s="628"/>
      <c r="AD34" s="628" t="str">
        <f>IF(AND('Mapa final'!$K$51="Baja",'Mapa final'!$O$51="Mayor"),CONCATENATE("R",'Mapa final'!$A$51),"")</f>
        <v/>
      </c>
      <c r="AE34" s="628"/>
      <c r="AF34" s="628" t="str">
        <f>IF(AND('Mapa final'!$K$57="Baja",'Mapa final'!$O$57="Mayor"),CONCATENATE("R",'Mapa final'!$A$57),"")</f>
        <v/>
      </c>
      <c r="AG34" s="629"/>
      <c r="AH34" s="639" t="str">
        <f>IF(AND('Mapa final'!$K$45="Baja",'Mapa final'!$O$45="Catastrófico"),CONCATENATE("R",'Mapa final'!$A$45),"")</f>
        <v/>
      </c>
      <c r="AI34" s="640"/>
      <c r="AJ34" s="640" t="str">
        <f>IF(AND('Mapa final'!$K$51="Baja",'Mapa final'!$O$51="Catastrófico"),CONCATENATE("R",'Mapa final'!$A$51),"")</f>
        <v/>
      </c>
      <c r="AK34" s="640"/>
      <c r="AL34" s="640" t="str">
        <f>IF(AND('Mapa final'!$K$57="Baja",'Mapa final'!$O$57="Catastrófico"),CONCATENATE("R",'Mapa final'!$A$57),"")</f>
        <v/>
      </c>
      <c r="AM34" s="641"/>
      <c r="AN34" s="65"/>
      <c r="AO34" s="613"/>
      <c r="AP34" s="614"/>
      <c r="AQ34" s="614"/>
      <c r="AR34" s="614"/>
      <c r="AS34" s="614"/>
      <c r="AT34" s="61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row>
    <row r="35" spans="1:80" x14ac:dyDescent="0.3">
      <c r="A35" s="65"/>
      <c r="B35" s="581"/>
      <c r="C35" s="581"/>
      <c r="D35" s="582"/>
      <c r="E35" s="622"/>
      <c r="F35" s="623"/>
      <c r="G35" s="623"/>
      <c r="H35" s="623"/>
      <c r="I35" s="623"/>
      <c r="J35" s="659"/>
      <c r="K35" s="657"/>
      <c r="L35" s="657"/>
      <c r="M35" s="657"/>
      <c r="N35" s="657"/>
      <c r="O35" s="658"/>
      <c r="P35" s="649"/>
      <c r="Q35" s="649"/>
      <c r="R35" s="649"/>
      <c r="S35" s="649"/>
      <c r="T35" s="649"/>
      <c r="U35" s="650"/>
      <c r="V35" s="648"/>
      <c r="W35" s="649"/>
      <c r="X35" s="649"/>
      <c r="Y35" s="649"/>
      <c r="Z35" s="649"/>
      <c r="AA35" s="650"/>
      <c r="AB35" s="632"/>
      <c r="AC35" s="628"/>
      <c r="AD35" s="628"/>
      <c r="AE35" s="628"/>
      <c r="AF35" s="628"/>
      <c r="AG35" s="629"/>
      <c r="AH35" s="639"/>
      <c r="AI35" s="640"/>
      <c r="AJ35" s="640"/>
      <c r="AK35" s="640"/>
      <c r="AL35" s="640"/>
      <c r="AM35" s="641"/>
      <c r="AN35" s="65"/>
      <c r="AO35" s="613"/>
      <c r="AP35" s="614"/>
      <c r="AQ35" s="614"/>
      <c r="AR35" s="614"/>
      <c r="AS35" s="614"/>
      <c r="AT35" s="61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row>
    <row r="36" spans="1:80" x14ac:dyDescent="0.3">
      <c r="A36" s="65"/>
      <c r="B36" s="581"/>
      <c r="C36" s="581"/>
      <c r="D36" s="582"/>
      <c r="E36" s="622"/>
      <c r="F36" s="623"/>
      <c r="G36" s="623"/>
      <c r="H36" s="623"/>
      <c r="I36" s="623"/>
      <c r="J36" s="659" t="str">
        <f>IF(AND('Mapa final'!$K$63="Baja",'Mapa final'!$O$63="Leve"),CONCATENATE("R",'Mapa final'!$A$63),"")</f>
        <v/>
      </c>
      <c r="K36" s="657"/>
      <c r="L36" s="657" t="str">
        <f>IF(AND('Mapa final'!$K$69="Baja",'Mapa final'!$O$69="Leve"),CONCATENATE("R",'Mapa final'!$A$69),"")</f>
        <v/>
      </c>
      <c r="M36" s="657"/>
      <c r="N36" s="657" t="str">
        <f>IF(AND('Mapa final'!$K$75="Baja",'Mapa final'!$O$75="Leve"),CONCATENATE("R",'Mapa final'!$A$75),"")</f>
        <v/>
      </c>
      <c r="O36" s="658"/>
      <c r="P36" s="649" t="str">
        <f>IF(AND('Mapa final'!$K$63="Baja",'Mapa final'!$O$63="Menor"),CONCATENATE("R",'Mapa final'!$A$63),"")</f>
        <v/>
      </c>
      <c r="Q36" s="649"/>
      <c r="R36" s="649" t="str">
        <f>IF(AND('Mapa final'!$K$69="Baja",'Mapa final'!$O$69="Menor"),CONCATENATE("R",'Mapa final'!$A$69),"")</f>
        <v/>
      </c>
      <c r="S36" s="649"/>
      <c r="T36" s="649" t="str">
        <f>IF(AND('Mapa final'!$K$75="Baja",'Mapa final'!$O$75="Menor"),CONCATENATE("R",'Mapa final'!$A$75),"")</f>
        <v/>
      </c>
      <c r="U36" s="650"/>
      <c r="V36" s="648" t="str">
        <f>IF(AND('Mapa final'!$K$63="Baja",'Mapa final'!$O$63="Moderado"),CONCATENATE("R",'Mapa final'!$A$63),"")</f>
        <v/>
      </c>
      <c r="W36" s="649"/>
      <c r="X36" s="649" t="str">
        <f>IF(AND('Mapa final'!$K$69="Baja",'Mapa final'!$O$69="Moderado"),CONCATENATE("R",'Mapa final'!$A$69),"")</f>
        <v/>
      </c>
      <c r="Y36" s="649"/>
      <c r="Z36" s="649" t="str">
        <f>IF(AND('Mapa final'!$K$75="Baja",'Mapa final'!$O$75="Moderado"),CONCATENATE("R",'Mapa final'!$A$75),"")</f>
        <v/>
      </c>
      <c r="AA36" s="650"/>
      <c r="AB36" s="632" t="str">
        <f>IF(AND('Mapa final'!$K$63="Baja",'Mapa final'!$O$63="Mayor"),CONCATENATE("R",'Mapa final'!$A$63),"")</f>
        <v/>
      </c>
      <c r="AC36" s="628"/>
      <c r="AD36" s="628" t="str">
        <f>IF(AND('Mapa final'!$K$69="Baja",'Mapa final'!$O$69="Mayor"),CONCATENATE("R",'Mapa final'!$A$69),"")</f>
        <v/>
      </c>
      <c r="AE36" s="628"/>
      <c r="AF36" s="628" t="str">
        <f>IF(AND('Mapa final'!$K$75="Baja",'Mapa final'!$O$75="Mayor"),CONCATENATE("R",'Mapa final'!$A$75),"")</f>
        <v/>
      </c>
      <c r="AG36" s="629"/>
      <c r="AH36" s="639" t="str">
        <f>IF(AND('Mapa final'!$K$63="Baja",'Mapa final'!$O$63="Catastrófico"),CONCATENATE("R",'Mapa final'!$A$63),"")</f>
        <v/>
      </c>
      <c r="AI36" s="640"/>
      <c r="AJ36" s="640" t="str">
        <f>IF(AND('Mapa final'!$K$69="Baja",'Mapa final'!$O$69="Catastrófico"),CONCATENATE("R",'Mapa final'!$A$69),"")</f>
        <v/>
      </c>
      <c r="AK36" s="640"/>
      <c r="AL36" s="640" t="str">
        <f>IF(AND('Mapa final'!$K$75="Baja",'Mapa final'!$O$75="Catastrófico"),CONCATENATE("R",'Mapa final'!$A$75),"")</f>
        <v/>
      </c>
      <c r="AM36" s="641"/>
      <c r="AN36" s="65"/>
      <c r="AO36" s="613"/>
      <c r="AP36" s="614"/>
      <c r="AQ36" s="614"/>
      <c r="AR36" s="614"/>
      <c r="AS36" s="614"/>
      <c r="AT36" s="61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row>
    <row r="37" spans="1:80" ht="15" thickBot="1" x14ac:dyDescent="0.35">
      <c r="A37" s="65"/>
      <c r="B37" s="581"/>
      <c r="C37" s="581"/>
      <c r="D37" s="582"/>
      <c r="E37" s="625"/>
      <c r="F37" s="626"/>
      <c r="G37" s="626"/>
      <c r="H37" s="626"/>
      <c r="I37" s="626"/>
      <c r="J37" s="660"/>
      <c r="K37" s="661"/>
      <c r="L37" s="661"/>
      <c r="M37" s="661"/>
      <c r="N37" s="661"/>
      <c r="O37" s="662"/>
      <c r="P37" s="652"/>
      <c r="Q37" s="652"/>
      <c r="R37" s="652"/>
      <c r="S37" s="652"/>
      <c r="T37" s="652"/>
      <c r="U37" s="653"/>
      <c r="V37" s="651"/>
      <c r="W37" s="652"/>
      <c r="X37" s="652"/>
      <c r="Y37" s="652"/>
      <c r="Z37" s="652"/>
      <c r="AA37" s="653"/>
      <c r="AB37" s="636"/>
      <c r="AC37" s="637"/>
      <c r="AD37" s="637"/>
      <c r="AE37" s="637"/>
      <c r="AF37" s="637"/>
      <c r="AG37" s="638"/>
      <c r="AH37" s="642"/>
      <c r="AI37" s="643"/>
      <c r="AJ37" s="643"/>
      <c r="AK37" s="643"/>
      <c r="AL37" s="643"/>
      <c r="AM37" s="644"/>
      <c r="AN37" s="65"/>
      <c r="AO37" s="616"/>
      <c r="AP37" s="617"/>
      <c r="AQ37" s="617"/>
      <c r="AR37" s="617"/>
      <c r="AS37" s="617"/>
      <c r="AT37" s="618"/>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row>
    <row r="38" spans="1:80" x14ac:dyDescent="0.3">
      <c r="A38" s="65"/>
      <c r="B38" s="581"/>
      <c r="C38" s="581"/>
      <c r="D38" s="582"/>
      <c r="E38" s="619" t="s">
        <v>108</v>
      </c>
      <c r="F38" s="620"/>
      <c r="G38" s="620"/>
      <c r="H38" s="620"/>
      <c r="I38" s="621"/>
      <c r="J38" s="663" t="str">
        <f>IF(AND('Mapa final'!$K$10="Muy Baja",'Mapa final'!$O$10="Leve"),CONCATENATE("R",'Mapa final'!$A$10),"")</f>
        <v/>
      </c>
      <c r="K38" s="664"/>
      <c r="L38" s="664" t="str">
        <f>IF(AND('Mapa final'!$K$16="Muy Baja",'Mapa final'!$O$16="Leve"),CONCATENATE("R",'Mapa final'!$A$16),"")</f>
        <v/>
      </c>
      <c r="M38" s="664"/>
      <c r="N38" s="664" t="str">
        <f>IF(AND('Mapa final'!$K$22="Muy Baja",'Mapa final'!$O$22="Leve"),CONCATENATE("R",'Mapa final'!$A$22),"")</f>
        <v/>
      </c>
      <c r="O38" s="665"/>
      <c r="P38" s="663" t="str">
        <f>IF(AND('Mapa final'!$K$10="Muy Baja",'Mapa final'!$O$10="Menor"),CONCATENATE("R",'Mapa final'!$A$10),"")</f>
        <v/>
      </c>
      <c r="Q38" s="664"/>
      <c r="R38" s="664" t="str">
        <f>IF(AND('Mapa final'!$K$16="Muy Baja",'Mapa final'!$O$16="Menor"),CONCATENATE("R",'Mapa final'!$A$16),"")</f>
        <v/>
      </c>
      <c r="S38" s="664"/>
      <c r="T38" s="664" t="str">
        <f>IF(AND('Mapa final'!$K$22="Muy Baja",'Mapa final'!$O$22="Menor"),CONCATENATE("R",'Mapa final'!$A$22),"")</f>
        <v/>
      </c>
      <c r="U38" s="665"/>
      <c r="V38" s="654" t="str">
        <f>IF(AND('Mapa final'!$K$10="Muy Baja",'Mapa final'!$O$10="Moderado"),CONCATENATE("R",'Mapa final'!$A$10),"")</f>
        <v/>
      </c>
      <c r="W38" s="655"/>
      <c r="X38" s="655" t="str">
        <f>IF(AND('Mapa final'!$K$16="Muy Baja",'Mapa final'!$O$16="Moderado"),CONCATENATE("R",'Mapa final'!$A$16),"")</f>
        <v/>
      </c>
      <c r="Y38" s="655"/>
      <c r="Z38" s="655" t="str">
        <f>IF(AND('Mapa final'!$K$22="Muy Baja",'Mapa final'!$O$22="Moderado"),CONCATENATE("R",'Mapa final'!$A$22),"")</f>
        <v/>
      </c>
      <c r="AA38" s="656"/>
      <c r="AB38" s="630" t="str">
        <f>IF(AND('Mapa final'!$K$10="Muy Baja",'Mapa final'!$O$10="Mayor"),CONCATENATE("R",'Mapa final'!$A$10),"")</f>
        <v/>
      </c>
      <c r="AC38" s="631"/>
      <c r="AD38" s="631" t="str">
        <f>IF(AND('Mapa final'!$K$16="Muy Baja",'Mapa final'!$O$16="Mayor"),CONCATENATE("R",'Mapa final'!$A$16),"")</f>
        <v/>
      </c>
      <c r="AE38" s="631"/>
      <c r="AF38" s="631" t="str">
        <f>IF(AND('Mapa final'!$K$22="Muy Baja",'Mapa final'!$O$22="Mayor"),CONCATENATE("R",'Mapa final'!$A$22),"")</f>
        <v/>
      </c>
      <c r="AG38" s="633"/>
      <c r="AH38" s="645" t="str">
        <f>IF(AND('Mapa final'!$K$10="Muy Baja",'Mapa final'!$O$10="Catastrófico"),CONCATENATE("R",'Mapa final'!$A$10),"")</f>
        <v/>
      </c>
      <c r="AI38" s="646"/>
      <c r="AJ38" s="646" t="str">
        <f>IF(AND('Mapa final'!$K$16="Muy Baja",'Mapa final'!$O$16="Catastrófico"),CONCATENATE("R",'Mapa final'!$A$16),"")</f>
        <v/>
      </c>
      <c r="AK38" s="646"/>
      <c r="AL38" s="646" t="str">
        <f>IF(AND('Mapa final'!$K$22="Muy Baja",'Mapa final'!$O$22="Catastrófico"),CONCATENATE("R",'Mapa final'!$A$22),"")</f>
        <v/>
      </c>
      <c r="AM38" s="647"/>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row>
    <row r="39" spans="1:80" x14ac:dyDescent="0.3">
      <c r="A39" s="65"/>
      <c r="B39" s="581"/>
      <c r="C39" s="581"/>
      <c r="D39" s="582"/>
      <c r="E39" s="622"/>
      <c r="F39" s="623"/>
      <c r="G39" s="623"/>
      <c r="H39" s="623"/>
      <c r="I39" s="624"/>
      <c r="J39" s="659"/>
      <c r="K39" s="657"/>
      <c r="L39" s="657"/>
      <c r="M39" s="657"/>
      <c r="N39" s="657"/>
      <c r="O39" s="658"/>
      <c r="P39" s="659"/>
      <c r="Q39" s="657"/>
      <c r="R39" s="657"/>
      <c r="S39" s="657"/>
      <c r="T39" s="657"/>
      <c r="U39" s="658"/>
      <c r="V39" s="648"/>
      <c r="W39" s="649"/>
      <c r="X39" s="649"/>
      <c r="Y39" s="649"/>
      <c r="Z39" s="649"/>
      <c r="AA39" s="650"/>
      <c r="AB39" s="632"/>
      <c r="AC39" s="628"/>
      <c r="AD39" s="628"/>
      <c r="AE39" s="628"/>
      <c r="AF39" s="628"/>
      <c r="AG39" s="629"/>
      <c r="AH39" s="639"/>
      <c r="AI39" s="640"/>
      <c r="AJ39" s="640"/>
      <c r="AK39" s="640"/>
      <c r="AL39" s="640"/>
      <c r="AM39" s="641"/>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row>
    <row r="40" spans="1:80" x14ac:dyDescent="0.3">
      <c r="A40" s="65"/>
      <c r="B40" s="581"/>
      <c r="C40" s="581"/>
      <c r="D40" s="582"/>
      <c r="E40" s="622"/>
      <c r="F40" s="623"/>
      <c r="G40" s="623"/>
      <c r="H40" s="623"/>
      <c r="I40" s="624"/>
      <c r="J40" s="659" t="str">
        <f>IF(AND('Mapa final'!$K$28="Muy Baja",'Mapa final'!$O$28="Leve"),CONCATENATE("R",'Mapa final'!$A$28),"")</f>
        <v>R4</v>
      </c>
      <c r="K40" s="657"/>
      <c r="L40" s="657" t="str">
        <f>IF(AND('Mapa final'!$K$33="Muy Baja",'Mapa final'!$O$33="Leve"),CONCATENATE("R",'Mapa final'!$A$33),"")</f>
        <v/>
      </c>
      <c r="M40" s="657"/>
      <c r="N40" s="657" t="str">
        <f>IF(AND('Mapa final'!$K$39="Muy Baja",'Mapa final'!$O$39="Leve"),CONCATENATE("R",'Mapa final'!$A$39),"")</f>
        <v/>
      </c>
      <c r="O40" s="658"/>
      <c r="P40" s="659" t="str">
        <f>IF(AND('Mapa final'!$K$28="Muy Baja",'Mapa final'!$O$28="Menor"),CONCATENATE("R",'Mapa final'!$A$28),"")</f>
        <v/>
      </c>
      <c r="Q40" s="657"/>
      <c r="R40" s="657" t="str">
        <f>IF(AND('Mapa final'!$K$33="Muy Baja",'Mapa final'!$O$33="Menor"),CONCATENATE("R",'Mapa final'!$A$33),"")</f>
        <v/>
      </c>
      <c r="S40" s="657"/>
      <c r="T40" s="657" t="str">
        <f>IF(AND('Mapa final'!$K$39="Muy Baja",'Mapa final'!$O$39="Menor"),CONCATENATE("R",'Mapa final'!$A$39),"")</f>
        <v/>
      </c>
      <c r="U40" s="658"/>
      <c r="V40" s="648" t="str">
        <f>IF(AND('Mapa final'!$K$28="Muy Baja",'Mapa final'!$O$28="Moderado"),CONCATENATE("R",'Mapa final'!$A$28),"")</f>
        <v/>
      </c>
      <c r="W40" s="649"/>
      <c r="X40" s="649" t="str">
        <f>IF(AND('Mapa final'!$K$33="Muy Baja",'Mapa final'!$O$33="Moderado"),CONCATENATE("R",'Mapa final'!$A$33),"")</f>
        <v/>
      </c>
      <c r="Y40" s="649"/>
      <c r="Z40" s="649" t="str">
        <f>IF(AND('Mapa final'!$K$39="Muy Baja",'Mapa final'!$O$39="Moderado"),CONCATENATE("R",'Mapa final'!$A$39),"")</f>
        <v/>
      </c>
      <c r="AA40" s="650"/>
      <c r="AB40" s="632" t="str">
        <f>IF(AND('Mapa final'!$K$28="Muy Baja",'Mapa final'!$O$28="Mayor"),CONCATENATE("R",'Mapa final'!$A$28),"")</f>
        <v/>
      </c>
      <c r="AC40" s="628"/>
      <c r="AD40" s="628" t="str">
        <f>IF(AND('Mapa final'!$K$33="Muy Baja",'Mapa final'!$O$33="Mayor"),CONCATENATE("R",'Mapa final'!$A$33),"")</f>
        <v/>
      </c>
      <c r="AE40" s="628"/>
      <c r="AF40" s="628" t="str">
        <f>IF(AND('Mapa final'!$K$39="Muy Baja",'Mapa final'!$O$39="Mayor"),CONCATENATE("R",'Mapa final'!$A$39),"")</f>
        <v/>
      </c>
      <c r="AG40" s="629"/>
      <c r="AH40" s="639" t="str">
        <f>IF(AND('Mapa final'!$K$28="Muy Baja",'Mapa final'!$O$28="Catastrófico"),CONCATENATE("R",'Mapa final'!$A$28),"")</f>
        <v/>
      </c>
      <c r="AI40" s="640"/>
      <c r="AJ40" s="640" t="str">
        <f>IF(AND('Mapa final'!$K$33="Muy Baja",'Mapa final'!$O$33="Catastrófico"),CONCATENATE("R",'Mapa final'!$A$33),"")</f>
        <v/>
      </c>
      <c r="AK40" s="640"/>
      <c r="AL40" s="640" t="str">
        <f>IF(AND('Mapa final'!$K$39="Muy Baja",'Mapa final'!$O$39="Catastrófico"),CONCATENATE("R",'Mapa final'!$A$39),"")</f>
        <v/>
      </c>
      <c r="AM40" s="641"/>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row>
    <row r="41" spans="1:80" x14ac:dyDescent="0.3">
      <c r="A41" s="65"/>
      <c r="B41" s="581"/>
      <c r="C41" s="581"/>
      <c r="D41" s="582"/>
      <c r="E41" s="622"/>
      <c r="F41" s="623"/>
      <c r="G41" s="623"/>
      <c r="H41" s="623"/>
      <c r="I41" s="624"/>
      <c r="J41" s="659"/>
      <c r="K41" s="657"/>
      <c r="L41" s="657"/>
      <c r="M41" s="657"/>
      <c r="N41" s="657"/>
      <c r="O41" s="658"/>
      <c r="P41" s="659"/>
      <c r="Q41" s="657"/>
      <c r="R41" s="657"/>
      <c r="S41" s="657"/>
      <c r="T41" s="657"/>
      <c r="U41" s="658"/>
      <c r="V41" s="648"/>
      <c r="W41" s="649"/>
      <c r="X41" s="649"/>
      <c r="Y41" s="649"/>
      <c r="Z41" s="649"/>
      <c r="AA41" s="650"/>
      <c r="AB41" s="632"/>
      <c r="AC41" s="628"/>
      <c r="AD41" s="628"/>
      <c r="AE41" s="628"/>
      <c r="AF41" s="628"/>
      <c r="AG41" s="629"/>
      <c r="AH41" s="639"/>
      <c r="AI41" s="640"/>
      <c r="AJ41" s="640"/>
      <c r="AK41" s="640"/>
      <c r="AL41" s="640"/>
      <c r="AM41" s="641"/>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row>
    <row r="42" spans="1:80" x14ac:dyDescent="0.3">
      <c r="A42" s="65"/>
      <c r="B42" s="581"/>
      <c r="C42" s="581"/>
      <c r="D42" s="582"/>
      <c r="E42" s="622"/>
      <c r="F42" s="623"/>
      <c r="G42" s="623"/>
      <c r="H42" s="623"/>
      <c r="I42" s="624"/>
      <c r="J42" s="659" t="str">
        <f>IF(AND('Mapa final'!$K$45="Muy Baja",'Mapa final'!$O$45="Leve"),CONCATENATE("R",'Mapa final'!$A$45),"")</f>
        <v/>
      </c>
      <c r="K42" s="657"/>
      <c r="L42" s="657" t="str">
        <f>IF(AND('Mapa final'!$K$51="Muy Baja",'Mapa final'!$O$51="Leve"),CONCATENATE("R",'Mapa final'!$A$51),"")</f>
        <v/>
      </c>
      <c r="M42" s="657"/>
      <c r="N42" s="657" t="str">
        <f>IF(AND('Mapa final'!$K$57="Muy Baja",'Mapa final'!$O$57="Leve"),CONCATENATE("R",'Mapa final'!$A$57),"")</f>
        <v/>
      </c>
      <c r="O42" s="658"/>
      <c r="P42" s="659" t="str">
        <f>IF(AND('Mapa final'!$K$45="Muy Baja",'Mapa final'!$O$45="Menor"),CONCATENATE("R",'Mapa final'!$A$45),"")</f>
        <v/>
      </c>
      <c r="Q42" s="657"/>
      <c r="R42" s="657" t="str">
        <f>IF(AND('Mapa final'!$K$51="Muy Baja",'Mapa final'!$O$51="Menor"),CONCATENATE("R",'Mapa final'!$A$51),"")</f>
        <v/>
      </c>
      <c r="S42" s="657"/>
      <c r="T42" s="657" t="str">
        <f>IF(AND('Mapa final'!$K$57="Muy Baja",'Mapa final'!$O$57="Menor"),CONCATENATE("R",'Mapa final'!$A$57),"")</f>
        <v/>
      </c>
      <c r="U42" s="658"/>
      <c r="V42" s="648" t="str">
        <f>IF(AND('Mapa final'!$K$45="Muy Baja",'Mapa final'!$O$45="Moderado"),CONCATENATE("R",'Mapa final'!$A$45),"")</f>
        <v/>
      </c>
      <c r="W42" s="649"/>
      <c r="X42" s="649" t="str">
        <f>IF(AND('Mapa final'!$K$51="Muy Baja",'Mapa final'!$O$51="Moderado"),CONCATENATE("R",'Mapa final'!$A$51),"")</f>
        <v/>
      </c>
      <c r="Y42" s="649"/>
      <c r="Z42" s="649" t="str">
        <f>IF(AND('Mapa final'!$K$57="Muy Baja",'Mapa final'!$O$57="Moderado"),CONCATENATE("R",'Mapa final'!$A$57),"")</f>
        <v/>
      </c>
      <c r="AA42" s="650"/>
      <c r="AB42" s="632" t="str">
        <f>IF(AND('Mapa final'!$K$45="Muy Baja",'Mapa final'!$O$45="Mayor"),CONCATENATE("R",'Mapa final'!$A$45),"")</f>
        <v/>
      </c>
      <c r="AC42" s="628"/>
      <c r="AD42" s="628" t="str">
        <f>IF(AND('Mapa final'!$K$51="Muy Baja",'Mapa final'!$O$51="Mayor"),CONCATENATE("R",'Mapa final'!$A$51),"")</f>
        <v/>
      </c>
      <c r="AE42" s="628"/>
      <c r="AF42" s="628" t="str">
        <f>IF(AND('Mapa final'!$K$57="Muy Baja",'Mapa final'!$O$57="Mayor"),CONCATENATE("R",'Mapa final'!$A$57),"")</f>
        <v/>
      </c>
      <c r="AG42" s="629"/>
      <c r="AH42" s="639" t="str">
        <f>IF(AND('Mapa final'!$K$45="Muy Baja",'Mapa final'!$O$45="Catastrófico"),CONCATENATE("R",'Mapa final'!$A$45),"")</f>
        <v/>
      </c>
      <c r="AI42" s="640"/>
      <c r="AJ42" s="640" t="str">
        <f>IF(AND('Mapa final'!$K$51="Muy Baja",'Mapa final'!$O$51="Catastrófico"),CONCATENATE("R",'Mapa final'!$A$51),"")</f>
        <v/>
      </c>
      <c r="AK42" s="640"/>
      <c r="AL42" s="640" t="str">
        <f>IF(AND('Mapa final'!$K$57="Muy Baja",'Mapa final'!$O$57="Catastrófico"),CONCATENATE("R",'Mapa final'!$A$57),"")</f>
        <v/>
      </c>
      <c r="AM42" s="641"/>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row>
    <row r="43" spans="1:80" x14ac:dyDescent="0.3">
      <c r="A43" s="65"/>
      <c r="B43" s="581"/>
      <c r="C43" s="581"/>
      <c r="D43" s="582"/>
      <c r="E43" s="622"/>
      <c r="F43" s="623"/>
      <c r="G43" s="623"/>
      <c r="H43" s="623"/>
      <c r="I43" s="624"/>
      <c r="J43" s="659"/>
      <c r="K43" s="657"/>
      <c r="L43" s="657"/>
      <c r="M43" s="657"/>
      <c r="N43" s="657"/>
      <c r="O43" s="658"/>
      <c r="P43" s="659"/>
      <c r="Q43" s="657"/>
      <c r="R43" s="657"/>
      <c r="S43" s="657"/>
      <c r="T43" s="657"/>
      <c r="U43" s="658"/>
      <c r="V43" s="648"/>
      <c r="W43" s="649"/>
      <c r="X43" s="649"/>
      <c r="Y43" s="649"/>
      <c r="Z43" s="649"/>
      <c r="AA43" s="650"/>
      <c r="AB43" s="632"/>
      <c r="AC43" s="628"/>
      <c r="AD43" s="628"/>
      <c r="AE43" s="628"/>
      <c r="AF43" s="628"/>
      <c r="AG43" s="629"/>
      <c r="AH43" s="639"/>
      <c r="AI43" s="640"/>
      <c r="AJ43" s="640"/>
      <c r="AK43" s="640"/>
      <c r="AL43" s="640"/>
      <c r="AM43" s="641"/>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row>
    <row r="44" spans="1:80" x14ac:dyDescent="0.3">
      <c r="A44" s="65"/>
      <c r="B44" s="581"/>
      <c r="C44" s="581"/>
      <c r="D44" s="582"/>
      <c r="E44" s="622"/>
      <c r="F44" s="623"/>
      <c r="G44" s="623"/>
      <c r="H44" s="623"/>
      <c r="I44" s="624"/>
      <c r="J44" s="659" t="str">
        <f>IF(AND('Mapa final'!$K$63="Muy Baja",'Mapa final'!$O$63="Leve"),CONCATENATE("R",'Mapa final'!$A$63),"")</f>
        <v/>
      </c>
      <c r="K44" s="657"/>
      <c r="L44" s="657" t="str">
        <f>IF(AND('Mapa final'!$K$69="Muy Baja",'Mapa final'!$O$69="Leve"),CONCATENATE("R",'Mapa final'!$A$69),"")</f>
        <v/>
      </c>
      <c r="M44" s="657"/>
      <c r="N44" s="657" t="str">
        <f>IF(AND('Mapa final'!$K$75="Muy Baja",'Mapa final'!$O$75="Leve"),CONCATENATE("R",'Mapa final'!$A$75),"")</f>
        <v/>
      </c>
      <c r="O44" s="658"/>
      <c r="P44" s="659" t="str">
        <f>IF(AND('Mapa final'!$K$63="Muy Baja",'Mapa final'!$O$63="Menor"),CONCATENATE("R",'Mapa final'!$A$63),"")</f>
        <v/>
      </c>
      <c r="Q44" s="657"/>
      <c r="R44" s="657" t="str">
        <f>IF(AND('Mapa final'!$K$69="Muy Baja",'Mapa final'!$O$69="Menor"),CONCATENATE("R",'Mapa final'!$A$69),"")</f>
        <v/>
      </c>
      <c r="S44" s="657"/>
      <c r="T44" s="657" t="str">
        <f>IF(AND('Mapa final'!$K$75="Muy Baja",'Mapa final'!$O$75="Menor"),CONCATENATE("R",'Mapa final'!$A$75),"")</f>
        <v/>
      </c>
      <c r="U44" s="658"/>
      <c r="V44" s="648" t="str">
        <f>IF(AND('Mapa final'!$K$63="Muy Baja",'Mapa final'!$O$63="Moderado"),CONCATENATE("R",'Mapa final'!$A$63),"")</f>
        <v/>
      </c>
      <c r="W44" s="649"/>
      <c r="X44" s="649" t="str">
        <f>IF(AND('Mapa final'!$K$69="Muy Baja",'Mapa final'!$O$69="Moderado"),CONCATENATE("R",'Mapa final'!$A$69),"")</f>
        <v/>
      </c>
      <c r="Y44" s="649"/>
      <c r="Z44" s="649" t="str">
        <f>IF(AND('Mapa final'!$K$75="Muy Baja",'Mapa final'!$O$75="Moderado"),CONCATENATE("R",'Mapa final'!$A$75),"")</f>
        <v/>
      </c>
      <c r="AA44" s="650"/>
      <c r="AB44" s="632" t="str">
        <f>IF(AND('Mapa final'!$K$63="Muy Baja",'Mapa final'!$O$63="Mayor"),CONCATENATE("R",'Mapa final'!$A$63),"")</f>
        <v/>
      </c>
      <c r="AC44" s="628"/>
      <c r="AD44" s="628" t="str">
        <f>IF(AND('Mapa final'!$K$69="Muy Baja",'Mapa final'!$O$69="Mayor"),CONCATENATE("R",'Mapa final'!$A$69),"")</f>
        <v/>
      </c>
      <c r="AE44" s="628"/>
      <c r="AF44" s="628" t="str">
        <f>IF(AND('Mapa final'!$K$75="Muy Baja",'Mapa final'!$O$75="Mayor"),CONCATENATE("R",'Mapa final'!$A$75),"")</f>
        <v/>
      </c>
      <c r="AG44" s="629"/>
      <c r="AH44" s="639" t="str">
        <f>IF(AND('Mapa final'!$K$63="Muy Baja",'Mapa final'!$O$63="Catastrófico"),CONCATENATE("R",'Mapa final'!$A$63),"")</f>
        <v/>
      </c>
      <c r="AI44" s="640"/>
      <c r="AJ44" s="640" t="str">
        <f>IF(AND('Mapa final'!$K$69="Muy Baja",'Mapa final'!$O$69="Catastrófico"),CONCATENATE("R",'Mapa final'!$A$69),"")</f>
        <v/>
      </c>
      <c r="AK44" s="640"/>
      <c r="AL44" s="640" t="str">
        <f>IF(AND('Mapa final'!$K$75="Muy Baja",'Mapa final'!$O$75="Catastrófico"),CONCATENATE("R",'Mapa final'!$A$75),"")</f>
        <v/>
      </c>
      <c r="AM44" s="641"/>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row>
    <row r="45" spans="1:80" ht="15" thickBot="1" x14ac:dyDescent="0.35">
      <c r="A45" s="65"/>
      <c r="B45" s="581"/>
      <c r="C45" s="581"/>
      <c r="D45" s="582"/>
      <c r="E45" s="625"/>
      <c r="F45" s="626"/>
      <c r="G45" s="626"/>
      <c r="H45" s="626"/>
      <c r="I45" s="627"/>
      <c r="J45" s="660"/>
      <c r="K45" s="661"/>
      <c r="L45" s="661"/>
      <c r="M45" s="661"/>
      <c r="N45" s="661"/>
      <c r="O45" s="662"/>
      <c r="P45" s="660"/>
      <c r="Q45" s="661"/>
      <c r="R45" s="661"/>
      <c r="S45" s="661"/>
      <c r="T45" s="661"/>
      <c r="U45" s="662"/>
      <c r="V45" s="651"/>
      <c r="W45" s="652"/>
      <c r="X45" s="652"/>
      <c r="Y45" s="652"/>
      <c r="Z45" s="652"/>
      <c r="AA45" s="653"/>
      <c r="AB45" s="636"/>
      <c r="AC45" s="637"/>
      <c r="AD45" s="637"/>
      <c r="AE45" s="637"/>
      <c r="AF45" s="637"/>
      <c r="AG45" s="638"/>
      <c r="AH45" s="642"/>
      <c r="AI45" s="643"/>
      <c r="AJ45" s="643"/>
      <c r="AK45" s="643"/>
      <c r="AL45" s="643"/>
      <c r="AM45" s="644"/>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row>
    <row r="46" spans="1:80" x14ac:dyDescent="0.3">
      <c r="A46" s="65"/>
      <c r="B46" s="65"/>
      <c r="C46" s="65"/>
      <c r="D46" s="65"/>
      <c r="E46" s="65"/>
      <c r="F46" s="65"/>
      <c r="G46" s="65"/>
      <c r="H46" s="65"/>
      <c r="I46" s="65"/>
      <c r="J46" s="619" t="s">
        <v>107</v>
      </c>
      <c r="K46" s="620"/>
      <c r="L46" s="620"/>
      <c r="M46" s="620"/>
      <c r="N46" s="620"/>
      <c r="O46" s="621"/>
      <c r="P46" s="619" t="s">
        <v>106</v>
      </c>
      <c r="Q46" s="620"/>
      <c r="R46" s="620"/>
      <c r="S46" s="620"/>
      <c r="T46" s="620"/>
      <c r="U46" s="621"/>
      <c r="V46" s="619" t="s">
        <v>105</v>
      </c>
      <c r="W46" s="620"/>
      <c r="X46" s="620"/>
      <c r="Y46" s="620"/>
      <c r="Z46" s="620"/>
      <c r="AA46" s="621"/>
      <c r="AB46" s="619" t="s">
        <v>104</v>
      </c>
      <c r="AC46" s="635"/>
      <c r="AD46" s="620"/>
      <c r="AE46" s="620"/>
      <c r="AF46" s="620"/>
      <c r="AG46" s="621"/>
      <c r="AH46" s="619" t="s">
        <v>103</v>
      </c>
      <c r="AI46" s="620"/>
      <c r="AJ46" s="620"/>
      <c r="AK46" s="620"/>
      <c r="AL46" s="620"/>
      <c r="AM46" s="621"/>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row>
    <row r="47" spans="1:80" x14ac:dyDescent="0.3">
      <c r="A47" s="65"/>
      <c r="B47" s="65"/>
      <c r="C47" s="65"/>
      <c r="D47" s="65"/>
      <c r="E47" s="65"/>
      <c r="F47" s="65"/>
      <c r="G47" s="65"/>
      <c r="H47" s="65"/>
      <c r="I47" s="65"/>
      <c r="J47" s="622"/>
      <c r="K47" s="623"/>
      <c r="L47" s="623"/>
      <c r="M47" s="623"/>
      <c r="N47" s="623"/>
      <c r="O47" s="624"/>
      <c r="P47" s="622"/>
      <c r="Q47" s="623"/>
      <c r="R47" s="623"/>
      <c r="S47" s="623"/>
      <c r="T47" s="623"/>
      <c r="U47" s="624"/>
      <c r="V47" s="622"/>
      <c r="W47" s="623"/>
      <c r="X47" s="623"/>
      <c r="Y47" s="623"/>
      <c r="Z47" s="623"/>
      <c r="AA47" s="624"/>
      <c r="AB47" s="622"/>
      <c r="AC47" s="623"/>
      <c r="AD47" s="623"/>
      <c r="AE47" s="623"/>
      <c r="AF47" s="623"/>
      <c r="AG47" s="624"/>
      <c r="AH47" s="622"/>
      <c r="AI47" s="623"/>
      <c r="AJ47" s="623"/>
      <c r="AK47" s="623"/>
      <c r="AL47" s="623"/>
      <c r="AM47" s="624"/>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row>
    <row r="48" spans="1:80" x14ac:dyDescent="0.3">
      <c r="A48" s="65"/>
      <c r="B48" s="65"/>
      <c r="C48" s="65"/>
      <c r="D48" s="65"/>
      <c r="E48" s="65"/>
      <c r="F48" s="65"/>
      <c r="G48" s="65"/>
      <c r="H48" s="65"/>
      <c r="I48" s="65"/>
      <c r="J48" s="622"/>
      <c r="K48" s="623"/>
      <c r="L48" s="623"/>
      <c r="M48" s="623"/>
      <c r="N48" s="623"/>
      <c r="O48" s="624"/>
      <c r="P48" s="622"/>
      <c r="Q48" s="623"/>
      <c r="R48" s="623"/>
      <c r="S48" s="623"/>
      <c r="T48" s="623"/>
      <c r="U48" s="624"/>
      <c r="V48" s="622"/>
      <c r="W48" s="623"/>
      <c r="X48" s="623"/>
      <c r="Y48" s="623"/>
      <c r="Z48" s="623"/>
      <c r="AA48" s="624"/>
      <c r="AB48" s="622"/>
      <c r="AC48" s="623"/>
      <c r="AD48" s="623"/>
      <c r="AE48" s="623"/>
      <c r="AF48" s="623"/>
      <c r="AG48" s="624"/>
      <c r="AH48" s="622"/>
      <c r="AI48" s="623"/>
      <c r="AJ48" s="623"/>
      <c r="AK48" s="623"/>
      <c r="AL48" s="623"/>
      <c r="AM48" s="624"/>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row>
    <row r="49" spans="1:80" x14ac:dyDescent="0.3">
      <c r="A49" s="65"/>
      <c r="B49" s="65"/>
      <c r="C49" s="65"/>
      <c r="D49" s="65"/>
      <c r="E49" s="65"/>
      <c r="F49" s="65"/>
      <c r="G49" s="65"/>
      <c r="H49" s="65"/>
      <c r="I49" s="65"/>
      <c r="J49" s="622"/>
      <c r="K49" s="623"/>
      <c r="L49" s="623"/>
      <c r="M49" s="623"/>
      <c r="N49" s="623"/>
      <c r="O49" s="624"/>
      <c r="P49" s="622"/>
      <c r="Q49" s="623"/>
      <c r="R49" s="623"/>
      <c r="S49" s="623"/>
      <c r="T49" s="623"/>
      <c r="U49" s="624"/>
      <c r="V49" s="622"/>
      <c r="W49" s="623"/>
      <c r="X49" s="623"/>
      <c r="Y49" s="623"/>
      <c r="Z49" s="623"/>
      <c r="AA49" s="624"/>
      <c r="AB49" s="622"/>
      <c r="AC49" s="623"/>
      <c r="AD49" s="623"/>
      <c r="AE49" s="623"/>
      <c r="AF49" s="623"/>
      <c r="AG49" s="624"/>
      <c r="AH49" s="622"/>
      <c r="AI49" s="623"/>
      <c r="AJ49" s="623"/>
      <c r="AK49" s="623"/>
      <c r="AL49" s="623"/>
      <c r="AM49" s="624"/>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row>
    <row r="50" spans="1:80" x14ac:dyDescent="0.3">
      <c r="A50" s="65"/>
      <c r="B50" s="65"/>
      <c r="C50" s="65"/>
      <c r="D50" s="65"/>
      <c r="E50" s="65"/>
      <c r="F50" s="65"/>
      <c r="G50" s="65"/>
      <c r="H50" s="65"/>
      <c r="I50" s="65"/>
      <c r="J50" s="622"/>
      <c r="K50" s="623"/>
      <c r="L50" s="623"/>
      <c r="M50" s="623"/>
      <c r="N50" s="623"/>
      <c r="O50" s="624"/>
      <c r="P50" s="622"/>
      <c r="Q50" s="623"/>
      <c r="R50" s="623"/>
      <c r="S50" s="623"/>
      <c r="T50" s="623"/>
      <c r="U50" s="624"/>
      <c r="V50" s="622"/>
      <c r="W50" s="623"/>
      <c r="X50" s="623"/>
      <c r="Y50" s="623"/>
      <c r="Z50" s="623"/>
      <c r="AA50" s="624"/>
      <c r="AB50" s="622"/>
      <c r="AC50" s="623"/>
      <c r="AD50" s="623"/>
      <c r="AE50" s="623"/>
      <c r="AF50" s="623"/>
      <c r="AG50" s="624"/>
      <c r="AH50" s="622"/>
      <c r="AI50" s="623"/>
      <c r="AJ50" s="623"/>
      <c r="AK50" s="623"/>
      <c r="AL50" s="623"/>
      <c r="AM50" s="624"/>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row>
    <row r="51" spans="1:80" ht="15" thickBot="1" x14ac:dyDescent="0.35">
      <c r="A51" s="65"/>
      <c r="B51" s="65"/>
      <c r="C51" s="65"/>
      <c r="D51" s="65"/>
      <c r="E51" s="65"/>
      <c r="F51" s="65"/>
      <c r="G51" s="65"/>
      <c r="H51" s="65"/>
      <c r="I51" s="65"/>
      <c r="J51" s="625"/>
      <c r="K51" s="626"/>
      <c r="L51" s="626"/>
      <c r="M51" s="626"/>
      <c r="N51" s="626"/>
      <c r="O51" s="627"/>
      <c r="P51" s="625"/>
      <c r="Q51" s="626"/>
      <c r="R51" s="626"/>
      <c r="S51" s="626"/>
      <c r="T51" s="626"/>
      <c r="U51" s="627"/>
      <c r="V51" s="625"/>
      <c r="W51" s="626"/>
      <c r="X51" s="626"/>
      <c r="Y51" s="626"/>
      <c r="Z51" s="626"/>
      <c r="AA51" s="627"/>
      <c r="AB51" s="625"/>
      <c r="AC51" s="626"/>
      <c r="AD51" s="626"/>
      <c r="AE51" s="626"/>
      <c r="AF51" s="626"/>
      <c r="AG51" s="627"/>
      <c r="AH51" s="625"/>
      <c r="AI51" s="626"/>
      <c r="AJ51" s="626"/>
      <c r="AK51" s="626"/>
      <c r="AL51" s="626"/>
      <c r="AM51" s="627"/>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row>
    <row r="52" spans="1:80" x14ac:dyDescent="0.3">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row>
    <row r="53" spans="1:80" ht="15" customHeight="1" x14ac:dyDescent="0.3">
      <c r="A53" s="65"/>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row>
    <row r="54" spans="1:80" ht="15" customHeight="1" x14ac:dyDescent="0.3">
      <c r="A54" s="65"/>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row>
    <row r="55" spans="1:80" x14ac:dyDescent="0.3">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row>
    <row r="56" spans="1:80" x14ac:dyDescent="0.3">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row>
    <row r="57" spans="1:80" x14ac:dyDescent="0.3">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row>
    <row r="58" spans="1:80" x14ac:dyDescent="0.3">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row>
    <row r="59" spans="1:80" x14ac:dyDescent="0.3">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row>
    <row r="60" spans="1:80" x14ac:dyDescent="0.3">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row>
    <row r="61" spans="1:80" x14ac:dyDescent="0.3">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row>
    <row r="62" spans="1:80" x14ac:dyDescent="0.3">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5"/>
    </row>
    <row r="63" spans="1:80" x14ac:dyDescent="0.3">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c r="BG63" s="65"/>
      <c r="BH63" s="65"/>
      <c r="BI63" s="65"/>
      <c r="BJ63" s="65"/>
      <c r="BK63" s="65"/>
      <c r="BL63" s="65"/>
      <c r="BM63" s="65"/>
      <c r="BN63" s="65"/>
      <c r="BO63" s="65"/>
      <c r="BP63" s="65"/>
      <c r="BQ63" s="65"/>
      <c r="BR63" s="65"/>
      <c r="BS63" s="65"/>
      <c r="BT63" s="65"/>
      <c r="BU63" s="65"/>
      <c r="BV63" s="65"/>
      <c r="BW63" s="65"/>
      <c r="BX63" s="65"/>
      <c r="BY63" s="65"/>
      <c r="BZ63" s="65"/>
      <c r="CA63" s="65"/>
      <c r="CB63" s="65"/>
    </row>
    <row r="64" spans="1:80" x14ac:dyDescent="0.3">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c r="BS64" s="65"/>
      <c r="BT64" s="65"/>
      <c r="BU64" s="65"/>
      <c r="BV64" s="65"/>
      <c r="BW64" s="65"/>
      <c r="BX64" s="65"/>
      <c r="BY64" s="65"/>
      <c r="BZ64" s="65"/>
      <c r="CA64" s="65"/>
      <c r="CB64" s="65"/>
    </row>
    <row r="65" spans="1:80" x14ac:dyDescent="0.3">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5"/>
    </row>
    <row r="66" spans="1:80" x14ac:dyDescent="0.3">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5"/>
      <c r="BS66" s="65"/>
      <c r="BT66" s="65"/>
      <c r="BU66" s="65"/>
      <c r="BV66" s="65"/>
      <c r="BW66" s="65"/>
      <c r="BX66" s="65"/>
      <c r="BY66" s="65"/>
      <c r="BZ66" s="65"/>
      <c r="CA66" s="65"/>
      <c r="CB66" s="65"/>
    </row>
    <row r="67" spans="1:80" x14ac:dyDescent="0.3">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5"/>
    </row>
    <row r="68" spans="1:80" x14ac:dyDescent="0.3">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c r="BI68" s="65"/>
      <c r="BJ68" s="65"/>
      <c r="BK68" s="65"/>
      <c r="BL68" s="65"/>
      <c r="BM68" s="65"/>
      <c r="BN68" s="65"/>
      <c r="BO68" s="65"/>
      <c r="BP68" s="65"/>
      <c r="BQ68" s="65"/>
      <c r="BR68" s="65"/>
      <c r="BS68" s="65"/>
      <c r="BT68" s="65"/>
      <c r="BU68" s="65"/>
      <c r="BV68" s="65"/>
      <c r="BW68" s="65"/>
      <c r="BX68" s="65"/>
      <c r="BY68" s="65"/>
      <c r="BZ68" s="65"/>
      <c r="CA68" s="65"/>
      <c r="CB68" s="65"/>
    </row>
    <row r="69" spans="1:80" x14ac:dyDescent="0.3">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5"/>
    </row>
    <row r="70" spans="1:80" x14ac:dyDescent="0.3">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c r="BI70" s="65"/>
      <c r="BJ70" s="65"/>
      <c r="BK70" s="65"/>
      <c r="BL70" s="65"/>
      <c r="BM70" s="65"/>
      <c r="BN70" s="65"/>
      <c r="BO70" s="65"/>
      <c r="BP70" s="65"/>
      <c r="BQ70" s="65"/>
      <c r="BR70" s="65"/>
      <c r="BS70" s="65"/>
      <c r="BT70" s="65"/>
      <c r="BU70" s="65"/>
      <c r="BV70" s="65"/>
      <c r="BW70" s="65"/>
      <c r="BX70" s="65"/>
      <c r="BY70" s="65"/>
      <c r="BZ70" s="65"/>
      <c r="CA70" s="65"/>
      <c r="CB70" s="65"/>
    </row>
    <row r="71" spans="1:80" x14ac:dyDescent="0.3">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65"/>
      <c r="BN71" s="65"/>
      <c r="BO71" s="65"/>
      <c r="BP71" s="65"/>
      <c r="BQ71" s="65"/>
      <c r="BR71" s="65"/>
      <c r="BS71" s="65"/>
      <c r="BT71" s="65"/>
      <c r="BU71" s="65"/>
      <c r="BV71" s="65"/>
      <c r="BW71" s="65"/>
      <c r="BX71" s="65"/>
      <c r="BY71" s="65"/>
      <c r="BZ71" s="65"/>
      <c r="CA71" s="65"/>
      <c r="CB71" s="65"/>
    </row>
    <row r="72" spans="1:80" x14ac:dyDescent="0.3">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5"/>
      <c r="BM72" s="65"/>
      <c r="BN72" s="65"/>
      <c r="BO72" s="65"/>
      <c r="BP72" s="65"/>
      <c r="BQ72" s="65"/>
      <c r="BR72" s="65"/>
      <c r="BS72" s="65"/>
      <c r="BT72" s="65"/>
      <c r="BU72" s="65"/>
      <c r="BV72" s="65"/>
      <c r="BW72" s="65"/>
      <c r="BX72" s="65"/>
      <c r="BY72" s="65"/>
      <c r="BZ72" s="65"/>
      <c r="CA72" s="65"/>
      <c r="CB72" s="65"/>
    </row>
    <row r="73" spans="1:80" x14ac:dyDescent="0.3">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5"/>
      <c r="BS73" s="65"/>
      <c r="BT73" s="65"/>
      <c r="BU73" s="65"/>
      <c r="BV73" s="65"/>
      <c r="BW73" s="65"/>
      <c r="BX73" s="65"/>
      <c r="BY73" s="65"/>
      <c r="BZ73" s="65"/>
      <c r="CA73" s="65"/>
      <c r="CB73" s="65"/>
    </row>
    <row r="74" spans="1:80" x14ac:dyDescent="0.3">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row>
    <row r="75" spans="1:80" x14ac:dyDescent="0.3">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c r="BI75" s="65"/>
      <c r="BJ75" s="65"/>
      <c r="BK75" s="65"/>
      <c r="BL75" s="65"/>
      <c r="BM75" s="65"/>
      <c r="BN75" s="65"/>
      <c r="BO75" s="65"/>
      <c r="BP75" s="65"/>
      <c r="BQ75" s="65"/>
      <c r="BR75" s="65"/>
      <c r="BS75" s="65"/>
      <c r="BT75" s="65"/>
      <c r="BU75" s="65"/>
      <c r="BV75" s="65"/>
      <c r="BW75" s="65"/>
      <c r="BX75" s="65"/>
      <c r="BY75" s="65"/>
      <c r="BZ75" s="65"/>
      <c r="CA75" s="65"/>
      <c r="CB75" s="65"/>
    </row>
    <row r="76" spans="1:80" x14ac:dyDescent="0.3">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5"/>
      <c r="BR76" s="65"/>
      <c r="BS76" s="65"/>
      <c r="BT76" s="65"/>
      <c r="BU76" s="65"/>
      <c r="BV76" s="65"/>
      <c r="BW76" s="65"/>
      <c r="BX76" s="65"/>
      <c r="BY76" s="65"/>
      <c r="BZ76" s="65"/>
      <c r="CA76" s="65"/>
      <c r="CB76" s="65"/>
    </row>
    <row r="77" spans="1:80" x14ac:dyDescent="0.3">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c r="BP77" s="65"/>
      <c r="BQ77" s="65"/>
      <c r="BR77" s="65"/>
      <c r="BS77" s="65"/>
      <c r="BT77" s="65"/>
      <c r="BU77" s="65"/>
      <c r="BV77" s="65"/>
      <c r="BW77" s="65"/>
      <c r="BX77" s="65"/>
      <c r="BY77" s="65"/>
      <c r="BZ77" s="65"/>
      <c r="CA77" s="65"/>
      <c r="CB77" s="65"/>
    </row>
    <row r="78" spans="1:80" x14ac:dyDescent="0.3">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c r="BI78" s="65"/>
      <c r="BJ78" s="65"/>
      <c r="BK78" s="65"/>
      <c r="BL78" s="65"/>
      <c r="BM78" s="65"/>
      <c r="BN78" s="65"/>
      <c r="BO78" s="65"/>
      <c r="BP78" s="65"/>
      <c r="BQ78" s="65"/>
      <c r="BR78" s="65"/>
      <c r="BS78" s="65"/>
      <c r="BT78" s="65"/>
      <c r="BU78" s="65"/>
      <c r="BV78" s="65"/>
      <c r="BW78" s="65"/>
      <c r="BX78" s="65"/>
      <c r="BY78" s="65"/>
      <c r="BZ78" s="65"/>
      <c r="CA78" s="65"/>
      <c r="CB78" s="65"/>
    </row>
    <row r="79" spans="1:80" x14ac:dyDescent="0.3">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c r="BI79" s="65"/>
      <c r="BJ79" s="65"/>
      <c r="BK79" s="65"/>
    </row>
    <row r="80" spans="1:80" x14ac:dyDescent="0.3">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row>
    <row r="81" spans="1:63" x14ac:dyDescent="0.3">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c r="BI81" s="65"/>
      <c r="BJ81" s="65"/>
      <c r="BK81" s="65"/>
    </row>
    <row r="82" spans="1:63" x14ac:dyDescent="0.3">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c r="BI82" s="65"/>
      <c r="BJ82" s="65"/>
      <c r="BK82" s="65"/>
    </row>
    <row r="83" spans="1:63" x14ac:dyDescent="0.3">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c r="BK83" s="65"/>
    </row>
    <row r="84" spans="1:63" x14ac:dyDescent="0.3">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c r="BI84" s="65"/>
      <c r="BJ84" s="65"/>
      <c r="BK84" s="65"/>
    </row>
    <row r="85" spans="1:63" x14ac:dyDescent="0.3">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c r="BI85" s="65"/>
      <c r="BJ85" s="65"/>
      <c r="BK85" s="65"/>
    </row>
    <row r="86" spans="1:63" x14ac:dyDescent="0.3">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c r="BI86" s="65"/>
      <c r="BJ86" s="65"/>
      <c r="BK86" s="65"/>
    </row>
    <row r="87" spans="1:63" x14ac:dyDescent="0.3">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c r="BI87" s="65"/>
      <c r="BJ87" s="65"/>
      <c r="BK87" s="65"/>
    </row>
    <row r="88" spans="1:63" x14ac:dyDescent="0.3">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row>
    <row r="89" spans="1:63" x14ac:dyDescent="0.3">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c r="BI89" s="65"/>
      <c r="BJ89" s="65"/>
      <c r="BK89" s="65"/>
    </row>
    <row r="90" spans="1:63" x14ac:dyDescent="0.3">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row>
    <row r="91" spans="1:63" x14ac:dyDescent="0.3">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c r="BI91" s="65"/>
      <c r="BJ91" s="65"/>
      <c r="BK91" s="65"/>
    </row>
    <row r="92" spans="1:63" x14ac:dyDescent="0.3">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c r="BI92" s="65"/>
      <c r="BJ92" s="65"/>
      <c r="BK92" s="65"/>
    </row>
    <row r="93" spans="1:63" x14ac:dyDescent="0.3">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c r="BI93" s="65"/>
      <c r="BJ93" s="65"/>
      <c r="BK93" s="65"/>
    </row>
    <row r="94" spans="1:63" x14ac:dyDescent="0.3">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c r="BI94" s="65"/>
      <c r="BJ94" s="65"/>
      <c r="BK94" s="65"/>
    </row>
    <row r="95" spans="1:63" x14ac:dyDescent="0.3">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c r="BI95" s="65"/>
      <c r="BJ95" s="65"/>
      <c r="BK95" s="65"/>
    </row>
    <row r="96" spans="1:63" x14ac:dyDescent="0.3">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c r="BI96" s="65"/>
      <c r="BJ96" s="65"/>
      <c r="BK96" s="65"/>
    </row>
    <row r="97" spans="1:63" x14ac:dyDescent="0.3">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c r="BI97" s="65"/>
      <c r="BJ97" s="65"/>
      <c r="BK97" s="65"/>
    </row>
    <row r="98" spans="1:63" x14ac:dyDescent="0.3">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c r="BI98" s="65"/>
      <c r="BJ98" s="65"/>
      <c r="BK98" s="65"/>
    </row>
    <row r="99" spans="1:63" x14ac:dyDescent="0.3">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c r="BI99" s="65"/>
      <c r="BJ99" s="65"/>
      <c r="BK99" s="65"/>
    </row>
    <row r="100" spans="1:63" x14ac:dyDescent="0.3">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c r="BI100" s="65"/>
      <c r="BJ100" s="65"/>
      <c r="BK100" s="65"/>
    </row>
    <row r="101" spans="1:63" x14ac:dyDescent="0.3">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c r="BI101" s="65"/>
      <c r="BJ101" s="65"/>
      <c r="BK101" s="65"/>
    </row>
    <row r="102" spans="1:63" x14ac:dyDescent="0.3">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c r="BI102" s="65"/>
      <c r="BJ102" s="65"/>
      <c r="BK102" s="65"/>
    </row>
    <row r="103" spans="1:63" x14ac:dyDescent="0.3">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c r="BI103" s="65"/>
      <c r="BJ103" s="65"/>
      <c r="BK103" s="65"/>
    </row>
    <row r="104" spans="1:63" x14ac:dyDescent="0.3">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c r="BI104" s="65"/>
      <c r="BJ104" s="65"/>
      <c r="BK104" s="65"/>
    </row>
    <row r="105" spans="1:63" x14ac:dyDescent="0.3">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c r="BI105" s="65"/>
      <c r="BJ105" s="65"/>
      <c r="BK105" s="65"/>
    </row>
    <row r="106" spans="1:63" x14ac:dyDescent="0.3">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c r="AT106" s="65"/>
      <c r="AU106" s="65"/>
      <c r="AV106" s="65"/>
      <c r="AW106" s="65"/>
      <c r="AX106" s="65"/>
      <c r="AY106" s="65"/>
      <c r="AZ106" s="65"/>
      <c r="BA106" s="65"/>
      <c r="BB106" s="65"/>
      <c r="BC106" s="65"/>
      <c r="BD106" s="65"/>
      <c r="BE106" s="65"/>
      <c r="BF106" s="65"/>
      <c r="BG106" s="65"/>
      <c r="BH106" s="65"/>
      <c r="BI106" s="65"/>
      <c r="BJ106" s="65"/>
      <c r="BK106" s="65"/>
    </row>
    <row r="107" spans="1:63" x14ac:dyDescent="0.3">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c r="AV107" s="65"/>
      <c r="AW107" s="65"/>
      <c r="AX107" s="65"/>
      <c r="AY107" s="65"/>
      <c r="AZ107" s="65"/>
      <c r="BA107" s="65"/>
      <c r="BB107" s="65"/>
      <c r="BC107" s="65"/>
      <c r="BD107" s="65"/>
      <c r="BE107" s="65"/>
      <c r="BF107" s="65"/>
      <c r="BG107" s="65"/>
      <c r="BH107" s="65"/>
      <c r="BI107" s="65"/>
      <c r="BJ107" s="65"/>
      <c r="BK107" s="65"/>
    </row>
    <row r="108" spans="1:63" x14ac:dyDescent="0.3">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c r="BI108" s="65"/>
      <c r="BJ108" s="65"/>
      <c r="BK108" s="65"/>
    </row>
    <row r="109" spans="1:63" x14ac:dyDescent="0.3">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c r="AZ109" s="65"/>
      <c r="BA109" s="65"/>
      <c r="BB109" s="65"/>
      <c r="BC109" s="65"/>
      <c r="BD109" s="65"/>
      <c r="BE109" s="65"/>
      <c r="BF109" s="65"/>
      <c r="BG109" s="65"/>
      <c r="BH109" s="65"/>
      <c r="BI109" s="65"/>
      <c r="BJ109" s="65"/>
      <c r="BK109" s="65"/>
    </row>
    <row r="110" spans="1:63" x14ac:dyDescent="0.3">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65"/>
      <c r="BB110" s="65"/>
      <c r="BC110" s="65"/>
      <c r="BD110" s="65"/>
      <c r="BE110" s="65"/>
      <c r="BF110" s="65"/>
      <c r="BG110" s="65"/>
      <c r="BH110" s="65"/>
      <c r="BI110" s="65"/>
      <c r="BJ110" s="65"/>
      <c r="BK110" s="65"/>
    </row>
    <row r="111" spans="1:63" x14ac:dyDescent="0.3">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c r="BE111" s="65"/>
      <c r="BF111" s="65"/>
      <c r="BG111" s="65"/>
      <c r="BH111" s="65"/>
      <c r="BI111" s="65"/>
      <c r="BJ111" s="65"/>
      <c r="BK111" s="65"/>
    </row>
    <row r="112" spans="1:63" x14ac:dyDescent="0.3">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c r="BI112" s="65"/>
      <c r="BJ112" s="65"/>
      <c r="BK112" s="65"/>
    </row>
    <row r="113" spans="1:63" x14ac:dyDescent="0.3">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c r="BE113" s="65"/>
      <c r="BF113" s="65"/>
      <c r="BG113" s="65"/>
      <c r="BH113" s="65"/>
      <c r="BI113" s="65"/>
      <c r="BJ113" s="65"/>
      <c r="BK113" s="65"/>
    </row>
    <row r="114" spans="1:63" x14ac:dyDescent="0.3">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c r="BE114" s="65"/>
      <c r="BF114" s="65"/>
      <c r="BG114" s="65"/>
      <c r="BH114" s="65"/>
      <c r="BI114" s="65"/>
      <c r="BJ114" s="65"/>
      <c r="BK114" s="65"/>
    </row>
    <row r="115" spans="1:63" x14ac:dyDescent="0.3">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c r="BE115" s="65"/>
      <c r="BF115" s="65"/>
      <c r="BG115" s="65"/>
      <c r="BH115" s="65"/>
      <c r="BI115" s="65"/>
      <c r="BJ115" s="65"/>
      <c r="BK115" s="65"/>
    </row>
    <row r="116" spans="1:63" x14ac:dyDescent="0.3">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c r="BE116" s="65"/>
      <c r="BF116" s="65"/>
      <c r="BG116" s="65"/>
      <c r="BH116" s="65"/>
      <c r="BI116" s="65"/>
      <c r="BJ116" s="65"/>
      <c r="BK116" s="65"/>
    </row>
    <row r="117" spans="1:63" x14ac:dyDescent="0.3">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c r="BE117" s="65"/>
      <c r="BF117" s="65"/>
      <c r="BG117" s="65"/>
      <c r="BH117" s="65"/>
      <c r="BI117" s="65"/>
      <c r="BJ117" s="65"/>
      <c r="BK117" s="65"/>
    </row>
    <row r="118" spans="1:63" x14ac:dyDescent="0.3">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c r="BE118" s="65"/>
      <c r="BF118" s="65"/>
      <c r="BG118" s="65"/>
      <c r="BH118" s="65"/>
      <c r="BI118" s="65"/>
      <c r="BJ118" s="65"/>
      <c r="BK118" s="65"/>
    </row>
    <row r="119" spans="1:63" x14ac:dyDescent="0.3">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c r="BI119" s="65"/>
      <c r="BJ119" s="65"/>
      <c r="BK119" s="65"/>
    </row>
    <row r="120" spans="1:63" x14ac:dyDescent="0.3">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c r="BE120" s="65"/>
      <c r="BF120" s="65"/>
      <c r="BG120" s="65"/>
      <c r="BH120" s="65"/>
      <c r="BI120" s="65"/>
      <c r="BJ120" s="65"/>
      <c r="BK120" s="65"/>
    </row>
    <row r="121" spans="1:63" x14ac:dyDescent="0.3">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c r="BE121" s="65"/>
      <c r="BF121" s="65"/>
      <c r="BG121" s="65"/>
      <c r="BH121" s="65"/>
      <c r="BI121" s="65"/>
      <c r="BJ121" s="65"/>
      <c r="BK121" s="65"/>
    </row>
    <row r="122" spans="1:63" x14ac:dyDescent="0.3">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5"/>
      <c r="BI122" s="65"/>
      <c r="BJ122" s="65"/>
      <c r="BK122" s="65"/>
    </row>
    <row r="123" spans="1:63" x14ac:dyDescent="0.3">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65"/>
      <c r="BH123" s="65"/>
      <c r="BI123" s="65"/>
      <c r="BJ123" s="65"/>
      <c r="BK123" s="65"/>
    </row>
    <row r="124" spans="1:63" x14ac:dyDescent="0.3">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c r="BE124" s="65"/>
      <c r="BF124" s="65"/>
      <c r="BG124" s="65"/>
      <c r="BH124" s="65"/>
      <c r="BI124" s="65"/>
      <c r="BJ124" s="65"/>
      <c r="BK124" s="65"/>
    </row>
    <row r="125" spans="1:63" x14ac:dyDescent="0.3">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c r="BI125" s="65"/>
      <c r="BJ125" s="65"/>
      <c r="BK125" s="65"/>
    </row>
    <row r="126" spans="1:63" x14ac:dyDescent="0.3">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c r="BI126" s="65"/>
      <c r="BJ126" s="65"/>
      <c r="BK126" s="65"/>
    </row>
    <row r="127" spans="1:63" x14ac:dyDescent="0.3">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c r="BI127" s="65"/>
      <c r="BJ127" s="65"/>
      <c r="BK127" s="65"/>
    </row>
    <row r="128" spans="1:63" x14ac:dyDescent="0.3">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65"/>
      <c r="BI128" s="65"/>
      <c r="BJ128" s="65"/>
      <c r="BK128" s="65"/>
    </row>
    <row r="129" spans="2:63" x14ac:dyDescent="0.3">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c r="BI129" s="65"/>
      <c r="BJ129" s="65"/>
      <c r="BK129" s="65"/>
    </row>
    <row r="130" spans="2:63" x14ac:dyDescent="0.3">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c r="BE130" s="65"/>
      <c r="BF130" s="65"/>
      <c r="BG130" s="65"/>
      <c r="BH130" s="65"/>
      <c r="BI130" s="65"/>
      <c r="BJ130" s="65"/>
      <c r="BK130" s="65"/>
    </row>
    <row r="131" spans="2:63" x14ac:dyDescent="0.3">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c r="BI131" s="65"/>
      <c r="BJ131" s="65"/>
      <c r="BK131" s="65"/>
    </row>
    <row r="132" spans="2:63" x14ac:dyDescent="0.3">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c r="BE132" s="65"/>
      <c r="BF132" s="65"/>
      <c r="BG132" s="65"/>
      <c r="BH132" s="65"/>
      <c r="BI132" s="65"/>
      <c r="BJ132" s="65"/>
      <c r="BK132" s="65"/>
    </row>
    <row r="133" spans="2:63" x14ac:dyDescent="0.3">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c r="BE133" s="65"/>
      <c r="BF133" s="65"/>
      <c r="BG133" s="65"/>
      <c r="BH133" s="65"/>
      <c r="BI133" s="65"/>
      <c r="BJ133" s="65"/>
      <c r="BK133" s="65"/>
    </row>
    <row r="134" spans="2:63" x14ac:dyDescent="0.3">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c r="BI134" s="65"/>
      <c r="BJ134" s="65"/>
      <c r="BK134" s="65"/>
    </row>
    <row r="135" spans="2:63" x14ac:dyDescent="0.3">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65"/>
      <c r="BH135" s="65"/>
      <c r="BI135" s="65"/>
      <c r="BJ135" s="65"/>
      <c r="BK135" s="65"/>
    </row>
    <row r="136" spans="2:63" x14ac:dyDescent="0.3">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5"/>
      <c r="BF136" s="65"/>
      <c r="BG136" s="65"/>
      <c r="BH136" s="65"/>
      <c r="BI136" s="65"/>
      <c r="BJ136" s="65"/>
      <c r="BK136" s="65"/>
    </row>
    <row r="137" spans="2:63" x14ac:dyDescent="0.3">
      <c r="B137" s="65"/>
      <c r="C137" s="65"/>
      <c r="D137" s="65"/>
      <c r="E137" s="65"/>
      <c r="F137" s="65"/>
      <c r="G137" s="65"/>
      <c r="H137" s="65"/>
      <c r="I137" s="65"/>
    </row>
    <row r="138" spans="2:63" x14ac:dyDescent="0.3">
      <c r="B138" s="65"/>
      <c r="C138" s="65"/>
      <c r="D138" s="65"/>
      <c r="E138" s="65"/>
      <c r="F138" s="65"/>
      <c r="G138" s="65"/>
      <c r="H138" s="65"/>
      <c r="I138" s="65"/>
    </row>
    <row r="139" spans="2:63" x14ac:dyDescent="0.3">
      <c r="B139" s="65"/>
      <c r="C139" s="65"/>
      <c r="D139" s="65"/>
      <c r="E139" s="65"/>
      <c r="F139" s="65"/>
      <c r="G139" s="65"/>
      <c r="H139" s="65"/>
      <c r="I139" s="65"/>
    </row>
    <row r="140" spans="2:63" x14ac:dyDescent="0.3">
      <c r="B140" s="65"/>
      <c r="C140" s="65"/>
      <c r="D140" s="65"/>
      <c r="E140" s="65"/>
      <c r="F140" s="65"/>
      <c r="G140" s="65"/>
      <c r="H140" s="65"/>
      <c r="I140" s="65"/>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CM248"/>
  <sheetViews>
    <sheetView zoomScale="32" zoomScaleNormal="32" workbookViewId="0">
      <selection activeCell="AK39" sqref="AK39"/>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row>
    <row r="2" spans="1:91" ht="18" customHeight="1" x14ac:dyDescent="0.3">
      <c r="A2" s="65"/>
      <c r="B2" s="692" t="s">
        <v>149</v>
      </c>
      <c r="C2" s="693"/>
      <c r="D2" s="693"/>
      <c r="E2" s="693"/>
      <c r="F2" s="693"/>
      <c r="G2" s="693"/>
      <c r="H2" s="693"/>
      <c r="I2" s="693"/>
      <c r="J2" s="634" t="s">
        <v>2</v>
      </c>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c r="AJ2" s="634"/>
      <c r="AK2" s="634"/>
      <c r="AL2" s="634"/>
      <c r="AM2" s="634"/>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row>
    <row r="3" spans="1:91" ht="18.75" customHeight="1" x14ac:dyDescent="0.3">
      <c r="A3" s="65"/>
      <c r="B3" s="693"/>
      <c r="C3" s="693"/>
      <c r="D3" s="693"/>
      <c r="E3" s="693"/>
      <c r="F3" s="693"/>
      <c r="G3" s="693"/>
      <c r="H3" s="693"/>
      <c r="I3" s="693"/>
      <c r="J3" s="634"/>
      <c r="K3" s="634"/>
      <c r="L3" s="634"/>
      <c r="M3" s="634"/>
      <c r="N3" s="634"/>
      <c r="O3" s="634"/>
      <c r="P3" s="634"/>
      <c r="Q3" s="634"/>
      <c r="R3" s="634"/>
      <c r="S3" s="634"/>
      <c r="T3" s="634"/>
      <c r="U3" s="634"/>
      <c r="V3" s="634"/>
      <c r="W3" s="634"/>
      <c r="X3" s="634"/>
      <c r="Y3" s="634"/>
      <c r="Z3" s="634"/>
      <c r="AA3" s="634"/>
      <c r="AB3" s="634"/>
      <c r="AC3" s="634"/>
      <c r="AD3" s="634"/>
      <c r="AE3" s="634"/>
      <c r="AF3" s="634"/>
      <c r="AG3" s="634"/>
      <c r="AH3" s="634"/>
      <c r="AI3" s="634"/>
      <c r="AJ3" s="634"/>
      <c r="AK3" s="634"/>
      <c r="AL3" s="634"/>
      <c r="AM3" s="634"/>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row>
    <row r="4" spans="1:91" ht="15" customHeight="1" x14ac:dyDescent="0.3">
      <c r="A4" s="65"/>
      <c r="B4" s="693"/>
      <c r="C4" s="693"/>
      <c r="D4" s="693"/>
      <c r="E4" s="693"/>
      <c r="F4" s="693"/>
      <c r="G4" s="693"/>
      <c r="H4" s="693"/>
      <c r="I4" s="693"/>
      <c r="J4" s="634"/>
      <c r="K4" s="634"/>
      <c r="L4" s="634"/>
      <c r="M4" s="634"/>
      <c r="N4" s="634"/>
      <c r="O4" s="634"/>
      <c r="P4" s="634"/>
      <c r="Q4" s="634"/>
      <c r="R4" s="634"/>
      <c r="S4" s="634"/>
      <c r="T4" s="634"/>
      <c r="U4" s="634"/>
      <c r="V4" s="634"/>
      <c r="W4" s="634"/>
      <c r="X4" s="634"/>
      <c r="Y4" s="634"/>
      <c r="Z4" s="634"/>
      <c r="AA4" s="634"/>
      <c r="AB4" s="634"/>
      <c r="AC4" s="634"/>
      <c r="AD4" s="634"/>
      <c r="AE4" s="634"/>
      <c r="AF4" s="634"/>
      <c r="AG4" s="634"/>
      <c r="AH4" s="634"/>
      <c r="AI4" s="634"/>
      <c r="AJ4" s="634"/>
      <c r="AK4" s="634"/>
      <c r="AL4" s="634"/>
      <c r="AM4" s="634"/>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row>
    <row r="5" spans="1:91" ht="15" thickBot="1" x14ac:dyDescent="0.35">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row>
    <row r="6" spans="1:91" ht="15" customHeight="1" x14ac:dyDescent="0.3">
      <c r="A6" s="65"/>
      <c r="B6" s="581" t="s">
        <v>4</v>
      </c>
      <c r="C6" s="581"/>
      <c r="D6" s="582"/>
      <c r="E6" s="676" t="s">
        <v>111</v>
      </c>
      <c r="F6" s="677"/>
      <c r="G6" s="677"/>
      <c r="H6" s="677"/>
      <c r="I6" s="694"/>
      <c r="J6" s="28" t="str">
        <f>IF(AND('Mapa final'!$AB$10="Muy Alta",'Mapa final'!$AD$10="Leve"),CONCATENATE("R1C",'Mapa final'!$R$10),"")</f>
        <v/>
      </c>
      <c r="K6" s="29" t="str">
        <f>IF(AND('Mapa final'!$AB$11="Muy Alta",'Mapa final'!$AD$11="Leve"),CONCATENATE("R1C",'Mapa final'!$R$11),"")</f>
        <v/>
      </c>
      <c r="L6" s="29" t="str">
        <f>IF(AND('Mapa final'!$AB$12="Muy Alta",'Mapa final'!$AD$12="Leve"),CONCATENATE("R1C",'Mapa final'!$R$12),"")</f>
        <v/>
      </c>
      <c r="M6" s="29" t="str">
        <f>IF(AND('Mapa final'!$AB$13="Muy Alta",'Mapa final'!$AD$13="Leve"),CONCATENATE("R1C",'Mapa final'!$R$13),"")</f>
        <v/>
      </c>
      <c r="N6" s="29" t="str">
        <f>IF(AND('Mapa final'!$AB$14="Muy Alta",'Mapa final'!$AD$14="Leve"),CONCATENATE("R1C",'Mapa final'!$R$14),"")</f>
        <v/>
      </c>
      <c r="O6" s="30" t="str">
        <f>IF(AND('Mapa final'!$AB$15="Muy Alta",'Mapa final'!$AD$15="Leve"),CONCATENATE("R1C",'Mapa final'!$R$15),"")</f>
        <v/>
      </c>
      <c r="P6" s="28" t="str">
        <f>IF(AND('Mapa final'!$AB$10="Muy Alta",'Mapa final'!$AD$10="Menor"),CONCATENATE("R1C",'Mapa final'!$R$10),"")</f>
        <v/>
      </c>
      <c r="Q6" s="29" t="str">
        <f>IF(AND('Mapa final'!$AB$11="Muy Alta",'Mapa final'!$AD$11="Menor"),CONCATENATE("R1C",'Mapa final'!$R$11),"")</f>
        <v/>
      </c>
      <c r="R6" s="29" t="str">
        <f>IF(AND('Mapa final'!$AB$12="Muy Alta",'Mapa final'!$AD$12="Menor"),CONCATENATE("R1C",'Mapa final'!$R$12),"")</f>
        <v/>
      </c>
      <c r="S6" s="29" t="str">
        <f>IF(AND('Mapa final'!$AB$13="Muy Alta",'Mapa final'!$AD$13="Menor"),CONCATENATE("R1C",'Mapa final'!$R$13),"")</f>
        <v/>
      </c>
      <c r="T6" s="29" t="str">
        <f>IF(AND('Mapa final'!$AB$14="Muy Alta",'Mapa final'!$AD$14="Menor"),CONCATENATE("R1C",'Mapa final'!$R$14),"")</f>
        <v/>
      </c>
      <c r="U6" s="30" t="str">
        <f>IF(AND('Mapa final'!$AB$15="Muy Alta",'Mapa final'!$AD$15="Menor"),CONCATENATE("R1C",'Mapa final'!$R$15),"")</f>
        <v/>
      </c>
      <c r="V6" s="28" t="str">
        <f>IF(AND('Mapa final'!$AB$10="Muy Alta",'Mapa final'!$AD$10="Moderado"),CONCATENATE("R1C",'Mapa final'!$R$10),"")</f>
        <v/>
      </c>
      <c r="W6" s="29" t="str">
        <f>IF(AND('Mapa final'!$AB$11="Muy Alta",'Mapa final'!$AD$11="Moderado"),CONCATENATE("R1C",'Mapa final'!$R$11),"")</f>
        <v/>
      </c>
      <c r="X6" s="29" t="str">
        <f>IF(AND('Mapa final'!$AB$12="Muy Alta",'Mapa final'!$AD$12="Moderado"),CONCATENATE("R1C",'Mapa final'!$R$12),"")</f>
        <v/>
      </c>
      <c r="Y6" s="29" t="str">
        <f>IF(AND('Mapa final'!$AB$13="Muy Alta",'Mapa final'!$AD$13="Moderado"),CONCATENATE("R1C",'Mapa final'!$R$13),"")</f>
        <v/>
      </c>
      <c r="Z6" s="29" t="str">
        <f>IF(AND('Mapa final'!$AB$14="Muy Alta",'Mapa final'!$AD$14="Moderado"),CONCATENATE("R1C",'Mapa final'!$R$14),"")</f>
        <v/>
      </c>
      <c r="AA6" s="30" t="str">
        <f>IF(AND('Mapa final'!$AB$15="Muy Alta",'Mapa final'!$AD$15="Moderado"),CONCATENATE("R1C",'Mapa final'!$R$15),"")</f>
        <v/>
      </c>
      <c r="AB6" s="28" t="str">
        <f>IF(AND('Mapa final'!$AB$10="Muy Alta",'Mapa final'!$AD$10="Mayor"),CONCATENATE("R1C",'Mapa final'!$R$10),"")</f>
        <v/>
      </c>
      <c r="AC6" s="29" t="str">
        <f>IF(AND('Mapa final'!$AB$11="Muy Alta",'Mapa final'!$AD$11="Mayor"),CONCATENATE("R1C",'Mapa final'!$R$11),"")</f>
        <v/>
      </c>
      <c r="AD6" s="29" t="str">
        <f>IF(AND('Mapa final'!$AB$12="Muy Alta",'Mapa final'!$AD$12="Mayor"),CONCATENATE("R1C",'Mapa final'!$R$12),"")</f>
        <v/>
      </c>
      <c r="AE6" s="29" t="str">
        <f>IF(AND('Mapa final'!$AB$13="Muy Alta",'Mapa final'!$AD$13="Mayor"),CONCATENATE("R1C",'Mapa final'!$R$13),"")</f>
        <v/>
      </c>
      <c r="AF6" s="29" t="str">
        <f>IF(AND('Mapa final'!$AB$14="Muy Alta",'Mapa final'!$AD$14="Mayor"),CONCATENATE("R1C",'Mapa final'!$R$14),"")</f>
        <v/>
      </c>
      <c r="AG6" s="30" t="str">
        <f>IF(AND('Mapa final'!$AB$15="Muy Alta",'Mapa final'!$AD$15="Mayor"),CONCATENATE("R1C",'Mapa final'!$R$15),"")</f>
        <v/>
      </c>
      <c r="AH6" s="31" t="str">
        <f>IF(AND('Mapa final'!$AB$10="Muy Alta",'Mapa final'!$AD$10="Catastrófico"),CONCATENATE("R1C",'Mapa final'!$R$10),"")</f>
        <v/>
      </c>
      <c r="AI6" s="32" t="str">
        <f>IF(AND('Mapa final'!$AB$11="Muy Alta",'Mapa final'!$AD$11="Catastrófico"),CONCATENATE("R1C",'Mapa final'!$R$11),"")</f>
        <v/>
      </c>
      <c r="AJ6" s="32" t="str">
        <f>IF(AND('Mapa final'!$AB$12="Muy Alta",'Mapa final'!$AD$12="Catastrófico"),CONCATENATE("R1C",'Mapa final'!$R$12),"")</f>
        <v/>
      </c>
      <c r="AK6" s="32" t="str">
        <f>IF(AND('Mapa final'!$AB$13="Muy Alta",'Mapa final'!$AD$13="Catastrófico"),CONCATENATE("R1C",'Mapa final'!$R$13),"")</f>
        <v/>
      </c>
      <c r="AL6" s="32" t="str">
        <f>IF(AND('Mapa final'!$AB$14="Muy Alta",'Mapa final'!$AD$14="Catastrófico"),CONCATENATE("R1C",'Mapa final'!$R$14),"")</f>
        <v/>
      </c>
      <c r="AM6" s="33" t="str">
        <f>IF(AND('Mapa final'!$AB$15="Muy Alta",'Mapa final'!$AD$15="Catastrófico"),CONCATENATE("R1C",'Mapa final'!$R$15),"")</f>
        <v/>
      </c>
      <c r="AN6" s="65"/>
      <c r="AO6" s="683" t="s">
        <v>78</v>
      </c>
      <c r="AP6" s="684"/>
      <c r="AQ6" s="684"/>
      <c r="AR6" s="684"/>
      <c r="AS6" s="684"/>
      <c r="AT6" s="68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row>
    <row r="7" spans="1:91" ht="15" customHeight="1" x14ac:dyDescent="0.3">
      <c r="A7" s="65"/>
      <c r="B7" s="581"/>
      <c r="C7" s="581"/>
      <c r="D7" s="582"/>
      <c r="E7" s="680"/>
      <c r="F7" s="679"/>
      <c r="G7" s="679"/>
      <c r="H7" s="679"/>
      <c r="I7" s="695"/>
      <c r="J7" s="34" t="str">
        <f>IF(AND('Mapa final'!$AB$16="Muy Alta",'Mapa final'!$AD$16="Leve"),CONCATENATE("R2C",'Mapa final'!$R$16),"")</f>
        <v/>
      </c>
      <c r="K7" s="35" t="str">
        <f>IF(AND('Mapa final'!$AB$17="Muy Alta",'Mapa final'!$AD$17="Leve"),CONCATENATE("R2C",'Mapa final'!$R$17),"")</f>
        <v/>
      </c>
      <c r="L7" s="35" t="str">
        <f>IF(AND('Mapa final'!$AB$18="Muy Alta",'Mapa final'!$AD$18="Leve"),CONCATENATE("R2C",'Mapa final'!$R$18),"")</f>
        <v/>
      </c>
      <c r="M7" s="35" t="str">
        <f>IF(AND('Mapa final'!$AB$19="Muy Alta",'Mapa final'!$AD$19="Leve"),CONCATENATE("R2C",'Mapa final'!$R$19),"")</f>
        <v/>
      </c>
      <c r="N7" s="35" t="str">
        <f>IF(AND('Mapa final'!$AB$20="Muy Alta",'Mapa final'!$AD$20="Leve"),CONCATENATE("R2C",'Mapa final'!$R$20),"")</f>
        <v/>
      </c>
      <c r="O7" s="36" t="str">
        <f>IF(AND('Mapa final'!$AB$21="Muy Alta",'Mapa final'!$AD$21="Leve"),CONCATENATE("R2C",'Mapa final'!$R$21),"")</f>
        <v/>
      </c>
      <c r="P7" s="34" t="str">
        <f>IF(AND('Mapa final'!$AB$16="Muy Alta",'Mapa final'!$AD$16="Menor"),CONCATENATE("R2C",'Mapa final'!$R$16),"")</f>
        <v/>
      </c>
      <c r="Q7" s="35" t="str">
        <f>IF(AND('Mapa final'!$AB$17="Muy Alta",'Mapa final'!$AD$17="Menor"),CONCATENATE("R2C",'Mapa final'!$R$17),"")</f>
        <v/>
      </c>
      <c r="R7" s="35" t="str">
        <f>IF(AND('Mapa final'!$AB$18="Muy Alta",'Mapa final'!$AD$18="Menor"),CONCATENATE("R2C",'Mapa final'!$R$18),"")</f>
        <v/>
      </c>
      <c r="S7" s="35" t="str">
        <f>IF(AND('Mapa final'!$AB$19="Muy Alta",'Mapa final'!$AD$19="Menor"),CONCATENATE("R2C",'Mapa final'!$R$19),"")</f>
        <v/>
      </c>
      <c r="T7" s="35" t="str">
        <f>IF(AND('Mapa final'!$AB$20="Muy Alta",'Mapa final'!$AD$20="Menor"),CONCATENATE("R2C",'Mapa final'!$R$20),"")</f>
        <v/>
      </c>
      <c r="U7" s="36" t="str">
        <f>IF(AND('Mapa final'!$AB$21="Muy Alta",'Mapa final'!$AD$21="Menor"),CONCATENATE("R2C",'Mapa final'!$R$21),"")</f>
        <v/>
      </c>
      <c r="V7" s="34" t="str">
        <f>IF(AND('Mapa final'!$AB$16="Muy Alta",'Mapa final'!$AD$16="Moderado"),CONCATENATE("R2C",'Mapa final'!$R$16),"")</f>
        <v/>
      </c>
      <c r="W7" s="35" t="str">
        <f>IF(AND('Mapa final'!$AB$17="Muy Alta",'Mapa final'!$AD$17="Moderado"),CONCATENATE("R2C",'Mapa final'!$R$17),"")</f>
        <v/>
      </c>
      <c r="X7" s="35" t="str">
        <f>IF(AND('Mapa final'!$AB$18="Muy Alta",'Mapa final'!$AD$18="Moderado"),CONCATENATE("R2C",'Mapa final'!$R$18),"")</f>
        <v/>
      </c>
      <c r="Y7" s="35" t="str">
        <f>IF(AND('Mapa final'!$AB$19="Muy Alta",'Mapa final'!$AD$19="Moderado"),CONCATENATE("R2C",'Mapa final'!$R$19),"")</f>
        <v/>
      </c>
      <c r="Z7" s="35" t="str">
        <f>IF(AND('Mapa final'!$AB$20="Muy Alta",'Mapa final'!$AD$20="Moderado"),CONCATENATE("R2C",'Mapa final'!$R$20),"")</f>
        <v/>
      </c>
      <c r="AA7" s="36" t="str">
        <f>IF(AND('Mapa final'!$AB$21="Muy Alta",'Mapa final'!$AD$21="Moderado"),CONCATENATE("R2C",'Mapa final'!$R$21),"")</f>
        <v/>
      </c>
      <c r="AB7" s="34" t="str">
        <f>IF(AND('Mapa final'!$AB$16="Muy Alta",'Mapa final'!$AD$16="Mayor"),CONCATENATE("R2C",'Mapa final'!$R$16),"")</f>
        <v/>
      </c>
      <c r="AC7" s="35" t="str">
        <f>IF(AND('Mapa final'!$AB$17="Muy Alta",'Mapa final'!$AD$17="Mayor"),CONCATENATE("R2C",'Mapa final'!$R$17),"")</f>
        <v/>
      </c>
      <c r="AD7" s="35" t="str">
        <f>IF(AND('Mapa final'!$AB$18="Muy Alta",'Mapa final'!$AD$18="Mayor"),CONCATENATE("R2C",'Mapa final'!$R$18),"")</f>
        <v/>
      </c>
      <c r="AE7" s="35" t="str">
        <f>IF(AND('Mapa final'!$AB$19="Muy Alta",'Mapa final'!$AD$19="Mayor"),CONCATENATE("R2C",'Mapa final'!$R$19),"")</f>
        <v/>
      </c>
      <c r="AF7" s="35" t="str">
        <f>IF(AND('Mapa final'!$AB$20="Muy Alta",'Mapa final'!$AD$20="Mayor"),CONCATENATE("R2C",'Mapa final'!$R$20),"")</f>
        <v/>
      </c>
      <c r="AG7" s="36" t="str">
        <f>IF(AND('Mapa final'!$AB$21="Muy Alta",'Mapa final'!$AD$21="Mayor"),CONCATENATE("R2C",'Mapa final'!$R$21),"")</f>
        <v/>
      </c>
      <c r="AH7" s="37" t="str">
        <f>IF(AND('Mapa final'!$AB$16="Muy Alta",'Mapa final'!$AD$16="Catastrófico"),CONCATENATE("R2C",'Mapa final'!$R$16),"")</f>
        <v/>
      </c>
      <c r="AI7" s="38" t="str">
        <f>IF(AND('Mapa final'!$AB$17="Muy Alta",'Mapa final'!$AD$17="Catastrófico"),CONCATENATE("R2C",'Mapa final'!$R$17),"")</f>
        <v/>
      </c>
      <c r="AJ7" s="38" t="str">
        <f>IF(AND('Mapa final'!$AB$18="Muy Alta",'Mapa final'!$AD$18="Catastrófico"),CONCATENATE("R2C",'Mapa final'!$R$18),"")</f>
        <v/>
      </c>
      <c r="AK7" s="38" t="str">
        <f>IF(AND('Mapa final'!$AB$19="Muy Alta",'Mapa final'!$AD$19="Catastrófico"),CONCATENATE("R2C",'Mapa final'!$R$19),"")</f>
        <v/>
      </c>
      <c r="AL7" s="38" t="str">
        <f>IF(AND('Mapa final'!$AB$20="Muy Alta",'Mapa final'!$AD$20="Catastrófico"),CONCATENATE("R2C",'Mapa final'!$R$20),"")</f>
        <v/>
      </c>
      <c r="AM7" s="39" t="str">
        <f>IF(AND('Mapa final'!$AB$21="Muy Alta",'Mapa final'!$AD$21="Catastrófico"),CONCATENATE("R2C",'Mapa final'!$R$21),"")</f>
        <v/>
      </c>
      <c r="AN7" s="65"/>
      <c r="AO7" s="686"/>
      <c r="AP7" s="687"/>
      <c r="AQ7" s="687"/>
      <c r="AR7" s="687"/>
      <c r="AS7" s="687"/>
      <c r="AT7" s="688"/>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row>
    <row r="8" spans="1:91" ht="15" customHeight="1" x14ac:dyDescent="0.3">
      <c r="A8" s="65"/>
      <c r="B8" s="581"/>
      <c r="C8" s="581"/>
      <c r="D8" s="582"/>
      <c r="E8" s="680"/>
      <c r="F8" s="679"/>
      <c r="G8" s="679"/>
      <c r="H8" s="679"/>
      <c r="I8" s="695"/>
      <c r="J8" s="34" t="str">
        <f>IF(AND('Mapa final'!$AB$22="Muy Alta",'Mapa final'!$AD$22="Leve"),CONCATENATE("R3C",'Mapa final'!$R$22),"")</f>
        <v/>
      </c>
      <c r="K8" s="35" t="str">
        <f>IF(AND('Mapa final'!$AB$23="Muy Alta",'Mapa final'!$AD$23="Leve"),CONCATENATE("R3C",'Mapa final'!$R$23),"")</f>
        <v/>
      </c>
      <c r="L8" s="35" t="str">
        <f>IF(AND('Mapa final'!$AB$24="Muy Alta",'Mapa final'!$AD$24="Leve"),CONCATENATE("R3C",'Mapa final'!$R$24),"")</f>
        <v/>
      </c>
      <c r="M8" s="35" t="str">
        <f>IF(AND('Mapa final'!$AB$25="Muy Alta",'Mapa final'!$AD$25="Leve"),CONCATENATE("R3C",'Mapa final'!$R$25),"")</f>
        <v/>
      </c>
      <c r="N8" s="35" t="str">
        <f>IF(AND('Mapa final'!$AB$26="Muy Alta",'Mapa final'!$AD$26="Leve"),CONCATENATE("R3C",'Mapa final'!$R$26),"")</f>
        <v/>
      </c>
      <c r="O8" s="36" t="str">
        <f>IF(AND('Mapa final'!$AB$27="Muy Alta",'Mapa final'!$AD$27="Leve"),CONCATENATE("R3C",'Mapa final'!$R$27),"")</f>
        <v/>
      </c>
      <c r="P8" s="34" t="str">
        <f>IF(AND('Mapa final'!$AB$22="Muy Alta",'Mapa final'!$AD$22="Menor"),CONCATENATE("R3C",'Mapa final'!$R$22),"")</f>
        <v/>
      </c>
      <c r="Q8" s="35" t="str">
        <f>IF(AND('Mapa final'!$AB$23="Muy Alta",'Mapa final'!$AD$23="Menor"),CONCATENATE("R3C",'Mapa final'!$R$23),"")</f>
        <v/>
      </c>
      <c r="R8" s="35" t="str">
        <f>IF(AND('Mapa final'!$AB$24="Muy Alta",'Mapa final'!$AD$24="Menor"),CONCATENATE("R3C",'Mapa final'!$R$24),"")</f>
        <v/>
      </c>
      <c r="S8" s="35" t="str">
        <f>IF(AND('Mapa final'!$AB$25="Muy Alta",'Mapa final'!$AD$25="Menor"),CONCATENATE("R3C",'Mapa final'!$R$25),"")</f>
        <v/>
      </c>
      <c r="T8" s="35" t="str">
        <f>IF(AND('Mapa final'!$AB$26="Muy Alta",'Mapa final'!$AD$26="Menor"),CONCATENATE("R3C",'Mapa final'!$R$26),"")</f>
        <v/>
      </c>
      <c r="U8" s="36" t="str">
        <f>IF(AND('Mapa final'!$AB$27="Muy Alta",'Mapa final'!$AD$27="Menor"),CONCATENATE("R3C",'Mapa final'!$R$27),"")</f>
        <v/>
      </c>
      <c r="V8" s="34" t="str">
        <f>IF(AND('Mapa final'!$AB$22="Muy Alta",'Mapa final'!$AD$22="Moderado"),CONCATENATE("R3C",'Mapa final'!$R$22),"")</f>
        <v/>
      </c>
      <c r="W8" s="35" t="str">
        <f>IF(AND('Mapa final'!$AB$23="Muy Alta",'Mapa final'!$AD$23="Moderado"),CONCATENATE("R3C",'Mapa final'!$R$23),"")</f>
        <v/>
      </c>
      <c r="X8" s="35" t="str">
        <f>IF(AND('Mapa final'!$AB$24="Muy Alta",'Mapa final'!$AD$24="Moderado"),CONCATENATE("R3C",'Mapa final'!$R$24),"")</f>
        <v/>
      </c>
      <c r="Y8" s="35" t="str">
        <f>IF(AND('Mapa final'!$AB$25="Muy Alta",'Mapa final'!$AD$25="Moderado"),CONCATENATE("R3C",'Mapa final'!$R$25),"")</f>
        <v/>
      </c>
      <c r="Z8" s="35" t="str">
        <f>IF(AND('Mapa final'!$AB$26="Muy Alta",'Mapa final'!$AD$26="Moderado"),CONCATENATE("R3C",'Mapa final'!$R$26),"")</f>
        <v/>
      </c>
      <c r="AA8" s="36" t="str">
        <f>IF(AND('Mapa final'!$AB$27="Muy Alta",'Mapa final'!$AD$27="Moderado"),CONCATENATE("R3C",'Mapa final'!$R$27),"")</f>
        <v/>
      </c>
      <c r="AB8" s="34" t="str">
        <f>IF(AND('Mapa final'!$AB$22="Muy Alta",'Mapa final'!$AD$22="Mayor"),CONCATENATE("R3C",'Mapa final'!$R$22),"")</f>
        <v/>
      </c>
      <c r="AC8" s="35" t="str">
        <f>IF(AND('Mapa final'!$AB$23="Muy Alta",'Mapa final'!$AD$23="Mayor"),CONCATENATE("R3C",'Mapa final'!$R$23),"")</f>
        <v/>
      </c>
      <c r="AD8" s="35" t="str">
        <f>IF(AND('Mapa final'!$AB$24="Muy Alta",'Mapa final'!$AD$24="Mayor"),CONCATENATE("R3C",'Mapa final'!$R$24),"")</f>
        <v/>
      </c>
      <c r="AE8" s="35" t="str">
        <f>IF(AND('Mapa final'!$AB$25="Muy Alta",'Mapa final'!$AD$25="Mayor"),CONCATENATE("R3C",'Mapa final'!$R$25),"")</f>
        <v/>
      </c>
      <c r="AF8" s="35" t="str">
        <f>IF(AND('Mapa final'!$AB$26="Muy Alta",'Mapa final'!$AD$26="Mayor"),CONCATENATE("R3C",'Mapa final'!$R$26),"")</f>
        <v/>
      </c>
      <c r="AG8" s="36" t="str">
        <f>IF(AND('Mapa final'!$AB$27="Muy Alta",'Mapa final'!$AD$27="Mayor"),CONCATENATE("R3C",'Mapa final'!$R$27),"")</f>
        <v/>
      </c>
      <c r="AH8" s="37" t="str">
        <f>IF(AND('Mapa final'!$AB$22="Muy Alta",'Mapa final'!$AD$22="Catastrófico"),CONCATENATE("R3C",'Mapa final'!$R$22),"")</f>
        <v/>
      </c>
      <c r="AI8" s="38" t="str">
        <f>IF(AND('Mapa final'!$AB$23="Muy Alta",'Mapa final'!$AD$23="Catastrófico"),CONCATENATE("R3C",'Mapa final'!$R$23),"")</f>
        <v/>
      </c>
      <c r="AJ8" s="38" t="str">
        <f>IF(AND('Mapa final'!$AB$24="Muy Alta",'Mapa final'!$AD$24="Catastrófico"),CONCATENATE("R3C",'Mapa final'!$R$24),"")</f>
        <v/>
      </c>
      <c r="AK8" s="38" t="str">
        <f>IF(AND('Mapa final'!$AB$25="Muy Alta",'Mapa final'!$AD$25="Catastrófico"),CONCATENATE("R3C",'Mapa final'!$R$25),"")</f>
        <v/>
      </c>
      <c r="AL8" s="38" t="str">
        <f>IF(AND('Mapa final'!$AB$26="Muy Alta",'Mapa final'!$AD$26="Catastrófico"),CONCATENATE("R3C",'Mapa final'!$R$26),"")</f>
        <v/>
      </c>
      <c r="AM8" s="39" t="str">
        <f>IF(AND('Mapa final'!$AB$27="Muy Alta",'Mapa final'!$AD$27="Catastrófico"),CONCATENATE("R3C",'Mapa final'!$R$27),"")</f>
        <v/>
      </c>
      <c r="AN8" s="65"/>
      <c r="AO8" s="686"/>
      <c r="AP8" s="687"/>
      <c r="AQ8" s="687"/>
      <c r="AR8" s="687"/>
      <c r="AS8" s="687"/>
      <c r="AT8" s="688"/>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row>
    <row r="9" spans="1:91" ht="15" customHeight="1" x14ac:dyDescent="0.3">
      <c r="A9" s="65"/>
      <c r="B9" s="581"/>
      <c r="C9" s="581"/>
      <c r="D9" s="582"/>
      <c r="E9" s="680"/>
      <c r="F9" s="679"/>
      <c r="G9" s="679"/>
      <c r="H9" s="679"/>
      <c r="I9" s="695"/>
      <c r="J9" s="34" t="str">
        <f>IF(AND('Mapa final'!$AB$28="Muy Alta",'Mapa final'!$AD$28="Leve"),CONCATENATE("R4C",'Mapa final'!$R$28),"")</f>
        <v/>
      </c>
      <c r="K9" s="35" t="e">
        <f>IF(AND('Mapa final'!#REF!="Muy Alta",'Mapa final'!#REF!="Leve"),CONCATENATE("R4C",'Mapa final'!#REF!),"")</f>
        <v>#REF!</v>
      </c>
      <c r="L9" s="35" t="str">
        <f>IF(AND('Mapa final'!$AB$29="Muy Alta",'Mapa final'!$AD$29="Leve"),CONCATENATE("R4C",'Mapa final'!$R$29),"")</f>
        <v/>
      </c>
      <c r="M9" s="35" t="str">
        <f>IF(AND('Mapa final'!$AB$30="Muy Alta",'Mapa final'!$AD$30="Leve"),CONCATENATE("R4C",'Mapa final'!$R$30),"")</f>
        <v/>
      </c>
      <c r="N9" s="35" t="str">
        <f>IF(AND('Mapa final'!$AB$31="Muy Alta",'Mapa final'!$AD$31="Leve"),CONCATENATE("R4C",'Mapa final'!$R$31),"")</f>
        <v/>
      </c>
      <c r="O9" s="36" t="str">
        <f>IF(AND('Mapa final'!$AB$32="Muy Alta",'Mapa final'!$AD$32="Leve"),CONCATENATE("R4C",'Mapa final'!$R$32),"")</f>
        <v/>
      </c>
      <c r="P9" s="34" t="str">
        <f>IF(AND('Mapa final'!$AB$28="Muy Alta",'Mapa final'!$AD$28="Menor"),CONCATENATE("R4C",'Mapa final'!$R$28),"")</f>
        <v/>
      </c>
      <c r="Q9" s="35" t="e">
        <f>IF(AND('Mapa final'!#REF!="Muy Alta",'Mapa final'!#REF!="Menor"),CONCATENATE("R4C",'Mapa final'!#REF!),"")</f>
        <v>#REF!</v>
      </c>
      <c r="R9" s="35" t="str">
        <f>IF(AND('Mapa final'!$AB$29="Muy Alta",'Mapa final'!$AD$29="Menor"),CONCATENATE("R4C",'Mapa final'!$R$29),"")</f>
        <v/>
      </c>
      <c r="S9" s="35" t="str">
        <f>IF(AND('Mapa final'!$AB$30="Muy Alta",'Mapa final'!$AD$30="Menor"),CONCATENATE("R4C",'Mapa final'!$R$30),"")</f>
        <v/>
      </c>
      <c r="T9" s="35" t="str">
        <f>IF(AND('Mapa final'!$AB$31="Muy Alta",'Mapa final'!$AD$31="Menor"),CONCATENATE("R4C",'Mapa final'!$R$31),"")</f>
        <v/>
      </c>
      <c r="U9" s="36" t="str">
        <f>IF(AND('Mapa final'!$AB$32="Muy Alta",'Mapa final'!$AD$32="Menor"),CONCATENATE("R4C",'Mapa final'!$R$32),"")</f>
        <v/>
      </c>
      <c r="V9" s="34" t="str">
        <f>IF(AND('Mapa final'!$AB$28="Muy Alta",'Mapa final'!$AD$28="Moderado"),CONCATENATE("R4C",'Mapa final'!$R$28),"")</f>
        <v/>
      </c>
      <c r="W9" s="35" t="e">
        <f>IF(AND('Mapa final'!#REF!="Muy Alta",'Mapa final'!#REF!="Moderado"),CONCATENATE("R4C",'Mapa final'!#REF!),"")</f>
        <v>#REF!</v>
      </c>
      <c r="X9" s="35" t="str">
        <f>IF(AND('Mapa final'!$AB$29="Muy Alta",'Mapa final'!$AD$29="Moderado"),CONCATENATE("R4C",'Mapa final'!$R$29),"")</f>
        <v/>
      </c>
      <c r="Y9" s="35" t="str">
        <f>IF(AND('Mapa final'!$AB$30="Muy Alta",'Mapa final'!$AD$30="Moderado"),CONCATENATE("R4C",'Mapa final'!$R$30),"")</f>
        <v/>
      </c>
      <c r="Z9" s="35" t="str">
        <f>IF(AND('Mapa final'!$AB$31="Muy Alta",'Mapa final'!$AD$31="Moderado"),CONCATENATE("R4C",'Mapa final'!$R$31),"")</f>
        <v/>
      </c>
      <c r="AA9" s="36" t="str">
        <f>IF(AND('Mapa final'!$AB$32="Muy Alta",'Mapa final'!$AD$32="Moderado"),CONCATENATE("R4C",'Mapa final'!$R$32),"")</f>
        <v/>
      </c>
      <c r="AB9" s="34" t="str">
        <f>IF(AND('Mapa final'!$AB$28="Muy Alta",'Mapa final'!$AD$28="Mayor"),CONCATENATE("R4C",'Mapa final'!$R$28),"")</f>
        <v/>
      </c>
      <c r="AC9" s="35" t="e">
        <f>IF(AND('Mapa final'!#REF!="Muy Alta",'Mapa final'!#REF!="Mayor"),CONCATENATE("R4C",'Mapa final'!#REF!),"")</f>
        <v>#REF!</v>
      </c>
      <c r="AD9" s="35" t="str">
        <f>IF(AND('Mapa final'!$AB$29="Muy Alta",'Mapa final'!$AD$29="Mayor"),CONCATENATE("R4C",'Mapa final'!$R$29),"")</f>
        <v/>
      </c>
      <c r="AE9" s="35" t="str">
        <f>IF(AND('Mapa final'!$AB$30="Muy Alta",'Mapa final'!$AD$30="Mayor"),CONCATENATE("R4C",'Mapa final'!$R$30),"")</f>
        <v/>
      </c>
      <c r="AF9" s="35" t="str">
        <f>IF(AND('Mapa final'!$AB$31="Muy Alta",'Mapa final'!$AD$31="Mayor"),CONCATENATE("R4C",'Mapa final'!$R$31),"")</f>
        <v/>
      </c>
      <c r="AG9" s="36" t="str">
        <f>IF(AND('Mapa final'!$AB$32="Muy Alta",'Mapa final'!$AD$32="Mayor"),CONCATENATE("R4C",'Mapa final'!$R$32),"")</f>
        <v/>
      </c>
      <c r="AH9" s="37" t="str">
        <f>IF(AND('Mapa final'!$AB$28="Muy Alta",'Mapa final'!$AD$28="Catastrófico"),CONCATENATE("R4C",'Mapa final'!$R$28),"")</f>
        <v/>
      </c>
      <c r="AI9" s="38" t="e">
        <f>IF(AND('Mapa final'!#REF!="Muy Alta",'Mapa final'!#REF!="Catastrófico"),CONCATENATE("R4C",'Mapa final'!#REF!),"")</f>
        <v>#REF!</v>
      </c>
      <c r="AJ9" s="38" t="str">
        <f>IF(AND('Mapa final'!$AB$29="Muy Alta",'Mapa final'!$AD$29="Catastrófico"),CONCATENATE("R4C",'Mapa final'!$R$29),"")</f>
        <v/>
      </c>
      <c r="AK9" s="38" t="str">
        <f>IF(AND('Mapa final'!$AB$30="Muy Alta",'Mapa final'!$AD$30="Catastrófico"),CONCATENATE("R4C",'Mapa final'!$R$30),"")</f>
        <v/>
      </c>
      <c r="AL9" s="38" t="str">
        <f>IF(AND('Mapa final'!$AB$31="Muy Alta",'Mapa final'!$AD$31="Catastrófico"),CONCATENATE("R4C",'Mapa final'!$R$31),"")</f>
        <v/>
      </c>
      <c r="AM9" s="39" t="str">
        <f>IF(AND('Mapa final'!$AB$32="Muy Alta",'Mapa final'!$AD$32="Catastrófico"),CONCATENATE("R4C",'Mapa final'!$R$32),"")</f>
        <v/>
      </c>
      <c r="AN9" s="65"/>
      <c r="AO9" s="686"/>
      <c r="AP9" s="687"/>
      <c r="AQ9" s="687"/>
      <c r="AR9" s="687"/>
      <c r="AS9" s="687"/>
      <c r="AT9" s="688"/>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row>
    <row r="10" spans="1:91" ht="15" customHeight="1" x14ac:dyDescent="0.3">
      <c r="A10" s="65"/>
      <c r="B10" s="581"/>
      <c r="C10" s="581"/>
      <c r="D10" s="582"/>
      <c r="E10" s="680"/>
      <c r="F10" s="679"/>
      <c r="G10" s="679"/>
      <c r="H10" s="679"/>
      <c r="I10" s="695"/>
      <c r="J10" s="34" t="str">
        <f>IF(AND('Mapa final'!$AB$33="Muy Alta",'Mapa final'!$AD$33="Leve"),CONCATENATE("R5C",'Mapa final'!$R$33),"")</f>
        <v/>
      </c>
      <c r="K10" s="35" t="str">
        <f>IF(AND('Mapa final'!$AB$34="Muy Alta",'Mapa final'!$AD$34="Leve"),CONCATENATE("R5C",'Mapa final'!$R$34),"")</f>
        <v/>
      </c>
      <c r="L10" s="35" t="str">
        <f>IF(AND('Mapa final'!$AB$35="Muy Alta",'Mapa final'!$AD$35="Leve"),CONCATENATE("R5C",'Mapa final'!$R$35),"")</f>
        <v/>
      </c>
      <c r="M10" s="35" t="str">
        <f>IF(AND('Mapa final'!$AB$36="Muy Alta",'Mapa final'!$AD$36="Leve"),CONCATENATE("R5C",'Mapa final'!$R$36),"")</f>
        <v/>
      </c>
      <c r="N10" s="35" t="str">
        <f>IF(AND('Mapa final'!$AB$37="Muy Alta",'Mapa final'!$AD$37="Leve"),CONCATENATE("R5C",'Mapa final'!$R$37),"")</f>
        <v/>
      </c>
      <c r="O10" s="36" t="str">
        <f>IF(AND('Mapa final'!$AB$38="Muy Alta",'Mapa final'!$AD$38="Leve"),CONCATENATE("R5C",'Mapa final'!$R$38),"")</f>
        <v/>
      </c>
      <c r="P10" s="34" t="str">
        <f>IF(AND('Mapa final'!$AB$33="Muy Alta",'Mapa final'!$AD$33="Menor"),CONCATENATE("R5C",'Mapa final'!$R$33),"")</f>
        <v/>
      </c>
      <c r="Q10" s="35" t="str">
        <f>IF(AND('Mapa final'!$AB$34="Muy Alta",'Mapa final'!$AD$34="Menor"),CONCATENATE("R5C",'Mapa final'!$R$34),"")</f>
        <v/>
      </c>
      <c r="R10" s="35" t="str">
        <f>IF(AND('Mapa final'!$AB$35="Muy Alta",'Mapa final'!$AD$35="Menor"),CONCATENATE("R5C",'Mapa final'!$R$35),"")</f>
        <v/>
      </c>
      <c r="S10" s="35" t="str">
        <f>IF(AND('Mapa final'!$AB$36="Muy Alta",'Mapa final'!$AD$36="Menor"),CONCATENATE("R5C",'Mapa final'!$R$36),"")</f>
        <v/>
      </c>
      <c r="T10" s="35" t="str">
        <f>IF(AND('Mapa final'!$AB$37="Muy Alta",'Mapa final'!$AD$37="Menor"),CONCATENATE("R5C",'Mapa final'!$R$37),"")</f>
        <v/>
      </c>
      <c r="U10" s="36" t="str">
        <f>IF(AND('Mapa final'!$AB$38="Muy Alta",'Mapa final'!$AD$38="Menor"),CONCATENATE("R5C",'Mapa final'!$R$38),"")</f>
        <v/>
      </c>
      <c r="V10" s="34" t="str">
        <f>IF(AND('Mapa final'!$AB$33="Muy Alta",'Mapa final'!$AD$33="Moderado"),CONCATENATE("R5C",'Mapa final'!$R$33),"")</f>
        <v/>
      </c>
      <c r="W10" s="35" t="str">
        <f>IF(AND('Mapa final'!$AB$34="Muy Alta",'Mapa final'!$AD$34="Moderado"),CONCATENATE("R5C",'Mapa final'!$R$34),"")</f>
        <v/>
      </c>
      <c r="X10" s="35" t="str">
        <f>IF(AND('Mapa final'!$AB$35="Muy Alta",'Mapa final'!$AD$35="Moderado"),CONCATENATE("R5C",'Mapa final'!$R$35),"")</f>
        <v/>
      </c>
      <c r="Y10" s="35" t="str">
        <f>IF(AND('Mapa final'!$AB$36="Muy Alta",'Mapa final'!$AD$36="Moderado"),CONCATENATE("R5C",'Mapa final'!$R$36),"")</f>
        <v/>
      </c>
      <c r="Z10" s="35" t="str">
        <f>IF(AND('Mapa final'!$AB$37="Muy Alta",'Mapa final'!$AD$37="Moderado"),CONCATENATE("R5C",'Mapa final'!$R$37),"")</f>
        <v/>
      </c>
      <c r="AA10" s="36" t="str">
        <f>IF(AND('Mapa final'!$AB$38="Muy Alta",'Mapa final'!$AD$38="Moderado"),CONCATENATE("R5C",'Mapa final'!$R$38),"")</f>
        <v/>
      </c>
      <c r="AB10" s="34" t="str">
        <f>IF(AND('Mapa final'!$AB$33="Muy Alta",'Mapa final'!$AD$33="Mayor"),CONCATENATE("R5C",'Mapa final'!$R$33),"")</f>
        <v/>
      </c>
      <c r="AC10" s="35" t="str">
        <f>IF(AND('Mapa final'!$AB$34="Muy Alta",'Mapa final'!$AD$34="Mayor"),CONCATENATE("R5C",'Mapa final'!$R$34),"")</f>
        <v/>
      </c>
      <c r="AD10" s="35" t="str">
        <f>IF(AND('Mapa final'!$AB$35="Muy Alta",'Mapa final'!$AD$35="Mayor"),CONCATENATE("R5C",'Mapa final'!$R$35),"")</f>
        <v/>
      </c>
      <c r="AE10" s="35" t="str">
        <f>IF(AND('Mapa final'!$AB$36="Muy Alta",'Mapa final'!$AD$36="Mayor"),CONCATENATE("R5C",'Mapa final'!$R$36),"")</f>
        <v/>
      </c>
      <c r="AF10" s="35" t="str">
        <f>IF(AND('Mapa final'!$AB$37="Muy Alta",'Mapa final'!$AD$37="Mayor"),CONCATENATE("R5C",'Mapa final'!$R$37),"")</f>
        <v/>
      </c>
      <c r="AG10" s="36" t="str">
        <f>IF(AND('Mapa final'!$AB$38="Muy Alta",'Mapa final'!$AD$38="Mayor"),CONCATENATE("R5C",'Mapa final'!$R$38),"")</f>
        <v/>
      </c>
      <c r="AH10" s="37" t="str">
        <f>IF(AND('Mapa final'!$AB$33="Muy Alta",'Mapa final'!$AD$33="Catastrófico"),CONCATENATE("R5C",'Mapa final'!$R$33),"")</f>
        <v/>
      </c>
      <c r="AI10" s="38" t="str">
        <f>IF(AND('Mapa final'!$AB$34="Muy Alta",'Mapa final'!$AD$34="Catastrófico"),CONCATENATE("R5C",'Mapa final'!$R$34),"")</f>
        <v/>
      </c>
      <c r="AJ10" s="38" t="str">
        <f>IF(AND('Mapa final'!$AB$35="Muy Alta",'Mapa final'!$AD$35="Catastrófico"),CONCATENATE("R5C",'Mapa final'!$R$35),"")</f>
        <v/>
      </c>
      <c r="AK10" s="38" t="str">
        <f>IF(AND('Mapa final'!$AB$36="Muy Alta",'Mapa final'!$AD$36="Catastrófico"),CONCATENATE("R5C",'Mapa final'!$R$36),"")</f>
        <v/>
      </c>
      <c r="AL10" s="38" t="str">
        <f>IF(AND('Mapa final'!$AB$37="Muy Alta",'Mapa final'!$AD$37="Catastrófico"),CONCATENATE("R5C",'Mapa final'!$R$37),"")</f>
        <v/>
      </c>
      <c r="AM10" s="39" t="str">
        <f>IF(AND('Mapa final'!$AB$38="Muy Alta",'Mapa final'!$AD$38="Catastrófico"),CONCATENATE("R5C",'Mapa final'!$R$38),"")</f>
        <v/>
      </c>
      <c r="AN10" s="65"/>
      <c r="AO10" s="686"/>
      <c r="AP10" s="687"/>
      <c r="AQ10" s="687"/>
      <c r="AR10" s="687"/>
      <c r="AS10" s="687"/>
      <c r="AT10" s="688"/>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row>
    <row r="11" spans="1:91" ht="15" customHeight="1" x14ac:dyDescent="0.3">
      <c r="A11" s="65"/>
      <c r="B11" s="581"/>
      <c r="C11" s="581"/>
      <c r="D11" s="582"/>
      <c r="E11" s="680"/>
      <c r="F11" s="679"/>
      <c r="G11" s="679"/>
      <c r="H11" s="679"/>
      <c r="I11" s="695"/>
      <c r="J11" s="34" t="str">
        <f>IF(AND('Mapa final'!$AB$39="Muy Alta",'Mapa final'!$AD$39="Leve"),CONCATENATE("R6C",'Mapa final'!$R$39),"")</f>
        <v/>
      </c>
      <c r="K11" s="35" t="str">
        <f>IF(AND('Mapa final'!$AB$40="Muy Alta",'Mapa final'!$AD$40="Leve"),CONCATENATE("R6C",'Mapa final'!$R$40),"")</f>
        <v/>
      </c>
      <c r="L11" s="35" t="str">
        <f>IF(AND('Mapa final'!$AB$41="Muy Alta",'Mapa final'!$AD$41="Leve"),CONCATENATE("R6C",'Mapa final'!$R$41),"")</f>
        <v/>
      </c>
      <c r="M11" s="35" t="str">
        <f>IF(AND('Mapa final'!$AB$42="Muy Alta",'Mapa final'!$AD$42="Leve"),CONCATENATE("R6C",'Mapa final'!$R$42),"")</f>
        <v/>
      </c>
      <c r="N11" s="35" t="str">
        <f>IF(AND('Mapa final'!$AB$43="Muy Alta",'Mapa final'!$AD$43="Leve"),CONCATENATE("R6C",'Mapa final'!$R$43),"")</f>
        <v/>
      </c>
      <c r="O11" s="36" t="str">
        <f>IF(AND('Mapa final'!$AB$44="Muy Alta",'Mapa final'!$AD$44="Leve"),CONCATENATE("R6C",'Mapa final'!$R$44),"")</f>
        <v/>
      </c>
      <c r="P11" s="34" t="str">
        <f>IF(AND('Mapa final'!$AB$39="Muy Alta",'Mapa final'!$AD$39="Menor"),CONCATENATE("R6C",'Mapa final'!$R$39),"")</f>
        <v/>
      </c>
      <c r="Q11" s="35" t="str">
        <f>IF(AND('Mapa final'!$AB$40="Muy Alta",'Mapa final'!$AD$40="Menor"),CONCATENATE("R6C",'Mapa final'!$R$40),"")</f>
        <v/>
      </c>
      <c r="R11" s="35" t="str">
        <f>IF(AND('Mapa final'!$AB$41="Muy Alta",'Mapa final'!$AD$41="Menor"),CONCATENATE("R6C",'Mapa final'!$R$41),"")</f>
        <v/>
      </c>
      <c r="S11" s="35" t="str">
        <f>IF(AND('Mapa final'!$AB$42="Muy Alta",'Mapa final'!$AD$42="Menor"),CONCATENATE("R6C",'Mapa final'!$R$42),"")</f>
        <v/>
      </c>
      <c r="T11" s="35" t="str">
        <f>IF(AND('Mapa final'!$AB$43="Muy Alta",'Mapa final'!$AD$43="Menor"),CONCATENATE("R6C",'Mapa final'!$R$43),"")</f>
        <v/>
      </c>
      <c r="U11" s="36" t="str">
        <f>IF(AND('Mapa final'!$AB$44="Muy Alta",'Mapa final'!$AD$44="Menor"),CONCATENATE("R6C",'Mapa final'!$R$44),"")</f>
        <v/>
      </c>
      <c r="V11" s="34" t="str">
        <f>IF(AND('Mapa final'!$AB$39="Muy Alta",'Mapa final'!$AD$39="Moderado"),CONCATENATE("R6C",'Mapa final'!$R$39),"")</f>
        <v/>
      </c>
      <c r="W11" s="35" t="str">
        <f>IF(AND('Mapa final'!$AB$40="Muy Alta",'Mapa final'!$AD$40="Moderado"),CONCATENATE("R6C",'Mapa final'!$R$40),"")</f>
        <v/>
      </c>
      <c r="X11" s="35" t="str">
        <f>IF(AND('Mapa final'!$AB$41="Muy Alta",'Mapa final'!$AD$41="Moderado"),CONCATENATE("R6C",'Mapa final'!$R$41),"")</f>
        <v/>
      </c>
      <c r="Y11" s="35" t="str">
        <f>IF(AND('Mapa final'!$AB$42="Muy Alta",'Mapa final'!$AD$42="Moderado"),CONCATENATE("R6C",'Mapa final'!$R$42),"")</f>
        <v/>
      </c>
      <c r="Z11" s="35" t="str">
        <f>IF(AND('Mapa final'!$AB$43="Muy Alta",'Mapa final'!$AD$43="Moderado"),CONCATENATE("R6C",'Mapa final'!$R$43),"")</f>
        <v/>
      </c>
      <c r="AA11" s="36" t="str">
        <f>IF(AND('Mapa final'!$AB$44="Muy Alta",'Mapa final'!$AD$44="Moderado"),CONCATENATE("R6C",'Mapa final'!$R$44),"")</f>
        <v/>
      </c>
      <c r="AB11" s="34" t="str">
        <f>IF(AND('Mapa final'!$AB$39="Muy Alta",'Mapa final'!$AD$39="Mayor"),CONCATENATE("R6C",'Mapa final'!$R$39),"")</f>
        <v/>
      </c>
      <c r="AC11" s="35" t="str">
        <f>IF(AND('Mapa final'!$AB$40="Muy Alta",'Mapa final'!$AD$40="Mayor"),CONCATENATE("R6C",'Mapa final'!$R$40),"")</f>
        <v/>
      </c>
      <c r="AD11" s="35" t="str">
        <f>IF(AND('Mapa final'!$AB$41="Muy Alta",'Mapa final'!$AD$41="Mayor"),CONCATENATE("R6C",'Mapa final'!$R$41),"")</f>
        <v/>
      </c>
      <c r="AE11" s="35" t="str">
        <f>IF(AND('Mapa final'!$AB$42="Muy Alta",'Mapa final'!$AD$42="Mayor"),CONCATENATE("R6C",'Mapa final'!$R$42),"")</f>
        <v/>
      </c>
      <c r="AF11" s="35" t="str">
        <f>IF(AND('Mapa final'!$AB$43="Muy Alta",'Mapa final'!$AD$43="Mayor"),CONCATENATE("R6C",'Mapa final'!$R$43),"")</f>
        <v/>
      </c>
      <c r="AG11" s="36" t="str">
        <f>IF(AND('Mapa final'!$AB$44="Muy Alta",'Mapa final'!$AD$44="Mayor"),CONCATENATE("R6C",'Mapa final'!$R$44),"")</f>
        <v/>
      </c>
      <c r="AH11" s="37" t="str">
        <f>IF(AND('Mapa final'!$AB$39="Muy Alta",'Mapa final'!$AD$39="Catastrófico"),CONCATENATE("R6C",'Mapa final'!$R$39),"")</f>
        <v/>
      </c>
      <c r="AI11" s="38" t="str">
        <f>IF(AND('Mapa final'!$AB$40="Muy Alta",'Mapa final'!$AD$40="Catastrófico"),CONCATENATE("R6C",'Mapa final'!$R$40),"")</f>
        <v/>
      </c>
      <c r="AJ11" s="38" t="str">
        <f>IF(AND('Mapa final'!$AB$41="Muy Alta",'Mapa final'!$AD$41="Catastrófico"),CONCATENATE("R6C",'Mapa final'!$R$41),"")</f>
        <v/>
      </c>
      <c r="AK11" s="38" t="str">
        <f>IF(AND('Mapa final'!$AB$42="Muy Alta",'Mapa final'!$AD$42="Catastrófico"),CONCATENATE("R6C",'Mapa final'!$R$42),"")</f>
        <v/>
      </c>
      <c r="AL11" s="38" t="str">
        <f>IF(AND('Mapa final'!$AB$43="Muy Alta",'Mapa final'!$AD$43="Catastrófico"),CONCATENATE("R6C",'Mapa final'!$R$43),"")</f>
        <v/>
      </c>
      <c r="AM11" s="39" t="str">
        <f>IF(AND('Mapa final'!$AB$44="Muy Alta",'Mapa final'!$AD$44="Catastrófico"),CONCATENATE("R6C",'Mapa final'!$R$44),"")</f>
        <v/>
      </c>
      <c r="AN11" s="65"/>
      <c r="AO11" s="686"/>
      <c r="AP11" s="687"/>
      <c r="AQ11" s="687"/>
      <c r="AR11" s="687"/>
      <c r="AS11" s="687"/>
      <c r="AT11" s="688"/>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row>
    <row r="12" spans="1:91" ht="15" customHeight="1" x14ac:dyDescent="0.3">
      <c r="A12" s="65"/>
      <c r="B12" s="581"/>
      <c r="C12" s="581"/>
      <c r="D12" s="582"/>
      <c r="E12" s="680"/>
      <c r="F12" s="679"/>
      <c r="G12" s="679"/>
      <c r="H12" s="679"/>
      <c r="I12" s="695"/>
      <c r="J12" s="34" t="str">
        <f>IF(AND('Mapa final'!$AB$45="Muy Alta",'Mapa final'!$AD$45="Leve"),CONCATENATE("R7C",'Mapa final'!$R$45),"")</f>
        <v/>
      </c>
      <c r="K12" s="35" t="str">
        <f>IF(AND('Mapa final'!$AB$46="Muy Alta",'Mapa final'!$AD$46="Leve"),CONCATENATE("R7C",'Mapa final'!$R$46),"")</f>
        <v/>
      </c>
      <c r="L12" s="35" t="str">
        <f>IF(AND('Mapa final'!$AB$47="Muy Alta",'Mapa final'!$AD$47="Leve"),CONCATENATE("R7C",'Mapa final'!$R$47),"")</f>
        <v/>
      </c>
      <c r="M12" s="35" t="str">
        <f>IF(AND('Mapa final'!$AB$48="Muy Alta",'Mapa final'!$AD$48="Leve"),CONCATENATE("R7C",'Mapa final'!$R$48),"")</f>
        <v/>
      </c>
      <c r="N12" s="35" t="str">
        <f>IF(AND('Mapa final'!$AB$49="Muy Alta",'Mapa final'!$AD$49="Leve"),CONCATENATE("R7C",'Mapa final'!$R$49),"")</f>
        <v/>
      </c>
      <c r="O12" s="36" t="str">
        <f>IF(AND('Mapa final'!$AB$50="Muy Alta",'Mapa final'!$AD$50="Leve"),CONCATENATE("R7C",'Mapa final'!$R$50),"")</f>
        <v/>
      </c>
      <c r="P12" s="34" t="str">
        <f>IF(AND('Mapa final'!$AB$45="Muy Alta",'Mapa final'!$AD$45="Menor"),CONCATENATE("R7C",'Mapa final'!$R$45),"")</f>
        <v/>
      </c>
      <c r="Q12" s="35" t="str">
        <f>IF(AND('Mapa final'!$AB$46="Muy Alta",'Mapa final'!$AD$46="Menor"),CONCATENATE("R7C",'Mapa final'!$R$46),"")</f>
        <v/>
      </c>
      <c r="R12" s="35" t="str">
        <f>IF(AND('Mapa final'!$AB$47="Muy Alta",'Mapa final'!$AD$47="Menor"),CONCATENATE("R7C",'Mapa final'!$R$47),"")</f>
        <v/>
      </c>
      <c r="S12" s="35" t="str">
        <f>IF(AND('Mapa final'!$AB$48="Muy Alta",'Mapa final'!$AD$48="Menor"),CONCATENATE("R7C",'Mapa final'!$R$48),"")</f>
        <v/>
      </c>
      <c r="T12" s="35" t="str">
        <f>IF(AND('Mapa final'!$AB$49="Muy Alta",'Mapa final'!$AD$49="Menor"),CONCATENATE("R7C",'Mapa final'!$R$49),"")</f>
        <v/>
      </c>
      <c r="U12" s="36" t="str">
        <f>IF(AND('Mapa final'!$AB$50="Muy Alta",'Mapa final'!$AD$50="Menor"),CONCATENATE("R7C",'Mapa final'!$R$50),"")</f>
        <v/>
      </c>
      <c r="V12" s="34" t="str">
        <f>IF(AND('Mapa final'!$AB$45="Muy Alta",'Mapa final'!$AD$45="Moderado"),CONCATENATE("R7C",'Mapa final'!$R$45),"")</f>
        <v/>
      </c>
      <c r="W12" s="35" t="str">
        <f>IF(AND('Mapa final'!$AB$46="Muy Alta",'Mapa final'!$AD$46="Moderado"),CONCATENATE("R7C",'Mapa final'!$R$46),"")</f>
        <v/>
      </c>
      <c r="X12" s="35" t="str">
        <f>IF(AND('Mapa final'!$AB$47="Muy Alta",'Mapa final'!$AD$47="Moderado"),CONCATENATE("R7C",'Mapa final'!$R$47),"")</f>
        <v/>
      </c>
      <c r="Y12" s="35" t="str">
        <f>IF(AND('Mapa final'!$AB$48="Muy Alta",'Mapa final'!$AD$48="Moderado"),CONCATENATE("R7C",'Mapa final'!$R$48),"")</f>
        <v/>
      </c>
      <c r="Z12" s="35" t="str">
        <f>IF(AND('Mapa final'!$AB$49="Muy Alta",'Mapa final'!$AD$49="Moderado"),CONCATENATE("R7C",'Mapa final'!$R$49),"")</f>
        <v/>
      </c>
      <c r="AA12" s="36" t="str">
        <f>IF(AND('Mapa final'!$AB$50="Muy Alta",'Mapa final'!$AD$50="Moderado"),CONCATENATE("R7C",'Mapa final'!$R$50),"")</f>
        <v/>
      </c>
      <c r="AB12" s="34" t="str">
        <f>IF(AND('Mapa final'!$AB$45="Muy Alta",'Mapa final'!$AD$45="Mayor"),CONCATENATE("R7C",'Mapa final'!$R$45),"")</f>
        <v/>
      </c>
      <c r="AC12" s="35" t="str">
        <f>IF(AND('Mapa final'!$AB$46="Muy Alta",'Mapa final'!$AD$46="Mayor"),CONCATENATE("R7C",'Mapa final'!$R$46),"")</f>
        <v/>
      </c>
      <c r="AD12" s="35" t="str">
        <f>IF(AND('Mapa final'!$AB$47="Muy Alta",'Mapa final'!$AD$47="Mayor"),CONCATENATE("R7C",'Mapa final'!$R$47),"")</f>
        <v/>
      </c>
      <c r="AE12" s="35" t="str">
        <f>IF(AND('Mapa final'!$AB$48="Muy Alta",'Mapa final'!$AD$48="Mayor"),CONCATENATE("R7C",'Mapa final'!$R$48),"")</f>
        <v/>
      </c>
      <c r="AF12" s="35" t="str">
        <f>IF(AND('Mapa final'!$AB$49="Muy Alta",'Mapa final'!$AD$49="Mayor"),CONCATENATE("R7C",'Mapa final'!$R$49),"")</f>
        <v/>
      </c>
      <c r="AG12" s="36" t="str">
        <f>IF(AND('Mapa final'!$AB$50="Muy Alta",'Mapa final'!$AD$50="Mayor"),CONCATENATE("R7C",'Mapa final'!$R$50),"")</f>
        <v/>
      </c>
      <c r="AH12" s="37" t="str">
        <f>IF(AND('Mapa final'!$AB$45="Muy Alta",'Mapa final'!$AD$45="Catastrófico"),CONCATENATE("R7C",'Mapa final'!$R$45),"")</f>
        <v/>
      </c>
      <c r="AI12" s="38" t="str">
        <f>IF(AND('Mapa final'!$AB$46="Muy Alta",'Mapa final'!$AD$46="Catastrófico"),CONCATENATE("R7C",'Mapa final'!$R$46),"")</f>
        <v/>
      </c>
      <c r="AJ12" s="38" t="str">
        <f>IF(AND('Mapa final'!$AB$47="Muy Alta",'Mapa final'!$AD$47="Catastrófico"),CONCATENATE("R7C",'Mapa final'!$R$47),"")</f>
        <v/>
      </c>
      <c r="AK12" s="38" t="str">
        <f>IF(AND('Mapa final'!$AB$48="Muy Alta",'Mapa final'!$AD$48="Catastrófico"),CONCATENATE("R7C",'Mapa final'!$R$48),"")</f>
        <v/>
      </c>
      <c r="AL12" s="38" t="str">
        <f>IF(AND('Mapa final'!$AB$49="Muy Alta",'Mapa final'!$AD$49="Catastrófico"),CONCATENATE("R7C",'Mapa final'!$R$49),"")</f>
        <v/>
      </c>
      <c r="AM12" s="39" t="str">
        <f>IF(AND('Mapa final'!$AB$50="Muy Alta",'Mapa final'!$AD$50="Catastrófico"),CONCATENATE("R7C",'Mapa final'!$R$50),"")</f>
        <v/>
      </c>
      <c r="AN12" s="65"/>
      <c r="AO12" s="686"/>
      <c r="AP12" s="687"/>
      <c r="AQ12" s="687"/>
      <c r="AR12" s="687"/>
      <c r="AS12" s="687"/>
      <c r="AT12" s="688"/>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row>
    <row r="13" spans="1:91" ht="15" customHeight="1" x14ac:dyDescent="0.3">
      <c r="A13" s="65"/>
      <c r="B13" s="581"/>
      <c r="C13" s="581"/>
      <c r="D13" s="582"/>
      <c r="E13" s="680"/>
      <c r="F13" s="679"/>
      <c r="G13" s="679"/>
      <c r="H13" s="679"/>
      <c r="I13" s="695"/>
      <c r="J13" s="34" t="str">
        <f>IF(AND('Mapa final'!$AB$51="Muy Alta",'Mapa final'!$AD$51="Leve"),CONCATENATE("R8C",'Mapa final'!$R$51),"")</f>
        <v/>
      </c>
      <c r="K13" s="35" t="str">
        <f>IF(AND('Mapa final'!$AB$52="Muy Alta",'Mapa final'!$AD$52="Leve"),CONCATENATE("R8C",'Mapa final'!$R$52),"")</f>
        <v/>
      </c>
      <c r="L13" s="35" t="str">
        <f>IF(AND('Mapa final'!$AB$53="Muy Alta",'Mapa final'!$AD$53="Leve"),CONCATENATE("R8C",'Mapa final'!$R$53),"")</f>
        <v/>
      </c>
      <c r="M13" s="35" t="str">
        <f>IF(AND('Mapa final'!$AB$54="Muy Alta",'Mapa final'!$AD$54="Leve"),CONCATENATE("R8C",'Mapa final'!$R$54),"")</f>
        <v/>
      </c>
      <c r="N13" s="35" t="str">
        <f>IF(AND('Mapa final'!$AB$55="Muy Alta",'Mapa final'!$AD$55="Leve"),CONCATENATE("R8C",'Mapa final'!$R$55),"")</f>
        <v/>
      </c>
      <c r="O13" s="36" t="str">
        <f>IF(AND('Mapa final'!$AB$56="Muy Alta",'Mapa final'!$AD$56="Leve"),CONCATENATE("R8C",'Mapa final'!$R$56),"")</f>
        <v/>
      </c>
      <c r="P13" s="34" t="str">
        <f>IF(AND('Mapa final'!$AB$51="Muy Alta",'Mapa final'!$AD$51="Menor"),CONCATENATE("R8C",'Mapa final'!$R$51),"")</f>
        <v/>
      </c>
      <c r="Q13" s="35" t="str">
        <f>IF(AND('Mapa final'!$AB$52="Muy Alta",'Mapa final'!$AD$52="Menor"),CONCATENATE("R8C",'Mapa final'!$R$52),"")</f>
        <v/>
      </c>
      <c r="R13" s="35" t="str">
        <f>IF(AND('Mapa final'!$AB$53="Muy Alta",'Mapa final'!$AD$53="Menor"),CONCATENATE("R8C",'Mapa final'!$R$53),"")</f>
        <v/>
      </c>
      <c r="S13" s="35" t="str">
        <f>IF(AND('Mapa final'!$AB$54="Muy Alta",'Mapa final'!$AD$54="Menor"),CONCATENATE("R8C",'Mapa final'!$R$54),"")</f>
        <v/>
      </c>
      <c r="T13" s="35" t="str">
        <f>IF(AND('Mapa final'!$AB$55="Muy Alta",'Mapa final'!$AD$55="Menor"),CONCATENATE("R8C",'Mapa final'!$R$55),"")</f>
        <v/>
      </c>
      <c r="U13" s="36" t="str">
        <f>IF(AND('Mapa final'!$AB$56="Muy Alta",'Mapa final'!$AD$56="Menor"),CONCATENATE("R8C",'Mapa final'!$R$56),"")</f>
        <v/>
      </c>
      <c r="V13" s="34" t="str">
        <f>IF(AND('Mapa final'!$AB$51="Muy Alta",'Mapa final'!$AD$51="Moderado"),CONCATENATE("R8C",'Mapa final'!$R$51),"")</f>
        <v/>
      </c>
      <c r="W13" s="35" t="str">
        <f>IF(AND('Mapa final'!$AB$52="Muy Alta",'Mapa final'!$AD$52="Moderado"),CONCATENATE("R8C",'Mapa final'!$R$52),"")</f>
        <v/>
      </c>
      <c r="X13" s="35" t="str">
        <f>IF(AND('Mapa final'!$AB$53="Muy Alta",'Mapa final'!$AD$53="Moderado"),CONCATENATE("R8C",'Mapa final'!$R$53),"")</f>
        <v/>
      </c>
      <c r="Y13" s="35" t="str">
        <f>IF(AND('Mapa final'!$AB$54="Muy Alta",'Mapa final'!$AD$54="Moderado"),CONCATENATE("R8C",'Mapa final'!$R$54),"")</f>
        <v/>
      </c>
      <c r="Z13" s="35" t="str">
        <f>IF(AND('Mapa final'!$AB$55="Muy Alta",'Mapa final'!$AD$55="Moderado"),CONCATENATE("R8C",'Mapa final'!$R$55),"")</f>
        <v/>
      </c>
      <c r="AA13" s="36" t="str">
        <f>IF(AND('Mapa final'!$AB$56="Muy Alta",'Mapa final'!$AD$56="Moderado"),CONCATENATE("R8C",'Mapa final'!$R$56),"")</f>
        <v/>
      </c>
      <c r="AB13" s="34" t="str">
        <f>IF(AND('Mapa final'!$AB$51="Muy Alta",'Mapa final'!$AD$51="Mayor"),CONCATENATE("R8C",'Mapa final'!$R$51),"")</f>
        <v/>
      </c>
      <c r="AC13" s="35" t="str">
        <f>IF(AND('Mapa final'!$AB$52="Muy Alta",'Mapa final'!$AD$52="Mayor"),CONCATENATE("R8C",'Mapa final'!$R$52),"")</f>
        <v/>
      </c>
      <c r="AD13" s="35" t="str">
        <f>IF(AND('Mapa final'!$AB$53="Muy Alta",'Mapa final'!$AD$53="Mayor"),CONCATENATE("R8C",'Mapa final'!$R$53),"")</f>
        <v/>
      </c>
      <c r="AE13" s="35" t="str">
        <f>IF(AND('Mapa final'!$AB$54="Muy Alta",'Mapa final'!$AD$54="Mayor"),CONCATENATE("R8C",'Mapa final'!$R$54),"")</f>
        <v/>
      </c>
      <c r="AF13" s="35" t="str">
        <f>IF(AND('Mapa final'!$AB$55="Muy Alta",'Mapa final'!$AD$55="Mayor"),CONCATENATE("R8C",'Mapa final'!$R$55),"")</f>
        <v/>
      </c>
      <c r="AG13" s="36" t="str">
        <f>IF(AND('Mapa final'!$AB$56="Muy Alta",'Mapa final'!$AD$56="Mayor"),CONCATENATE("R8C",'Mapa final'!$R$56),"")</f>
        <v/>
      </c>
      <c r="AH13" s="37" t="str">
        <f>IF(AND('Mapa final'!$AB$51="Muy Alta",'Mapa final'!$AD$51="Catastrófico"),CONCATENATE("R8C",'Mapa final'!$R$51),"")</f>
        <v/>
      </c>
      <c r="AI13" s="38" t="str">
        <f>IF(AND('Mapa final'!$AB$52="Muy Alta",'Mapa final'!$AD$52="Catastrófico"),CONCATENATE("R8C",'Mapa final'!$R$52),"")</f>
        <v/>
      </c>
      <c r="AJ13" s="38" t="str">
        <f>IF(AND('Mapa final'!$AB$53="Muy Alta",'Mapa final'!$AD$53="Catastrófico"),CONCATENATE("R8C",'Mapa final'!$R$53),"")</f>
        <v/>
      </c>
      <c r="AK13" s="38" t="str">
        <f>IF(AND('Mapa final'!$AB$54="Muy Alta",'Mapa final'!$AD$54="Catastrófico"),CONCATENATE("R8C",'Mapa final'!$R$54),"")</f>
        <v/>
      </c>
      <c r="AL13" s="38" t="str">
        <f>IF(AND('Mapa final'!$AB$55="Muy Alta",'Mapa final'!$AD$55="Catastrófico"),CONCATENATE("R8C",'Mapa final'!$R$55),"")</f>
        <v/>
      </c>
      <c r="AM13" s="39" t="str">
        <f>IF(AND('Mapa final'!$AB$56="Muy Alta",'Mapa final'!$AD$56="Catastrófico"),CONCATENATE("R8C",'Mapa final'!$R$56),"")</f>
        <v/>
      </c>
      <c r="AN13" s="65"/>
      <c r="AO13" s="686"/>
      <c r="AP13" s="687"/>
      <c r="AQ13" s="687"/>
      <c r="AR13" s="687"/>
      <c r="AS13" s="687"/>
      <c r="AT13" s="688"/>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row>
    <row r="14" spans="1:91" ht="15" customHeight="1" x14ac:dyDescent="0.3">
      <c r="A14" s="65"/>
      <c r="B14" s="581"/>
      <c r="C14" s="581"/>
      <c r="D14" s="582"/>
      <c r="E14" s="680"/>
      <c r="F14" s="679"/>
      <c r="G14" s="679"/>
      <c r="H14" s="679"/>
      <c r="I14" s="695"/>
      <c r="J14" s="34" t="str">
        <f>IF(AND('Mapa final'!$AB$57="Muy Alta",'Mapa final'!$AD$57="Leve"),CONCATENATE("R9C",'Mapa final'!$R$57),"")</f>
        <v/>
      </c>
      <c r="K14" s="35" t="str">
        <f>IF(AND('Mapa final'!$AB$58="Muy Alta",'Mapa final'!$AD$58="Leve"),CONCATENATE("R9C",'Mapa final'!$R$58),"")</f>
        <v/>
      </c>
      <c r="L14" s="35" t="str">
        <f>IF(AND('Mapa final'!$AB$59="Muy Alta",'Mapa final'!$AD$59="Leve"),CONCATENATE("R9C",'Mapa final'!$R$59),"")</f>
        <v/>
      </c>
      <c r="M14" s="35" t="str">
        <f>IF(AND('Mapa final'!$AB$60="Muy Alta",'Mapa final'!$AD$60="Leve"),CONCATENATE("R9C",'Mapa final'!$R$60),"")</f>
        <v/>
      </c>
      <c r="N14" s="35" t="str">
        <f>IF(AND('Mapa final'!$AB$61="Muy Alta",'Mapa final'!$AD$61="Leve"),CONCATENATE("R9C",'Mapa final'!$R$61),"")</f>
        <v/>
      </c>
      <c r="O14" s="36" t="str">
        <f>IF(AND('Mapa final'!$AB$62="Muy Alta",'Mapa final'!$AD$62="Leve"),CONCATENATE("R9C",'Mapa final'!$R$62),"")</f>
        <v/>
      </c>
      <c r="P14" s="34" t="str">
        <f>IF(AND('Mapa final'!$AB$57="Muy Alta",'Mapa final'!$AD$57="Menor"),CONCATENATE("R9C",'Mapa final'!$R$57),"")</f>
        <v/>
      </c>
      <c r="Q14" s="35" t="str">
        <f>IF(AND('Mapa final'!$AB$58="Muy Alta",'Mapa final'!$AD$58="Menor"),CONCATENATE("R9C",'Mapa final'!$R$58),"")</f>
        <v/>
      </c>
      <c r="R14" s="35" t="str">
        <f>IF(AND('Mapa final'!$AB$59="Muy Alta",'Mapa final'!$AD$59="Menor"),CONCATENATE("R9C",'Mapa final'!$R$59),"")</f>
        <v/>
      </c>
      <c r="S14" s="35" t="str">
        <f>IF(AND('Mapa final'!$AB$60="Muy Alta",'Mapa final'!$AD$60="Menor"),CONCATENATE("R9C",'Mapa final'!$R$60),"")</f>
        <v/>
      </c>
      <c r="T14" s="35" t="str">
        <f>IF(AND('Mapa final'!$AB$61="Muy Alta",'Mapa final'!$AD$61="Menor"),CONCATENATE("R9C",'Mapa final'!$R$61),"")</f>
        <v/>
      </c>
      <c r="U14" s="36" t="str">
        <f>IF(AND('Mapa final'!$AB$62="Muy Alta",'Mapa final'!$AD$62="Menor"),CONCATENATE("R9C",'Mapa final'!$R$62),"")</f>
        <v/>
      </c>
      <c r="V14" s="34" t="str">
        <f>IF(AND('Mapa final'!$AB$57="Muy Alta",'Mapa final'!$AD$57="Moderado"),CONCATENATE("R9C",'Mapa final'!$R$57),"")</f>
        <v/>
      </c>
      <c r="W14" s="35" t="str">
        <f>IF(AND('Mapa final'!$AB$58="Muy Alta",'Mapa final'!$AD$58="Moderado"),CONCATENATE("R9C",'Mapa final'!$R$58),"")</f>
        <v/>
      </c>
      <c r="X14" s="35" t="str">
        <f>IF(AND('Mapa final'!$AB$59="Muy Alta",'Mapa final'!$AD$59="Moderado"),CONCATENATE("R9C",'Mapa final'!$R$59),"")</f>
        <v/>
      </c>
      <c r="Y14" s="35" t="str">
        <f>IF(AND('Mapa final'!$AB$60="Muy Alta",'Mapa final'!$AD$60="Moderado"),CONCATENATE("R9C",'Mapa final'!$R$60),"")</f>
        <v/>
      </c>
      <c r="Z14" s="35" t="str">
        <f>IF(AND('Mapa final'!$AB$61="Muy Alta",'Mapa final'!$AD$61="Moderado"),CONCATENATE("R9C",'Mapa final'!$R$61),"")</f>
        <v/>
      </c>
      <c r="AA14" s="36" t="str">
        <f>IF(AND('Mapa final'!$AB$62="Muy Alta",'Mapa final'!$AD$62="Moderado"),CONCATENATE("R9C",'Mapa final'!$R$62),"")</f>
        <v/>
      </c>
      <c r="AB14" s="34" t="str">
        <f>IF(AND('Mapa final'!$AB$57="Muy Alta",'Mapa final'!$AD$57="Mayor"),CONCATENATE("R9C",'Mapa final'!$R$57),"")</f>
        <v/>
      </c>
      <c r="AC14" s="35" t="str">
        <f>IF(AND('Mapa final'!$AB$58="Muy Alta",'Mapa final'!$AD$58="Mayor"),CONCATENATE("R9C",'Mapa final'!$R$58),"")</f>
        <v/>
      </c>
      <c r="AD14" s="35" t="str">
        <f>IF(AND('Mapa final'!$AB$59="Muy Alta",'Mapa final'!$AD$59="Mayor"),CONCATENATE("R9C",'Mapa final'!$R$59),"")</f>
        <v/>
      </c>
      <c r="AE14" s="35" t="str">
        <f>IF(AND('Mapa final'!$AB$60="Muy Alta",'Mapa final'!$AD$60="Mayor"),CONCATENATE("R9C",'Mapa final'!$R$60),"")</f>
        <v/>
      </c>
      <c r="AF14" s="35" t="str">
        <f>IF(AND('Mapa final'!$AB$61="Muy Alta",'Mapa final'!$AD$61="Mayor"),CONCATENATE("R9C",'Mapa final'!$R$61),"")</f>
        <v/>
      </c>
      <c r="AG14" s="36" t="str">
        <f>IF(AND('Mapa final'!$AB$62="Muy Alta",'Mapa final'!$AD$62="Mayor"),CONCATENATE("R9C",'Mapa final'!$R$62),"")</f>
        <v/>
      </c>
      <c r="AH14" s="37" t="str">
        <f>IF(AND('Mapa final'!$AB$57="Muy Alta",'Mapa final'!$AD$57="Catastrófico"),CONCATENATE("R9C",'Mapa final'!$R$57),"")</f>
        <v/>
      </c>
      <c r="AI14" s="38" t="str">
        <f>IF(AND('Mapa final'!$AB$58="Muy Alta",'Mapa final'!$AD$58="Catastrófico"),CONCATENATE("R9C",'Mapa final'!$R$58),"")</f>
        <v/>
      </c>
      <c r="AJ14" s="38" t="str">
        <f>IF(AND('Mapa final'!$AB$59="Muy Alta",'Mapa final'!$AD$59="Catastrófico"),CONCATENATE("R9C",'Mapa final'!$R$59),"")</f>
        <v/>
      </c>
      <c r="AK14" s="38" t="str">
        <f>IF(AND('Mapa final'!$AB$60="Muy Alta",'Mapa final'!$AD$60="Catastrófico"),CONCATENATE("R9C",'Mapa final'!$R$60),"")</f>
        <v/>
      </c>
      <c r="AL14" s="38" t="str">
        <f>IF(AND('Mapa final'!$AB$61="Muy Alta",'Mapa final'!$AD$61="Catastrófico"),CONCATENATE("R9C",'Mapa final'!$R$61),"")</f>
        <v/>
      </c>
      <c r="AM14" s="39" t="str">
        <f>IF(AND('Mapa final'!$AB$62="Muy Alta",'Mapa final'!$AD$62="Catastrófico"),CONCATENATE("R9C",'Mapa final'!$R$62),"")</f>
        <v/>
      </c>
      <c r="AN14" s="65"/>
      <c r="AO14" s="686"/>
      <c r="AP14" s="687"/>
      <c r="AQ14" s="687"/>
      <c r="AR14" s="687"/>
      <c r="AS14" s="687"/>
      <c r="AT14" s="688"/>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row>
    <row r="15" spans="1:91" ht="15.75" customHeight="1" thickBot="1" x14ac:dyDescent="0.35">
      <c r="A15" s="65"/>
      <c r="B15" s="581"/>
      <c r="C15" s="581"/>
      <c r="D15" s="582"/>
      <c r="E15" s="681"/>
      <c r="F15" s="682"/>
      <c r="G15" s="682"/>
      <c r="H15" s="682"/>
      <c r="I15" s="696"/>
      <c r="J15" s="40" t="str">
        <f>IF(AND('Mapa final'!$AB$63="Muy Alta",'Mapa final'!$AD$63="Leve"),CONCATENATE("R10C",'Mapa final'!$R$63),"")</f>
        <v/>
      </c>
      <c r="K15" s="41" t="str">
        <f>IF(AND('Mapa final'!$AB$64="Muy Alta",'Mapa final'!$AD$64="Leve"),CONCATENATE("R10C",'Mapa final'!$R$64),"")</f>
        <v/>
      </c>
      <c r="L15" s="41" t="str">
        <f>IF(AND('Mapa final'!$AB$65="Muy Alta",'Mapa final'!$AD$65="Leve"),CONCATENATE("R10C",'Mapa final'!$R$65),"")</f>
        <v/>
      </c>
      <c r="M15" s="41" t="str">
        <f>IF(AND('Mapa final'!$AB$66="Muy Alta",'Mapa final'!$AD$66="Leve"),CONCATENATE("R10C",'Mapa final'!$R$66),"")</f>
        <v/>
      </c>
      <c r="N15" s="41" t="str">
        <f>IF(AND('Mapa final'!$AB$67="Muy Alta",'Mapa final'!$AD$67="Leve"),CONCATENATE("R10C",'Mapa final'!$R$67),"")</f>
        <v/>
      </c>
      <c r="O15" s="42" t="str">
        <f>IF(AND('Mapa final'!$AB$68="Muy Alta",'Mapa final'!$AD$68="Leve"),CONCATENATE("R10C",'Mapa final'!$R$68),"")</f>
        <v/>
      </c>
      <c r="P15" s="34" t="str">
        <f>IF(AND('Mapa final'!$AB$63="Muy Alta",'Mapa final'!$AD$63="Menor"),CONCATENATE("R10C",'Mapa final'!$R$63),"")</f>
        <v/>
      </c>
      <c r="Q15" s="35" t="str">
        <f>IF(AND('Mapa final'!$AB$64="Muy Alta",'Mapa final'!$AD$64="Menor"),CONCATENATE("R10C",'Mapa final'!$R$64),"")</f>
        <v/>
      </c>
      <c r="R15" s="35" t="str">
        <f>IF(AND('Mapa final'!$AB$65="Muy Alta",'Mapa final'!$AD$65="Menor"),CONCATENATE("R10C",'Mapa final'!$R$65),"")</f>
        <v/>
      </c>
      <c r="S15" s="35" t="str">
        <f>IF(AND('Mapa final'!$AB$66="Muy Alta",'Mapa final'!$AD$66="Menor"),CONCATENATE("R10C",'Mapa final'!$R$66),"")</f>
        <v/>
      </c>
      <c r="T15" s="35" t="str">
        <f>IF(AND('Mapa final'!$AB$67="Muy Alta",'Mapa final'!$AD$67="Menor"),CONCATENATE("R10C",'Mapa final'!$R$67),"")</f>
        <v/>
      </c>
      <c r="U15" s="36" t="str">
        <f>IF(AND('Mapa final'!$AB$68="Muy Alta",'Mapa final'!$AD$68="Menor"),CONCATENATE("R10C",'Mapa final'!$R$68),"")</f>
        <v/>
      </c>
      <c r="V15" s="40" t="str">
        <f>IF(AND('Mapa final'!$AB$63="Muy Alta",'Mapa final'!$AD$63="Moderado"),CONCATENATE("R10C",'Mapa final'!$R$63),"")</f>
        <v/>
      </c>
      <c r="W15" s="41" t="str">
        <f>IF(AND('Mapa final'!$AB$64="Muy Alta",'Mapa final'!$AD$64="Moderado"),CONCATENATE("R10C",'Mapa final'!$R$64),"")</f>
        <v/>
      </c>
      <c r="X15" s="41" t="str">
        <f>IF(AND('Mapa final'!$AB$65="Muy Alta",'Mapa final'!$AD$65="Moderado"),CONCATENATE("R10C",'Mapa final'!$R$65),"")</f>
        <v/>
      </c>
      <c r="Y15" s="41" t="str">
        <f>IF(AND('Mapa final'!$AB$66="Muy Alta",'Mapa final'!$AD$66="Moderado"),CONCATENATE("R10C",'Mapa final'!$R$66),"")</f>
        <v/>
      </c>
      <c r="Z15" s="41" t="str">
        <f>IF(AND('Mapa final'!$AB$67="Muy Alta",'Mapa final'!$AD$67="Moderado"),CONCATENATE("R10C",'Mapa final'!$R$67),"")</f>
        <v/>
      </c>
      <c r="AA15" s="42" t="str">
        <f>IF(AND('Mapa final'!$AB$68="Muy Alta",'Mapa final'!$AD$68="Moderado"),CONCATENATE("R10C",'Mapa final'!$R$68),"")</f>
        <v/>
      </c>
      <c r="AB15" s="34" t="str">
        <f>IF(AND('Mapa final'!$AB$63="Muy Alta",'Mapa final'!$AD$63="Mayor"),CONCATENATE("R10C",'Mapa final'!$R$63),"")</f>
        <v/>
      </c>
      <c r="AC15" s="35" t="str">
        <f>IF(AND('Mapa final'!$AB$64="Muy Alta",'Mapa final'!$AD$64="Mayor"),CONCATENATE("R10C",'Mapa final'!$R$64),"")</f>
        <v/>
      </c>
      <c r="AD15" s="35" t="str">
        <f>IF(AND('Mapa final'!$AB$65="Muy Alta",'Mapa final'!$AD$65="Mayor"),CONCATENATE("R10C",'Mapa final'!$R$65),"")</f>
        <v/>
      </c>
      <c r="AE15" s="35" t="str">
        <f>IF(AND('Mapa final'!$AB$66="Muy Alta",'Mapa final'!$AD$66="Mayor"),CONCATENATE("R10C",'Mapa final'!$R$66),"")</f>
        <v/>
      </c>
      <c r="AF15" s="35" t="str">
        <f>IF(AND('Mapa final'!$AB$67="Muy Alta",'Mapa final'!$AD$67="Mayor"),CONCATENATE("R10C",'Mapa final'!$R$67),"")</f>
        <v/>
      </c>
      <c r="AG15" s="36" t="str">
        <f>IF(AND('Mapa final'!$AB$68="Muy Alta",'Mapa final'!$AD$68="Mayor"),CONCATENATE("R10C",'Mapa final'!$R$68),"")</f>
        <v/>
      </c>
      <c r="AH15" s="43" t="str">
        <f>IF(AND('Mapa final'!$AB$63="Muy Alta",'Mapa final'!$AD$63="Catastrófico"),CONCATENATE("R10C",'Mapa final'!$R$63),"")</f>
        <v/>
      </c>
      <c r="AI15" s="44" t="str">
        <f>IF(AND('Mapa final'!$AB$64="Muy Alta",'Mapa final'!$AD$64="Catastrófico"),CONCATENATE("R10C",'Mapa final'!$R$64),"")</f>
        <v/>
      </c>
      <c r="AJ15" s="44" t="str">
        <f>IF(AND('Mapa final'!$AB$65="Muy Alta",'Mapa final'!$AD$65="Catastrófico"),CONCATENATE("R10C",'Mapa final'!$R$65),"")</f>
        <v/>
      </c>
      <c r="AK15" s="44" t="str">
        <f>IF(AND('Mapa final'!$AB$66="Muy Alta",'Mapa final'!$AD$66="Catastrófico"),CONCATENATE("R10C",'Mapa final'!$R$66),"")</f>
        <v/>
      </c>
      <c r="AL15" s="44" t="str">
        <f>IF(AND('Mapa final'!$AB$67="Muy Alta",'Mapa final'!$AD$67="Catastrófico"),CONCATENATE("R10C",'Mapa final'!$R$67),"")</f>
        <v/>
      </c>
      <c r="AM15" s="45" t="str">
        <f>IF(AND('Mapa final'!$AB$68="Muy Alta",'Mapa final'!$AD$68="Catastrófico"),CONCATENATE("R10C",'Mapa final'!$R$68),"")</f>
        <v/>
      </c>
      <c r="AN15" s="65"/>
      <c r="AO15" s="689"/>
      <c r="AP15" s="690"/>
      <c r="AQ15" s="690"/>
      <c r="AR15" s="690"/>
      <c r="AS15" s="690"/>
      <c r="AT15" s="691"/>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row>
    <row r="16" spans="1:91" ht="15" customHeight="1" x14ac:dyDescent="0.3">
      <c r="A16" s="65"/>
      <c r="B16" s="581"/>
      <c r="C16" s="581"/>
      <c r="D16" s="582"/>
      <c r="E16" s="676" t="s">
        <v>110</v>
      </c>
      <c r="F16" s="677"/>
      <c r="G16" s="677"/>
      <c r="H16" s="677"/>
      <c r="I16" s="677"/>
      <c r="J16" s="46" t="str">
        <f>IF(AND('Mapa final'!$AB$10="Alta",'Mapa final'!$AD$10="Leve"),CONCATENATE("R1C",'Mapa final'!$R$10),"")</f>
        <v/>
      </c>
      <c r="K16" s="47" t="str">
        <f>IF(AND('Mapa final'!$AB$11="Alta",'Mapa final'!$AD$11="Leve"),CONCATENATE("R1C",'Mapa final'!$R$11),"")</f>
        <v/>
      </c>
      <c r="L16" s="47" t="str">
        <f>IF(AND('Mapa final'!$AB$12="Alta",'Mapa final'!$AD$12="Leve"),CONCATENATE("R1C",'Mapa final'!$R$12),"")</f>
        <v/>
      </c>
      <c r="M16" s="47" t="str">
        <f>IF(AND('Mapa final'!$AB$13="Alta",'Mapa final'!$AD$13="Leve"),CONCATENATE("R1C",'Mapa final'!$R$13),"")</f>
        <v/>
      </c>
      <c r="N16" s="47" t="str">
        <f>IF(AND('Mapa final'!$AB$14="Alta",'Mapa final'!$AD$14="Leve"),CONCATENATE("R1C",'Mapa final'!$R$14),"")</f>
        <v/>
      </c>
      <c r="O16" s="48" t="str">
        <f>IF(AND('Mapa final'!$AB$15="Alta",'Mapa final'!$AD$15="Leve"),CONCATENATE("R1C",'Mapa final'!$R$15),"")</f>
        <v/>
      </c>
      <c r="P16" s="46" t="str">
        <f>IF(AND('Mapa final'!$AB$10="Alta",'Mapa final'!$AD$10="Menor"),CONCATENATE("R1C",'Mapa final'!$R$10),"")</f>
        <v/>
      </c>
      <c r="Q16" s="47" t="str">
        <f>IF(AND('Mapa final'!$AB$11="Alta",'Mapa final'!$AD$11="Menor"),CONCATENATE("R1C",'Mapa final'!$R$11),"")</f>
        <v/>
      </c>
      <c r="R16" s="47" t="str">
        <f>IF(AND('Mapa final'!$AB$12="Alta",'Mapa final'!$AD$12="Menor"),CONCATENATE("R1C",'Mapa final'!$R$12),"")</f>
        <v/>
      </c>
      <c r="S16" s="47" t="str">
        <f>IF(AND('Mapa final'!$AB$13="Alta",'Mapa final'!$AD$13="Menor"),CONCATENATE("R1C",'Mapa final'!$R$13),"")</f>
        <v/>
      </c>
      <c r="T16" s="47" t="str">
        <f>IF(AND('Mapa final'!$AB$14="Alta",'Mapa final'!$AD$14="Menor"),CONCATENATE("R1C",'Mapa final'!$R$14),"")</f>
        <v/>
      </c>
      <c r="U16" s="48" t="str">
        <f>IF(AND('Mapa final'!$AB$15="Alta",'Mapa final'!$AD$15="Menor"),CONCATENATE("R1C",'Mapa final'!$R$15),"")</f>
        <v/>
      </c>
      <c r="V16" s="28" t="str">
        <f>IF(AND('Mapa final'!$AB$10="Alta",'Mapa final'!$AD$10="Moderado"),CONCATENATE("R1C",'Mapa final'!$R$10),"")</f>
        <v/>
      </c>
      <c r="W16" s="29" t="str">
        <f>IF(AND('Mapa final'!$AB$11="Alta",'Mapa final'!$AD$11="Moderado"),CONCATENATE("R1C",'Mapa final'!$R$11),"")</f>
        <v/>
      </c>
      <c r="X16" s="29" t="str">
        <f>IF(AND('Mapa final'!$AB$12="Alta",'Mapa final'!$AD$12="Moderado"),CONCATENATE("R1C",'Mapa final'!$R$12),"")</f>
        <v/>
      </c>
      <c r="Y16" s="29" t="str">
        <f>IF(AND('Mapa final'!$AB$13="Alta",'Mapa final'!$AD$13="Moderado"),CONCATENATE("R1C",'Mapa final'!$R$13),"")</f>
        <v/>
      </c>
      <c r="Z16" s="29" t="str">
        <f>IF(AND('Mapa final'!$AB$14="Alta",'Mapa final'!$AD$14="Moderado"),CONCATENATE("R1C",'Mapa final'!$R$14),"")</f>
        <v/>
      </c>
      <c r="AA16" s="30" t="str">
        <f>IF(AND('Mapa final'!$AB$15="Alta",'Mapa final'!$AD$15="Moderado"),CONCATENATE("R1C",'Mapa final'!$R$15),"")</f>
        <v/>
      </c>
      <c r="AB16" s="28" t="str">
        <f>IF(AND('Mapa final'!$AB$10="Alta",'Mapa final'!$AD$10="Mayor"),CONCATENATE("R1C",'Mapa final'!$R$10),"")</f>
        <v/>
      </c>
      <c r="AC16" s="29" t="str">
        <f>IF(AND('Mapa final'!$AB$11="Alta",'Mapa final'!$AD$11="Mayor"),CONCATENATE("R1C",'Mapa final'!$R$11),"")</f>
        <v/>
      </c>
      <c r="AD16" s="29" t="str">
        <f>IF(AND('Mapa final'!$AB$12="Alta",'Mapa final'!$AD$12="Mayor"),CONCATENATE("R1C",'Mapa final'!$R$12),"")</f>
        <v/>
      </c>
      <c r="AE16" s="29" t="str">
        <f>IF(AND('Mapa final'!$AB$13="Alta",'Mapa final'!$AD$13="Mayor"),CONCATENATE("R1C",'Mapa final'!$R$13),"")</f>
        <v/>
      </c>
      <c r="AF16" s="29" t="str">
        <f>IF(AND('Mapa final'!$AB$14="Alta",'Mapa final'!$AD$14="Mayor"),CONCATENATE("R1C",'Mapa final'!$R$14),"")</f>
        <v/>
      </c>
      <c r="AG16" s="30" t="str">
        <f>IF(AND('Mapa final'!$AB$15="Alta",'Mapa final'!$AD$15="Mayor"),CONCATENATE("R1C",'Mapa final'!$R$15),"")</f>
        <v/>
      </c>
      <c r="AH16" s="31" t="str">
        <f>IF(AND('Mapa final'!$AB$10="Alta",'Mapa final'!$AD$10="Catastrófico"),CONCATENATE("R1C",'Mapa final'!$R$10),"")</f>
        <v/>
      </c>
      <c r="AI16" s="32" t="str">
        <f>IF(AND('Mapa final'!$AB$11="Alta",'Mapa final'!$AD$11="Catastrófico"),CONCATENATE("R1C",'Mapa final'!$R$11),"")</f>
        <v/>
      </c>
      <c r="AJ16" s="32" t="str">
        <f>IF(AND('Mapa final'!$AB$12="Alta",'Mapa final'!$AD$12="Catastrófico"),CONCATENATE("R1C",'Mapa final'!$R$12),"")</f>
        <v/>
      </c>
      <c r="AK16" s="32" t="str">
        <f>IF(AND('Mapa final'!$AB$13="Alta",'Mapa final'!$AD$13="Catastrófico"),CONCATENATE("R1C",'Mapa final'!$R$13),"")</f>
        <v/>
      </c>
      <c r="AL16" s="32" t="str">
        <f>IF(AND('Mapa final'!$AB$14="Alta",'Mapa final'!$AD$14="Catastrófico"),CONCATENATE("R1C",'Mapa final'!$R$14),"")</f>
        <v/>
      </c>
      <c r="AM16" s="33" t="str">
        <f>IF(AND('Mapa final'!$AB$15="Alta",'Mapa final'!$AD$15="Catastrófico"),CONCATENATE("R1C",'Mapa final'!$R$15),"")</f>
        <v/>
      </c>
      <c r="AN16" s="65"/>
      <c r="AO16" s="667" t="s">
        <v>79</v>
      </c>
      <c r="AP16" s="668"/>
      <c r="AQ16" s="668"/>
      <c r="AR16" s="668"/>
      <c r="AS16" s="668"/>
      <c r="AT16" s="669"/>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row>
    <row r="17" spans="1:76" ht="15" customHeight="1" x14ac:dyDescent="0.3">
      <c r="A17" s="65"/>
      <c r="B17" s="581"/>
      <c r="C17" s="581"/>
      <c r="D17" s="582"/>
      <c r="E17" s="678"/>
      <c r="F17" s="679"/>
      <c r="G17" s="679"/>
      <c r="H17" s="679"/>
      <c r="I17" s="679"/>
      <c r="J17" s="49" t="str">
        <f>IF(AND('Mapa final'!$AB$16="Alta",'Mapa final'!$AD$16="Leve"),CONCATENATE("R2C",'Mapa final'!$R$16),"")</f>
        <v/>
      </c>
      <c r="K17" s="50" t="str">
        <f>IF(AND('Mapa final'!$AB$17="Alta",'Mapa final'!$AD$17="Leve"),CONCATENATE("R2C",'Mapa final'!$R$17),"")</f>
        <v/>
      </c>
      <c r="L17" s="50" t="str">
        <f>IF(AND('Mapa final'!$AB$18="Alta",'Mapa final'!$AD$18="Leve"),CONCATENATE("R2C",'Mapa final'!$R$18),"")</f>
        <v/>
      </c>
      <c r="M17" s="50" t="str">
        <f>IF(AND('Mapa final'!$AB$19="Alta",'Mapa final'!$AD$19="Leve"),CONCATENATE("R2C",'Mapa final'!$R$19),"")</f>
        <v/>
      </c>
      <c r="N17" s="50" t="str">
        <f>IF(AND('Mapa final'!$AB$20="Alta",'Mapa final'!$AD$20="Leve"),CONCATENATE("R2C",'Mapa final'!$R$20),"")</f>
        <v/>
      </c>
      <c r="O17" s="51" t="str">
        <f>IF(AND('Mapa final'!$AB$21="Alta",'Mapa final'!$AD$21="Leve"),CONCATENATE("R2C",'Mapa final'!$R$21),"")</f>
        <v/>
      </c>
      <c r="P17" s="49" t="str">
        <f>IF(AND('Mapa final'!$AB$16="Alta",'Mapa final'!$AD$16="Menor"),CONCATENATE("R2C",'Mapa final'!$R$16),"")</f>
        <v/>
      </c>
      <c r="Q17" s="50" t="str">
        <f>IF(AND('Mapa final'!$AB$17="Alta",'Mapa final'!$AD$17="Menor"),CONCATENATE("R2C",'Mapa final'!$R$17),"")</f>
        <v/>
      </c>
      <c r="R17" s="50" t="str">
        <f>IF(AND('Mapa final'!$AB$18="Alta",'Mapa final'!$AD$18="Menor"),CONCATENATE("R2C",'Mapa final'!$R$18),"")</f>
        <v/>
      </c>
      <c r="S17" s="50" t="str">
        <f>IF(AND('Mapa final'!$AB$19="Alta",'Mapa final'!$AD$19="Menor"),CONCATENATE("R2C",'Mapa final'!$R$19),"")</f>
        <v/>
      </c>
      <c r="T17" s="50" t="str">
        <f>IF(AND('Mapa final'!$AB$20="Alta",'Mapa final'!$AD$20="Menor"),CONCATENATE("R2C",'Mapa final'!$R$20),"")</f>
        <v/>
      </c>
      <c r="U17" s="51" t="str">
        <f>IF(AND('Mapa final'!$AB$21="Alta",'Mapa final'!$AD$21="Menor"),CONCATENATE("R2C",'Mapa final'!$R$21),"")</f>
        <v/>
      </c>
      <c r="V17" s="34" t="str">
        <f>IF(AND('Mapa final'!$AB$16="Alta",'Mapa final'!$AD$16="Moderado"),CONCATENATE("R2C",'Mapa final'!$R$16),"")</f>
        <v/>
      </c>
      <c r="W17" s="35" t="str">
        <f>IF(AND('Mapa final'!$AB$17="Alta",'Mapa final'!$AD$17="Moderado"),CONCATENATE("R2C",'Mapa final'!$R$17),"")</f>
        <v/>
      </c>
      <c r="X17" s="35" t="str">
        <f>IF(AND('Mapa final'!$AB$18="Alta",'Mapa final'!$AD$18="Moderado"),CONCATENATE("R2C",'Mapa final'!$R$18),"")</f>
        <v/>
      </c>
      <c r="Y17" s="35" t="str">
        <f>IF(AND('Mapa final'!$AB$19="Alta",'Mapa final'!$AD$19="Moderado"),CONCATENATE("R2C",'Mapa final'!$R$19),"")</f>
        <v/>
      </c>
      <c r="Z17" s="35" t="str">
        <f>IF(AND('Mapa final'!$AB$20="Alta",'Mapa final'!$AD$20="Moderado"),CONCATENATE("R2C",'Mapa final'!$R$20),"")</f>
        <v/>
      </c>
      <c r="AA17" s="36" t="str">
        <f>IF(AND('Mapa final'!$AB$21="Alta",'Mapa final'!$AD$21="Moderado"),CONCATENATE("R2C",'Mapa final'!$R$21),"")</f>
        <v/>
      </c>
      <c r="AB17" s="34" t="str">
        <f>IF(AND('Mapa final'!$AB$16="Alta",'Mapa final'!$AD$16="Mayor"),CONCATENATE("R2C",'Mapa final'!$R$16),"")</f>
        <v/>
      </c>
      <c r="AC17" s="35" t="str">
        <f>IF(AND('Mapa final'!$AB$17="Alta",'Mapa final'!$AD$17="Mayor"),CONCATENATE("R2C",'Mapa final'!$R$17),"")</f>
        <v/>
      </c>
      <c r="AD17" s="35" t="str">
        <f>IF(AND('Mapa final'!$AB$18="Alta",'Mapa final'!$AD$18="Mayor"),CONCATENATE("R2C",'Mapa final'!$R$18),"")</f>
        <v/>
      </c>
      <c r="AE17" s="35" t="str">
        <f>IF(AND('Mapa final'!$AB$19="Alta",'Mapa final'!$AD$19="Mayor"),CONCATENATE("R2C",'Mapa final'!$R$19),"")</f>
        <v/>
      </c>
      <c r="AF17" s="35" t="str">
        <f>IF(AND('Mapa final'!$AB$20="Alta",'Mapa final'!$AD$20="Mayor"),CONCATENATE("R2C",'Mapa final'!$R$20),"")</f>
        <v/>
      </c>
      <c r="AG17" s="36" t="str">
        <f>IF(AND('Mapa final'!$AB$21="Alta",'Mapa final'!$AD$21="Mayor"),CONCATENATE("R2C",'Mapa final'!$R$21),"")</f>
        <v/>
      </c>
      <c r="AH17" s="37" t="str">
        <f>IF(AND('Mapa final'!$AB$16="Alta",'Mapa final'!$AD$16="Catastrófico"),CONCATENATE("R2C",'Mapa final'!$R$16),"")</f>
        <v/>
      </c>
      <c r="AI17" s="38" t="str">
        <f>IF(AND('Mapa final'!$AB$17="Alta",'Mapa final'!$AD$17="Catastrófico"),CONCATENATE("R2C",'Mapa final'!$R$17),"")</f>
        <v/>
      </c>
      <c r="AJ17" s="38" t="str">
        <f>IF(AND('Mapa final'!$AB$18="Alta",'Mapa final'!$AD$18="Catastrófico"),CONCATENATE("R2C",'Mapa final'!$R$18),"")</f>
        <v/>
      </c>
      <c r="AK17" s="38" t="str">
        <f>IF(AND('Mapa final'!$AB$19="Alta",'Mapa final'!$AD$19="Catastrófico"),CONCATENATE("R2C",'Mapa final'!$R$19),"")</f>
        <v/>
      </c>
      <c r="AL17" s="38" t="str">
        <f>IF(AND('Mapa final'!$AB$20="Alta",'Mapa final'!$AD$20="Catastrófico"),CONCATENATE("R2C",'Mapa final'!$R$20),"")</f>
        <v/>
      </c>
      <c r="AM17" s="39" t="str">
        <f>IF(AND('Mapa final'!$AB$21="Alta",'Mapa final'!$AD$21="Catastrófico"),CONCATENATE("R2C",'Mapa final'!$R$21),"")</f>
        <v/>
      </c>
      <c r="AN17" s="65"/>
      <c r="AO17" s="670"/>
      <c r="AP17" s="671"/>
      <c r="AQ17" s="671"/>
      <c r="AR17" s="671"/>
      <c r="AS17" s="671"/>
      <c r="AT17" s="672"/>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row>
    <row r="18" spans="1:76" ht="15" customHeight="1" x14ac:dyDescent="0.3">
      <c r="A18" s="65"/>
      <c r="B18" s="581"/>
      <c r="C18" s="581"/>
      <c r="D18" s="582"/>
      <c r="E18" s="680"/>
      <c r="F18" s="679"/>
      <c r="G18" s="679"/>
      <c r="H18" s="679"/>
      <c r="I18" s="679"/>
      <c r="J18" s="49" t="str">
        <f>IF(AND('Mapa final'!$AB$22="Alta",'Mapa final'!$AD$22="Leve"),CONCATENATE("R3C",'Mapa final'!$R$22),"")</f>
        <v/>
      </c>
      <c r="K18" s="50" t="str">
        <f>IF(AND('Mapa final'!$AB$23="Alta",'Mapa final'!$AD$23="Leve"),CONCATENATE("R3C",'Mapa final'!$R$23),"")</f>
        <v/>
      </c>
      <c r="L18" s="50" t="str">
        <f>IF(AND('Mapa final'!$AB$24="Alta",'Mapa final'!$AD$24="Leve"),CONCATENATE("R3C",'Mapa final'!$R$24),"")</f>
        <v/>
      </c>
      <c r="M18" s="50" t="str">
        <f>IF(AND('Mapa final'!$AB$25="Alta",'Mapa final'!$AD$25="Leve"),CONCATENATE("R3C",'Mapa final'!$R$25),"")</f>
        <v/>
      </c>
      <c r="N18" s="50" t="str">
        <f>IF(AND('Mapa final'!$AB$26="Alta",'Mapa final'!$AD$26="Leve"),CONCATENATE("R3C",'Mapa final'!$R$26),"")</f>
        <v/>
      </c>
      <c r="O18" s="51" t="str">
        <f>IF(AND('Mapa final'!$AB$27="Alta",'Mapa final'!$AD$27="Leve"),CONCATENATE("R3C",'Mapa final'!$R$27),"")</f>
        <v/>
      </c>
      <c r="P18" s="49" t="str">
        <f>IF(AND('Mapa final'!$AB$22="Alta",'Mapa final'!$AD$22="Menor"),CONCATENATE("R3C",'Mapa final'!$R$22),"")</f>
        <v/>
      </c>
      <c r="Q18" s="50" t="str">
        <f>IF(AND('Mapa final'!$AB$23="Alta",'Mapa final'!$AD$23="Menor"),CONCATENATE("R3C",'Mapa final'!$R$23),"")</f>
        <v/>
      </c>
      <c r="R18" s="50" t="str">
        <f>IF(AND('Mapa final'!$AB$24="Alta",'Mapa final'!$AD$24="Menor"),CONCATENATE("R3C",'Mapa final'!$R$24),"")</f>
        <v/>
      </c>
      <c r="S18" s="50" t="str">
        <f>IF(AND('Mapa final'!$AB$25="Alta",'Mapa final'!$AD$25="Menor"),CONCATENATE("R3C",'Mapa final'!$R$25),"")</f>
        <v/>
      </c>
      <c r="T18" s="50" t="str">
        <f>IF(AND('Mapa final'!$AB$26="Alta",'Mapa final'!$AD$26="Menor"),CONCATENATE("R3C",'Mapa final'!$R$26),"")</f>
        <v/>
      </c>
      <c r="U18" s="51" t="str">
        <f>IF(AND('Mapa final'!$AB$27="Alta",'Mapa final'!$AD$27="Menor"),CONCATENATE("R3C",'Mapa final'!$R$27),"")</f>
        <v/>
      </c>
      <c r="V18" s="34" t="str">
        <f>IF(AND('Mapa final'!$AB$22="Alta",'Mapa final'!$AD$22="Moderado"),CONCATENATE("R3C",'Mapa final'!$R$22),"")</f>
        <v/>
      </c>
      <c r="W18" s="35" t="str">
        <f>IF(AND('Mapa final'!$AB$23="Alta",'Mapa final'!$AD$23="Moderado"),CONCATENATE("R3C",'Mapa final'!$R$23),"")</f>
        <v/>
      </c>
      <c r="X18" s="35" t="str">
        <f>IF(AND('Mapa final'!$AB$24="Alta",'Mapa final'!$AD$24="Moderado"),CONCATENATE("R3C",'Mapa final'!$R$24),"")</f>
        <v/>
      </c>
      <c r="Y18" s="35" t="str">
        <f>IF(AND('Mapa final'!$AB$25="Alta",'Mapa final'!$AD$25="Moderado"),CONCATENATE("R3C",'Mapa final'!$R$25),"")</f>
        <v/>
      </c>
      <c r="Z18" s="35" t="str">
        <f>IF(AND('Mapa final'!$AB$26="Alta",'Mapa final'!$AD$26="Moderado"),CONCATENATE("R3C",'Mapa final'!$R$26),"")</f>
        <v/>
      </c>
      <c r="AA18" s="36" t="str">
        <f>IF(AND('Mapa final'!$AB$27="Alta",'Mapa final'!$AD$27="Moderado"),CONCATENATE("R3C",'Mapa final'!$R$27),"")</f>
        <v/>
      </c>
      <c r="AB18" s="34" t="str">
        <f>IF(AND('Mapa final'!$AB$22="Alta",'Mapa final'!$AD$22="Mayor"),CONCATENATE("R3C",'Mapa final'!$R$22),"")</f>
        <v/>
      </c>
      <c r="AC18" s="35" t="str">
        <f>IF(AND('Mapa final'!$AB$23="Alta",'Mapa final'!$AD$23="Mayor"),CONCATENATE("R3C",'Mapa final'!$R$23),"")</f>
        <v/>
      </c>
      <c r="AD18" s="35" t="str">
        <f>IF(AND('Mapa final'!$AB$24="Alta",'Mapa final'!$AD$24="Mayor"),CONCATENATE("R3C",'Mapa final'!$R$24),"")</f>
        <v/>
      </c>
      <c r="AE18" s="35" t="str">
        <f>IF(AND('Mapa final'!$AB$25="Alta",'Mapa final'!$AD$25="Mayor"),CONCATENATE("R3C",'Mapa final'!$R$25),"")</f>
        <v/>
      </c>
      <c r="AF18" s="35" t="str">
        <f>IF(AND('Mapa final'!$AB$26="Alta",'Mapa final'!$AD$26="Mayor"),CONCATENATE("R3C",'Mapa final'!$R$26),"")</f>
        <v/>
      </c>
      <c r="AG18" s="36" t="str">
        <f>IF(AND('Mapa final'!$AB$27="Alta",'Mapa final'!$AD$27="Mayor"),CONCATENATE("R3C",'Mapa final'!$R$27),"")</f>
        <v/>
      </c>
      <c r="AH18" s="37" t="str">
        <f>IF(AND('Mapa final'!$AB$22="Alta",'Mapa final'!$AD$22="Catastrófico"),CONCATENATE("R3C",'Mapa final'!$R$22),"")</f>
        <v/>
      </c>
      <c r="AI18" s="38" t="str">
        <f>IF(AND('Mapa final'!$AB$23="Alta",'Mapa final'!$AD$23="Catastrófico"),CONCATENATE("R3C",'Mapa final'!$R$23),"")</f>
        <v/>
      </c>
      <c r="AJ18" s="38" t="str">
        <f>IF(AND('Mapa final'!$AB$24="Alta",'Mapa final'!$AD$24="Catastrófico"),CONCATENATE("R3C",'Mapa final'!$R$24),"")</f>
        <v/>
      </c>
      <c r="AK18" s="38" t="str">
        <f>IF(AND('Mapa final'!$AB$25="Alta",'Mapa final'!$AD$25="Catastrófico"),CONCATENATE("R3C",'Mapa final'!$R$25),"")</f>
        <v/>
      </c>
      <c r="AL18" s="38" t="str">
        <f>IF(AND('Mapa final'!$AB$26="Alta",'Mapa final'!$AD$26="Catastrófico"),CONCATENATE("R3C",'Mapa final'!$R$26),"")</f>
        <v/>
      </c>
      <c r="AM18" s="39" t="str">
        <f>IF(AND('Mapa final'!$AB$27="Alta",'Mapa final'!$AD$27="Catastrófico"),CONCATENATE("R3C",'Mapa final'!$R$27),"")</f>
        <v/>
      </c>
      <c r="AN18" s="65"/>
      <c r="AO18" s="670"/>
      <c r="AP18" s="671"/>
      <c r="AQ18" s="671"/>
      <c r="AR18" s="671"/>
      <c r="AS18" s="671"/>
      <c r="AT18" s="672"/>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row>
    <row r="19" spans="1:76" ht="15" customHeight="1" x14ac:dyDescent="0.3">
      <c r="A19" s="65"/>
      <c r="B19" s="581"/>
      <c r="C19" s="581"/>
      <c r="D19" s="582"/>
      <c r="E19" s="680"/>
      <c r="F19" s="679"/>
      <c r="G19" s="679"/>
      <c r="H19" s="679"/>
      <c r="I19" s="679"/>
      <c r="J19" s="49" t="str">
        <f>IF(AND('Mapa final'!$AB$28="Alta",'Mapa final'!$AD$28="Leve"),CONCATENATE("R4C",'Mapa final'!$R$28),"")</f>
        <v/>
      </c>
      <c r="K19" s="50" t="e">
        <f>IF(AND('Mapa final'!#REF!="Alta",'Mapa final'!#REF!="Leve"),CONCATENATE("R4C",'Mapa final'!#REF!),"")</f>
        <v>#REF!</v>
      </c>
      <c r="L19" s="50" t="str">
        <f>IF(AND('Mapa final'!$AB$29="Alta",'Mapa final'!$AD$29="Leve"),CONCATENATE("R4C",'Mapa final'!$R$29),"")</f>
        <v/>
      </c>
      <c r="M19" s="50" t="str">
        <f>IF(AND('Mapa final'!$AB$30="Alta",'Mapa final'!$AD$30="Leve"),CONCATENATE("R4C",'Mapa final'!$R$30),"")</f>
        <v/>
      </c>
      <c r="N19" s="50" t="str">
        <f>IF(AND('Mapa final'!$AB$31="Alta",'Mapa final'!$AD$31="Leve"),CONCATENATE("R4C",'Mapa final'!$R$31),"")</f>
        <v/>
      </c>
      <c r="O19" s="51" t="str">
        <f>IF(AND('Mapa final'!$AB$32="Alta",'Mapa final'!$AD$32="Leve"),CONCATENATE("R4C",'Mapa final'!$R$32),"")</f>
        <v/>
      </c>
      <c r="P19" s="49" t="str">
        <f>IF(AND('Mapa final'!$AB$28="Alta",'Mapa final'!$AD$28="Menor"),CONCATENATE("R4C",'Mapa final'!$R$28),"")</f>
        <v/>
      </c>
      <c r="Q19" s="50" t="e">
        <f>IF(AND('Mapa final'!#REF!="Alta",'Mapa final'!#REF!="Menor"),CONCATENATE("R4C",'Mapa final'!#REF!),"")</f>
        <v>#REF!</v>
      </c>
      <c r="R19" s="50" t="str">
        <f>IF(AND('Mapa final'!$AB$29="Alta",'Mapa final'!$AD$29="Menor"),CONCATENATE("R4C",'Mapa final'!$R$29),"")</f>
        <v/>
      </c>
      <c r="S19" s="50" t="str">
        <f>IF(AND('Mapa final'!$AB$30="Alta",'Mapa final'!$AD$30="Menor"),CONCATENATE("R4C",'Mapa final'!$R$30),"")</f>
        <v/>
      </c>
      <c r="T19" s="50" t="str">
        <f>IF(AND('Mapa final'!$AB$31="Alta",'Mapa final'!$AD$31="Menor"),CONCATENATE("R4C",'Mapa final'!$R$31),"")</f>
        <v/>
      </c>
      <c r="U19" s="51" t="str">
        <f>IF(AND('Mapa final'!$AB$32="Alta",'Mapa final'!$AD$32="Menor"),CONCATENATE("R4C",'Mapa final'!$R$32),"")</f>
        <v/>
      </c>
      <c r="V19" s="34" t="str">
        <f>IF(AND('Mapa final'!$AB$28="Alta",'Mapa final'!$AD$28="Moderado"),CONCATENATE("R4C",'Mapa final'!$R$28),"")</f>
        <v/>
      </c>
      <c r="W19" s="35" t="e">
        <f>IF(AND('Mapa final'!#REF!="Alta",'Mapa final'!#REF!="Moderado"),CONCATENATE("R4C",'Mapa final'!#REF!),"")</f>
        <v>#REF!</v>
      </c>
      <c r="X19" s="35" t="str">
        <f>IF(AND('Mapa final'!$AB$29="Alta",'Mapa final'!$AD$29="Moderado"),CONCATENATE("R4C",'Mapa final'!$R$29),"")</f>
        <v/>
      </c>
      <c r="Y19" s="35" t="str">
        <f>IF(AND('Mapa final'!$AB$30="Alta",'Mapa final'!$AD$30="Moderado"),CONCATENATE("R4C",'Mapa final'!$R$30),"")</f>
        <v/>
      </c>
      <c r="Z19" s="35" t="str">
        <f>IF(AND('Mapa final'!$AB$31="Alta",'Mapa final'!$AD$31="Moderado"),CONCATENATE("R4C",'Mapa final'!$R$31),"")</f>
        <v/>
      </c>
      <c r="AA19" s="36" t="str">
        <f>IF(AND('Mapa final'!$AB$32="Alta",'Mapa final'!$AD$32="Moderado"),CONCATENATE("R4C",'Mapa final'!$R$32),"")</f>
        <v/>
      </c>
      <c r="AB19" s="34" t="str">
        <f>IF(AND('Mapa final'!$AB$28="Alta",'Mapa final'!$AD$28="Mayor"),CONCATENATE("R4C",'Mapa final'!$R$28),"")</f>
        <v/>
      </c>
      <c r="AC19" s="35" t="e">
        <f>IF(AND('Mapa final'!#REF!="Alta",'Mapa final'!#REF!="Mayor"),CONCATENATE("R4C",'Mapa final'!#REF!),"")</f>
        <v>#REF!</v>
      </c>
      <c r="AD19" s="35" t="str">
        <f>IF(AND('Mapa final'!$AB$29="Alta",'Mapa final'!$AD$29="Mayor"),CONCATENATE("R4C",'Mapa final'!$R$29),"")</f>
        <v/>
      </c>
      <c r="AE19" s="35" t="str">
        <f>IF(AND('Mapa final'!$AB$30="Alta",'Mapa final'!$AD$30="Mayor"),CONCATENATE("R4C",'Mapa final'!$R$30),"")</f>
        <v/>
      </c>
      <c r="AF19" s="35" t="str">
        <f>IF(AND('Mapa final'!$AB$31="Alta",'Mapa final'!$AD$31="Mayor"),CONCATENATE("R4C",'Mapa final'!$R$31),"")</f>
        <v/>
      </c>
      <c r="AG19" s="36" t="str">
        <f>IF(AND('Mapa final'!$AB$32="Alta",'Mapa final'!$AD$32="Mayor"),CONCATENATE("R4C",'Mapa final'!$R$32),"")</f>
        <v/>
      </c>
      <c r="AH19" s="37" t="str">
        <f>IF(AND('Mapa final'!$AB$28="Alta",'Mapa final'!$AD$28="Catastrófico"),CONCATENATE("R4C",'Mapa final'!$R$28),"")</f>
        <v/>
      </c>
      <c r="AI19" s="38" t="e">
        <f>IF(AND('Mapa final'!#REF!="Alta",'Mapa final'!#REF!="Catastrófico"),CONCATENATE("R4C",'Mapa final'!#REF!),"")</f>
        <v>#REF!</v>
      </c>
      <c r="AJ19" s="38" t="str">
        <f>IF(AND('Mapa final'!$AB$29="Alta",'Mapa final'!$AD$29="Catastrófico"),CONCATENATE("R4C",'Mapa final'!$R$29),"")</f>
        <v/>
      </c>
      <c r="AK19" s="38" t="str">
        <f>IF(AND('Mapa final'!$AB$30="Alta",'Mapa final'!$AD$30="Catastrófico"),CONCATENATE("R4C",'Mapa final'!$R$30),"")</f>
        <v/>
      </c>
      <c r="AL19" s="38" t="str">
        <f>IF(AND('Mapa final'!$AB$31="Alta",'Mapa final'!$AD$31="Catastrófico"),CONCATENATE("R4C",'Mapa final'!$R$31),"")</f>
        <v/>
      </c>
      <c r="AM19" s="39" t="str">
        <f>IF(AND('Mapa final'!$AB$32="Alta",'Mapa final'!$AD$32="Catastrófico"),CONCATENATE("R4C",'Mapa final'!$R$32),"")</f>
        <v/>
      </c>
      <c r="AN19" s="65"/>
      <c r="AO19" s="670"/>
      <c r="AP19" s="671"/>
      <c r="AQ19" s="671"/>
      <c r="AR19" s="671"/>
      <c r="AS19" s="671"/>
      <c r="AT19" s="672"/>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row>
    <row r="20" spans="1:76" ht="15" customHeight="1" x14ac:dyDescent="0.3">
      <c r="A20" s="65"/>
      <c r="B20" s="581"/>
      <c r="C20" s="581"/>
      <c r="D20" s="582"/>
      <c r="E20" s="680"/>
      <c r="F20" s="679"/>
      <c r="G20" s="679"/>
      <c r="H20" s="679"/>
      <c r="I20" s="679"/>
      <c r="J20" s="49" t="str">
        <f>IF(AND('Mapa final'!$AB$33="Alta",'Mapa final'!$AD$33="Leve"),CONCATENATE("R5C",'Mapa final'!$R$33),"")</f>
        <v/>
      </c>
      <c r="K20" s="50" t="str">
        <f>IF(AND('Mapa final'!$AB$34="Alta",'Mapa final'!$AD$34="Leve"),CONCATENATE("R5C",'Mapa final'!$R$34),"")</f>
        <v/>
      </c>
      <c r="L20" s="50" t="str">
        <f>IF(AND('Mapa final'!$AB$35="Alta",'Mapa final'!$AD$35="Leve"),CONCATENATE("R5C",'Mapa final'!$R$35),"")</f>
        <v/>
      </c>
      <c r="M20" s="50" t="str">
        <f>IF(AND('Mapa final'!$AB$36="Alta",'Mapa final'!$AD$36="Leve"),CONCATENATE("R5C",'Mapa final'!$R$36),"")</f>
        <v/>
      </c>
      <c r="N20" s="50" t="str">
        <f>IF(AND('Mapa final'!$AB$37="Alta",'Mapa final'!$AD$37="Leve"),CONCATENATE("R5C",'Mapa final'!$R$37),"")</f>
        <v/>
      </c>
      <c r="O20" s="51" t="str">
        <f>IF(AND('Mapa final'!$AB$38="Alta",'Mapa final'!$AD$38="Leve"),CONCATENATE("R5C",'Mapa final'!$R$38),"")</f>
        <v/>
      </c>
      <c r="P20" s="49" t="str">
        <f>IF(AND('Mapa final'!$AB$33="Alta",'Mapa final'!$AD$33="Menor"),CONCATENATE("R5C",'Mapa final'!$R$33),"")</f>
        <v/>
      </c>
      <c r="Q20" s="50" t="str">
        <f>IF(AND('Mapa final'!$AB$34="Alta",'Mapa final'!$AD$34="Menor"),CONCATENATE("R5C",'Mapa final'!$R$34),"")</f>
        <v/>
      </c>
      <c r="R20" s="50" t="str">
        <f>IF(AND('Mapa final'!$AB$35="Alta",'Mapa final'!$AD$35="Menor"),CONCATENATE("R5C",'Mapa final'!$R$35),"")</f>
        <v/>
      </c>
      <c r="S20" s="50" t="str">
        <f>IF(AND('Mapa final'!$AB$36="Alta",'Mapa final'!$AD$36="Menor"),CONCATENATE("R5C",'Mapa final'!$R$36),"")</f>
        <v/>
      </c>
      <c r="T20" s="50" t="str">
        <f>IF(AND('Mapa final'!$AB$37="Alta",'Mapa final'!$AD$37="Menor"),CONCATENATE("R5C",'Mapa final'!$R$37),"")</f>
        <v/>
      </c>
      <c r="U20" s="51" t="str">
        <f>IF(AND('Mapa final'!$AB$38="Alta",'Mapa final'!$AD$38="Menor"),CONCATENATE("R5C",'Mapa final'!$R$38),"")</f>
        <v/>
      </c>
      <c r="V20" s="34" t="str">
        <f>IF(AND('Mapa final'!$AB$33="Alta",'Mapa final'!$AD$33="Moderado"),CONCATENATE("R5C",'Mapa final'!$R$33),"")</f>
        <v/>
      </c>
      <c r="W20" s="35" t="str">
        <f>IF(AND('Mapa final'!$AB$34="Alta",'Mapa final'!$AD$34="Moderado"),CONCATENATE("R5C",'Mapa final'!$R$34),"")</f>
        <v/>
      </c>
      <c r="X20" s="35" t="str">
        <f>IF(AND('Mapa final'!$AB$35="Alta",'Mapa final'!$AD$35="Moderado"),CONCATENATE("R5C",'Mapa final'!$R$35),"")</f>
        <v/>
      </c>
      <c r="Y20" s="35" t="str">
        <f>IF(AND('Mapa final'!$AB$36="Alta",'Mapa final'!$AD$36="Moderado"),CONCATENATE("R5C",'Mapa final'!$R$36),"")</f>
        <v/>
      </c>
      <c r="Z20" s="35" t="str">
        <f>IF(AND('Mapa final'!$AB$37="Alta",'Mapa final'!$AD$37="Moderado"),CONCATENATE("R5C",'Mapa final'!$R$37),"")</f>
        <v/>
      </c>
      <c r="AA20" s="36" t="str">
        <f>IF(AND('Mapa final'!$AB$38="Alta",'Mapa final'!$AD$38="Moderado"),CONCATENATE("R5C",'Mapa final'!$R$38),"")</f>
        <v/>
      </c>
      <c r="AB20" s="34" t="str">
        <f>IF(AND('Mapa final'!$AB$33="Alta",'Mapa final'!$AD$33="Mayor"),CONCATENATE("R5C",'Mapa final'!$R$33),"")</f>
        <v/>
      </c>
      <c r="AC20" s="35" t="str">
        <f>IF(AND('Mapa final'!$AB$34="Alta",'Mapa final'!$AD$34="Mayor"),CONCATENATE("R5C",'Mapa final'!$R$34),"")</f>
        <v/>
      </c>
      <c r="AD20" s="35" t="str">
        <f>IF(AND('Mapa final'!$AB$35="Alta",'Mapa final'!$AD$35="Mayor"),CONCATENATE("R5C",'Mapa final'!$R$35),"")</f>
        <v/>
      </c>
      <c r="AE20" s="35" t="str">
        <f>IF(AND('Mapa final'!$AB$36="Alta",'Mapa final'!$AD$36="Mayor"),CONCATENATE("R5C",'Mapa final'!$R$36),"")</f>
        <v/>
      </c>
      <c r="AF20" s="35" t="str">
        <f>IF(AND('Mapa final'!$AB$37="Alta",'Mapa final'!$AD$37="Mayor"),CONCATENATE("R5C",'Mapa final'!$R$37),"")</f>
        <v/>
      </c>
      <c r="AG20" s="36" t="str">
        <f>IF(AND('Mapa final'!$AB$38="Alta",'Mapa final'!$AD$38="Mayor"),CONCATENATE("R5C",'Mapa final'!$R$38),"")</f>
        <v/>
      </c>
      <c r="AH20" s="37" t="str">
        <f>IF(AND('Mapa final'!$AB$33="Alta",'Mapa final'!$AD$33="Catastrófico"),CONCATENATE("R5C",'Mapa final'!$R$33),"")</f>
        <v/>
      </c>
      <c r="AI20" s="38" t="str">
        <f>IF(AND('Mapa final'!$AB$34="Alta",'Mapa final'!$AD$34="Catastrófico"),CONCATENATE("R5C",'Mapa final'!$R$34),"")</f>
        <v/>
      </c>
      <c r="AJ20" s="38" t="str">
        <f>IF(AND('Mapa final'!$AB$35="Alta",'Mapa final'!$AD$35="Catastrófico"),CONCATENATE("R5C",'Mapa final'!$R$35),"")</f>
        <v/>
      </c>
      <c r="AK20" s="38" t="str">
        <f>IF(AND('Mapa final'!$AB$36="Alta",'Mapa final'!$AD$36="Catastrófico"),CONCATENATE("R5C",'Mapa final'!$R$36),"")</f>
        <v/>
      </c>
      <c r="AL20" s="38" t="str">
        <f>IF(AND('Mapa final'!$AB$37="Alta",'Mapa final'!$AD$37="Catastrófico"),CONCATENATE("R5C",'Mapa final'!$R$37),"")</f>
        <v/>
      </c>
      <c r="AM20" s="39" t="str">
        <f>IF(AND('Mapa final'!$AB$38="Alta",'Mapa final'!$AD$38="Catastrófico"),CONCATENATE("R5C",'Mapa final'!$R$38),"")</f>
        <v/>
      </c>
      <c r="AN20" s="65"/>
      <c r="AO20" s="670"/>
      <c r="AP20" s="671"/>
      <c r="AQ20" s="671"/>
      <c r="AR20" s="671"/>
      <c r="AS20" s="671"/>
      <c r="AT20" s="672"/>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row>
    <row r="21" spans="1:76" ht="15" customHeight="1" x14ac:dyDescent="0.3">
      <c r="A21" s="65"/>
      <c r="B21" s="581"/>
      <c r="C21" s="581"/>
      <c r="D21" s="582"/>
      <c r="E21" s="680"/>
      <c r="F21" s="679"/>
      <c r="G21" s="679"/>
      <c r="H21" s="679"/>
      <c r="I21" s="679"/>
      <c r="J21" s="49" t="str">
        <f>IF(AND('Mapa final'!$AB$39="Alta",'Mapa final'!$AD$39="Leve"),CONCATENATE("R6C",'Mapa final'!$R$39),"")</f>
        <v/>
      </c>
      <c r="K21" s="50" t="str">
        <f>IF(AND('Mapa final'!$AB$40="Alta",'Mapa final'!$AD$40="Leve"),CONCATENATE("R6C",'Mapa final'!$R$40),"")</f>
        <v/>
      </c>
      <c r="L21" s="50" t="str">
        <f>IF(AND('Mapa final'!$AB$41="Alta",'Mapa final'!$AD$41="Leve"),CONCATENATE("R6C",'Mapa final'!$R$41),"")</f>
        <v/>
      </c>
      <c r="M21" s="50" t="str">
        <f>IF(AND('Mapa final'!$AB$42="Alta",'Mapa final'!$AD$42="Leve"),CONCATENATE("R6C",'Mapa final'!$R$42),"")</f>
        <v/>
      </c>
      <c r="N21" s="50" t="str">
        <f>IF(AND('Mapa final'!$AB$43="Alta",'Mapa final'!$AD$43="Leve"),CONCATENATE("R6C",'Mapa final'!$R$43),"")</f>
        <v/>
      </c>
      <c r="O21" s="51" t="str">
        <f>IF(AND('Mapa final'!$AB$44="Alta",'Mapa final'!$AD$44="Leve"),CONCATENATE("R6C",'Mapa final'!$R$44),"")</f>
        <v/>
      </c>
      <c r="P21" s="49" t="str">
        <f>IF(AND('Mapa final'!$AB$39="Alta",'Mapa final'!$AD$39="Menor"),CONCATENATE("R6C",'Mapa final'!$R$39),"")</f>
        <v/>
      </c>
      <c r="Q21" s="50" t="str">
        <f>IF(AND('Mapa final'!$AB$40="Alta",'Mapa final'!$AD$40="Menor"),CONCATENATE("R6C",'Mapa final'!$R$40),"")</f>
        <v/>
      </c>
      <c r="R21" s="50" t="str">
        <f>IF(AND('Mapa final'!$AB$41="Alta",'Mapa final'!$AD$41="Menor"),CONCATENATE("R6C",'Mapa final'!$R$41),"")</f>
        <v/>
      </c>
      <c r="S21" s="50" t="str">
        <f>IF(AND('Mapa final'!$AB$42="Alta",'Mapa final'!$AD$42="Menor"),CONCATENATE("R6C",'Mapa final'!$R$42),"")</f>
        <v/>
      </c>
      <c r="T21" s="50" t="str">
        <f>IF(AND('Mapa final'!$AB$43="Alta",'Mapa final'!$AD$43="Menor"),CONCATENATE("R6C",'Mapa final'!$R$43),"")</f>
        <v/>
      </c>
      <c r="U21" s="51" t="str">
        <f>IF(AND('Mapa final'!$AB$44="Alta",'Mapa final'!$AD$44="Menor"),CONCATENATE("R6C",'Mapa final'!$R$44),"")</f>
        <v/>
      </c>
      <c r="V21" s="34" t="str">
        <f>IF(AND('Mapa final'!$AB$39="Alta",'Mapa final'!$AD$39="Moderado"),CONCATENATE("R6C",'Mapa final'!$R$39),"")</f>
        <v/>
      </c>
      <c r="W21" s="35" t="str">
        <f>IF(AND('Mapa final'!$AB$40="Alta",'Mapa final'!$AD$40="Moderado"),CONCATENATE("R6C",'Mapa final'!$R$40),"")</f>
        <v/>
      </c>
      <c r="X21" s="35" t="str">
        <f>IF(AND('Mapa final'!$AB$41="Alta",'Mapa final'!$AD$41="Moderado"),CONCATENATE("R6C",'Mapa final'!$R$41),"")</f>
        <v/>
      </c>
      <c r="Y21" s="35" t="str">
        <f>IF(AND('Mapa final'!$AB$42="Alta",'Mapa final'!$AD$42="Moderado"),CONCATENATE("R6C",'Mapa final'!$R$42),"")</f>
        <v/>
      </c>
      <c r="Z21" s="35" t="str">
        <f>IF(AND('Mapa final'!$AB$43="Alta",'Mapa final'!$AD$43="Moderado"),CONCATENATE("R6C",'Mapa final'!$R$43),"")</f>
        <v/>
      </c>
      <c r="AA21" s="36" t="str">
        <f>IF(AND('Mapa final'!$AB$44="Alta",'Mapa final'!$AD$44="Moderado"),CONCATENATE("R6C",'Mapa final'!$R$44),"")</f>
        <v/>
      </c>
      <c r="AB21" s="34" t="str">
        <f>IF(AND('Mapa final'!$AB$39="Alta",'Mapa final'!$AD$39="Mayor"),CONCATENATE("R6C",'Mapa final'!$R$39),"")</f>
        <v/>
      </c>
      <c r="AC21" s="35" t="str">
        <f>IF(AND('Mapa final'!$AB$40="Alta",'Mapa final'!$AD$40="Mayor"),CONCATENATE("R6C",'Mapa final'!$R$40),"")</f>
        <v/>
      </c>
      <c r="AD21" s="35" t="str">
        <f>IF(AND('Mapa final'!$AB$41="Alta",'Mapa final'!$AD$41="Mayor"),CONCATENATE("R6C",'Mapa final'!$R$41),"")</f>
        <v/>
      </c>
      <c r="AE21" s="35" t="str">
        <f>IF(AND('Mapa final'!$AB$42="Alta",'Mapa final'!$AD$42="Mayor"),CONCATENATE("R6C",'Mapa final'!$R$42),"")</f>
        <v/>
      </c>
      <c r="AF21" s="35" t="str">
        <f>IF(AND('Mapa final'!$AB$43="Alta",'Mapa final'!$AD$43="Mayor"),CONCATENATE("R6C",'Mapa final'!$R$43),"")</f>
        <v/>
      </c>
      <c r="AG21" s="36" t="str">
        <f>IF(AND('Mapa final'!$AB$44="Alta",'Mapa final'!$AD$44="Mayor"),CONCATENATE("R6C",'Mapa final'!$R$44),"")</f>
        <v/>
      </c>
      <c r="AH21" s="37" t="str">
        <f>IF(AND('Mapa final'!$AB$39="Alta",'Mapa final'!$AD$39="Catastrófico"),CONCATENATE("R6C",'Mapa final'!$R$39),"")</f>
        <v/>
      </c>
      <c r="AI21" s="38" t="str">
        <f>IF(AND('Mapa final'!$AB$40="Alta",'Mapa final'!$AD$40="Catastrófico"),CONCATENATE("R6C",'Mapa final'!$R$40),"")</f>
        <v/>
      </c>
      <c r="AJ21" s="38" t="str">
        <f>IF(AND('Mapa final'!$AB$41="Alta",'Mapa final'!$AD$41="Catastrófico"),CONCATENATE("R6C",'Mapa final'!$R$41),"")</f>
        <v/>
      </c>
      <c r="AK21" s="38" t="str">
        <f>IF(AND('Mapa final'!$AB$42="Alta",'Mapa final'!$AD$42="Catastrófico"),CONCATENATE("R6C",'Mapa final'!$R$42),"")</f>
        <v/>
      </c>
      <c r="AL21" s="38" t="str">
        <f>IF(AND('Mapa final'!$AB$43="Alta",'Mapa final'!$AD$43="Catastrófico"),CONCATENATE("R6C",'Mapa final'!$R$43),"")</f>
        <v/>
      </c>
      <c r="AM21" s="39" t="str">
        <f>IF(AND('Mapa final'!$AB$44="Alta",'Mapa final'!$AD$44="Catastrófico"),CONCATENATE("R6C",'Mapa final'!$R$44),"")</f>
        <v/>
      </c>
      <c r="AN21" s="65"/>
      <c r="AO21" s="670"/>
      <c r="AP21" s="671"/>
      <c r="AQ21" s="671"/>
      <c r="AR21" s="671"/>
      <c r="AS21" s="671"/>
      <c r="AT21" s="672"/>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row>
    <row r="22" spans="1:76" ht="15" customHeight="1" x14ac:dyDescent="0.3">
      <c r="A22" s="65"/>
      <c r="B22" s="581"/>
      <c r="C22" s="581"/>
      <c r="D22" s="582"/>
      <c r="E22" s="680"/>
      <c r="F22" s="679"/>
      <c r="G22" s="679"/>
      <c r="H22" s="679"/>
      <c r="I22" s="679"/>
      <c r="J22" s="49" t="str">
        <f>IF(AND('Mapa final'!$AB$45="Alta",'Mapa final'!$AD$45="Leve"),CONCATENATE("R7C",'Mapa final'!$R$45),"")</f>
        <v/>
      </c>
      <c r="K22" s="50" t="str">
        <f>IF(AND('Mapa final'!$AB$46="Alta",'Mapa final'!$AD$46="Leve"),CONCATENATE("R7C",'Mapa final'!$R$46),"")</f>
        <v/>
      </c>
      <c r="L22" s="50" t="str">
        <f>IF(AND('Mapa final'!$AB$47="Alta",'Mapa final'!$AD$47="Leve"),CONCATENATE("R7C",'Mapa final'!$R$47),"")</f>
        <v/>
      </c>
      <c r="M22" s="50" t="str">
        <f>IF(AND('Mapa final'!$AB$48="Alta",'Mapa final'!$AD$48="Leve"),CONCATENATE("R7C",'Mapa final'!$R$48),"")</f>
        <v/>
      </c>
      <c r="N22" s="50" t="str">
        <f>IF(AND('Mapa final'!$AB$49="Alta",'Mapa final'!$AD$49="Leve"),CONCATENATE("R7C",'Mapa final'!$R$49),"")</f>
        <v/>
      </c>
      <c r="O22" s="51" t="str">
        <f>IF(AND('Mapa final'!$AB$50="Alta",'Mapa final'!$AD$50="Leve"),CONCATENATE("R7C",'Mapa final'!$R$50),"")</f>
        <v/>
      </c>
      <c r="P22" s="49" t="str">
        <f>IF(AND('Mapa final'!$AB$45="Alta",'Mapa final'!$AD$45="Menor"),CONCATENATE("R7C",'Mapa final'!$R$45),"")</f>
        <v/>
      </c>
      <c r="Q22" s="50" t="str">
        <f>IF(AND('Mapa final'!$AB$46="Alta",'Mapa final'!$AD$46="Menor"),CONCATENATE("R7C",'Mapa final'!$R$46),"")</f>
        <v/>
      </c>
      <c r="R22" s="50" t="str">
        <f>IF(AND('Mapa final'!$AB$47="Alta",'Mapa final'!$AD$47="Menor"),CONCATENATE("R7C",'Mapa final'!$R$47),"")</f>
        <v/>
      </c>
      <c r="S22" s="50" t="str">
        <f>IF(AND('Mapa final'!$AB$48="Alta",'Mapa final'!$AD$48="Menor"),CONCATENATE("R7C",'Mapa final'!$R$48),"")</f>
        <v/>
      </c>
      <c r="T22" s="50" t="str">
        <f>IF(AND('Mapa final'!$AB$49="Alta",'Mapa final'!$AD$49="Menor"),CONCATENATE("R7C",'Mapa final'!$R$49),"")</f>
        <v/>
      </c>
      <c r="U22" s="51" t="str">
        <f>IF(AND('Mapa final'!$AB$50="Alta",'Mapa final'!$AD$50="Menor"),CONCATENATE("R7C",'Mapa final'!$R$50),"")</f>
        <v/>
      </c>
      <c r="V22" s="34" t="str">
        <f>IF(AND('Mapa final'!$AB$45="Alta",'Mapa final'!$AD$45="Moderado"),CONCATENATE("R7C",'Mapa final'!$R$45),"")</f>
        <v/>
      </c>
      <c r="W22" s="35" t="str">
        <f>IF(AND('Mapa final'!$AB$46="Alta",'Mapa final'!$AD$46="Moderado"),CONCATENATE("R7C",'Mapa final'!$R$46),"")</f>
        <v/>
      </c>
      <c r="X22" s="35" t="str">
        <f>IF(AND('Mapa final'!$AB$47="Alta",'Mapa final'!$AD$47="Moderado"),CONCATENATE("R7C",'Mapa final'!$R$47),"")</f>
        <v/>
      </c>
      <c r="Y22" s="35" t="str">
        <f>IF(AND('Mapa final'!$AB$48="Alta",'Mapa final'!$AD$48="Moderado"),CONCATENATE("R7C",'Mapa final'!$R$48),"")</f>
        <v/>
      </c>
      <c r="Z22" s="35" t="str">
        <f>IF(AND('Mapa final'!$AB$49="Alta",'Mapa final'!$AD$49="Moderado"),CONCATENATE("R7C",'Mapa final'!$R$49),"")</f>
        <v/>
      </c>
      <c r="AA22" s="36" t="str">
        <f>IF(AND('Mapa final'!$AB$50="Alta",'Mapa final'!$AD$50="Moderado"),CONCATENATE("R7C",'Mapa final'!$R$50),"")</f>
        <v/>
      </c>
      <c r="AB22" s="34" t="str">
        <f>IF(AND('Mapa final'!$AB$45="Alta",'Mapa final'!$AD$45="Mayor"),CONCATENATE("R7C",'Mapa final'!$R$45),"")</f>
        <v/>
      </c>
      <c r="AC22" s="35" t="str">
        <f>IF(AND('Mapa final'!$AB$46="Alta",'Mapa final'!$AD$46="Mayor"),CONCATENATE("R7C",'Mapa final'!$R$46),"")</f>
        <v/>
      </c>
      <c r="AD22" s="35" t="str">
        <f>IF(AND('Mapa final'!$AB$47="Alta",'Mapa final'!$AD$47="Mayor"),CONCATENATE("R7C",'Mapa final'!$R$47),"")</f>
        <v/>
      </c>
      <c r="AE22" s="35" t="str">
        <f>IF(AND('Mapa final'!$AB$48="Alta",'Mapa final'!$AD$48="Mayor"),CONCATENATE("R7C",'Mapa final'!$R$48),"")</f>
        <v/>
      </c>
      <c r="AF22" s="35" t="str">
        <f>IF(AND('Mapa final'!$AB$49="Alta",'Mapa final'!$AD$49="Mayor"),CONCATENATE("R7C",'Mapa final'!$R$49),"")</f>
        <v/>
      </c>
      <c r="AG22" s="36" t="str">
        <f>IF(AND('Mapa final'!$AB$50="Alta",'Mapa final'!$AD$50="Mayor"),CONCATENATE("R7C",'Mapa final'!$R$50),"")</f>
        <v/>
      </c>
      <c r="AH22" s="37" t="str">
        <f>IF(AND('Mapa final'!$AB$45="Alta",'Mapa final'!$AD$45="Catastrófico"),CONCATENATE("R7C",'Mapa final'!$R$45),"")</f>
        <v/>
      </c>
      <c r="AI22" s="38" t="str">
        <f>IF(AND('Mapa final'!$AB$46="Alta",'Mapa final'!$AD$46="Catastrófico"),CONCATENATE("R7C",'Mapa final'!$R$46),"")</f>
        <v/>
      </c>
      <c r="AJ22" s="38" t="str">
        <f>IF(AND('Mapa final'!$AB$47="Alta",'Mapa final'!$AD$47="Catastrófico"),CONCATENATE("R7C",'Mapa final'!$R$47),"")</f>
        <v/>
      </c>
      <c r="AK22" s="38" t="str">
        <f>IF(AND('Mapa final'!$AB$48="Alta",'Mapa final'!$AD$48="Catastrófico"),CONCATENATE("R7C",'Mapa final'!$R$48),"")</f>
        <v/>
      </c>
      <c r="AL22" s="38" t="str">
        <f>IF(AND('Mapa final'!$AB$49="Alta",'Mapa final'!$AD$49="Catastrófico"),CONCATENATE("R7C",'Mapa final'!$R$49),"")</f>
        <v/>
      </c>
      <c r="AM22" s="39" t="str">
        <f>IF(AND('Mapa final'!$AB$50="Alta",'Mapa final'!$AD$50="Catastrófico"),CONCATENATE("R7C",'Mapa final'!$R$50),"")</f>
        <v/>
      </c>
      <c r="AN22" s="65"/>
      <c r="AO22" s="670"/>
      <c r="AP22" s="671"/>
      <c r="AQ22" s="671"/>
      <c r="AR22" s="671"/>
      <c r="AS22" s="671"/>
      <c r="AT22" s="672"/>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row>
    <row r="23" spans="1:76" ht="15" customHeight="1" x14ac:dyDescent="0.3">
      <c r="A23" s="65"/>
      <c r="B23" s="581"/>
      <c r="C23" s="581"/>
      <c r="D23" s="582"/>
      <c r="E23" s="680"/>
      <c r="F23" s="679"/>
      <c r="G23" s="679"/>
      <c r="H23" s="679"/>
      <c r="I23" s="679"/>
      <c r="J23" s="49" t="str">
        <f>IF(AND('Mapa final'!$AB$51="Alta",'Mapa final'!$AD$51="Leve"),CONCATENATE("R8C",'Mapa final'!$R$51),"")</f>
        <v/>
      </c>
      <c r="K23" s="50" t="str">
        <f>IF(AND('Mapa final'!$AB$52="Alta",'Mapa final'!$AD$52="Leve"),CONCATENATE("R8C",'Mapa final'!$R$52),"")</f>
        <v/>
      </c>
      <c r="L23" s="50" t="str">
        <f>IF(AND('Mapa final'!$AB$53="Alta",'Mapa final'!$AD$53="Leve"),CONCATENATE("R8C",'Mapa final'!$R$53),"")</f>
        <v/>
      </c>
      <c r="M23" s="50" t="str">
        <f>IF(AND('Mapa final'!$AB$54="Alta",'Mapa final'!$AD$54="Leve"),CONCATENATE("R8C",'Mapa final'!$R$54),"")</f>
        <v/>
      </c>
      <c r="N23" s="50" t="str">
        <f>IF(AND('Mapa final'!$AB$55="Alta",'Mapa final'!$AD$55="Leve"),CONCATENATE("R8C",'Mapa final'!$R$55),"")</f>
        <v/>
      </c>
      <c r="O23" s="51" t="str">
        <f>IF(AND('Mapa final'!$AB$56="Alta",'Mapa final'!$AD$56="Leve"),CONCATENATE("R8C",'Mapa final'!$R$56),"")</f>
        <v/>
      </c>
      <c r="P23" s="49" t="str">
        <f>IF(AND('Mapa final'!$AB$51="Alta",'Mapa final'!$AD$51="Menor"),CONCATENATE("R8C",'Mapa final'!$R$51),"")</f>
        <v/>
      </c>
      <c r="Q23" s="50" t="str">
        <f>IF(AND('Mapa final'!$AB$52="Alta",'Mapa final'!$AD$52="Menor"),CONCATENATE("R8C",'Mapa final'!$R$52),"")</f>
        <v/>
      </c>
      <c r="R23" s="50" t="str">
        <f>IF(AND('Mapa final'!$AB$53="Alta",'Mapa final'!$AD$53="Menor"),CONCATENATE("R8C",'Mapa final'!$R$53),"")</f>
        <v/>
      </c>
      <c r="S23" s="50" t="str">
        <f>IF(AND('Mapa final'!$AB$54="Alta",'Mapa final'!$AD$54="Menor"),CONCATENATE("R8C",'Mapa final'!$R$54),"")</f>
        <v/>
      </c>
      <c r="T23" s="50" t="str">
        <f>IF(AND('Mapa final'!$AB$55="Alta",'Mapa final'!$AD$55="Menor"),CONCATENATE("R8C",'Mapa final'!$R$55),"")</f>
        <v/>
      </c>
      <c r="U23" s="51" t="str">
        <f>IF(AND('Mapa final'!$AB$56="Alta",'Mapa final'!$AD$56="Menor"),CONCATENATE("R8C",'Mapa final'!$R$56),"")</f>
        <v/>
      </c>
      <c r="V23" s="34" t="str">
        <f>IF(AND('Mapa final'!$AB$51="Alta",'Mapa final'!$AD$51="Moderado"),CONCATENATE("R8C",'Mapa final'!$R$51),"")</f>
        <v/>
      </c>
      <c r="W23" s="35" t="str">
        <f>IF(AND('Mapa final'!$AB$52="Alta",'Mapa final'!$AD$52="Moderado"),CONCATENATE("R8C",'Mapa final'!$R$52),"")</f>
        <v/>
      </c>
      <c r="X23" s="35" t="str">
        <f>IF(AND('Mapa final'!$AB$53="Alta",'Mapa final'!$AD$53="Moderado"),CONCATENATE("R8C",'Mapa final'!$R$53),"")</f>
        <v/>
      </c>
      <c r="Y23" s="35" t="str">
        <f>IF(AND('Mapa final'!$AB$54="Alta",'Mapa final'!$AD$54="Moderado"),CONCATENATE("R8C",'Mapa final'!$R$54),"")</f>
        <v/>
      </c>
      <c r="Z23" s="35" t="str">
        <f>IF(AND('Mapa final'!$AB$55="Alta",'Mapa final'!$AD$55="Moderado"),CONCATENATE("R8C",'Mapa final'!$R$55),"")</f>
        <v/>
      </c>
      <c r="AA23" s="36" t="str">
        <f>IF(AND('Mapa final'!$AB$56="Alta",'Mapa final'!$AD$56="Moderado"),CONCATENATE("R8C",'Mapa final'!$R$56),"")</f>
        <v/>
      </c>
      <c r="AB23" s="34" t="str">
        <f>IF(AND('Mapa final'!$AB$51="Alta",'Mapa final'!$AD$51="Mayor"),CONCATENATE("R8C",'Mapa final'!$R$51),"")</f>
        <v/>
      </c>
      <c r="AC23" s="35" t="str">
        <f>IF(AND('Mapa final'!$AB$52="Alta",'Mapa final'!$AD$52="Mayor"),CONCATENATE("R8C",'Mapa final'!$R$52),"")</f>
        <v/>
      </c>
      <c r="AD23" s="35" t="str">
        <f>IF(AND('Mapa final'!$AB$53="Alta",'Mapa final'!$AD$53="Mayor"),CONCATENATE("R8C",'Mapa final'!$R$53),"")</f>
        <v/>
      </c>
      <c r="AE23" s="35" t="str">
        <f>IF(AND('Mapa final'!$AB$54="Alta",'Mapa final'!$AD$54="Mayor"),CONCATENATE("R8C",'Mapa final'!$R$54),"")</f>
        <v/>
      </c>
      <c r="AF23" s="35" t="str">
        <f>IF(AND('Mapa final'!$AB$55="Alta",'Mapa final'!$AD$55="Mayor"),CONCATENATE("R8C",'Mapa final'!$R$55),"")</f>
        <v/>
      </c>
      <c r="AG23" s="36" t="str">
        <f>IF(AND('Mapa final'!$AB$56="Alta",'Mapa final'!$AD$56="Mayor"),CONCATENATE("R8C",'Mapa final'!$R$56),"")</f>
        <v/>
      </c>
      <c r="AH23" s="37" t="str">
        <f>IF(AND('Mapa final'!$AB$51="Alta",'Mapa final'!$AD$51="Catastrófico"),CONCATENATE("R8C",'Mapa final'!$R$51),"")</f>
        <v/>
      </c>
      <c r="AI23" s="38" t="str">
        <f>IF(AND('Mapa final'!$AB$52="Alta",'Mapa final'!$AD$52="Catastrófico"),CONCATENATE("R8C",'Mapa final'!$R$52),"")</f>
        <v/>
      </c>
      <c r="AJ23" s="38" t="str">
        <f>IF(AND('Mapa final'!$AB$53="Alta",'Mapa final'!$AD$53="Catastrófico"),CONCATENATE("R8C",'Mapa final'!$R$53),"")</f>
        <v/>
      </c>
      <c r="AK23" s="38" t="str">
        <f>IF(AND('Mapa final'!$AB$54="Alta",'Mapa final'!$AD$54="Catastrófico"),CONCATENATE("R8C",'Mapa final'!$R$54),"")</f>
        <v/>
      </c>
      <c r="AL23" s="38" t="str">
        <f>IF(AND('Mapa final'!$AB$55="Alta",'Mapa final'!$AD$55="Catastrófico"),CONCATENATE("R8C",'Mapa final'!$R$55),"")</f>
        <v/>
      </c>
      <c r="AM23" s="39" t="str">
        <f>IF(AND('Mapa final'!$AB$56="Alta",'Mapa final'!$AD$56="Catastrófico"),CONCATENATE("R8C",'Mapa final'!$R$56),"")</f>
        <v/>
      </c>
      <c r="AN23" s="65"/>
      <c r="AO23" s="670"/>
      <c r="AP23" s="671"/>
      <c r="AQ23" s="671"/>
      <c r="AR23" s="671"/>
      <c r="AS23" s="671"/>
      <c r="AT23" s="672"/>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row>
    <row r="24" spans="1:76" ht="15" customHeight="1" x14ac:dyDescent="0.3">
      <c r="A24" s="65"/>
      <c r="B24" s="581"/>
      <c r="C24" s="581"/>
      <c r="D24" s="582"/>
      <c r="E24" s="680"/>
      <c r="F24" s="679"/>
      <c r="G24" s="679"/>
      <c r="H24" s="679"/>
      <c r="I24" s="679"/>
      <c r="J24" s="49" t="str">
        <f>IF(AND('Mapa final'!$AB$57="Alta",'Mapa final'!$AD$57="Leve"),CONCATENATE("R9C",'Mapa final'!$R$57),"")</f>
        <v/>
      </c>
      <c r="K24" s="50" t="str">
        <f>IF(AND('Mapa final'!$AB$58="Alta",'Mapa final'!$AD$58="Leve"),CONCATENATE("R9C",'Mapa final'!$R$58),"")</f>
        <v/>
      </c>
      <c r="L24" s="50" t="str">
        <f>IF(AND('Mapa final'!$AB$59="Alta",'Mapa final'!$AD$59="Leve"),CONCATENATE("R9C",'Mapa final'!$R$59),"")</f>
        <v/>
      </c>
      <c r="M24" s="50" t="str">
        <f>IF(AND('Mapa final'!$AB$60="Alta",'Mapa final'!$AD$60="Leve"),CONCATENATE("R9C",'Mapa final'!$R$60),"")</f>
        <v/>
      </c>
      <c r="N24" s="50" t="str">
        <f>IF(AND('Mapa final'!$AB$61="Alta",'Mapa final'!$AD$61="Leve"),CONCATENATE("R9C",'Mapa final'!$R$61),"")</f>
        <v/>
      </c>
      <c r="O24" s="51" t="str">
        <f>IF(AND('Mapa final'!$AB$62="Alta",'Mapa final'!$AD$62="Leve"),CONCATENATE("R9C",'Mapa final'!$R$62),"")</f>
        <v/>
      </c>
      <c r="P24" s="49" t="str">
        <f>IF(AND('Mapa final'!$AB$57="Alta",'Mapa final'!$AD$57="Menor"),CONCATENATE("R9C",'Mapa final'!$R$57),"")</f>
        <v/>
      </c>
      <c r="Q24" s="50" t="str">
        <f>IF(AND('Mapa final'!$AB$58="Alta",'Mapa final'!$AD$58="Menor"),CONCATENATE("R9C",'Mapa final'!$R$58),"")</f>
        <v/>
      </c>
      <c r="R24" s="50" t="str">
        <f>IF(AND('Mapa final'!$AB$59="Alta",'Mapa final'!$AD$59="Menor"),CONCATENATE("R9C",'Mapa final'!$R$59),"")</f>
        <v/>
      </c>
      <c r="S24" s="50" t="str">
        <f>IF(AND('Mapa final'!$AB$60="Alta",'Mapa final'!$AD$60="Menor"),CONCATENATE("R9C",'Mapa final'!$R$60),"")</f>
        <v/>
      </c>
      <c r="T24" s="50" t="str">
        <f>IF(AND('Mapa final'!$AB$61="Alta",'Mapa final'!$AD$61="Menor"),CONCATENATE("R9C",'Mapa final'!$R$61),"")</f>
        <v/>
      </c>
      <c r="U24" s="51" t="str">
        <f>IF(AND('Mapa final'!$AB$62="Alta",'Mapa final'!$AD$62="Menor"),CONCATENATE("R9C",'Mapa final'!$R$62),"")</f>
        <v/>
      </c>
      <c r="V24" s="34" t="str">
        <f>IF(AND('Mapa final'!$AB$57="Alta",'Mapa final'!$AD$57="Moderado"),CONCATENATE("R9C",'Mapa final'!$R$57),"")</f>
        <v/>
      </c>
      <c r="W24" s="35" t="str">
        <f>IF(AND('Mapa final'!$AB$58="Alta",'Mapa final'!$AD$58="Moderado"),CONCATENATE("R9C",'Mapa final'!$R$58),"")</f>
        <v/>
      </c>
      <c r="X24" s="35" t="str">
        <f>IF(AND('Mapa final'!$AB$59="Alta",'Mapa final'!$AD$59="Moderado"),CONCATENATE("R9C",'Mapa final'!$R$59),"")</f>
        <v/>
      </c>
      <c r="Y24" s="35" t="str">
        <f>IF(AND('Mapa final'!$AB$60="Alta",'Mapa final'!$AD$60="Moderado"),CONCATENATE("R9C",'Mapa final'!$R$60),"")</f>
        <v/>
      </c>
      <c r="Z24" s="35" t="str">
        <f>IF(AND('Mapa final'!$AB$61="Alta",'Mapa final'!$AD$61="Moderado"),CONCATENATE("R9C",'Mapa final'!$R$61),"")</f>
        <v/>
      </c>
      <c r="AA24" s="36" t="str">
        <f>IF(AND('Mapa final'!$AB$62="Alta",'Mapa final'!$AD$62="Moderado"),CONCATENATE("R9C",'Mapa final'!$R$62),"")</f>
        <v/>
      </c>
      <c r="AB24" s="34" t="str">
        <f>IF(AND('Mapa final'!$AB$57="Alta",'Mapa final'!$AD$57="Mayor"),CONCATENATE("R9C",'Mapa final'!$R$57),"")</f>
        <v/>
      </c>
      <c r="AC24" s="35" t="str">
        <f>IF(AND('Mapa final'!$AB$58="Alta",'Mapa final'!$AD$58="Mayor"),CONCATENATE("R9C",'Mapa final'!$R$58),"")</f>
        <v/>
      </c>
      <c r="AD24" s="35" t="str">
        <f>IF(AND('Mapa final'!$AB$59="Alta",'Mapa final'!$AD$59="Mayor"),CONCATENATE("R9C",'Mapa final'!$R$59),"")</f>
        <v/>
      </c>
      <c r="AE24" s="35" t="str">
        <f>IF(AND('Mapa final'!$AB$60="Alta",'Mapa final'!$AD$60="Mayor"),CONCATENATE("R9C",'Mapa final'!$R$60),"")</f>
        <v/>
      </c>
      <c r="AF24" s="35" t="str">
        <f>IF(AND('Mapa final'!$AB$61="Alta",'Mapa final'!$AD$61="Mayor"),CONCATENATE("R9C",'Mapa final'!$R$61),"")</f>
        <v/>
      </c>
      <c r="AG24" s="36" t="str">
        <f>IF(AND('Mapa final'!$AB$62="Alta",'Mapa final'!$AD$62="Mayor"),CONCATENATE("R9C",'Mapa final'!$R$62),"")</f>
        <v/>
      </c>
      <c r="AH24" s="37" t="str">
        <f>IF(AND('Mapa final'!$AB$57="Alta",'Mapa final'!$AD$57="Catastrófico"),CONCATENATE("R9C",'Mapa final'!$R$57),"")</f>
        <v/>
      </c>
      <c r="AI24" s="38" t="str">
        <f>IF(AND('Mapa final'!$AB$58="Alta",'Mapa final'!$AD$58="Catastrófico"),CONCATENATE("R9C",'Mapa final'!$R$58),"")</f>
        <v/>
      </c>
      <c r="AJ24" s="38" t="str">
        <f>IF(AND('Mapa final'!$AB$59="Alta",'Mapa final'!$AD$59="Catastrófico"),CONCATENATE("R9C",'Mapa final'!$R$59),"")</f>
        <v/>
      </c>
      <c r="AK24" s="38" t="str">
        <f>IF(AND('Mapa final'!$AB$60="Alta",'Mapa final'!$AD$60="Catastrófico"),CONCATENATE("R9C",'Mapa final'!$R$60),"")</f>
        <v/>
      </c>
      <c r="AL24" s="38" t="str">
        <f>IF(AND('Mapa final'!$AB$61="Alta",'Mapa final'!$AD$61="Catastrófico"),CONCATENATE("R9C",'Mapa final'!$R$61),"")</f>
        <v/>
      </c>
      <c r="AM24" s="39" t="str">
        <f>IF(AND('Mapa final'!$AB$62="Alta",'Mapa final'!$AD$62="Catastrófico"),CONCATENATE("R9C",'Mapa final'!$R$62),"")</f>
        <v/>
      </c>
      <c r="AN24" s="65"/>
      <c r="AO24" s="670"/>
      <c r="AP24" s="671"/>
      <c r="AQ24" s="671"/>
      <c r="AR24" s="671"/>
      <c r="AS24" s="671"/>
      <c r="AT24" s="672"/>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row>
    <row r="25" spans="1:76" ht="15.75" customHeight="1" thickBot="1" x14ac:dyDescent="0.35">
      <c r="A25" s="65"/>
      <c r="B25" s="581"/>
      <c r="C25" s="581"/>
      <c r="D25" s="582"/>
      <c r="E25" s="681"/>
      <c r="F25" s="682"/>
      <c r="G25" s="682"/>
      <c r="H25" s="682"/>
      <c r="I25" s="682"/>
      <c r="J25" s="52" t="str">
        <f>IF(AND('Mapa final'!$AB$63="Alta",'Mapa final'!$AD$63="Leve"),CONCATENATE("R10C",'Mapa final'!$R$63),"")</f>
        <v/>
      </c>
      <c r="K25" s="53" t="str">
        <f>IF(AND('Mapa final'!$AB$64="Alta",'Mapa final'!$AD$64="Leve"),CONCATENATE("R10C",'Mapa final'!$R$64),"")</f>
        <v/>
      </c>
      <c r="L25" s="53" t="str">
        <f>IF(AND('Mapa final'!$AB$65="Alta",'Mapa final'!$AD$65="Leve"),CONCATENATE("R10C",'Mapa final'!$R$65),"")</f>
        <v/>
      </c>
      <c r="M25" s="53" t="str">
        <f>IF(AND('Mapa final'!$AB$66="Alta",'Mapa final'!$AD$66="Leve"),CONCATENATE("R10C",'Mapa final'!$R$66),"")</f>
        <v/>
      </c>
      <c r="N25" s="53" t="str">
        <f>IF(AND('Mapa final'!$AB$67="Alta",'Mapa final'!$AD$67="Leve"),CONCATENATE("R10C",'Mapa final'!$R$67),"")</f>
        <v/>
      </c>
      <c r="O25" s="54" t="str">
        <f>IF(AND('Mapa final'!$AB$68="Alta",'Mapa final'!$AD$68="Leve"),CONCATENATE("R10C",'Mapa final'!$R$68),"")</f>
        <v/>
      </c>
      <c r="P25" s="52" t="str">
        <f>IF(AND('Mapa final'!$AB$63="Alta",'Mapa final'!$AD$63="Menor"),CONCATENATE("R10C",'Mapa final'!$R$63),"")</f>
        <v/>
      </c>
      <c r="Q25" s="53" t="str">
        <f>IF(AND('Mapa final'!$AB$64="Alta",'Mapa final'!$AD$64="Menor"),CONCATENATE("R10C",'Mapa final'!$R$64),"")</f>
        <v/>
      </c>
      <c r="R25" s="53" t="str">
        <f>IF(AND('Mapa final'!$AB$65="Alta",'Mapa final'!$AD$65="Menor"),CONCATENATE("R10C",'Mapa final'!$R$65),"")</f>
        <v/>
      </c>
      <c r="S25" s="53" t="str">
        <f>IF(AND('Mapa final'!$AB$66="Alta",'Mapa final'!$AD$66="Menor"),CONCATENATE("R10C",'Mapa final'!$R$66),"")</f>
        <v/>
      </c>
      <c r="T25" s="53" t="str">
        <f>IF(AND('Mapa final'!$AB$67="Alta",'Mapa final'!$AD$67="Menor"),CONCATENATE("R10C",'Mapa final'!$R$67),"")</f>
        <v/>
      </c>
      <c r="U25" s="54" t="str">
        <f>IF(AND('Mapa final'!$AB$68="Alta",'Mapa final'!$AD$68="Menor"),CONCATENATE("R10C",'Mapa final'!$R$68),"")</f>
        <v/>
      </c>
      <c r="V25" s="40" t="str">
        <f>IF(AND('Mapa final'!$AB$63="Alta",'Mapa final'!$AD$63="Moderado"),CONCATENATE("R10C",'Mapa final'!$R$63),"")</f>
        <v/>
      </c>
      <c r="W25" s="41" t="str">
        <f>IF(AND('Mapa final'!$AB$64="Alta",'Mapa final'!$AD$64="Moderado"),CONCATENATE("R10C",'Mapa final'!$R$64),"")</f>
        <v/>
      </c>
      <c r="X25" s="41" t="str">
        <f>IF(AND('Mapa final'!$AB$65="Alta",'Mapa final'!$AD$65="Moderado"),CONCATENATE("R10C",'Mapa final'!$R$65),"")</f>
        <v/>
      </c>
      <c r="Y25" s="41" t="str">
        <f>IF(AND('Mapa final'!$AB$66="Alta",'Mapa final'!$AD$66="Moderado"),CONCATENATE("R10C",'Mapa final'!$R$66),"")</f>
        <v/>
      </c>
      <c r="Z25" s="41" t="str">
        <f>IF(AND('Mapa final'!$AB$67="Alta",'Mapa final'!$AD$67="Moderado"),CONCATENATE("R10C",'Mapa final'!$R$67),"")</f>
        <v/>
      </c>
      <c r="AA25" s="42" t="str">
        <f>IF(AND('Mapa final'!$AB$68="Alta",'Mapa final'!$AD$68="Moderado"),CONCATENATE("R10C",'Mapa final'!$R$68),"")</f>
        <v/>
      </c>
      <c r="AB25" s="40" t="str">
        <f>IF(AND('Mapa final'!$AB$63="Alta",'Mapa final'!$AD$63="Mayor"),CONCATENATE("R10C",'Mapa final'!$R$63),"")</f>
        <v/>
      </c>
      <c r="AC25" s="41" t="str">
        <f>IF(AND('Mapa final'!$AB$64="Alta",'Mapa final'!$AD$64="Mayor"),CONCATENATE("R10C",'Mapa final'!$R$64),"")</f>
        <v/>
      </c>
      <c r="AD25" s="41" t="str">
        <f>IF(AND('Mapa final'!$AB$65="Alta",'Mapa final'!$AD$65="Mayor"),CONCATENATE("R10C",'Mapa final'!$R$65),"")</f>
        <v/>
      </c>
      <c r="AE25" s="41" t="str">
        <f>IF(AND('Mapa final'!$AB$66="Alta",'Mapa final'!$AD$66="Mayor"),CONCATENATE("R10C",'Mapa final'!$R$66),"")</f>
        <v/>
      </c>
      <c r="AF25" s="41" t="str">
        <f>IF(AND('Mapa final'!$AB$67="Alta",'Mapa final'!$AD$67="Mayor"),CONCATENATE("R10C",'Mapa final'!$R$67),"")</f>
        <v/>
      </c>
      <c r="AG25" s="42" t="str">
        <f>IF(AND('Mapa final'!$AB$68="Alta",'Mapa final'!$AD$68="Mayor"),CONCATENATE("R10C",'Mapa final'!$R$68),"")</f>
        <v/>
      </c>
      <c r="AH25" s="43" t="str">
        <f>IF(AND('Mapa final'!$AB$63="Alta",'Mapa final'!$AD$63="Catastrófico"),CONCATENATE("R10C",'Mapa final'!$R$63),"")</f>
        <v/>
      </c>
      <c r="AI25" s="44" t="str">
        <f>IF(AND('Mapa final'!$AB$64="Alta",'Mapa final'!$AD$64="Catastrófico"),CONCATENATE("R10C",'Mapa final'!$R$64),"")</f>
        <v/>
      </c>
      <c r="AJ25" s="44" t="str">
        <f>IF(AND('Mapa final'!$AB$65="Alta",'Mapa final'!$AD$65="Catastrófico"),CONCATENATE("R10C",'Mapa final'!$R$65),"")</f>
        <v/>
      </c>
      <c r="AK25" s="44" t="str">
        <f>IF(AND('Mapa final'!$AB$66="Alta",'Mapa final'!$AD$66="Catastrófico"),CONCATENATE("R10C",'Mapa final'!$R$66),"")</f>
        <v/>
      </c>
      <c r="AL25" s="44" t="str">
        <f>IF(AND('Mapa final'!$AB$67="Alta",'Mapa final'!$AD$67="Catastrófico"),CONCATENATE("R10C",'Mapa final'!$R$67),"")</f>
        <v/>
      </c>
      <c r="AM25" s="45" t="str">
        <f>IF(AND('Mapa final'!$AB$68="Alta",'Mapa final'!$AD$68="Catastrófico"),CONCATENATE("R10C",'Mapa final'!$R$68),"")</f>
        <v/>
      </c>
      <c r="AN25" s="65"/>
      <c r="AO25" s="673"/>
      <c r="AP25" s="674"/>
      <c r="AQ25" s="674"/>
      <c r="AR25" s="674"/>
      <c r="AS25" s="674"/>
      <c r="AT25" s="67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row>
    <row r="26" spans="1:76" ht="15" customHeight="1" x14ac:dyDescent="0.3">
      <c r="A26" s="65"/>
      <c r="B26" s="581"/>
      <c r="C26" s="581"/>
      <c r="D26" s="582"/>
      <c r="E26" s="676" t="s">
        <v>112</v>
      </c>
      <c r="F26" s="677"/>
      <c r="G26" s="677"/>
      <c r="H26" s="677"/>
      <c r="I26" s="694"/>
      <c r="J26" s="46" t="str">
        <f>IF(AND('Mapa final'!$AB$10="Media",'Mapa final'!$AD$10="Leve"),CONCATENATE("R1C",'Mapa final'!$R$10),"")</f>
        <v/>
      </c>
      <c r="K26" s="47" t="str">
        <f>IF(AND('Mapa final'!$AB$11="Media",'Mapa final'!$AD$11="Leve"),CONCATENATE("R1C",'Mapa final'!$R$11),"")</f>
        <v/>
      </c>
      <c r="L26" s="47" t="str">
        <f>IF(AND('Mapa final'!$AB$12="Media",'Mapa final'!$AD$12="Leve"),CONCATENATE("R1C",'Mapa final'!$R$12),"")</f>
        <v/>
      </c>
      <c r="M26" s="47" t="str">
        <f>IF(AND('Mapa final'!$AB$13="Media",'Mapa final'!$AD$13="Leve"),CONCATENATE("R1C",'Mapa final'!$R$13),"")</f>
        <v/>
      </c>
      <c r="N26" s="47" t="str">
        <f>IF(AND('Mapa final'!$AB$14="Media",'Mapa final'!$AD$14="Leve"),CONCATENATE("R1C",'Mapa final'!$R$14),"")</f>
        <v/>
      </c>
      <c r="O26" s="48" t="str">
        <f>IF(AND('Mapa final'!$AB$15="Media",'Mapa final'!$AD$15="Leve"),CONCATENATE("R1C",'Mapa final'!$R$15),"")</f>
        <v/>
      </c>
      <c r="P26" s="46" t="str">
        <f>IF(AND('Mapa final'!$AB$10="Media",'Mapa final'!$AD$10="Menor"),CONCATENATE("R1C",'Mapa final'!$R$10),"")</f>
        <v/>
      </c>
      <c r="Q26" s="47" t="str">
        <f>IF(AND('Mapa final'!$AB$11="Media",'Mapa final'!$AD$11="Menor"),CONCATENATE("R1C",'Mapa final'!$R$11),"")</f>
        <v/>
      </c>
      <c r="R26" s="47" t="str">
        <f>IF(AND('Mapa final'!$AB$12="Media",'Mapa final'!$AD$12="Menor"),CONCATENATE("R1C",'Mapa final'!$R$12),"")</f>
        <v/>
      </c>
      <c r="S26" s="47" t="str">
        <f>IF(AND('Mapa final'!$AB$13="Media",'Mapa final'!$AD$13="Menor"),CONCATENATE("R1C",'Mapa final'!$R$13),"")</f>
        <v/>
      </c>
      <c r="T26" s="47" t="str">
        <f>IF(AND('Mapa final'!$AB$14="Media",'Mapa final'!$AD$14="Menor"),CONCATENATE("R1C",'Mapa final'!$R$14),"")</f>
        <v/>
      </c>
      <c r="U26" s="48" t="str">
        <f>IF(AND('Mapa final'!$AB$15="Media",'Mapa final'!$AD$15="Menor"),CONCATENATE("R1C",'Mapa final'!$R$15),"")</f>
        <v/>
      </c>
      <c r="V26" s="46" t="str">
        <f>IF(AND('Mapa final'!$AB$10="Media",'Mapa final'!$AD$10="Moderado"),CONCATENATE("R1C",'Mapa final'!$R$10),"")</f>
        <v/>
      </c>
      <c r="W26" s="47" t="str">
        <f>IF(AND('Mapa final'!$AB$11="Media",'Mapa final'!$AD$11="Moderado"),CONCATENATE("R1C",'Mapa final'!$R$11),"")</f>
        <v/>
      </c>
      <c r="X26" s="47" t="str">
        <f>IF(AND('Mapa final'!$AB$12="Media",'Mapa final'!$AD$12="Moderado"),CONCATENATE("R1C",'Mapa final'!$R$12),"")</f>
        <v/>
      </c>
      <c r="Y26" s="47" t="str">
        <f>IF(AND('Mapa final'!$AB$13="Media",'Mapa final'!$AD$13="Moderado"),CONCATENATE("R1C",'Mapa final'!$R$13),"")</f>
        <v/>
      </c>
      <c r="Z26" s="47" t="str">
        <f>IF(AND('Mapa final'!$AB$14="Media",'Mapa final'!$AD$14="Moderado"),CONCATENATE("R1C",'Mapa final'!$R$14),"")</f>
        <v/>
      </c>
      <c r="AA26" s="48" t="str">
        <f>IF(AND('Mapa final'!$AB$15="Media",'Mapa final'!$AD$15="Moderado"),CONCATENATE("R1C",'Mapa final'!$R$15),"")</f>
        <v/>
      </c>
      <c r="AB26" s="28" t="str">
        <f>IF(AND('Mapa final'!$AB$10="Media",'Mapa final'!$AD$10="Mayor"),CONCATENATE("R1C",'Mapa final'!$R$10),"")</f>
        <v/>
      </c>
      <c r="AC26" s="29" t="str">
        <f>IF(AND('Mapa final'!$AB$11="Media",'Mapa final'!$AD$11="Mayor"),CONCATENATE("R1C",'Mapa final'!$R$11),"")</f>
        <v/>
      </c>
      <c r="AD26" s="29" t="str">
        <f>IF(AND('Mapa final'!$AB$12="Media",'Mapa final'!$AD$12="Mayor"),CONCATENATE("R1C",'Mapa final'!$R$12),"")</f>
        <v/>
      </c>
      <c r="AE26" s="29" t="str">
        <f>IF(AND('Mapa final'!$AB$13="Media",'Mapa final'!$AD$13="Mayor"),CONCATENATE("R1C",'Mapa final'!$R$13),"")</f>
        <v/>
      </c>
      <c r="AF26" s="29" t="str">
        <f>IF(AND('Mapa final'!$AB$14="Media",'Mapa final'!$AD$14="Mayor"),CONCATENATE("R1C",'Mapa final'!$R$14),"")</f>
        <v/>
      </c>
      <c r="AG26" s="30" t="str">
        <f>IF(AND('Mapa final'!$AB$15="Media",'Mapa final'!$AD$15="Mayor"),CONCATENATE("R1C",'Mapa final'!$R$15),"")</f>
        <v/>
      </c>
      <c r="AH26" s="31" t="str">
        <f>IF(AND('Mapa final'!$AB$10="Media",'Mapa final'!$AD$10="Catastrófico"),CONCATENATE("R1C",'Mapa final'!$R$10),"")</f>
        <v/>
      </c>
      <c r="AI26" s="32" t="str">
        <f>IF(AND('Mapa final'!$AB$11="Media",'Mapa final'!$AD$11="Catastrófico"),CONCATENATE("R1C",'Mapa final'!$R$11),"")</f>
        <v/>
      </c>
      <c r="AJ26" s="32" t="str">
        <f>IF(AND('Mapa final'!$AB$12="Media",'Mapa final'!$AD$12="Catastrófico"),CONCATENATE("R1C",'Mapa final'!$R$12),"")</f>
        <v/>
      </c>
      <c r="AK26" s="32" t="str">
        <f>IF(AND('Mapa final'!$AB$13="Media",'Mapa final'!$AD$13="Catastrófico"),CONCATENATE("R1C",'Mapa final'!$R$13),"")</f>
        <v/>
      </c>
      <c r="AL26" s="32" t="str">
        <f>IF(AND('Mapa final'!$AB$14="Media",'Mapa final'!$AD$14="Catastrófico"),CONCATENATE("R1C",'Mapa final'!$R$14),"")</f>
        <v/>
      </c>
      <c r="AM26" s="33" t="str">
        <f>IF(AND('Mapa final'!$AB$15="Media",'Mapa final'!$AD$15="Catastrófico"),CONCATENATE("R1C",'Mapa final'!$R$15),"")</f>
        <v/>
      </c>
      <c r="AN26" s="65"/>
      <c r="AO26" s="706" t="s">
        <v>80</v>
      </c>
      <c r="AP26" s="707"/>
      <c r="AQ26" s="707"/>
      <c r="AR26" s="707"/>
      <c r="AS26" s="707"/>
      <c r="AT26" s="708"/>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row>
    <row r="27" spans="1:76" ht="15" customHeight="1" x14ac:dyDescent="0.3">
      <c r="A27" s="65"/>
      <c r="B27" s="581"/>
      <c r="C27" s="581"/>
      <c r="D27" s="582"/>
      <c r="E27" s="678"/>
      <c r="F27" s="679"/>
      <c r="G27" s="679"/>
      <c r="H27" s="679"/>
      <c r="I27" s="695"/>
      <c r="J27" s="49" t="str">
        <f>IF(AND('Mapa final'!$AB$16="Media",'Mapa final'!$AD$16="Leve"),CONCATENATE("R2C",'Mapa final'!$R$16),"")</f>
        <v/>
      </c>
      <c r="K27" s="50" t="str">
        <f>IF(AND('Mapa final'!$AB$17="Media",'Mapa final'!$AD$17="Leve"),CONCATENATE("R2C",'Mapa final'!$R$17),"")</f>
        <v/>
      </c>
      <c r="L27" s="50" t="str">
        <f>IF(AND('Mapa final'!$AB$18="Media",'Mapa final'!$AD$18="Leve"),CONCATENATE("R2C",'Mapa final'!$R$18),"")</f>
        <v/>
      </c>
      <c r="M27" s="50" t="str">
        <f>IF(AND('Mapa final'!$AB$19="Media",'Mapa final'!$AD$19="Leve"),CONCATENATE("R2C",'Mapa final'!$R$19),"")</f>
        <v/>
      </c>
      <c r="N27" s="50" t="str">
        <f>IF(AND('Mapa final'!$AB$20="Media",'Mapa final'!$AD$20="Leve"),CONCATENATE("R2C",'Mapa final'!$R$20),"")</f>
        <v/>
      </c>
      <c r="O27" s="51" t="str">
        <f>IF(AND('Mapa final'!$AB$21="Media",'Mapa final'!$AD$21="Leve"),CONCATENATE("R2C",'Mapa final'!$R$21),"")</f>
        <v/>
      </c>
      <c r="P27" s="49" t="str">
        <f>IF(AND('Mapa final'!$AB$16="Media",'Mapa final'!$AD$16="Menor"),CONCATENATE("R2C",'Mapa final'!$R$16),"")</f>
        <v/>
      </c>
      <c r="Q27" s="50" t="str">
        <f>IF(AND('Mapa final'!$AB$17="Media",'Mapa final'!$AD$17="Menor"),CONCATENATE("R2C",'Mapa final'!$R$17),"")</f>
        <v/>
      </c>
      <c r="R27" s="50" t="str">
        <f>IF(AND('Mapa final'!$AB$18="Media",'Mapa final'!$AD$18="Menor"),CONCATENATE("R2C",'Mapa final'!$R$18),"")</f>
        <v/>
      </c>
      <c r="S27" s="50" t="str">
        <f>IF(AND('Mapa final'!$AB$19="Media",'Mapa final'!$AD$19="Menor"),CONCATENATE("R2C",'Mapa final'!$R$19),"")</f>
        <v/>
      </c>
      <c r="T27" s="50" t="str">
        <f>IF(AND('Mapa final'!$AB$20="Media",'Mapa final'!$AD$20="Menor"),CONCATENATE("R2C",'Mapa final'!$R$20),"")</f>
        <v/>
      </c>
      <c r="U27" s="51" t="str">
        <f>IF(AND('Mapa final'!$AB$21="Media",'Mapa final'!$AD$21="Menor"),CONCATENATE("R2C",'Mapa final'!$R$21),"")</f>
        <v/>
      </c>
      <c r="V27" s="49" t="str">
        <f>IF(AND('Mapa final'!$AB$16="Media",'Mapa final'!$AD$16="Moderado"),CONCATENATE("R2C",'Mapa final'!$R$16),"")</f>
        <v>R2C1</v>
      </c>
      <c r="W27" s="50" t="str">
        <f>IF(AND('Mapa final'!$AB$17="Media",'Mapa final'!$AD$17="Moderado"),CONCATENATE("R2C",'Mapa final'!$R$17),"")</f>
        <v/>
      </c>
      <c r="X27" s="50" t="str">
        <f>IF(AND('Mapa final'!$AB$18="Media",'Mapa final'!$AD$18="Moderado"),CONCATENATE("R2C",'Mapa final'!$R$18),"")</f>
        <v/>
      </c>
      <c r="Y27" s="50" t="str">
        <f>IF(AND('Mapa final'!$AB$19="Media",'Mapa final'!$AD$19="Moderado"),CONCATENATE("R2C",'Mapa final'!$R$19),"")</f>
        <v/>
      </c>
      <c r="Z27" s="50" t="str">
        <f>IF(AND('Mapa final'!$AB$20="Media",'Mapa final'!$AD$20="Moderado"),CONCATENATE("R2C",'Mapa final'!$R$20),"")</f>
        <v/>
      </c>
      <c r="AA27" s="51" t="str">
        <f>IF(AND('Mapa final'!$AB$21="Media",'Mapa final'!$AD$21="Moderado"),CONCATENATE("R2C",'Mapa final'!$R$21),"")</f>
        <v/>
      </c>
      <c r="AB27" s="34" t="str">
        <f>IF(AND('Mapa final'!$AB$16="Media",'Mapa final'!$AD$16="Mayor"),CONCATENATE("R2C",'Mapa final'!$R$16),"")</f>
        <v/>
      </c>
      <c r="AC27" s="35" t="str">
        <f>IF(AND('Mapa final'!$AB$17="Media",'Mapa final'!$AD$17="Mayor"),CONCATENATE("R2C",'Mapa final'!$R$17),"")</f>
        <v/>
      </c>
      <c r="AD27" s="35" t="str">
        <f>IF(AND('Mapa final'!$AB$18="Media",'Mapa final'!$AD$18="Mayor"),CONCATENATE("R2C",'Mapa final'!$R$18),"")</f>
        <v/>
      </c>
      <c r="AE27" s="35" t="str">
        <f>IF(AND('Mapa final'!$AB$19="Media",'Mapa final'!$AD$19="Mayor"),CONCATENATE("R2C",'Mapa final'!$R$19),"")</f>
        <v/>
      </c>
      <c r="AF27" s="35" t="str">
        <f>IF(AND('Mapa final'!$AB$20="Media",'Mapa final'!$AD$20="Mayor"),CONCATENATE("R2C",'Mapa final'!$R$20),"")</f>
        <v/>
      </c>
      <c r="AG27" s="36" t="str">
        <f>IF(AND('Mapa final'!$AB$21="Media",'Mapa final'!$AD$21="Mayor"),CONCATENATE("R2C",'Mapa final'!$R$21),"")</f>
        <v/>
      </c>
      <c r="AH27" s="37" t="str">
        <f>IF(AND('Mapa final'!$AB$16="Media",'Mapa final'!$AD$16="Catastrófico"),CONCATENATE("R2C",'Mapa final'!$R$16),"")</f>
        <v/>
      </c>
      <c r="AI27" s="38" t="str">
        <f>IF(AND('Mapa final'!$AB$17="Media",'Mapa final'!$AD$17="Catastrófico"),CONCATENATE("R2C",'Mapa final'!$R$17),"")</f>
        <v/>
      </c>
      <c r="AJ27" s="38" t="str">
        <f>IF(AND('Mapa final'!$AB$18="Media",'Mapa final'!$AD$18="Catastrófico"),CONCATENATE("R2C",'Mapa final'!$R$18),"")</f>
        <v/>
      </c>
      <c r="AK27" s="38" t="str">
        <f>IF(AND('Mapa final'!$AB$19="Media",'Mapa final'!$AD$19="Catastrófico"),CONCATENATE("R2C",'Mapa final'!$R$19),"")</f>
        <v/>
      </c>
      <c r="AL27" s="38" t="str">
        <f>IF(AND('Mapa final'!$AB$20="Media",'Mapa final'!$AD$20="Catastrófico"),CONCATENATE("R2C",'Mapa final'!$R$20),"")</f>
        <v/>
      </c>
      <c r="AM27" s="39" t="str">
        <f>IF(AND('Mapa final'!$AB$21="Media",'Mapa final'!$AD$21="Catastrófico"),CONCATENATE("R2C",'Mapa final'!$R$21),"")</f>
        <v/>
      </c>
      <c r="AN27" s="65"/>
      <c r="AO27" s="709"/>
      <c r="AP27" s="710"/>
      <c r="AQ27" s="710"/>
      <c r="AR27" s="710"/>
      <c r="AS27" s="710"/>
      <c r="AT27" s="711"/>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row>
    <row r="28" spans="1:76" ht="15" customHeight="1" x14ac:dyDescent="0.3">
      <c r="A28" s="65"/>
      <c r="B28" s="581"/>
      <c r="C28" s="581"/>
      <c r="D28" s="582"/>
      <c r="E28" s="680"/>
      <c r="F28" s="679"/>
      <c r="G28" s="679"/>
      <c r="H28" s="679"/>
      <c r="I28" s="695"/>
      <c r="J28" s="49" t="str">
        <f>IF(AND('Mapa final'!$AB$22="Media",'Mapa final'!$AD$22="Leve"),CONCATENATE("R3C",'Mapa final'!$R$22),"")</f>
        <v/>
      </c>
      <c r="K28" s="50" t="str">
        <f>IF(AND('Mapa final'!$AB$23="Media",'Mapa final'!$AD$23="Leve"),CONCATENATE("R3C",'Mapa final'!$R$23),"")</f>
        <v/>
      </c>
      <c r="L28" s="50" t="str">
        <f>IF(AND('Mapa final'!$AB$24="Media",'Mapa final'!$AD$24="Leve"),CONCATENATE("R3C",'Mapa final'!$R$24),"")</f>
        <v/>
      </c>
      <c r="M28" s="50" t="str">
        <f>IF(AND('Mapa final'!$AB$25="Media",'Mapa final'!$AD$25="Leve"),CONCATENATE("R3C",'Mapa final'!$R$25),"")</f>
        <v/>
      </c>
      <c r="N28" s="50" t="str">
        <f>IF(AND('Mapa final'!$AB$26="Media",'Mapa final'!$AD$26="Leve"),CONCATENATE("R3C",'Mapa final'!$R$26),"")</f>
        <v/>
      </c>
      <c r="O28" s="51" t="str">
        <f>IF(AND('Mapa final'!$AB$27="Media",'Mapa final'!$AD$27="Leve"),CONCATENATE("R3C",'Mapa final'!$R$27),"")</f>
        <v/>
      </c>
      <c r="P28" s="49" t="str">
        <f>IF(AND('Mapa final'!$AB$22="Media",'Mapa final'!$AD$22="Menor"),CONCATENATE("R3C",'Mapa final'!$R$22),"")</f>
        <v/>
      </c>
      <c r="Q28" s="50" t="str">
        <f>IF(AND('Mapa final'!$AB$23="Media",'Mapa final'!$AD$23="Menor"),CONCATENATE("R3C",'Mapa final'!$R$23),"")</f>
        <v/>
      </c>
      <c r="R28" s="50" t="str">
        <f>IF(AND('Mapa final'!$AB$24="Media",'Mapa final'!$AD$24="Menor"),CONCATENATE("R3C",'Mapa final'!$R$24),"")</f>
        <v/>
      </c>
      <c r="S28" s="50" t="str">
        <f>IF(AND('Mapa final'!$AB$25="Media",'Mapa final'!$AD$25="Menor"),CONCATENATE("R3C",'Mapa final'!$R$25),"")</f>
        <v/>
      </c>
      <c r="T28" s="50" t="str">
        <f>IF(AND('Mapa final'!$AB$26="Media",'Mapa final'!$AD$26="Menor"),CONCATENATE("R3C",'Mapa final'!$R$26),"")</f>
        <v/>
      </c>
      <c r="U28" s="51" t="str">
        <f>IF(AND('Mapa final'!$AB$27="Media",'Mapa final'!$AD$27="Menor"),CONCATENATE("R3C",'Mapa final'!$R$27),"")</f>
        <v/>
      </c>
      <c r="V28" s="49" t="str">
        <f>IF(AND('Mapa final'!$AB$22="Media",'Mapa final'!$AD$22="Moderado"),CONCATENATE("R3C",'Mapa final'!$R$22),"")</f>
        <v/>
      </c>
      <c r="W28" s="50" t="str">
        <f>IF(AND('Mapa final'!$AB$23="Media",'Mapa final'!$AD$23="Moderado"),CONCATENATE("R3C",'Mapa final'!$R$23),"")</f>
        <v/>
      </c>
      <c r="X28" s="50" t="str">
        <f>IF(AND('Mapa final'!$AB$24="Media",'Mapa final'!$AD$24="Moderado"),CONCATENATE("R3C",'Mapa final'!$R$24),"")</f>
        <v/>
      </c>
      <c r="Y28" s="50" t="str">
        <f>IF(AND('Mapa final'!$AB$25="Media",'Mapa final'!$AD$25="Moderado"),CONCATENATE("R3C",'Mapa final'!$R$25),"")</f>
        <v/>
      </c>
      <c r="Z28" s="50" t="str">
        <f>IF(AND('Mapa final'!$AB$26="Media",'Mapa final'!$AD$26="Moderado"),CONCATENATE("R3C",'Mapa final'!$R$26),"")</f>
        <v/>
      </c>
      <c r="AA28" s="51" t="str">
        <f>IF(AND('Mapa final'!$AB$27="Media",'Mapa final'!$AD$27="Moderado"),CONCATENATE("R3C",'Mapa final'!$R$27),"")</f>
        <v/>
      </c>
      <c r="AB28" s="34" t="str">
        <f>IF(AND('Mapa final'!$AB$22="Media",'Mapa final'!$AD$22="Mayor"),CONCATENATE("R3C",'Mapa final'!$R$22),"")</f>
        <v/>
      </c>
      <c r="AC28" s="35" t="str">
        <f>IF(AND('Mapa final'!$AB$23="Media",'Mapa final'!$AD$23="Mayor"),CONCATENATE("R3C",'Mapa final'!$R$23),"")</f>
        <v/>
      </c>
      <c r="AD28" s="35" t="str">
        <f>IF(AND('Mapa final'!$AB$24="Media",'Mapa final'!$AD$24="Mayor"),CONCATENATE("R3C",'Mapa final'!$R$24),"")</f>
        <v/>
      </c>
      <c r="AE28" s="35" t="str">
        <f>IF(AND('Mapa final'!$AB$25="Media",'Mapa final'!$AD$25="Mayor"),CONCATENATE("R3C",'Mapa final'!$R$25),"")</f>
        <v/>
      </c>
      <c r="AF28" s="35" t="str">
        <f>IF(AND('Mapa final'!$AB$26="Media",'Mapa final'!$AD$26="Mayor"),CONCATENATE("R3C",'Mapa final'!$R$26),"")</f>
        <v/>
      </c>
      <c r="AG28" s="36" t="str">
        <f>IF(AND('Mapa final'!$AB$27="Media",'Mapa final'!$AD$27="Mayor"),CONCATENATE("R3C",'Mapa final'!$R$27),"")</f>
        <v/>
      </c>
      <c r="AH28" s="37" t="str">
        <f>IF(AND('Mapa final'!$AB$22="Media",'Mapa final'!$AD$22="Catastrófico"),CONCATENATE("R3C",'Mapa final'!$R$22),"")</f>
        <v/>
      </c>
      <c r="AI28" s="38" t="str">
        <f>IF(AND('Mapa final'!$AB$23="Media",'Mapa final'!$AD$23="Catastrófico"),CONCATENATE("R3C",'Mapa final'!$R$23),"")</f>
        <v/>
      </c>
      <c r="AJ28" s="38" t="str">
        <f>IF(AND('Mapa final'!$AB$24="Media",'Mapa final'!$AD$24="Catastrófico"),CONCATENATE("R3C",'Mapa final'!$R$24),"")</f>
        <v/>
      </c>
      <c r="AK28" s="38" t="str">
        <f>IF(AND('Mapa final'!$AB$25="Media",'Mapa final'!$AD$25="Catastrófico"),CONCATENATE("R3C",'Mapa final'!$R$25),"")</f>
        <v/>
      </c>
      <c r="AL28" s="38" t="str">
        <f>IF(AND('Mapa final'!$AB$26="Media",'Mapa final'!$AD$26="Catastrófico"),CONCATENATE("R3C",'Mapa final'!$R$26),"")</f>
        <v/>
      </c>
      <c r="AM28" s="39" t="str">
        <f>IF(AND('Mapa final'!$AB$27="Media",'Mapa final'!$AD$27="Catastrófico"),CONCATENATE("R3C",'Mapa final'!$R$27),"")</f>
        <v/>
      </c>
      <c r="AN28" s="65"/>
      <c r="AO28" s="709"/>
      <c r="AP28" s="710"/>
      <c r="AQ28" s="710"/>
      <c r="AR28" s="710"/>
      <c r="AS28" s="710"/>
      <c r="AT28" s="711"/>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row>
    <row r="29" spans="1:76" ht="15" customHeight="1" x14ac:dyDescent="0.3">
      <c r="A29" s="65"/>
      <c r="B29" s="581"/>
      <c r="C29" s="581"/>
      <c r="D29" s="582"/>
      <c r="E29" s="680"/>
      <c r="F29" s="679"/>
      <c r="G29" s="679"/>
      <c r="H29" s="679"/>
      <c r="I29" s="695"/>
      <c r="J29" s="49" t="str">
        <f>IF(AND('Mapa final'!$AB$28="Media",'Mapa final'!$AD$28="Leve"),CONCATENATE("R4C",'Mapa final'!$R$28),"")</f>
        <v/>
      </c>
      <c r="K29" s="50" t="e">
        <f>IF(AND('Mapa final'!#REF!="Media",'Mapa final'!#REF!="Leve"),CONCATENATE("R4C",'Mapa final'!#REF!),"")</f>
        <v>#REF!</v>
      </c>
      <c r="L29" s="50" t="str">
        <f>IF(AND('Mapa final'!$AB$29="Media",'Mapa final'!$AD$29="Leve"),CONCATENATE("R4C",'Mapa final'!$R$29),"")</f>
        <v/>
      </c>
      <c r="M29" s="50" t="str">
        <f>IF(AND('Mapa final'!$AB$30="Media",'Mapa final'!$AD$30="Leve"),CONCATENATE("R4C",'Mapa final'!$R$30),"")</f>
        <v/>
      </c>
      <c r="N29" s="50" t="str">
        <f>IF(AND('Mapa final'!$AB$31="Media",'Mapa final'!$AD$31="Leve"),CONCATENATE("R4C",'Mapa final'!$R$31),"")</f>
        <v/>
      </c>
      <c r="O29" s="51" t="str">
        <f>IF(AND('Mapa final'!$AB$32="Media",'Mapa final'!$AD$32="Leve"),CONCATENATE("R4C",'Mapa final'!$R$32),"")</f>
        <v/>
      </c>
      <c r="P29" s="49" t="str">
        <f>IF(AND('Mapa final'!$AB$28="Media",'Mapa final'!$AD$28="Menor"),CONCATENATE("R4C",'Mapa final'!$R$28),"")</f>
        <v/>
      </c>
      <c r="Q29" s="50" t="e">
        <f>IF(AND('Mapa final'!#REF!="Media",'Mapa final'!#REF!="Menor"),CONCATENATE("R4C",'Mapa final'!#REF!),"")</f>
        <v>#REF!</v>
      </c>
      <c r="R29" s="50" t="str">
        <f>IF(AND('Mapa final'!$AB$29="Media",'Mapa final'!$AD$29="Menor"),CONCATENATE("R4C",'Mapa final'!$R$29),"")</f>
        <v/>
      </c>
      <c r="S29" s="50" t="str">
        <f>IF(AND('Mapa final'!$AB$30="Media",'Mapa final'!$AD$30="Menor"),CONCATENATE("R4C",'Mapa final'!$R$30),"")</f>
        <v/>
      </c>
      <c r="T29" s="50" t="str">
        <f>IF(AND('Mapa final'!$AB$31="Media",'Mapa final'!$AD$31="Menor"),CONCATENATE("R4C",'Mapa final'!$R$31),"")</f>
        <v/>
      </c>
      <c r="U29" s="51" t="str">
        <f>IF(AND('Mapa final'!$AB$32="Media",'Mapa final'!$AD$32="Menor"),CONCATENATE("R4C",'Mapa final'!$R$32),"")</f>
        <v/>
      </c>
      <c r="V29" s="49" t="str">
        <f>IF(AND('Mapa final'!$AB$28="Media",'Mapa final'!$AD$28="Moderado"),CONCATENATE("R4C",'Mapa final'!$R$28),"")</f>
        <v/>
      </c>
      <c r="W29" s="50" t="e">
        <f>IF(AND('Mapa final'!#REF!="Media",'Mapa final'!#REF!="Moderado"),CONCATENATE("R4C",'Mapa final'!#REF!),"")</f>
        <v>#REF!</v>
      </c>
      <c r="X29" s="50" t="str">
        <f>IF(AND('Mapa final'!$AB$29="Media",'Mapa final'!$AD$29="Moderado"),CONCATENATE("R4C",'Mapa final'!$R$29),"")</f>
        <v/>
      </c>
      <c r="Y29" s="50" t="str">
        <f>IF(AND('Mapa final'!$AB$30="Media",'Mapa final'!$AD$30="Moderado"),CONCATENATE("R4C",'Mapa final'!$R$30),"")</f>
        <v/>
      </c>
      <c r="Z29" s="50" t="str">
        <f>IF(AND('Mapa final'!$AB$31="Media",'Mapa final'!$AD$31="Moderado"),CONCATENATE("R4C",'Mapa final'!$R$31),"")</f>
        <v/>
      </c>
      <c r="AA29" s="51" t="str">
        <f>IF(AND('Mapa final'!$AB$32="Media",'Mapa final'!$AD$32="Moderado"),CONCATENATE("R4C",'Mapa final'!$R$32),"")</f>
        <v/>
      </c>
      <c r="AB29" s="34" t="str">
        <f>IF(AND('Mapa final'!$AB$28="Media",'Mapa final'!$AD$28="Mayor"),CONCATENATE("R4C",'Mapa final'!$R$28),"")</f>
        <v/>
      </c>
      <c r="AC29" s="35" t="e">
        <f>IF(AND('Mapa final'!#REF!="Media",'Mapa final'!#REF!="Mayor"),CONCATENATE("R4C",'Mapa final'!#REF!),"")</f>
        <v>#REF!</v>
      </c>
      <c r="AD29" s="35" t="str">
        <f>IF(AND('Mapa final'!$AB$29="Media",'Mapa final'!$AD$29="Mayor"),CONCATENATE("R4C",'Mapa final'!$R$29),"")</f>
        <v/>
      </c>
      <c r="AE29" s="35" t="str">
        <f>IF(AND('Mapa final'!$AB$30="Media",'Mapa final'!$AD$30="Mayor"),CONCATENATE("R4C",'Mapa final'!$R$30),"")</f>
        <v/>
      </c>
      <c r="AF29" s="35" t="str">
        <f>IF(AND('Mapa final'!$AB$31="Media",'Mapa final'!$AD$31="Mayor"),CONCATENATE("R4C",'Mapa final'!$R$31),"")</f>
        <v/>
      </c>
      <c r="AG29" s="36" t="str">
        <f>IF(AND('Mapa final'!$AB$32="Media",'Mapa final'!$AD$32="Mayor"),CONCATENATE("R4C",'Mapa final'!$R$32),"")</f>
        <v/>
      </c>
      <c r="AH29" s="37" t="str">
        <f>IF(AND('Mapa final'!$AB$28="Media",'Mapa final'!$AD$28="Catastrófico"),CONCATENATE("R4C",'Mapa final'!$R$28),"")</f>
        <v/>
      </c>
      <c r="AI29" s="38" t="e">
        <f>IF(AND('Mapa final'!#REF!="Media",'Mapa final'!#REF!="Catastrófico"),CONCATENATE("R4C",'Mapa final'!#REF!),"")</f>
        <v>#REF!</v>
      </c>
      <c r="AJ29" s="38" t="str">
        <f>IF(AND('Mapa final'!$AB$29="Media",'Mapa final'!$AD$29="Catastrófico"),CONCATENATE("R4C",'Mapa final'!$R$29),"")</f>
        <v/>
      </c>
      <c r="AK29" s="38" t="str">
        <f>IF(AND('Mapa final'!$AB$30="Media",'Mapa final'!$AD$30="Catastrófico"),CONCATENATE("R4C",'Mapa final'!$R$30),"")</f>
        <v/>
      </c>
      <c r="AL29" s="38" t="str">
        <f>IF(AND('Mapa final'!$AB$31="Media",'Mapa final'!$AD$31="Catastrófico"),CONCATENATE("R4C",'Mapa final'!$R$31),"")</f>
        <v/>
      </c>
      <c r="AM29" s="39" t="str">
        <f>IF(AND('Mapa final'!$AB$32="Media",'Mapa final'!$AD$32="Catastrófico"),CONCATENATE("R4C",'Mapa final'!$R$32),"")</f>
        <v/>
      </c>
      <c r="AN29" s="65"/>
      <c r="AO29" s="709"/>
      <c r="AP29" s="710"/>
      <c r="AQ29" s="710"/>
      <c r="AR29" s="710"/>
      <c r="AS29" s="710"/>
      <c r="AT29" s="711"/>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row>
    <row r="30" spans="1:76" ht="15" customHeight="1" x14ac:dyDescent="0.3">
      <c r="A30" s="65"/>
      <c r="B30" s="581"/>
      <c r="C30" s="581"/>
      <c r="D30" s="582"/>
      <c r="E30" s="680"/>
      <c r="F30" s="679"/>
      <c r="G30" s="679"/>
      <c r="H30" s="679"/>
      <c r="I30" s="695"/>
      <c r="J30" s="49" t="str">
        <f>IF(AND('Mapa final'!$AB$33="Media",'Mapa final'!$AD$33="Leve"),CONCATENATE("R5C",'Mapa final'!$R$33),"")</f>
        <v/>
      </c>
      <c r="K30" s="50" t="str">
        <f>IF(AND('Mapa final'!$AB$34="Media",'Mapa final'!$AD$34="Leve"),CONCATENATE("R5C",'Mapa final'!$R$34),"")</f>
        <v/>
      </c>
      <c r="L30" s="50" t="str">
        <f>IF(AND('Mapa final'!$AB$35="Media",'Mapa final'!$AD$35="Leve"),CONCATENATE("R5C",'Mapa final'!$R$35),"")</f>
        <v/>
      </c>
      <c r="M30" s="50" t="str">
        <f>IF(AND('Mapa final'!$AB$36="Media",'Mapa final'!$AD$36="Leve"),CONCATENATE("R5C",'Mapa final'!$R$36),"")</f>
        <v/>
      </c>
      <c r="N30" s="50" t="str">
        <f>IF(AND('Mapa final'!$AB$37="Media",'Mapa final'!$AD$37="Leve"),CONCATENATE("R5C",'Mapa final'!$R$37),"")</f>
        <v/>
      </c>
      <c r="O30" s="51" t="str">
        <f>IF(AND('Mapa final'!$AB$38="Media",'Mapa final'!$AD$38="Leve"),CONCATENATE("R5C",'Mapa final'!$R$38),"")</f>
        <v/>
      </c>
      <c r="P30" s="49" t="str">
        <f>IF(AND('Mapa final'!$AB$33="Media",'Mapa final'!$AD$33="Menor"),CONCATENATE("R5C",'Mapa final'!$R$33),"")</f>
        <v/>
      </c>
      <c r="Q30" s="50" t="str">
        <f>IF(AND('Mapa final'!$AB$34="Media",'Mapa final'!$AD$34="Menor"),CONCATENATE("R5C",'Mapa final'!$R$34),"")</f>
        <v/>
      </c>
      <c r="R30" s="50" t="str">
        <f>IF(AND('Mapa final'!$AB$35="Media",'Mapa final'!$AD$35="Menor"),CONCATENATE("R5C",'Mapa final'!$R$35),"")</f>
        <v/>
      </c>
      <c r="S30" s="50" t="str">
        <f>IF(AND('Mapa final'!$AB$36="Media",'Mapa final'!$AD$36="Menor"),CONCATENATE("R5C",'Mapa final'!$R$36),"")</f>
        <v/>
      </c>
      <c r="T30" s="50" t="str">
        <f>IF(AND('Mapa final'!$AB$37="Media",'Mapa final'!$AD$37="Menor"),CONCATENATE("R5C",'Mapa final'!$R$37),"")</f>
        <v/>
      </c>
      <c r="U30" s="51" t="str">
        <f>IF(AND('Mapa final'!$AB$38="Media",'Mapa final'!$AD$38="Menor"),CONCATENATE("R5C",'Mapa final'!$R$38),"")</f>
        <v/>
      </c>
      <c r="V30" s="49" t="str">
        <f>IF(AND('Mapa final'!$AB$33="Media",'Mapa final'!$AD$33="Moderado"),CONCATENATE("R5C",'Mapa final'!$R$33),"")</f>
        <v/>
      </c>
      <c r="W30" s="50" t="str">
        <f>IF(AND('Mapa final'!$AB$34="Media",'Mapa final'!$AD$34="Moderado"),CONCATENATE("R5C",'Mapa final'!$R$34),"")</f>
        <v/>
      </c>
      <c r="X30" s="50" t="str">
        <f>IF(AND('Mapa final'!$AB$35="Media",'Mapa final'!$AD$35="Moderado"),CONCATENATE("R5C",'Mapa final'!$R$35),"")</f>
        <v/>
      </c>
      <c r="Y30" s="50" t="str">
        <f>IF(AND('Mapa final'!$AB$36="Media",'Mapa final'!$AD$36="Moderado"),CONCATENATE("R5C",'Mapa final'!$R$36),"")</f>
        <v/>
      </c>
      <c r="Z30" s="50" t="str">
        <f>IF(AND('Mapa final'!$AB$37="Media",'Mapa final'!$AD$37="Moderado"),CONCATENATE("R5C",'Mapa final'!$R$37),"")</f>
        <v/>
      </c>
      <c r="AA30" s="51" t="str">
        <f>IF(AND('Mapa final'!$AB$38="Media",'Mapa final'!$AD$38="Moderado"),CONCATENATE("R5C",'Mapa final'!$R$38),"")</f>
        <v/>
      </c>
      <c r="AB30" s="34" t="str">
        <f>IF(AND('Mapa final'!$AB$33="Media",'Mapa final'!$AD$33="Mayor"),CONCATENATE("R5C",'Mapa final'!$R$33),"")</f>
        <v/>
      </c>
      <c r="AC30" s="35" t="str">
        <f>IF(AND('Mapa final'!$AB$34="Media",'Mapa final'!$AD$34="Mayor"),CONCATENATE("R5C",'Mapa final'!$R$34),"")</f>
        <v/>
      </c>
      <c r="AD30" s="35" t="str">
        <f>IF(AND('Mapa final'!$AB$35="Media",'Mapa final'!$AD$35="Mayor"),CONCATENATE("R5C",'Mapa final'!$R$35),"")</f>
        <v/>
      </c>
      <c r="AE30" s="35" t="str">
        <f>IF(AND('Mapa final'!$AB$36="Media",'Mapa final'!$AD$36="Mayor"),CONCATENATE("R5C",'Mapa final'!$R$36),"")</f>
        <v/>
      </c>
      <c r="AF30" s="35" t="str">
        <f>IF(AND('Mapa final'!$AB$37="Media",'Mapa final'!$AD$37="Mayor"),CONCATENATE("R5C",'Mapa final'!$R$37),"")</f>
        <v/>
      </c>
      <c r="AG30" s="36" t="str">
        <f>IF(AND('Mapa final'!$AB$38="Media",'Mapa final'!$AD$38="Mayor"),CONCATENATE("R5C",'Mapa final'!$R$38),"")</f>
        <v/>
      </c>
      <c r="AH30" s="37" t="str">
        <f>IF(AND('Mapa final'!$AB$33="Media",'Mapa final'!$AD$33="Catastrófico"),CONCATENATE("R5C",'Mapa final'!$R$33),"")</f>
        <v/>
      </c>
      <c r="AI30" s="38" t="str">
        <f>IF(AND('Mapa final'!$AB$34="Media",'Mapa final'!$AD$34="Catastrófico"),CONCATENATE("R5C",'Mapa final'!$R$34),"")</f>
        <v/>
      </c>
      <c r="AJ30" s="38" t="str">
        <f>IF(AND('Mapa final'!$AB$35="Media",'Mapa final'!$AD$35="Catastrófico"),CONCATENATE("R5C",'Mapa final'!$R$35),"")</f>
        <v/>
      </c>
      <c r="AK30" s="38" t="str">
        <f>IF(AND('Mapa final'!$AB$36="Media",'Mapa final'!$AD$36="Catastrófico"),CONCATENATE("R5C",'Mapa final'!$R$36),"")</f>
        <v/>
      </c>
      <c r="AL30" s="38" t="str">
        <f>IF(AND('Mapa final'!$AB$37="Media",'Mapa final'!$AD$37="Catastrófico"),CONCATENATE("R5C",'Mapa final'!$R$37),"")</f>
        <v/>
      </c>
      <c r="AM30" s="39" t="str">
        <f>IF(AND('Mapa final'!$AB$38="Media",'Mapa final'!$AD$38="Catastrófico"),CONCATENATE("R5C",'Mapa final'!$R$38),"")</f>
        <v/>
      </c>
      <c r="AN30" s="65"/>
      <c r="AO30" s="709"/>
      <c r="AP30" s="710"/>
      <c r="AQ30" s="710"/>
      <c r="AR30" s="710"/>
      <c r="AS30" s="710"/>
      <c r="AT30" s="711"/>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row>
    <row r="31" spans="1:76" ht="15" customHeight="1" x14ac:dyDescent="0.3">
      <c r="A31" s="65"/>
      <c r="B31" s="581"/>
      <c r="C31" s="581"/>
      <c r="D31" s="582"/>
      <c r="E31" s="680"/>
      <c r="F31" s="679"/>
      <c r="G31" s="679"/>
      <c r="H31" s="679"/>
      <c r="I31" s="695"/>
      <c r="J31" s="49" t="str">
        <f>IF(AND('Mapa final'!$AB$39="Media",'Mapa final'!$AD$39="Leve"),CONCATENATE("R6C",'Mapa final'!$R$39),"")</f>
        <v/>
      </c>
      <c r="K31" s="50" t="str">
        <f>IF(AND('Mapa final'!$AB$40="Media",'Mapa final'!$AD$40="Leve"),CONCATENATE("R6C",'Mapa final'!$R$40),"")</f>
        <v/>
      </c>
      <c r="L31" s="50" t="str">
        <f>IF(AND('Mapa final'!$AB$41="Media",'Mapa final'!$AD$41="Leve"),CONCATENATE("R6C",'Mapa final'!$R$41),"")</f>
        <v/>
      </c>
      <c r="M31" s="50" t="str">
        <f>IF(AND('Mapa final'!$AB$42="Media",'Mapa final'!$AD$42="Leve"),CONCATENATE("R6C",'Mapa final'!$R$42),"")</f>
        <v/>
      </c>
      <c r="N31" s="50" t="str">
        <f>IF(AND('Mapa final'!$AB$43="Media",'Mapa final'!$AD$43="Leve"),CONCATENATE("R6C",'Mapa final'!$R$43),"")</f>
        <v/>
      </c>
      <c r="O31" s="51" t="str">
        <f>IF(AND('Mapa final'!$AB$44="Media",'Mapa final'!$AD$44="Leve"),CONCATENATE("R6C",'Mapa final'!$R$44),"")</f>
        <v/>
      </c>
      <c r="P31" s="49" t="str">
        <f>IF(AND('Mapa final'!$AB$39="Media",'Mapa final'!$AD$39="Menor"),CONCATENATE("R6C",'Mapa final'!$R$39),"")</f>
        <v/>
      </c>
      <c r="Q31" s="50" t="str">
        <f>IF(AND('Mapa final'!$AB$40="Media",'Mapa final'!$AD$40="Menor"),CONCATENATE("R6C",'Mapa final'!$R$40),"")</f>
        <v/>
      </c>
      <c r="R31" s="50" t="str">
        <f>IF(AND('Mapa final'!$AB$41="Media",'Mapa final'!$AD$41="Menor"),CONCATENATE("R6C",'Mapa final'!$R$41),"")</f>
        <v/>
      </c>
      <c r="S31" s="50" t="str">
        <f>IF(AND('Mapa final'!$AB$42="Media",'Mapa final'!$AD$42="Menor"),CONCATENATE("R6C",'Mapa final'!$R$42),"")</f>
        <v/>
      </c>
      <c r="T31" s="50" t="str">
        <f>IF(AND('Mapa final'!$AB$43="Media",'Mapa final'!$AD$43="Menor"),CONCATENATE("R6C",'Mapa final'!$R$43),"")</f>
        <v/>
      </c>
      <c r="U31" s="51" t="str">
        <f>IF(AND('Mapa final'!$AB$44="Media",'Mapa final'!$AD$44="Menor"),CONCATENATE("R6C",'Mapa final'!$R$44),"")</f>
        <v/>
      </c>
      <c r="V31" s="49" t="str">
        <f>IF(AND('Mapa final'!$AB$39="Media",'Mapa final'!$AD$39="Moderado"),CONCATENATE("R6C",'Mapa final'!$R$39),"")</f>
        <v/>
      </c>
      <c r="W31" s="50" t="str">
        <f>IF(AND('Mapa final'!$AB$40="Media",'Mapa final'!$AD$40="Moderado"),CONCATENATE("R6C",'Mapa final'!$R$40),"")</f>
        <v/>
      </c>
      <c r="X31" s="50" t="str">
        <f>IF(AND('Mapa final'!$AB$41="Media",'Mapa final'!$AD$41="Moderado"),CONCATENATE("R6C",'Mapa final'!$R$41),"")</f>
        <v/>
      </c>
      <c r="Y31" s="50" t="str">
        <f>IF(AND('Mapa final'!$AB$42="Media",'Mapa final'!$AD$42="Moderado"),CONCATENATE("R6C",'Mapa final'!$R$42),"")</f>
        <v/>
      </c>
      <c r="Z31" s="50" t="str">
        <f>IF(AND('Mapa final'!$AB$43="Media",'Mapa final'!$AD$43="Moderado"),CONCATENATE("R6C",'Mapa final'!$R$43),"")</f>
        <v/>
      </c>
      <c r="AA31" s="51" t="str">
        <f>IF(AND('Mapa final'!$AB$44="Media",'Mapa final'!$AD$44="Moderado"),CONCATENATE("R6C",'Mapa final'!$R$44),"")</f>
        <v/>
      </c>
      <c r="AB31" s="34" t="str">
        <f>IF(AND('Mapa final'!$AB$39="Media",'Mapa final'!$AD$39="Mayor"),CONCATENATE("R6C",'Mapa final'!$R$39),"")</f>
        <v>R6C1</v>
      </c>
      <c r="AC31" s="35" t="str">
        <f>IF(AND('Mapa final'!$AB$40="Media",'Mapa final'!$AD$40="Mayor"),CONCATENATE("R6C",'Mapa final'!$R$40),"")</f>
        <v/>
      </c>
      <c r="AD31" s="35" t="str">
        <f>IF(AND('Mapa final'!$AB$41="Media",'Mapa final'!$AD$41="Mayor"),CONCATENATE("R6C",'Mapa final'!$R$41),"")</f>
        <v/>
      </c>
      <c r="AE31" s="35" t="str">
        <f>IF(AND('Mapa final'!$AB$42="Media",'Mapa final'!$AD$42="Mayor"),CONCATENATE("R6C",'Mapa final'!$R$42),"")</f>
        <v/>
      </c>
      <c r="AF31" s="35" t="str">
        <f>IF(AND('Mapa final'!$AB$43="Media",'Mapa final'!$AD$43="Mayor"),CONCATENATE("R6C",'Mapa final'!$R$43),"")</f>
        <v/>
      </c>
      <c r="AG31" s="36" t="str">
        <f>IF(AND('Mapa final'!$AB$44="Media",'Mapa final'!$AD$44="Mayor"),CONCATENATE("R6C",'Mapa final'!$R$44),"")</f>
        <v/>
      </c>
      <c r="AH31" s="37" t="str">
        <f>IF(AND('Mapa final'!$AB$39="Media",'Mapa final'!$AD$39="Catastrófico"),CONCATENATE("R6C",'Mapa final'!$R$39),"")</f>
        <v/>
      </c>
      <c r="AI31" s="38" t="str">
        <f>IF(AND('Mapa final'!$AB$40="Media",'Mapa final'!$AD$40="Catastrófico"),CONCATENATE("R6C",'Mapa final'!$R$40),"")</f>
        <v/>
      </c>
      <c r="AJ31" s="38" t="str">
        <f>IF(AND('Mapa final'!$AB$41="Media",'Mapa final'!$AD$41="Catastrófico"),CONCATENATE("R6C",'Mapa final'!$R$41),"")</f>
        <v/>
      </c>
      <c r="AK31" s="38" t="str">
        <f>IF(AND('Mapa final'!$AB$42="Media",'Mapa final'!$AD$42="Catastrófico"),CONCATENATE("R6C",'Mapa final'!$R$42),"")</f>
        <v/>
      </c>
      <c r="AL31" s="38" t="str">
        <f>IF(AND('Mapa final'!$AB$43="Media",'Mapa final'!$AD$43="Catastrófico"),CONCATENATE("R6C",'Mapa final'!$R$43),"")</f>
        <v/>
      </c>
      <c r="AM31" s="39" t="str">
        <f>IF(AND('Mapa final'!$AB$44="Media",'Mapa final'!$AD$44="Catastrófico"),CONCATENATE("R6C",'Mapa final'!$R$44),"")</f>
        <v/>
      </c>
      <c r="AN31" s="65"/>
      <c r="AO31" s="709"/>
      <c r="AP31" s="710"/>
      <c r="AQ31" s="710"/>
      <c r="AR31" s="710"/>
      <c r="AS31" s="710"/>
      <c r="AT31" s="711"/>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row>
    <row r="32" spans="1:76" ht="15" customHeight="1" x14ac:dyDescent="0.3">
      <c r="A32" s="65"/>
      <c r="B32" s="581"/>
      <c r="C32" s="581"/>
      <c r="D32" s="582"/>
      <c r="E32" s="680"/>
      <c r="F32" s="679"/>
      <c r="G32" s="679"/>
      <c r="H32" s="679"/>
      <c r="I32" s="695"/>
      <c r="J32" s="49" t="str">
        <f>IF(AND('Mapa final'!$AB$45="Media",'Mapa final'!$AD$45="Leve"),CONCATENATE("R7C",'Mapa final'!$R$45),"")</f>
        <v/>
      </c>
      <c r="K32" s="50" t="str">
        <f>IF(AND('Mapa final'!$AB$46="Media",'Mapa final'!$AD$46="Leve"),CONCATENATE("R7C",'Mapa final'!$R$46),"")</f>
        <v/>
      </c>
      <c r="L32" s="50" t="str">
        <f>IF(AND('Mapa final'!$AB$47="Media",'Mapa final'!$AD$47="Leve"),CONCATENATE("R7C",'Mapa final'!$R$47),"")</f>
        <v/>
      </c>
      <c r="M32" s="50" t="str">
        <f>IF(AND('Mapa final'!$AB$48="Media",'Mapa final'!$AD$48="Leve"),CONCATENATE("R7C",'Mapa final'!$R$48),"")</f>
        <v/>
      </c>
      <c r="N32" s="50" t="str">
        <f>IF(AND('Mapa final'!$AB$49="Media",'Mapa final'!$AD$49="Leve"),CONCATENATE("R7C",'Mapa final'!$R$49),"")</f>
        <v/>
      </c>
      <c r="O32" s="51" t="str">
        <f>IF(AND('Mapa final'!$AB$50="Media",'Mapa final'!$AD$50="Leve"),CONCATENATE("R7C",'Mapa final'!$R$50),"")</f>
        <v/>
      </c>
      <c r="P32" s="49" t="str">
        <f>IF(AND('Mapa final'!$AB$45="Media",'Mapa final'!$AD$45="Menor"),CONCATENATE("R7C",'Mapa final'!$R$45),"")</f>
        <v/>
      </c>
      <c r="Q32" s="50" t="str">
        <f>IF(AND('Mapa final'!$AB$46="Media",'Mapa final'!$AD$46="Menor"),CONCATENATE("R7C",'Mapa final'!$R$46),"")</f>
        <v/>
      </c>
      <c r="R32" s="50" t="str">
        <f>IF(AND('Mapa final'!$AB$47="Media",'Mapa final'!$AD$47="Menor"),CONCATENATE("R7C",'Mapa final'!$R$47),"")</f>
        <v/>
      </c>
      <c r="S32" s="50" t="str">
        <f>IF(AND('Mapa final'!$AB$48="Media",'Mapa final'!$AD$48="Menor"),CONCATENATE("R7C",'Mapa final'!$R$48),"")</f>
        <v/>
      </c>
      <c r="T32" s="50" t="str">
        <f>IF(AND('Mapa final'!$AB$49="Media",'Mapa final'!$AD$49="Menor"),CONCATENATE("R7C",'Mapa final'!$R$49),"")</f>
        <v/>
      </c>
      <c r="U32" s="51" t="str">
        <f>IF(AND('Mapa final'!$AB$50="Media",'Mapa final'!$AD$50="Menor"),CONCATENATE("R7C",'Mapa final'!$R$50),"")</f>
        <v/>
      </c>
      <c r="V32" s="49" t="str">
        <f>IF(AND('Mapa final'!$AB$45="Media",'Mapa final'!$AD$45="Moderado"),CONCATENATE("R7C",'Mapa final'!$R$45),"")</f>
        <v/>
      </c>
      <c r="W32" s="50" t="str">
        <f>IF(AND('Mapa final'!$AB$46="Media",'Mapa final'!$AD$46="Moderado"),CONCATENATE("R7C",'Mapa final'!$R$46),"")</f>
        <v/>
      </c>
      <c r="X32" s="50" t="str">
        <f>IF(AND('Mapa final'!$AB$47="Media",'Mapa final'!$AD$47="Moderado"),CONCATENATE("R7C",'Mapa final'!$R$47),"")</f>
        <v/>
      </c>
      <c r="Y32" s="50" t="str">
        <f>IF(AND('Mapa final'!$AB$48="Media",'Mapa final'!$AD$48="Moderado"),CONCATENATE("R7C",'Mapa final'!$R$48),"")</f>
        <v/>
      </c>
      <c r="Z32" s="50" t="str">
        <f>IF(AND('Mapa final'!$AB$49="Media",'Mapa final'!$AD$49="Moderado"),CONCATENATE("R7C",'Mapa final'!$R$49),"")</f>
        <v/>
      </c>
      <c r="AA32" s="51" t="str">
        <f>IF(AND('Mapa final'!$AB$50="Media",'Mapa final'!$AD$50="Moderado"),CONCATENATE("R7C",'Mapa final'!$R$50),"")</f>
        <v/>
      </c>
      <c r="AB32" s="34" t="str">
        <f>IF(AND('Mapa final'!$AB$45="Media",'Mapa final'!$AD$45="Mayor"),CONCATENATE("R7C",'Mapa final'!$R$45),"")</f>
        <v/>
      </c>
      <c r="AC32" s="35" t="str">
        <f>IF(AND('Mapa final'!$AB$46="Media",'Mapa final'!$AD$46="Mayor"),CONCATENATE("R7C",'Mapa final'!$R$46),"")</f>
        <v/>
      </c>
      <c r="AD32" s="35" t="str">
        <f>IF(AND('Mapa final'!$AB$47="Media",'Mapa final'!$AD$47="Mayor"),CONCATENATE("R7C",'Mapa final'!$R$47),"")</f>
        <v/>
      </c>
      <c r="AE32" s="35" t="str">
        <f>IF(AND('Mapa final'!$AB$48="Media",'Mapa final'!$AD$48="Mayor"),CONCATENATE("R7C",'Mapa final'!$R$48),"")</f>
        <v/>
      </c>
      <c r="AF32" s="35" t="str">
        <f>IF(AND('Mapa final'!$AB$49="Media",'Mapa final'!$AD$49="Mayor"),CONCATENATE("R7C",'Mapa final'!$R$49),"")</f>
        <v/>
      </c>
      <c r="AG32" s="36" t="str">
        <f>IF(AND('Mapa final'!$AB$50="Media",'Mapa final'!$AD$50="Mayor"),CONCATENATE("R7C",'Mapa final'!$R$50),"")</f>
        <v/>
      </c>
      <c r="AH32" s="37" t="str">
        <f>IF(AND('Mapa final'!$AB$45="Media",'Mapa final'!$AD$45="Catastrófico"),CONCATENATE("R7C",'Mapa final'!$R$45),"")</f>
        <v/>
      </c>
      <c r="AI32" s="38" t="str">
        <f>IF(AND('Mapa final'!$AB$46="Media",'Mapa final'!$AD$46="Catastrófico"),CONCATENATE("R7C",'Mapa final'!$R$46),"")</f>
        <v/>
      </c>
      <c r="AJ32" s="38" t="str">
        <f>IF(AND('Mapa final'!$AB$47="Media",'Mapa final'!$AD$47="Catastrófico"),CONCATENATE("R7C",'Mapa final'!$R$47),"")</f>
        <v/>
      </c>
      <c r="AK32" s="38" t="str">
        <f>IF(AND('Mapa final'!$AB$48="Media",'Mapa final'!$AD$48="Catastrófico"),CONCATENATE("R7C",'Mapa final'!$R$48),"")</f>
        <v/>
      </c>
      <c r="AL32" s="38" t="str">
        <f>IF(AND('Mapa final'!$AB$49="Media",'Mapa final'!$AD$49="Catastrófico"),CONCATENATE("R7C",'Mapa final'!$R$49),"")</f>
        <v/>
      </c>
      <c r="AM32" s="39" t="str">
        <f>IF(AND('Mapa final'!$AB$50="Media",'Mapa final'!$AD$50="Catastrófico"),CONCATENATE("R7C",'Mapa final'!$R$50),"")</f>
        <v/>
      </c>
      <c r="AN32" s="65"/>
      <c r="AO32" s="709"/>
      <c r="AP32" s="710"/>
      <c r="AQ32" s="710"/>
      <c r="AR32" s="710"/>
      <c r="AS32" s="710"/>
      <c r="AT32" s="711"/>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row>
    <row r="33" spans="1:80" ht="15" customHeight="1" x14ac:dyDescent="0.3">
      <c r="A33" s="65"/>
      <c r="B33" s="581"/>
      <c r="C33" s="581"/>
      <c r="D33" s="582"/>
      <c r="E33" s="680"/>
      <c r="F33" s="679"/>
      <c r="G33" s="679"/>
      <c r="H33" s="679"/>
      <c r="I33" s="695"/>
      <c r="J33" s="49" t="str">
        <f>IF(AND('Mapa final'!$AB$51="Media",'Mapa final'!$AD$51="Leve"),CONCATENATE("R8C",'Mapa final'!$R$51),"")</f>
        <v/>
      </c>
      <c r="K33" s="50" t="str">
        <f>IF(AND('Mapa final'!$AB$52="Media",'Mapa final'!$AD$52="Leve"),CONCATENATE("R8C",'Mapa final'!$R$52),"")</f>
        <v/>
      </c>
      <c r="L33" s="50" t="str">
        <f>IF(AND('Mapa final'!$AB$53="Media",'Mapa final'!$AD$53="Leve"),CONCATENATE("R8C",'Mapa final'!$R$53),"")</f>
        <v/>
      </c>
      <c r="M33" s="50" t="str">
        <f>IF(AND('Mapa final'!$AB$54="Media",'Mapa final'!$AD$54="Leve"),CONCATENATE("R8C",'Mapa final'!$R$54),"")</f>
        <v/>
      </c>
      <c r="N33" s="50" t="str">
        <f>IF(AND('Mapa final'!$AB$55="Media",'Mapa final'!$AD$55="Leve"),CONCATENATE("R8C",'Mapa final'!$R$55),"")</f>
        <v/>
      </c>
      <c r="O33" s="51" t="str">
        <f>IF(AND('Mapa final'!$AB$56="Media",'Mapa final'!$AD$56="Leve"),CONCATENATE("R8C",'Mapa final'!$R$56),"")</f>
        <v/>
      </c>
      <c r="P33" s="49" t="str">
        <f>IF(AND('Mapa final'!$AB$51="Media",'Mapa final'!$AD$51="Menor"),CONCATENATE("R8C",'Mapa final'!$R$51),"")</f>
        <v/>
      </c>
      <c r="Q33" s="50" t="str">
        <f>IF(AND('Mapa final'!$AB$52="Media",'Mapa final'!$AD$52="Menor"),CONCATENATE("R8C",'Mapa final'!$R$52),"")</f>
        <v/>
      </c>
      <c r="R33" s="50" t="str">
        <f>IF(AND('Mapa final'!$AB$53="Media",'Mapa final'!$AD$53="Menor"),CONCATENATE("R8C",'Mapa final'!$R$53),"")</f>
        <v/>
      </c>
      <c r="S33" s="50" t="str">
        <f>IF(AND('Mapa final'!$AB$54="Media",'Mapa final'!$AD$54="Menor"),CONCATENATE("R8C",'Mapa final'!$R$54),"")</f>
        <v/>
      </c>
      <c r="T33" s="50" t="str">
        <f>IF(AND('Mapa final'!$AB$55="Media",'Mapa final'!$AD$55="Menor"),CONCATENATE("R8C",'Mapa final'!$R$55),"")</f>
        <v/>
      </c>
      <c r="U33" s="51" t="str">
        <f>IF(AND('Mapa final'!$AB$56="Media",'Mapa final'!$AD$56="Menor"),CONCATENATE("R8C",'Mapa final'!$R$56),"")</f>
        <v/>
      </c>
      <c r="V33" s="49" t="str">
        <f>IF(AND('Mapa final'!$AB$51="Media",'Mapa final'!$AD$51="Moderado"),CONCATENATE("R8C",'Mapa final'!$R$51),"")</f>
        <v/>
      </c>
      <c r="W33" s="50" t="str">
        <f>IF(AND('Mapa final'!$AB$52="Media",'Mapa final'!$AD$52="Moderado"),CONCATENATE("R8C",'Mapa final'!$R$52),"")</f>
        <v/>
      </c>
      <c r="X33" s="50" t="str">
        <f>IF(AND('Mapa final'!$AB$53="Media",'Mapa final'!$AD$53="Moderado"),CONCATENATE("R8C",'Mapa final'!$R$53),"")</f>
        <v/>
      </c>
      <c r="Y33" s="50" t="str">
        <f>IF(AND('Mapa final'!$AB$54="Media",'Mapa final'!$AD$54="Moderado"),CONCATENATE("R8C",'Mapa final'!$R$54),"")</f>
        <v/>
      </c>
      <c r="Z33" s="50" t="str">
        <f>IF(AND('Mapa final'!$AB$55="Media",'Mapa final'!$AD$55="Moderado"),CONCATENATE("R8C",'Mapa final'!$R$55),"")</f>
        <v/>
      </c>
      <c r="AA33" s="51" t="str">
        <f>IF(AND('Mapa final'!$AB$56="Media",'Mapa final'!$AD$56="Moderado"),CONCATENATE("R8C",'Mapa final'!$R$56),"")</f>
        <v/>
      </c>
      <c r="AB33" s="34" t="str">
        <f>IF(AND('Mapa final'!$AB$51="Media",'Mapa final'!$AD$51="Mayor"),CONCATENATE("R8C",'Mapa final'!$R$51),"")</f>
        <v/>
      </c>
      <c r="AC33" s="35" t="str">
        <f>IF(AND('Mapa final'!$AB$52="Media",'Mapa final'!$AD$52="Mayor"),CONCATENATE("R8C",'Mapa final'!$R$52),"")</f>
        <v/>
      </c>
      <c r="AD33" s="35" t="str">
        <f>IF(AND('Mapa final'!$AB$53="Media",'Mapa final'!$AD$53="Mayor"),CONCATENATE("R8C",'Mapa final'!$R$53),"")</f>
        <v/>
      </c>
      <c r="AE33" s="35" t="str">
        <f>IF(AND('Mapa final'!$AB$54="Media",'Mapa final'!$AD$54="Mayor"),CONCATENATE("R8C",'Mapa final'!$R$54),"")</f>
        <v/>
      </c>
      <c r="AF33" s="35" t="str">
        <f>IF(AND('Mapa final'!$AB$55="Media",'Mapa final'!$AD$55="Mayor"),CONCATENATE("R8C",'Mapa final'!$R$55),"")</f>
        <v/>
      </c>
      <c r="AG33" s="36" t="str">
        <f>IF(AND('Mapa final'!$AB$56="Media",'Mapa final'!$AD$56="Mayor"),CONCATENATE("R8C",'Mapa final'!$R$56),"")</f>
        <v/>
      </c>
      <c r="AH33" s="37" t="str">
        <f>IF(AND('Mapa final'!$AB$51="Media",'Mapa final'!$AD$51="Catastrófico"),CONCATENATE("R8C",'Mapa final'!$R$51),"")</f>
        <v/>
      </c>
      <c r="AI33" s="38" t="str">
        <f>IF(AND('Mapa final'!$AB$52="Media",'Mapa final'!$AD$52="Catastrófico"),CONCATENATE("R8C",'Mapa final'!$R$52),"")</f>
        <v/>
      </c>
      <c r="AJ33" s="38" t="str">
        <f>IF(AND('Mapa final'!$AB$53="Media",'Mapa final'!$AD$53="Catastrófico"),CONCATENATE("R8C",'Mapa final'!$R$53),"")</f>
        <v/>
      </c>
      <c r="AK33" s="38" t="str">
        <f>IF(AND('Mapa final'!$AB$54="Media",'Mapa final'!$AD$54="Catastrófico"),CONCATENATE("R8C",'Mapa final'!$R$54),"")</f>
        <v/>
      </c>
      <c r="AL33" s="38" t="str">
        <f>IF(AND('Mapa final'!$AB$55="Media",'Mapa final'!$AD$55="Catastrófico"),CONCATENATE("R8C",'Mapa final'!$R$55),"")</f>
        <v/>
      </c>
      <c r="AM33" s="39" t="str">
        <f>IF(AND('Mapa final'!$AB$56="Media",'Mapa final'!$AD$56="Catastrófico"),CONCATENATE("R8C",'Mapa final'!$R$56),"")</f>
        <v/>
      </c>
      <c r="AN33" s="65"/>
      <c r="AO33" s="709"/>
      <c r="AP33" s="710"/>
      <c r="AQ33" s="710"/>
      <c r="AR33" s="710"/>
      <c r="AS33" s="710"/>
      <c r="AT33" s="711"/>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row>
    <row r="34" spans="1:80" ht="15" customHeight="1" x14ac:dyDescent="0.3">
      <c r="A34" s="65"/>
      <c r="B34" s="581"/>
      <c r="C34" s="581"/>
      <c r="D34" s="582"/>
      <c r="E34" s="680"/>
      <c r="F34" s="679"/>
      <c r="G34" s="679"/>
      <c r="H34" s="679"/>
      <c r="I34" s="695"/>
      <c r="J34" s="49" t="str">
        <f>IF(AND('Mapa final'!$AB$57="Media",'Mapa final'!$AD$57="Leve"),CONCATENATE("R9C",'Mapa final'!$R$57),"")</f>
        <v/>
      </c>
      <c r="K34" s="50" t="str">
        <f>IF(AND('Mapa final'!$AB$58="Media",'Mapa final'!$AD$58="Leve"),CONCATENATE("R9C",'Mapa final'!$R$58),"")</f>
        <v/>
      </c>
      <c r="L34" s="50" t="str">
        <f>IF(AND('Mapa final'!$AB$59="Media",'Mapa final'!$AD$59="Leve"),CONCATENATE("R9C",'Mapa final'!$R$59),"")</f>
        <v/>
      </c>
      <c r="M34" s="50" t="str">
        <f>IF(AND('Mapa final'!$AB$60="Media",'Mapa final'!$AD$60="Leve"),CONCATENATE("R9C",'Mapa final'!$R$60),"")</f>
        <v/>
      </c>
      <c r="N34" s="50" t="str">
        <f>IF(AND('Mapa final'!$AB$61="Media",'Mapa final'!$AD$61="Leve"),CONCATENATE("R9C",'Mapa final'!$R$61),"")</f>
        <v/>
      </c>
      <c r="O34" s="51" t="str">
        <f>IF(AND('Mapa final'!$AB$62="Media",'Mapa final'!$AD$62="Leve"),CONCATENATE("R9C",'Mapa final'!$R$62),"")</f>
        <v/>
      </c>
      <c r="P34" s="49" t="str">
        <f>IF(AND('Mapa final'!$AB$57="Media",'Mapa final'!$AD$57="Menor"),CONCATENATE("R9C",'Mapa final'!$R$57),"")</f>
        <v/>
      </c>
      <c r="Q34" s="50" t="str">
        <f>IF(AND('Mapa final'!$AB$58="Media",'Mapa final'!$AD$58="Menor"),CONCATENATE("R9C",'Mapa final'!$R$58),"")</f>
        <v/>
      </c>
      <c r="R34" s="50" t="str">
        <f>IF(AND('Mapa final'!$AB$59="Media",'Mapa final'!$AD$59="Menor"),CONCATENATE("R9C",'Mapa final'!$R$59),"")</f>
        <v/>
      </c>
      <c r="S34" s="50" t="str">
        <f>IF(AND('Mapa final'!$AB$60="Media",'Mapa final'!$AD$60="Menor"),CONCATENATE("R9C",'Mapa final'!$R$60),"")</f>
        <v/>
      </c>
      <c r="T34" s="50" t="str">
        <f>IF(AND('Mapa final'!$AB$61="Media",'Mapa final'!$AD$61="Menor"),CONCATENATE("R9C",'Mapa final'!$R$61),"")</f>
        <v/>
      </c>
      <c r="U34" s="51" t="str">
        <f>IF(AND('Mapa final'!$AB$62="Media",'Mapa final'!$AD$62="Menor"),CONCATENATE("R9C",'Mapa final'!$R$62),"")</f>
        <v/>
      </c>
      <c r="V34" s="49" t="str">
        <f>IF(AND('Mapa final'!$AB$57="Media",'Mapa final'!$AD$57="Moderado"),CONCATENATE("R9C",'Mapa final'!$R$57),"")</f>
        <v/>
      </c>
      <c r="W34" s="50" t="str">
        <f>IF(AND('Mapa final'!$AB$58="Media",'Mapa final'!$AD$58="Moderado"),CONCATENATE("R9C",'Mapa final'!$R$58),"")</f>
        <v/>
      </c>
      <c r="X34" s="50" t="str">
        <f>IF(AND('Mapa final'!$AB$59="Media",'Mapa final'!$AD$59="Moderado"),CONCATENATE("R9C",'Mapa final'!$R$59),"")</f>
        <v/>
      </c>
      <c r="Y34" s="50" t="str">
        <f>IF(AND('Mapa final'!$AB$60="Media",'Mapa final'!$AD$60="Moderado"),CONCATENATE("R9C",'Mapa final'!$R$60),"")</f>
        <v/>
      </c>
      <c r="Z34" s="50" t="str">
        <f>IF(AND('Mapa final'!$AB$61="Media",'Mapa final'!$AD$61="Moderado"),CONCATENATE("R9C",'Mapa final'!$R$61),"")</f>
        <v/>
      </c>
      <c r="AA34" s="51" t="str">
        <f>IF(AND('Mapa final'!$AB$62="Media",'Mapa final'!$AD$62="Moderado"),CONCATENATE("R9C",'Mapa final'!$R$62),"")</f>
        <v/>
      </c>
      <c r="AB34" s="34" t="str">
        <f>IF(AND('Mapa final'!$AB$57="Media",'Mapa final'!$AD$57="Mayor"),CONCATENATE("R9C",'Mapa final'!$R$57),"")</f>
        <v/>
      </c>
      <c r="AC34" s="35" t="str">
        <f>IF(AND('Mapa final'!$AB$58="Media",'Mapa final'!$AD$58="Mayor"),CONCATENATE("R9C",'Mapa final'!$R$58),"")</f>
        <v/>
      </c>
      <c r="AD34" s="35" t="str">
        <f>IF(AND('Mapa final'!$AB$59="Media",'Mapa final'!$AD$59="Mayor"),CONCATENATE("R9C",'Mapa final'!$R$59),"")</f>
        <v/>
      </c>
      <c r="AE34" s="35" t="str">
        <f>IF(AND('Mapa final'!$AB$60="Media",'Mapa final'!$AD$60="Mayor"),CONCATENATE("R9C",'Mapa final'!$R$60),"")</f>
        <v/>
      </c>
      <c r="AF34" s="35" t="str">
        <f>IF(AND('Mapa final'!$AB$61="Media",'Mapa final'!$AD$61="Mayor"),CONCATENATE("R9C",'Mapa final'!$R$61),"")</f>
        <v/>
      </c>
      <c r="AG34" s="36" t="str">
        <f>IF(AND('Mapa final'!$AB$62="Media",'Mapa final'!$AD$62="Mayor"),CONCATENATE("R9C",'Mapa final'!$R$62),"")</f>
        <v/>
      </c>
      <c r="AH34" s="37" t="str">
        <f>IF(AND('Mapa final'!$AB$57="Media",'Mapa final'!$AD$57="Catastrófico"),CONCATENATE("R9C",'Mapa final'!$R$57),"")</f>
        <v/>
      </c>
      <c r="AI34" s="38" t="str">
        <f>IF(AND('Mapa final'!$AB$58="Media",'Mapa final'!$AD$58="Catastrófico"),CONCATENATE("R9C",'Mapa final'!$R$58),"")</f>
        <v/>
      </c>
      <c r="AJ34" s="38" t="str">
        <f>IF(AND('Mapa final'!$AB$59="Media",'Mapa final'!$AD$59="Catastrófico"),CONCATENATE("R9C",'Mapa final'!$R$59),"")</f>
        <v/>
      </c>
      <c r="AK34" s="38" t="str">
        <f>IF(AND('Mapa final'!$AB$60="Media",'Mapa final'!$AD$60="Catastrófico"),CONCATENATE("R9C",'Mapa final'!$R$60),"")</f>
        <v/>
      </c>
      <c r="AL34" s="38" t="str">
        <f>IF(AND('Mapa final'!$AB$61="Media",'Mapa final'!$AD$61="Catastrófico"),CONCATENATE("R9C",'Mapa final'!$R$61),"")</f>
        <v/>
      </c>
      <c r="AM34" s="39" t="str">
        <f>IF(AND('Mapa final'!$AB$62="Media",'Mapa final'!$AD$62="Catastrófico"),CONCATENATE("R9C",'Mapa final'!$R$62),"")</f>
        <v/>
      </c>
      <c r="AN34" s="65"/>
      <c r="AO34" s="709"/>
      <c r="AP34" s="710"/>
      <c r="AQ34" s="710"/>
      <c r="AR34" s="710"/>
      <c r="AS34" s="710"/>
      <c r="AT34" s="711"/>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row>
    <row r="35" spans="1:80" ht="15.75" customHeight="1" thickBot="1" x14ac:dyDescent="0.35">
      <c r="A35" s="65"/>
      <c r="B35" s="581"/>
      <c r="C35" s="581"/>
      <c r="D35" s="582"/>
      <c r="E35" s="681"/>
      <c r="F35" s="682"/>
      <c r="G35" s="682"/>
      <c r="H35" s="682"/>
      <c r="I35" s="696"/>
      <c r="J35" s="49" t="str">
        <f>IF(AND('Mapa final'!$AB$63="Media",'Mapa final'!$AD$63="Leve"),CONCATENATE("R10C",'Mapa final'!$R$63),"")</f>
        <v/>
      </c>
      <c r="K35" s="50" t="str">
        <f>IF(AND('Mapa final'!$AB$64="Media",'Mapa final'!$AD$64="Leve"),CONCATENATE("R10C",'Mapa final'!$R$64),"")</f>
        <v/>
      </c>
      <c r="L35" s="50" t="str">
        <f>IF(AND('Mapa final'!$AB$65="Media",'Mapa final'!$AD$65="Leve"),CONCATENATE("R10C",'Mapa final'!$R$65),"")</f>
        <v/>
      </c>
      <c r="M35" s="50" t="str">
        <f>IF(AND('Mapa final'!$AB$66="Media",'Mapa final'!$AD$66="Leve"),CONCATENATE("R10C",'Mapa final'!$R$66),"")</f>
        <v/>
      </c>
      <c r="N35" s="50" t="str">
        <f>IF(AND('Mapa final'!$AB$67="Media",'Mapa final'!$AD$67="Leve"),CONCATENATE("R10C",'Mapa final'!$R$67),"")</f>
        <v/>
      </c>
      <c r="O35" s="51" t="str">
        <f>IF(AND('Mapa final'!$AB$68="Media",'Mapa final'!$AD$68="Leve"),CONCATENATE("R10C",'Mapa final'!$R$68),"")</f>
        <v/>
      </c>
      <c r="P35" s="49" t="str">
        <f>IF(AND('Mapa final'!$AB$63="Media",'Mapa final'!$AD$63="Menor"),CONCATENATE("R10C",'Mapa final'!$R$63),"")</f>
        <v/>
      </c>
      <c r="Q35" s="50" t="str">
        <f>IF(AND('Mapa final'!$AB$64="Media",'Mapa final'!$AD$64="Menor"),CONCATENATE("R10C",'Mapa final'!$R$64),"")</f>
        <v/>
      </c>
      <c r="R35" s="50" t="str">
        <f>IF(AND('Mapa final'!$AB$65="Media",'Mapa final'!$AD$65="Menor"),CONCATENATE("R10C",'Mapa final'!$R$65),"")</f>
        <v/>
      </c>
      <c r="S35" s="50" t="str">
        <f>IF(AND('Mapa final'!$AB$66="Media",'Mapa final'!$AD$66="Menor"),CONCATENATE("R10C",'Mapa final'!$R$66),"")</f>
        <v/>
      </c>
      <c r="T35" s="50" t="str">
        <f>IF(AND('Mapa final'!$AB$67="Media",'Mapa final'!$AD$67="Menor"),CONCATENATE("R10C",'Mapa final'!$R$67),"")</f>
        <v/>
      </c>
      <c r="U35" s="51" t="str">
        <f>IF(AND('Mapa final'!$AB$68="Media",'Mapa final'!$AD$68="Menor"),CONCATENATE("R10C",'Mapa final'!$R$68),"")</f>
        <v/>
      </c>
      <c r="V35" s="49" t="str">
        <f>IF(AND('Mapa final'!$AB$63="Media",'Mapa final'!$AD$63="Moderado"),CONCATENATE("R10C",'Mapa final'!$R$63),"")</f>
        <v/>
      </c>
      <c r="W35" s="50" t="str">
        <f>IF(AND('Mapa final'!$AB$64="Media",'Mapa final'!$AD$64="Moderado"),CONCATENATE("R10C",'Mapa final'!$R$64),"")</f>
        <v/>
      </c>
      <c r="X35" s="50" t="str">
        <f>IF(AND('Mapa final'!$AB$65="Media",'Mapa final'!$AD$65="Moderado"),CONCATENATE("R10C",'Mapa final'!$R$65),"")</f>
        <v/>
      </c>
      <c r="Y35" s="50" t="str">
        <f>IF(AND('Mapa final'!$AB$66="Media",'Mapa final'!$AD$66="Moderado"),CONCATENATE("R10C",'Mapa final'!$R$66),"")</f>
        <v/>
      </c>
      <c r="Z35" s="50" t="str">
        <f>IF(AND('Mapa final'!$AB$67="Media",'Mapa final'!$AD$67="Moderado"),CONCATENATE("R10C",'Mapa final'!$R$67),"")</f>
        <v/>
      </c>
      <c r="AA35" s="51" t="str">
        <f>IF(AND('Mapa final'!$AB$68="Media",'Mapa final'!$AD$68="Moderado"),CONCATENATE("R10C",'Mapa final'!$R$68),"")</f>
        <v/>
      </c>
      <c r="AB35" s="40" t="str">
        <f>IF(AND('Mapa final'!$AB$63="Media",'Mapa final'!$AD$63="Mayor"),CONCATENATE("R10C",'Mapa final'!$R$63),"")</f>
        <v/>
      </c>
      <c r="AC35" s="41" t="str">
        <f>IF(AND('Mapa final'!$AB$64="Media",'Mapa final'!$AD$64="Mayor"),CONCATENATE("R10C",'Mapa final'!$R$64),"")</f>
        <v/>
      </c>
      <c r="AD35" s="41" t="str">
        <f>IF(AND('Mapa final'!$AB$65="Media",'Mapa final'!$AD$65="Mayor"),CONCATENATE("R10C",'Mapa final'!$R$65),"")</f>
        <v/>
      </c>
      <c r="AE35" s="41" t="str">
        <f>IF(AND('Mapa final'!$AB$66="Media",'Mapa final'!$AD$66="Mayor"),CONCATENATE("R10C",'Mapa final'!$R$66),"")</f>
        <v/>
      </c>
      <c r="AF35" s="41" t="str">
        <f>IF(AND('Mapa final'!$AB$67="Media",'Mapa final'!$AD$67="Mayor"),CONCATENATE("R10C",'Mapa final'!$R$67),"")</f>
        <v/>
      </c>
      <c r="AG35" s="42" t="str">
        <f>IF(AND('Mapa final'!$AB$68="Media",'Mapa final'!$AD$68="Mayor"),CONCATENATE("R10C",'Mapa final'!$R$68),"")</f>
        <v/>
      </c>
      <c r="AH35" s="43" t="str">
        <f>IF(AND('Mapa final'!$AB$63="Media",'Mapa final'!$AD$63="Catastrófico"),CONCATENATE("R10C",'Mapa final'!$R$63),"")</f>
        <v/>
      </c>
      <c r="AI35" s="44" t="str">
        <f>IF(AND('Mapa final'!$AB$64="Media",'Mapa final'!$AD$64="Catastrófico"),CONCATENATE("R10C",'Mapa final'!$R$64),"")</f>
        <v/>
      </c>
      <c r="AJ35" s="44" t="str">
        <f>IF(AND('Mapa final'!$AB$65="Media",'Mapa final'!$AD$65="Catastrófico"),CONCATENATE("R10C",'Mapa final'!$R$65),"")</f>
        <v/>
      </c>
      <c r="AK35" s="44" t="str">
        <f>IF(AND('Mapa final'!$AB$66="Media",'Mapa final'!$AD$66="Catastrófico"),CONCATENATE("R10C",'Mapa final'!$R$66),"")</f>
        <v/>
      </c>
      <c r="AL35" s="44" t="str">
        <f>IF(AND('Mapa final'!$AB$67="Media",'Mapa final'!$AD$67="Catastrófico"),CONCATENATE("R10C",'Mapa final'!$R$67),"")</f>
        <v/>
      </c>
      <c r="AM35" s="45" t="str">
        <f>IF(AND('Mapa final'!$AB$68="Media",'Mapa final'!$AD$68="Catastrófico"),CONCATENATE("R10C",'Mapa final'!$R$68),"")</f>
        <v/>
      </c>
      <c r="AN35" s="65"/>
      <c r="AO35" s="712"/>
      <c r="AP35" s="713"/>
      <c r="AQ35" s="713"/>
      <c r="AR35" s="713"/>
      <c r="AS35" s="713"/>
      <c r="AT35" s="714"/>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row>
    <row r="36" spans="1:80" ht="15" customHeight="1" x14ac:dyDescent="0.3">
      <c r="A36" s="65"/>
      <c r="B36" s="581"/>
      <c r="C36" s="581"/>
      <c r="D36" s="582"/>
      <c r="E36" s="676" t="s">
        <v>109</v>
      </c>
      <c r="F36" s="677"/>
      <c r="G36" s="677"/>
      <c r="H36" s="677"/>
      <c r="I36" s="677"/>
      <c r="J36" s="55" t="str">
        <f>IF(AND('Mapa final'!$AB$10="Baja",'Mapa final'!$AD$10="Leve"),CONCATENATE("R1C",'Mapa final'!$R$10),"")</f>
        <v/>
      </c>
      <c r="K36" s="56" t="str">
        <f>IF(AND('Mapa final'!$AB$11="Baja",'Mapa final'!$AD$11="Leve"),CONCATENATE("R1C",'Mapa final'!$R$11),"")</f>
        <v/>
      </c>
      <c r="L36" s="56" t="str">
        <f>IF(AND('Mapa final'!$AB$12="Baja",'Mapa final'!$AD$12="Leve"),CONCATENATE("R1C",'Mapa final'!$R$12),"")</f>
        <v/>
      </c>
      <c r="M36" s="56" t="str">
        <f>IF(AND('Mapa final'!$AB$13="Baja",'Mapa final'!$AD$13="Leve"),CONCATENATE("R1C",'Mapa final'!$R$13),"")</f>
        <v/>
      </c>
      <c r="N36" s="56" t="str">
        <f>IF(AND('Mapa final'!$AB$14="Baja",'Mapa final'!$AD$14="Leve"),CONCATENATE("R1C",'Mapa final'!$R$14),"")</f>
        <v/>
      </c>
      <c r="O36" s="57" t="str">
        <f>IF(AND('Mapa final'!$AB$15="Baja",'Mapa final'!$AD$15="Leve"),CONCATENATE("R1C",'Mapa final'!$R$15),"")</f>
        <v/>
      </c>
      <c r="P36" s="46" t="str">
        <f>IF(AND('Mapa final'!$AB$10="Baja",'Mapa final'!$AD$10="Menor"),CONCATENATE("R1C",'Mapa final'!$R$10),"")</f>
        <v/>
      </c>
      <c r="Q36" s="47" t="str">
        <f>IF(AND('Mapa final'!$AB$11="Baja",'Mapa final'!$AD$11="Menor"),CONCATENATE("R1C",'Mapa final'!$R$11),"")</f>
        <v/>
      </c>
      <c r="R36" s="47" t="str">
        <f>IF(AND('Mapa final'!$AB$12="Baja",'Mapa final'!$AD$12="Menor"),CONCATENATE("R1C",'Mapa final'!$R$12),"")</f>
        <v/>
      </c>
      <c r="S36" s="47" t="str">
        <f>IF(AND('Mapa final'!$AB$13="Baja",'Mapa final'!$AD$13="Menor"),CONCATENATE("R1C",'Mapa final'!$R$13),"")</f>
        <v/>
      </c>
      <c r="T36" s="47" t="str">
        <f>IF(AND('Mapa final'!$AB$14="Baja",'Mapa final'!$AD$14="Menor"),CONCATENATE("R1C",'Mapa final'!$R$14),"")</f>
        <v/>
      </c>
      <c r="U36" s="48" t="str">
        <f>IF(AND('Mapa final'!$AB$15="Baja",'Mapa final'!$AD$15="Menor"),CONCATENATE("R1C",'Mapa final'!$R$15),"")</f>
        <v/>
      </c>
      <c r="V36" s="46" t="str">
        <f>IF(AND('Mapa final'!$AB$10="Baja",'Mapa final'!$AD$10="Moderado"),CONCATENATE("R1C",'Mapa final'!$R$10),"")</f>
        <v/>
      </c>
      <c r="W36" s="47" t="str">
        <f>IF(AND('Mapa final'!$AB$11="Baja",'Mapa final'!$AD$11="Moderado"),CONCATENATE("R1C",'Mapa final'!$R$11),"")</f>
        <v/>
      </c>
      <c r="X36" s="47" t="str">
        <f>IF(AND('Mapa final'!$AB$12="Baja",'Mapa final'!$AD$12="Moderado"),CONCATENATE("R1C",'Mapa final'!$R$12),"")</f>
        <v/>
      </c>
      <c r="Y36" s="47" t="str">
        <f>IF(AND('Mapa final'!$AB$13="Baja",'Mapa final'!$AD$13="Moderado"),CONCATENATE("R1C",'Mapa final'!$R$13),"")</f>
        <v/>
      </c>
      <c r="Z36" s="47" t="str">
        <f>IF(AND('Mapa final'!$AB$14="Baja",'Mapa final'!$AD$14="Moderado"),CONCATENATE("R1C",'Mapa final'!$R$14),"")</f>
        <v/>
      </c>
      <c r="AA36" s="48" t="str">
        <f>IF(AND('Mapa final'!$AB$15="Baja",'Mapa final'!$AD$15="Moderado"),CONCATENATE("R1C",'Mapa final'!$R$15),"")</f>
        <v/>
      </c>
      <c r="AB36" s="28" t="str">
        <f>IF(AND('Mapa final'!$AB$10="Baja",'Mapa final'!$AD$10="Mayor"),CONCATENATE("R1C",'Mapa final'!$R$10),"")</f>
        <v/>
      </c>
      <c r="AC36" s="29" t="str">
        <f>IF(AND('Mapa final'!$AB$11="Baja",'Mapa final'!$AD$11="Mayor"),CONCATENATE("R1C",'Mapa final'!$R$11),"")</f>
        <v/>
      </c>
      <c r="AD36" s="29" t="str">
        <f>IF(AND('Mapa final'!$AB$12="Baja",'Mapa final'!$AD$12="Mayor"),CONCATENATE("R1C",'Mapa final'!$R$12),"")</f>
        <v/>
      </c>
      <c r="AE36" s="29" t="str">
        <f>IF(AND('Mapa final'!$AB$13="Baja",'Mapa final'!$AD$13="Mayor"),CONCATENATE("R1C",'Mapa final'!$R$13),"")</f>
        <v/>
      </c>
      <c r="AF36" s="29" t="str">
        <f>IF(AND('Mapa final'!$AB$14="Baja",'Mapa final'!$AD$14="Mayor"),CONCATENATE("R1C",'Mapa final'!$R$14),"")</f>
        <v/>
      </c>
      <c r="AG36" s="30" t="str">
        <f>IF(AND('Mapa final'!$AB$15="Baja",'Mapa final'!$AD$15="Mayor"),CONCATENATE("R1C",'Mapa final'!$R$15),"")</f>
        <v/>
      </c>
      <c r="AH36" s="31" t="str">
        <f>IF(AND('Mapa final'!$AB$10="Baja",'Mapa final'!$AD$10="Catastrófico"),CONCATENATE("R1C",'Mapa final'!$R$10),"")</f>
        <v>R1C1</v>
      </c>
      <c r="AI36" s="32" t="str">
        <f>IF(AND('Mapa final'!$AB$11="Baja",'Mapa final'!$AD$11="Catastrófico"),CONCATENATE("R1C",'Mapa final'!$R$11),"")</f>
        <v/>
      </c>
      <c r="AJ36" s="32" t="str">
        <f>IF(AND('Mapa final'!$AB$12="Baja",'Mapa final'!$AD$12="Catastrófico"),CONCATENATE("R1C",'Mapa final'!$R$12),"")</f>
        <v/>
      </c>
      <c r="AK36" s="32" t="str">
        <f>IF(AND('Mapa final'!$AB$13="Baja",'Mapa final'!$AD$13="Catastrófico"),CONCATENATE("R1C",'Mapa final'!$R$13),"")</f>
        <v/>
      </c>
      <c r="AL36" s="32" t="str">
        <f>IF(AND('Mapa final'!$AB$14="Baja",'Mapa final'!$AD$14="Catastrófico"),CONCATENATE("R1C",'Mapa final'!$R$14),"")</f>
        <v/>
      </c>
      <c r="AM36" s="33" t="str">
        <f>IF(AND('Mapa final'!$AB$15="Baja",'Mapa final'!$AD$15="Catastrófico"),CONCATENATE("R1C",'Mapa final'!$R$15),"")</f>
        <v/>
      </c>
      <c r="AN36" s="65"/>
      <c r="AO36" s="697" t="s">
        <v>81</v>
      </c>
      <c r="AP36" s="698"/>
      <c r="AQ36" s="698"/>
      <c r="AR36" s="698"/>
      <c r="AS36" s="698"/>
      <c r="AT36" s="699"/>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row>
    <row r="37" spans="1:80" ht="15" customHeight="1" x14ac:dyDescent="0.3">
      <c r="A37" s="65"/>
      <c r="B37" s="581"/>
      <c r="C37" s="581"/>
      <c r="D37" s="582"/>
      <c r="E37" s="678"/>
      <c r="F37" s="679"/>
      <c r="G37" s="679"/>
      <c r="H37" s="679"/>
      <c r="I37" s="679"/>
      <c r="J37" s="58" t="str">
        <f>IF(AND('Mapa final'!$AB$16="Baja",'Mapa final'!$AD$16="Leve"),CONCATENATE("R2C",'Mapa final'!$R$16),"")</f>
        <v/>
      </c>
      <c r="K37" s="59" t="str">
        <f>IF(AND('Mapa final'!$AB$17="Baja",'Mapa final'!$AD$17="Leve"),CONCATENATE("R2C",'Mapa final'!$R$17),"")</f>
        <v/>
      </c>
      <c r="L37" s="59" t="str">
        <f>IF(AND('Mapa final'!$AB$18="Baja",'Mapa final'!$AD$18="Leve"),CONCATENATE("R2C",'Mapa final'!$R$18),"")</f>
        <v/>
      </c>
      <c r="M37" s="59" t="str">
        <f>IF(AND('Mapa final'!$AB$19="Baja",'Mapa final'!$AD$19="Leve"),CONCATENATE("R2C",'Mapa final'!$R$19),"")</f>
        <v/>
      </c>
      <c r="N37" s="59" t="str">
        <f>IF(AND('Mapa final'!$AB$20="Baja",'Mapa final'!$AD$20="Leve"),CONCATENATE("R2C",'Mapa final'!$R$20),"")</f>
        <v/>
      </c>
      <c r="O37" s="60" t="str">
        <f>IF(AND('Mapa final'!$AB$21="Baja",'Mapa final'!$AD$21="Leve"),CONCATENATE("R2C",'Mapa final'!$R$21),"")</f>
        <v/>
      </c>
      <c r="P37" s="49" t="str">
        <f>IF(AND('Mapa final'!$AB$16="Baja",'Mapa final'!$AD$16="Menor"),CONCATENATE("R2C",'Mapa final'!$R$16),"")</f>
        <v/>
      </c>
      <c r="Q37" s="50" t="str">
        <f>IF(AND('Mapa final'!$AB$17="Baja",'Mapa final'!$AD$17="Menor"),CONCATENATE("R2C",'Mapa final'!$R$17),"")</f>
        <v/>
      </c>
      <c r="R37" s="50" t="str">
        <f>IF(AND('Mapa final'!$AB$18="Baja",'Mapa final'!$AD$18="Menor"),CONCATENATE("R2C",'Mapa final'!$R$18),"")</f>
        <v/>
      </c>
      <c r="S37" s="50" t="str">
        <f>IF(AND('Mapa final'!$AB$19="Baja",'Mapa final'!$AD$19="Menor"),CONCATENATE("R2C",'Mapa final'!$R$19),"")</f>
        <v/>
      </c>
      <c r="T37" s="50" t="str">
        <f>IF(AND('Mapa final'!$AB$20="Baja",'Mapa final'!$AD$20="Menor"),CONCATENATE("R2C",'Mapa final'!$R$20),"")</f>
        <v/>
      </c>
      <c r="U37" s="51" t="str">
        <f>IF(AND('Mapa final'!$AB$21="Baja",'Mapa final'!$AD$21="Menor"),CONCATENATE("R2C",'Mapa final'!$R$21),"")</f>
        <v/>
      </c>
      <c r="V37" s="49" t="str">
        <f>IF(AND('Mapa final'!$AB$16="Baja",'Mapa final'!$AD$16="Moderado"),CONCATENATE("R2C",'Mapa final'!$R$16),"")</f>
        <v/>
      </c>
      <c r="W37" s="50" t="str">
        <f>IF(AND('Mapa final'!$AB$17="Baja",'Mapa final'!$AD$17="Moderado"),CONCATENATE("R2C",'Mapa final'!$R$17),"")</f>
        <v/>
      </c>
      <c r="X37" s="50" t="str">
        <f>IF(AND('Mapa final'!$AB$18="Baja",'Mapa final'!$AD$18="Moderado"),CONCATENATE("R2C",'Mapa final'!$R$18),"")</f>
        <v/>
      </c>
      <c r="Y37" s="50" t="str">
        <f>IF(AND('Mapa final'!$AB$19="Baja",'Mapa final'!$AD$19="Moderado"),CONCATENATE("R2C",'Mapa final'!$R$19),"")</f>
        <v/>
      </c>
      <c r="Z37" s="50" t="str">
        <f>IF(AND('Mapa final'!$AB$20="Baja",'Mapa final'!$AD$20="Moderado"),CONCATENATE("R2C",'Mapa final'!$R$20),"")</f>
        <v/>
      </c>
      <c r="AA37" s="51" t="str">
        <f>IF(AND('Mapa final'!$AB$21="Baja",'Mapa final'!$AD$21="Moderado"),CONCATENATE("R2C",'Mapa final'!$R$21),"")</f>
        <v/>
      </c>
      <c r="AB37" s="34" t="str">
        <f>IF(AND('Mapa final'!$AB$16="Baja",'Mapa final'!$AD$16="Mayor"),CONCATENATE("R2C",'Mapa final'!$R$16),"")</f>
        <v/>
      </c>
      <c r="AC37" s="35" t="str">
        <f>IF(AND('Mapa final'!$AB$17="Baja",'Mapa final'!$AD$17="Mayor"),CONCATENATE("R2C",'Mapa final'!$R$17),"")</f>
        <v/>
      </c>
      <c r="AD37" s="35" t="str">
        <f>IF(AND('Mapa final'!$AB$18="Baja",'Mapa final'!$AD$18="Mayor"),CONCATENATE("R2C",'Mapa final'!$R$18),"")</f>
        <v/>
      </c>
      <c r="AE37" s="35" t="str">
        <f>IF(AND('Mapa final'!$AB$19="Baja",'Mapa final'!$AD$19="Mayor"),CONCATENATE("R2C",'Mapa final'!$R$19),"")</f>
        <v/>
      </c>
      <c r="AF37" s="35" t="str">
        <f>IF(AND('Mapa final'!$AB$20="Baja",'Mapa final'!$AD$20="Mayor"),CONCATENATE("R2C",'Mapa final'!$R$20),"")</f>
        <v/>
      </c>
      <c r="AG37" s="36" t="str">
        <f>IF(AND('Mapa final'!$AB$21="Baja",'Mapa final'!$AD$21="Mayor"),CONCATENATE("R2C",'Mapa final'!$R$21),"")</f>
        <v/>
      </c>
      <c r="AH37" s="37" t="str">
        <f>IF(AND('Mapa final'!$AB$16="Baja",'Mapa final'!$AD$16="Catastrófico"),CONCATENATE("R2C",'Mapa final'!$R$16),"")</f>
        <v/>
      </c>
      <c r="AI37" s="38" t="str">
        <f>IF(AND('Mapa final'!$AB$17="Baja",'Mapa final'!$AD$17="Catastrófico"),CONCATENATE("R2C",'Mapa final'!$R$17),"")</f>
        <v/>
      </c>
      <c r="AJ37" s="38" t="str">
        <f>IF(AND('Mapa final'!$AB$18="Baja",'Mapa final'!$AD$18="Catastrófico"),CONCATENATE("R2C",'Mapa final'!$R$18),"")</f>
        <v/>
      </c>
      <c r="AK37" s="38" t="str">
        <f>IF(AND('Mapa final'!$AB$19="Baja",'Mapa final'!$AD$19="Catastrófico"),CONCATENATE("R2C",'Mapa final'!$R$19),"")</f>
        <v/>
      </c>
      <c r="AL37" s="38" t="str">
        <f>IF(AND('Mapa final'!$AB$20="Baja",'Mapa final'!$AD$20="Catastrófico"),CONCATENATE("R2C",'Mapa final'!$R$20),"")</f>
        <v/>
      </c>
      <c r="AM37" s="39" t="str">
        <f>IF(AND('Mapa final'!$AB$21="Baja",'Mapa final'!$AD$21="Catastrófico"),CONCATENATE("R2C",'Mapa final'!$R$21),"")</f>
        <v/>
      </c>
      <c r="AN37" s="65"/>
      <c r="AO37" s="700"/>
      <c r="AP37" s="701"/>
      <c r="AQ37" s="701"/>
      <c r="AR37" s="701"/>
      <c r="AS37" s="701"/>
      <c r="AT37" s="702"/>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row>
    <row r="38" spans="1:80" ht="15" customHeight="1" x14ac:dyDescent="0.3">
      <c r="A38" s="65"/>
      <c r="B38" s="581"/>
      <c r="C38" s="581"/>
      <c r="D38" s="582"/>
      <c r="E38" s="680"/>
      <c r="F38" s="679"/>
      <c r="G38" s="679"/>
      <c r="H38" s="679"/>
      <c r="I38" s="679"/>
      <c r="J38" s="58" t="str">
        <f>IF(AND('Mapa final'!$AB$22="Baja",'Mapa final'!$AD$22="Leve"),CONCATENATE("R3C",'Mapa final'!$R$22),"")</f>
        <v/>
      </c>
      <c r="K38" s="59" t="str">
        <f>IF(AND('Mapa final'!$AB$23="Baja",'Mapa final'!$AD$23="Leve"),CONCATENATE("R3C",'Mapa final'!$R$23),"")</f>
        <v/>
      </c>
      <c r="L38" s="59" t="str">
        <f>IF(AND('Mapa final'!$AB$24="Baja",'Mapa final'!$AD$24="Leve"),CONCATENATE("R3C",'Mapa final'!$R$24),"")</f>
        <v/>
      </c>
      <c r="M38" s="59" t="str">
        <f>IF(AND('Mapa final'!$AB$25="Baja",'Mapa final'!$AD$25="Leve"),CONCATENATE("R3C",'Mapa final'!$R$25),"")</f>
        <v/>
      </c>
      <c r="N38" s="59" t="str">
        <f>IF(AND('Mapa final'!$AB$26="Baja",'Mapa final'!$AD$26="Leve"),CONCATENATE("R3C",'Mapa final'!$R$26),"")</f>
        <v/>
      </c>
      <c r="O38" s="60" t="str">
        <f>IF(AND('Mapa final'!$AB$27="Baja",'Mapa final'!$AD$27="Leve"),CONCATENATE("R3C",'Mapa final'!$R$27),"")</f>
        <v/>
      </c>
      <c r="P38" s="49" t="str">
        <f>IF(AND('Mapa final'!$AB$22="Baja",'Mapa final'!$AD$22="Menor"),CONCATENATE("R3C",'Mapa final'!$R$22),"")</f>
        <v/>
      </c>
      <c r="Q38" s="50" t="str">
        <f>IF(AND('Mapa final'!$AB$23="Baja",'Mapa final'!$AD$23="Menor"),CONCATENATE("R3C",'Mapa final'!$R$23),"")</f>
        <v/>
      </c>
      <c r="R38" s="50" t="str">
        <f>IF(AND('Mapa final'!$AB$24="Baja",'Mapa final'!$AD$24="Menor"),CONCATENATE("R3C",'Mapa final'!$R$24),"")</f>
        <v/>
      </c>
      <c r="S38" s="50" t="str">
        <f>IF(AND('Mapa final'!$AB$25="Baja",'Mapa final'!$AD$25="Menor"),CONCATENATE("R3C",'Mapa final'!$R$25),"")</f>
        <v/>
      </c>
      <c r="T38" s="50" t="str">
        <f>IF(AND('Mapa final'!$AB$26="Baja",'Mapa final'!$AD$26="Menor"),CONCATENATE("R3C",'Mapa final'!$R$26),"")</f>
        <v/>
      </c>
      <c r="U38" s="51" t="str">
        <f>IF(AND('Mapa final'!$AB$27="Baja",'Mapa final'!$AD$27="Menor"),CONCATENATE("R3C",'Mapa final'!$R$27),"")</f>
        <v/>
      </c>
      <c r="V38" s="49" t="str">
        <f>IF(AND('Mapa final'!$AB$22="Baja",'Mapa final'!$AD$22="Moderado"),CONCATENATE("R3C",'Mapa final'!$R$22),"")</f>
        <v>R3C1</v>
      </c>
      <c r="W38" s="50" t="str">
        <f>IF(AND('Mapa final'!$AB$23="Baja",'Mapa final'!$AD$23="Moderado"),CONCATENATE("R3C",'Mapa final'!$R$23),"")</f>
        <v/>
      </c>
      <c r="X38" s="50" t="str">
        <f>IF(AND('Mapa final'!$AB$24="Baja",'Mapa final'!$AD$24="Moderado"),CONCATENATE("R3C",'Mapa final'!$R$24),"")</f>
        <v/>
      </c>
      <c r="Y38" s="50" t="str">
        <f>IF(AND('Mapa final'!$AB$25="Baja",'Mapa final'!$AD$25="Moderado"),CONCATENATE("R3C",'Mapa final'!$R$25),"")</f>
        <v/>
      </c>
      <c r="Z38" s="50" t="str">
        <f>IF(AND('Mapa final'!$AB$26="Baja",'Mapa final'!$AD$26="Moderado"),CONCATENATE("R3C",'Mapa final'!$R$26),"")</f>
        <v/>
      </c>
      <c r="AA38" s="51" t="str">
        <f>IF(AND('Mapa final'!$AB$27="Baja",'Mapa final'!$AD$27="Moderado"),CONCATENATE("R3C",'Mapa final'!$R$27),"")</f>
        <v/>
      </c>
      <c r="AB38" s="34" t="str">
        <f>IF(AND('Mapa final'!$AB$22="Baja",'Mapa final'!$AD$22="Mayor"),CONCATENATE("R3C",'Mapa final'!$R$22),"")</f>
        <v/>
      </c>
      <c r="AC38" s="35" t="str">
        <f>IF(AND('Mapa final'!$AB$23="Baja",'Mapa final'!$AD$23="Mayor"),CONCATENATE("R3C",'Mapa final'!$R$23),"")</f>
        <v/>
      </c>
      <c r="AD38" s="35" t="str">
        <f>IF(AND('Mapa final'!$AB$24="Baja",'Mapa final'!$AD$24="Mayor"),CONCATENATE("R3C",'Mapa final'!$R$24),"")</f>
        <v/>
      </c>
      <c r="AE38" s="35" t="str">
        <f>IF(AND('Mapa final'!$AB$25="Baja",'Mapa final'!$AD$25="Mayor"),CONCATENATE("R3C",'Mapa final'!$R$25),"")</f>
        <v/>
      </c>
      <c r="AF38" s="35" t="str">
        <f>IF(AND('Mapa final'!$AB$26="Baja",'Mapa final'!$AD$26="Mayor"),CONCATENATE("R3C",'Mapa final'!$R$26),"")</f>
        <v/>
      </c>
      <c r="AG38" s="36" t="str">
        <f>IF(AND('Mapa final'!$AB$27="Baja",'Mapa final'!$AD$27="Mayor"),CONCATENATE("R3C",'Mapa final'!$R$27),"")</f>
        <v/>
      </c>
      <c r="AH38" s="37" t="str">
        <f>IF(AND('Mapa final'!$AB$22="Baja",'Mapa final'!$AD$22="Catastrófico"),CONCATENATE("R3C",'Mapa final'!$R$22),"")</f>
        <v/>
      </c>
      <c r="AI38" s="38" t="str">
        <f>IF(AND('Mapa final'!$AB$23="Baja",'Mapa final'!$AD$23="Catastrófico"),CONCATENATE("R3C",'Mapa final'!$R$23),"")</f>
        <v/>
      </c>
      <c r="AJ38" s="38" t="str">
        <f>IF(AND('Mapa final'!$AB$24="Baja",'Mapa final'!$AD$24="Catastrófico"),CONCATENATE("R3C",'Mapa final'!$R$24),"")</f>
        <v/>
      </c>
      <c r="AK38" s="38" t="str">
        <f>IF(AND('Mapa final'!$AB$25="Baja",'Mapa final'!$AD$25="Catastrófico"),CONCATENATE("R3C",'Mapa final'!$R$25),"")</f>
        <v/>
      </c>
      <c r="AL38" s="38" t="str">
        <f>IF(AND('Mapa final'!$AB$26="Baja",'Mapa final'!$AD$26="Catastrófico"),CONCATENATE("R3C",'Mapa final'!$R$26),"")</f>
        <v/>
      </c>
      <c r="AM38" s="39" t="str">
        <f>IF(AND('Mapa final'!$AB$27="Baja",'Mapa final'!$AD$27="Catastrófico"),CONCATENATE("R3C",'Mapa final'!$R$27),"")</f>
        <v/>
      </c>
      <c r="AN38" s="65"/>
      <c r="AO38" s="700"/>
      <c r="AP38" s="701"/>
      <c r="AQ38" s="701"/>
      <c r="AR38" s="701"/>
      <c r="AS38" s="701"/>
      <c r="AT38" s="702"/>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row>
    <row r="39" spans="1:80" ht="15" customHeight="1" x14ac:dyDescent="0.3">
      <c r="A39" s="65"/>
      <c r="B39" s="581"/>
      <c r="C39" s="581"/>
      <c r="D39" s="582"/>
      <c r="E39" s="680"/>
      <c r="F39" s="679"/>
      <c r="G39" s="679"/>
      <c r="H39" s="679"/>
      <c r="I39" s="679"/>
      <c r="J39" s="58" t="str">
        <f>IF(AND('Mapa final'!$AB$28="Baja",'Mapa final'!$AD$28="Leve"),CONCATENATE("R4C",'Mapa final'!$R$28),"")</f>
        <v/>
      </c>
      <c r="K39" s="59" t="e">
        <f>IF(AND('Mapa final'!#REF!="Baja",'Mapa final'!#REF!="Leve"),CONCATENATE("R4C",'Mapa final'!#REF!),"")</f>
        <v>#REF!</v>
      </c>
      <c r="L39" s="59" t="str">
        <f>IF(AND('Mapa final'!$AB$29="Baja",'Mapa final'!$AD$29="Leve"),CONCATENATE("R4C",'Mapa final'!$R$29),"")</f>
        <v/>
      </c>
      <c r="M39" s="59" t="str">
        <f>IF(AND('Mapa final'!$AB$30="Baja",'Mapa final'!$AD$30="Leve"),CONCATENATE("R4C",'Mapa final'!$R$30),"")</f>
        <v/>
      </c>
      <c r="N39" s="59" t="str">
        <f>IF(AND('Mapa final'!$AB$31="Baja",'Mapa final'!$AD$31="Leve"),CONCATENATE("R4C",'Mapa final'!$R$31),"")</f>
        <v/>
      </c>
      <c r="O39" s="60" t="str">
        <f>IF(AND('Mapa final'!$AB$32="Baja",'Mapa final'!$AD$32="Leve"),CONCATENATE("R4C",'Mapa final'!$R$32),"")</f>
        <v/>
      </c>
      <c r="P39" s="49" t="str">
        <f>IF(AND('Mapa final'!$AB$28="Baja",'Mapa final'!$AD$28="Menor"),CONCATENATE("R4C",'Mapa final'!$R$28),"")</f>
        <v/>
      </c>
      <c r="Q39" s="50" t="e">
        <f>IF(AND('Mapa final'!#REF!="Baja",'Mapa final'!#REF!="Menor"),CONCATENATE("R4C",'Mapa final'!#REF!),"")</f>
        <v>#REF!</v>
      </c>
      <c r="R39" s="50" t="str">
        <f>IF(AND('Mapa final'!$AB$29="Baja",'Mapa final'!$AD$29="Menor"),CONCATENATE("R4C",'Mapa final'!$R$29),"")</f>
        <v/>
      </c>
      <c r="S39" s="50" t="str">
        <f>IF(AND('Mapa final'!$AB$30="Baja",'Mapa final'!$AD$30="Menor"),CONCATENATE("R4C",'Mapa final'!$R$30),"")</f>
        <v/>
      </c>
      <c r="T39" s="50" t="str">
        <f>IF(AND('Mapa final'!$AB$31="Baja",'Mapa final'!$AD$31="Menor"),CONCATENATE("R4C",'Mapa final'!$R$31),"")</f>
        <v/>
      </c>
      <c r="U39" s="51" t="str">
        <f>IF(AND('Mapa final'!$AB$32="Baja",'Mapa final'!$AD$32="Menor"),CONCATENATE("R4C",'Mapa final'!$R$32),"")</f>
        <v/>
      </c>
      <c r="V39" s="49" t="str">
        <f>IF(AND('Mapa final'!$AB$28="Baja",'Mapa final'!$AD$28="Moderado"),CONCATENATE("R4C",'Mapa final'!$R$28),"")</f>
        <v/>
      </c>
      <c r="W39" s="50" t="e">
        <f>IF(AND('Mapa final'!#REF!="Baja",'Mapa final'!#REF!="Moderado"),CONCATENATE("R4C",'Mapa final'!#REF!),"")</f>
        <v>#REF!</v>
      </c>
      <c r="X39" s="50" t="str">
        <f>IF(AND('Mapa final'!$AB$29="Baja",'Mapa final'!$AD$29="Moderado"),CONCATENATE("R4C",'Mapa final'!$R$29),"")</f>
        <v/>
      </c>
      <c r="Y39" s="50" t="str">
        <f>IF(AND('Mapa final'!$AB$30="Baja",'Mapa final'!$AD$30="Moderado"),CONCATENATE("R4C",'Mapa final'!$R$30),"")</f>
        <v/>
      </c>
      <c r="Z39" s="50" t="str">
        <f>IF(AND('Mapa final'!$AB$31="Baja",'Mapa final'!$AD$31="Moderado"),CONCATENATE("R4C",'Mapa final'!$R$31),"")</f>
        <v/>
      </c>
      <c r="AA39" s="51" t="str">
        <f>IF(AND('Mapa final'!$AB$32="Baja",'Mapa final'!$AD$32="Moderado"),CONCATENATE("R4C",'Mapa final'!$R$32),"")</f>
        <v/>
      </c>
      <c r="AB39" s="34" t="str">
        <f>IF(AND('Mapa final'!$AB$28="Baja",'Mapa final'!$AD$28="Mayor"),CONCATENATE("R4C",'Mapa final'!$R$28),"")</f>
        <v/>
      </c>
      <c r="AC39" s="35" t="e">
        <f>IF(AND('Mapa final'!#REF!="Baja",'Mapa final'!#REF!="Mayor"),CONCATENATE("R4C",'Mapa final'!#REF!),"")</f>
        <v>#REF!</v>
      </c>
      <c r="AD39" s="35" t="str">
        <f>IF(AND('Mapa final'!$AB$29="Baja",'Mapa final'!$AD$29="Mayor"),CONCATENATE("R4C",'Mapa final'!$R$29),"")</f>
        <v/>
      </c>
      <c r="AE39" s="35" t="str">
        <f>IF(AND('Mapa final'!$AB$30="Baja",'Mapa final'!$AD$30="Mayor"),CONCATENATE("R4C",'Mapa final'!$R$30),"")</f>
        <v/>
      </c>
      <c r="AF39" s="35" t="str">
        <f>IF(AND('Mapa final'!$AB$31="Baja",'Mapa final'!$AD$31="Mayor"),CONCATENATE("R4C",'Mapa final'!$R$31),"")</f>
        <v/>
      </c>
      <c r="AG39" s="36" t="str">
        <f>IF(AND('Mapa final'!$AB$32="Baja",'Mapa final'!$AD$32="Mayor"),CONCATENATE("R4C",'Mapa final'!$R$32),"")</f>
        <v/>
      </c>
      <c r="AH39" s="37" t="str">
        <f>IF(AND('Mapa final'!$AB$28="Baja",'Mapa final'!$AD$28="Catastrófico"),CONCATENATE("R4C",'Mapa final'!$R$28),"")</f>
        <v/>
      </c>
      <c r="AI39" s="38" t="e">
        <f>IF(AND('Mapa final'!#REF!="Baja",'Mapa final'!#REF!="Catastrófico"),CONCATENATE("R4C",'Mapa final'!#REF!),"")</f>
        <v>#REF!</v>
      </c>
      <c r="AJ39" s="38" t="str">
        <f>IF(AND('Mapa final'!$AB$29="Baja",'Mapa final'!$AD$29="Catastrófico"),CONCATENATE("R4C",'Mapa final'!$R$29),"")</f>
        <v/>
      </c>
      <c r="AK39" s="38" t="str">
        <f>IF(AND('Mapa final'!$AB$30="Baja",'Mapa final'!$AD$30="Catastrófico"),CONCATENATE("R4C",'Mapa final'!$R$30),"")</f>
        <v/>
      </c>
      <c r="AL39" s="38" t="str">
        <f>IF(AND('Mapa final'!$AB$31="Baja",'Mapa final'!$AD$31="Catastrófico"),CONCATENATE("R4C",'Mapa final'!$R$31),"")</f>
        <v/>
      </c>
      <c r="AM39" s="39" t="str">
        <f>IF(AND('Mapa final'!$AB$32="Baja",'Mapa final'!$AD$32="Catastrófico"),CONCATENATE("R4C",'Mapa final'!$R$32),"")</f>
        <v/>
      </c>
      <c r="AN39" s="65"/>
      <c r="AO39" s="700"/>
      <c r="AP39" s="701"/>
      <c r="AQ39" s="701"/>
      <c r="AR39" s="701"/>
      <c r="AS39" s="701"/>
      <c r="AT39" s="702"/>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row>
    <row r="40" spans="1:80" ht="15" customHeight="1" x14ac:dyDescent="0.3">
      <c r="A40" s="65"/>
      <c r="B40" s="581"/>
      <c r="C40" s="581"/>
      <c r="D40" s="582"/>
      <c r="E40" s="680"/>
      <c r="F40" s="679"/>
      <c r="G40" s="679"/>
      <c r="H40" s="679"/>
      <c r="I40" s="679"/>
      <c r="J40" s="58" t="str">
        <f>IF(AND('Mapa final'!$AB$33="Baja",'Mapa final'!$AD$33="Leve"),CONCATENATE("R5C",'Mapa final'!$R$33),"")</f>
        <v/>
      </c>
      <c r="K40" s="59" t="str">
        <f>IF(AND('Mapa final'!$AB$34="Baja",'Mapa final'!$AD$34="Leve"),CONCATENATE("R5C",'Mapa final'!$R$34),"")</f>
        <v/>
      </c>
      <c r="L40" s="59" t="str">
        <f>IF(AND('Mapa final'!$AB$35="Baja",'Mapa final'!$AD$35="Leve"),CONCATENATE("R5C",'Mapa final'!$R$35),"")</f>
        <v/>
      </c>
      <c r="M40" s="59" t="str">
        <f>IF(AND('Mapa final'!$AB$36="Baja",'Mapa final'!$AD$36="Leve"),CONCATENATE("R5C",'Mapa final'!$R$36),"")</f>
        <v/>
      </c>
      <c r="N40" s="59" t="str">
        <f>IF(AND('Mapa final'!$AB$37="Baja",'Mapa final'!$AD$37="Leve"),CONCATENATE("R5C",'Mapa final'!$R$37),"")</f>
        <v/>
      </c>
      <c r="O40" s="60" t="str">
        <f>IF(AND('Mapa final'!$AB$38="Baja",'Mapa final'!$AD$38="Leve"),CONCATENATE("R5C",'Mapa final'!$R$38),"")</f>
        <v/>
      </c>
      <c r="P40" s="49" t="str">
        <f>IF(AND('Mapa final'!$AB$33="Baja",'Mapa final'!$AD$33="Menor"),CONCATENATE("R5C",'Mapa final'!$R$33),"")</f>
        <v>R5C1</v>
      </c>
      <c r="Q40" s="50" t="str">
        <f>IF(AND('Mapa final'!$AB$34="Baja",'Mapa final'!$AD$34="Menor"),CONCATENATE("R5C",'Mapa final'!$R$34),"")</f>
        <v>R5C2</v>
      </c>
      <c r="R40" s="50" t="str">
        <f>IF(AND('Mapa final'!$AB$35="Baja",'Mapa final'!$AD$35="Menor"),CONCATENATE("R5C",'Mapa final'!$R$35),"")</f>
        <v/>
      </c>
      <c r="S40" s="50" t="str">
        <f>IF(AND('Mapa final'!$AB$36="Baja",'Mapa final'!$AD$36="Menor"),CONCATENATE("R5C",'Mapa final'!$R$36),"")</f>
        <v/>
      </c>
      <c r="T40" s="50" t="str">
        <f>IF(AND('Mapa final'!$AB$37="Baja",'Mapa final'!$AD$37="Menor"),CONCATENATE("R5C",'Mapa final'!$R$37),"")</f>
        <v/>
      </c>
      <c r="U40" s="51" t="str">
        <f>IF(AND('Mapa final'!$AB$38="Baja",'Mapa final'!$AD$38="Menor"),CONCATENATE("R5C",'Mapa final'!$R$38),"")</f>
        <v/>
      </c>
      <c r="V40" s="49" t="str">
        <f>IF(AND('Mapa final'!$AB$33="Baja",'Mapa final'!$AD$33="Moderado"),CONCATENATE("R5C",'Mapa final'!$R$33),"")</f>
        <v/>
      </c>
      <c r="W40" s="50" t="str">
        <f>IF(AND('Mapa final'!$AB$34="Baja",'Mapa final'!$AD$34="Moderado"),CONCATENATE("R5C",'Mapa final'!$R$34),"")</f>
        <v/>
      </c>
      <c r="X40" s="50" t="str">
        <f>IF(AND('Mapa final'!$AB$35="Baja",'Mapa final'!$AD$35="Moderado"),CONCATENATE("R5C",'Mapa final'!$R$35),"")</f>
        <v/>
      </c>
      <c r="Y40" s="50" t="str">
        <f>IF(AND('Mapa final'!$AB$36="Baja",'Mapa final'!$AD$36="Moderado"),CONCATENATE("R5C",'Mapa final'!$R$36),"")</f>
        <v/>
      </c>
      <c r="Z40" s="50" t="str">
        <f>IF(AND('Mapa final'!$AB$37="Baja",'Mapa final'!$AD$37="Moderado"),CONCATENATE("R5C",'Mapa final'!$R$37),"")</f>
        <v/>
      </c>
      <c r="AA40" s="51" t="str">
        <f>IF(AND('Mapa final'!$AB$38="Baja",'Mapa final'!$AD$38="Moderado"),CONCATENATE("R5C",'Mapa final'!$R$38),"")</f>
        <v/>
      </c>
      <c r="AB40" s="34" t="str">
        <f>IF(AND('Mapa final'!$AB$33="Baja",'Mapa final'!$AD$33="Mayor"),CONCATENATE("R5C",'Mapa final'!$R$33),"")</f>
        <v/>
      </c>
      <c r="AC40" s="35" t="str">
        <f>IF(AND('Mapa final'!$AB$34="Baja",'Mapa final'!$AD$34="Mayor"),CONCATENATE("R5C",'Mapa final'!$R$34),"")</f>
        <v/>
      </c>
      <c r="AD40" s="35" t="str">
        <f>IF(AND('Mapa final'!$AB$35="Baja",'Mapa final'!$AD$35="Mayor"),CONCATENATE("R5C",'Mapa final'!$R$35),"")</f>
        <v/>
      </c>
      <c r="AE40" s="35" t="str">
        <f>IF(AND('Mapa final'!$AB$36="Baja",'Mapa final'!$AD$36="Mayor"),CONCATENATE("R5C",'Mapa final'!$R$36),"")</f>
        <v/>
      </c>
      <c r="AF40" s="35" t="str">
        <f>IF(AND('Mapa final'!$AB$37="Baja",'Mapa final'!$AD$37="Mayor"),CONCATENATE("R5C",'Mapa final'!$R$37),"")</f>
        <v/>
      </c>
      <c r="AG40" s="36" t="str">
        <f>IF(AND('Mapa final'!$AB$38="Baja",'Mapa final'!$AD$38="Mayor"),CONCATENATE("R5C",'Mapa final'!$R$38),"")</f>
        <v/>
      </c>
      <c r="AH40" s="37" t="str">
        <f>IF(AND('Mapa final'!$AB$33="Baja",'Mapa final'!$AD$33="Catastrófico"),CONCATENATE("R5C",'Mapa final'!$R$33),"")</f>
        <v/>
      </c>
      <c r="AI40" s="38" t="str">
        <f>IF(AND('Mapa final'!$AB$34="Baja",'Mapa final'!$AD$34="Catastrófico"),CONCATENATE("R5C",'Mapa final'!$R$34),"")</f>
        <v/>
      </c>
      <c r="AJ40" s="38" t="str">
        <f>IF(AND('Mapa final'!$AB$35="Baja",'Mapa final'!$AD$35="Catastrófico"),CONCATENATE("R5C",'Mapa final'!$R$35),"")</f>
        <v/>
      </c>
      <c r="AK40" s="38" t="str">
        <f>IF(AND('Mapa final'!$AB$36="Baja",'Mapa final'!$AD$36="Catastrófico"),CONCATENATE("R5C",'Mapa final'!$R$36),"")</f>
        <v/>
      </c>
      <c r="AL40" s="38" t="str">
        <f>IF(AND('Mapa final'!$AB$37="Baja",'Mapa final'!$AD$37="Catastrófico"),CONCATENATE("R5C",'Mapa final'!$R$37),"")</f>
        <v/>
      </c>
      <c r="AM40" s="39" t="str">
        <f>IF(AND('Mapa final'!$AB$38="Baja",'Mapa final'!$AD$38="Catastrófico"),CONCATENATE("R5C",'Mapa final'!$R$38),"")</f>
        <v/>
      </c>
      <c r="AN40" s="65"/>
      <c r="AO40" s="700"/>
      <c r="AP40" s="701"/>
      <c r="AQ40" s="701"/>
      <c r="AR40" s="701"/>
      <c r="AS40" s="701"/>
      <c r="AT40" s="702"/>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row>
    <row r="41" spans="1:80" ht="15" customHeight="1" x14ac:dyDescent="0.3">
      <c r="A41" s="65"/>
      <c r="B41" s="581"/>
      <c r="C41" s="581"/>
      <c r="D41" s="582"/>
      <c r="E41" s="680"/>
      <c r="F41" s="679"/>
      <c r="G41" s="679"/>
      <c r="H41" s="679"/>
      <c r="I41" s="679"/>
      <c r="J41" s="58" t="str">
        <f>IF(AND('Mapa final'!$AB$39="Baja",'Mapa final'!$AD$39="Leve"),CONCATENATE("R6C",'Mapa final'!$R$39),"")</f>
        <v/>
      </c>
      <c r="K41" s="59" t="str">
        <f>IF(AND('Mapa final'!$AB$40="Baja",'Mapa final'!$AD$40="Leve"),CONCATENATE("R6C",'Mapa final'!$R$40),"")</f>
        <v/>
      </c>
      <c r="L41" s="59" t="str">
        <f>IF(AND('Mapa final'!$AB$41="Baja",'Mapa final'!$AD$41="Leve"),CONCATENATE("R6C",'Mapa final'!$R$41),"")</f>
        <v/>
      </c>
      <c r="M41" s="59" t="str">
        <f>IF(AND('Mapa final'!$AB$42="Baja",'Mapa final'!$AD$42="Leve"),CONCATENATE("R6C",'Mapa final'!$R$42),"")</f>
        <v/>
      </c>
      <c r="N41" s="59" t="str">
        <f>IF(AND('Mapa final'!$AB$43="Baja",'Mapa final'!$AD$43="Leve"),CONCATENATE("R6C",'Mapa final'!$R$43),"")</f>
        <v/>
      </c>
      <c r="O41" s="60" t="str">
        <f>IF(AND('Mapa final'!$AB$44="Baja",'Mapa final'!$AD$44="Leve"),CONCATENATE("R6C",'Mapa final'!$R$44),"")</f>
        <v/>
      </c>
      <c r="P41" s="49" t="str">
        <f>IF(AND('Mapa final'!$AB$39="Baja",'Mapa final'!$AD$39="Menor"),CONCATENATE("R6C",'Mapa final'!$R$39),"")</f>
        <v/>
      </c>
      <c r="Q41" s="50" t="str">
        <f>IF(AND('Mapa final'!$AB$40="Baja",'Mapa final'!$AD$40="Menor"),CONCATENATE("R6C",'Mapa final'!$R$40),"")</f>
        <v/>
      </c>
      <c r="R41" s="50" t="str">
        <f>IF(AND('Mapa final'!$AB$41="Baja",'Mapa final'!$AD$41="Menor"),CONCATENATE("R6C",'Mapa final'!$R$41),"")</f>
        <v/>
      </c>
      <c r="S41" s="50" t="str">
        <f>IF(AND('Mapa final'!$AB$42="Baja",'Mapa final'!$AD$42="Menor"),CONCATENATE("R6C",'Mapa final'!$R$42),"")</f>
        <v/>
      </c>
      <c r="T41" s="50" t="str">
        <f>IF(AND('Mapa final'!$AB$43="Baja",'Mapa final'!$AD$43="Menor"),CONCATENATE("R6C",'Mapa final'!$R$43),"")</f>
        <v/>
      </c>
      <c r="U41" s="51" t="str">
        <f>IF(AND('Mapa final'!$AB$44="Baja",'Mapa final'!$AD$44="Menor"),CONCATENATE("R6C",'Mapa final'!$R$44),"")</f>
        <v/>
      </c>
      <c r="V41" s="49" t="str">
        <f>IF(AND('Mapa final'!$AB$39="Baja",'Mapa final'!$AD$39="Moderado"),CONCATENATE("R6C",'Mapa final'!$R$39),"")</f>
        <v/>
      </c>
      <c r="W41" s="50" t="str">
        <f>IF(AND('Mapa final'!$AB$40="Baja",'Mapa final'!$AD$40="Moderado"),CONCATENATE("R6C",'Mapa final'!$R$40),"")</f>
        <v/>
      </c>
      <c r="X41" s="50" t="str">
        <f>IF(AND('Mapa final'!$AB$41="Baja",'Mapa final'!$AD$41="Moderado"),CONCATENATE("R6C",'Mapa final'!$R$41),"")</f>
        <v/>
      </c>
      <c r="Y41" s="50" t="str">
        <f>IF(AND('Mapa final'!$AB$42="Baja",'Mapa final'!$AD$42="Moderado"),CONCATENATE("R6C",'Mapa final'!$R$42),"")</f>
        <v/>
      </c>
      <c r="Z41" s="50" t="str">
        <f>IF(AND('Mapa final'!$AB$43="Baja",'Mapa final'!$AD$43="Moderado"),CONCATENATE("R6C",'Mapa final'!$R$43),"")</f>
        <v/>
      </c>
      <c r="AA41" s="51" t="str">
        <f>IF(AND('Mapa final'!$AB$44="Baja",'Mapa final'!$AD$44="Moderado"),CONCATENATE("R6C",'Mapa final'!$R$44),"")</f>
        <v/>
      </c>
      <c r="AB41" s="34" t="str">
        <f>IF(AND('Mapa final'!$AB$39="Baja",'Mapa final'!$AD$39="Mayor"),CONCATENATE("R6C",'Mapa final'!$R$39),"")</f>
        <v/>
      </c>
      <c r="AC41" s="35" t="str">
        <f>IF(AND('Mapa final'!$AB$40="Baja",'Mapa final'!$AD$40="Mayor"),CONCATENATE("R6C",'Mapa final'!$R$40),"")</f>
        <v/>
      </c>
      <c r="AD41" s="35" t="str">
        <f>IF(AND('Mapa final'!$AB$41="Baja",'Mapa final'!$AD$41="Mayor"),CONCATENATE("R6C",'Mapa final'!$R$41),"")</f>
        <v/>
      </c>
      <c r="AE41" s="35" t="str">
        <f>IF(AND('Mapa final'!$AB$42="Baja",'Mapa final'!$AD$42="Mayor"),CONCATENATE("R6C",'Mapa final'!$R$42),"")</f>
        <v/>
      </c>
      <c r="AF41" s="35" t="str">
        <f>IF(AND('Mapa final'!$AB$43="Baja",'Mapa final'!$AD$43="Mayor"),CONCATENATE("R6C",'Mapa final'!$R$43),"")</f>
        <v/>
      </c>
      <c r="AG41" s="36" t="str">
        <f>IF(AND('Mapa final'!$AB$44="Baja",'Mapa final'!$AD$44="Mayor"),CONCATENATE("R6C",'Mapa final'!$R$44),"")</f>
        <v/>
      </c>
      <c r="AH41" s="37" t="str">
        <f>IF(AND('Mapa final'!$AB$39="Baja",'Mapa final'!$AD$39="Catastrófico"),CONCATENATE("R6C",'Mapa final'!$R$39),"")</f>
        <v/>
      </c>
      <c r="AI41" s="38" t="str">
        <f>IF(AND('Mapa final'!$AB$40="Baja",'Mapa final'!$AD$40="Catastrófico"),CONCATENATE("R6C",'Mapa final'!$R$40),"")</f>
        <v/>
      </c>
      <c r="AJ41" s="38" t="str">
        <f>IF(AND('Mapa final'!$AB$41="Baja",'Mapa final'!$AD$41="Catastrófico"),CONCATENATE("R6C",'Mapa final'!$R$41),"")</f>
        <v/>
      </c>
      <c r="AK41" s="38" t="str">
        <f>IF(AND('Mapa final'!$AB$42="Baja",'Mapa final'!$AD$42="Catastrófico"),CONCATENATE("R6C",'Mapa final'!$R$42),"")</f>
        <v/>
      </c>
      <c r="AL41" s="38" t="str">
        <f>IF(AND('Mapa final'!$AB$43="Baja",'Mapa final'!$AD$43="Catastrófico"),CONCATENATE("R6C",'Mapa final'!$R$43),"")</f>
        <v/>
      </c>
      <c r="AM41" s="39" t="str">
        <f>IF(AND('Mapa final'!$AB$44="Baja",'Mapa final'!$AD$44="Catastrófico"),CONCATENATE("R6C",'Mapa final'!$R$44),"")</f>
        <v/>
      </c>
      <c r="AN41" s="65"/>
      <c r="AO41" s="700"/>
      <c r="AP41" s="701"/>
      <c r="AQ41" s="701"/>
      <c r="AR41" s="701"/>
      <c r="AS41" s="701"/>
      <c r="AT41" s="702"/>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row>
    <row r="42" spans="1:80" ht="15" customHeight="1" x14ac:dyDescent="0.3">
      <c r="A42" s="65"/>
      <c r="B42" s="581"/>
      <c r="C42" s="581"/>
      <c r="D42" s="582"/>
      <c r="E42" s="680"/>
      <c r="F42" s="679"/>
      <c r="G42" s="679"/>
      <c r="H42" s="679"/>
      <c r="I42" s="679"/>
      <c r="J42" s="58" t="str">
        <f>IF(AND('Mapa final'!$AB$45="Baja",'Mapa final'!$AD$45="Leve"),CONCATENATE("R7C",'Mapa final'!$R$45),"")</f>
        <v/>
      </c>
      <c r="K42" s="59" t="str">
        <f>IF(AND('Mapa final'!$AB$46="Baja",'Mapa final'!$AD$46="Leve"),CONCATENATE("R7C",'Mapa final'!$R$46),"")</f>
        <v/>
      </c>
      <c r="L42" s="59" t="str">
        <f>IF(AND('Mapa final'!$AB$47="Baja",'Mapa final'!$AD$47="Leve"),CONCATENATE("R7C",'Mapa final'!$R$47),"")</f>
        <v/>
      </c>
      <c r="M42" s="59" t="str">
        <f>IF(AND('Mapa final'!$AB$48="Baja",'Mapa final'!$AD$48="Leve"),CONCATENATE("R7C",'Mapa final'!$R$48),"")</f>
        <v/>
      </c>
      <c r="N42" s="59" t="str">
        <f>IF(AND('Mapa final'!$AB$49="Baja",'Mapa final'!$AD$49="Leve"),CONCATENATE("R7C",'Mapa final'!$R$49),"")</f>
        <v/>
      </c>
      <c r="O42" s="60" t="str">
        <f>IF(AND('Mapa final'!$AB$50="Baja",'Mapa final'!$AD$50="Leve"),CONCATENATE("R7C",'Mapa final'!$R$50),"")</f>
        <v/>
      </c>
      <c r="P42" s="49" t="str">
        <f>IF(AND('Mapa final'!$AB$45="Baja",'Mapa final'!$AD$45="Menor"),CONCATENATE("R7C",'Mapa final'!$R$45),"")</f>
        <v/>
      </c>
      <c r="Q42" s="50" t="str">
        <f>IF(AND('Mapa final'!$AB$46="Baja",'Mapa final'!$AD$46="Menor"),CONCATENATE("R7C",'Mapa final'!$R$46),"")</f>
        <v/>
      </c>
      <c r="R42" s="50" t="str">
        <f>IF(AND('Mapa final'!$AB$47="Baja",'Mapa final'!$AD$47="Menor"),CONCATENATE("R7C",'Mapa final'!$R$47),"")</f>
        <v/>
      </c>
      <c r="S42" s="50" t="str">
        <f>IF(AND('Mapa final'!$AB$48="Baja",'Mapa final'!$AD$48="Menor"),CONCATENATE("R7C",'Mapa final'!$R$48),"")</f>
        <v/>
      </c>
      <c r="T42" s="50" t="str">
        <f>IF(AND('Mapa final'!$AB$49="Baja",'Mapa final'!$AD$49="Menor"),CONCATENATE("R7C",'Mapa final'!$R$49),"")</f>
        <v/>
      </c>
      <c r="U42" s="51" t="str">
        <f>IF(AND('Mapa final'!$AB$50="Baja",'Mapa final'!$AD$50="Menor"),CONCATENATE("R7C",'Mapa final'!$R$50),"")</f>
        <v/>
      </c>
      <c r="V42" s="49" t="str">
        <f>IF(AND('Mapa final'!$AB$45="Baja",'Mapa final'!$AD$45="Moderado"),CONCATENATE("R7C",'Mapa final'!$R$45),"")</f>
        <v/>
      </c>
      <c r="W42" s="50" t="str">
        <f>IF(AND('Mapa final'!$AB$46="Baja",'Mapa final'!$AD$46="Moderado"),CONCATENATE("R7C",'Mapa final'!$R$46),"")</f>
        <v/>
      </c>
      <c r="X42" s="50" t="str">
        <f>IF(AND('Mapa final'!$AB$47="Baja",'Mapa final'!$AD$47="Moderado"),CONCATENATE("R7C",'Mapa final'!$R$47),"")</f>
        <v/>
      </c>
      <c r="Y42" s="50" t="str">
        <f>IF(AND('Mapa final'!$AB$48="Baja",'Mapa final'!$AD$48="Moderado"),CONCATENATE("R7C",'Mapa final'!$R$48),"")</f>
        <v/>
      </c>
      <c r="Z42" s="50" t="str">
        <f>IF(AND('Mapa final'!$AB$49="Baja",'Mapa final'!$AD$49="Moderado"),CONCATENATE("R7C",'Mapa final'!$R$49),"")</f>
        <v/>
      </c>
      <c r="AA42" s="51" t="str">
        <f>IF(AND('Mapa final'!$AB$50="Baja",'Mapa final'!$AD$50="Moderado"),CONCATENATE("R7C",'Mapa final'!$R$50),"")</f>
        <v/>
      </c>
      <c r="AB42" s="34" t="str">
        <f>IF(AND('Mapa final'!$AB$45="Baja",'Mapa final'!$AD$45="Mayor"),CONCATENATE("R7C",'Mapa final'!$R$45),"")</f>
        <v/>
      </c>
      <c r="AC42" s="35" t="str">
        <f>IF(AND('Mapa final'!$AB$46="Baja",'Mapa final'!$AD$46="Mayor"),CONCATENATE("R7C",'Mapa final'!$R$46),"")</f>
        <v/>
      </c>
      <c r="AD42" s="35" t="str">
        <f>IF(AND('Mapa final'!$AB$47="Baja",'Mapa final'!$AD$47="Mayor"),CONCATENATE("R7C",'Mapa final'!$R$47),"")</f>
        <v/>
      </c>
      <c r="AE42" s="35" t="str">
        <f>IF(AND('Mapa final'!$AB$48="Baja",'Mapa final'!$AD$48="Mayor"),CONCATENATE("R7C",'Mapa final'!$R$48),"")</f>
        <v/>
      </c>
      <c r="AF42" s="35" t="str">
        <f>IF(AND('Mapa final'!$AB$49="Baja",'Mapa final'!$AD$49="Mayor"),CONCATENATE("R7C",'Mapa final'!$R$49),"")</f>
        <v/>
      </c>
      <c r="AG42" s="36" t="str">
        <f>IF(AND('Mapa final'!$AB$50="Baja",'Mapa final'!$AD$50="Mayor"),CONCATENATE("R7C",'Mapa final'!$R$50),"")</f>
        <v/>
      </c>
      <c r="AH42" s="37" t="str">
        <f>IF(AND('Mapa final'!$AB$45="Baja",'Mapa final'!$AD$45="Catastrófico"),CONCATENATE("R7C",'Mapa final'!$R$45),"")</f>
        <v/>
      </c>
      <c r="AI42" s="38" t="str">
        <f>IF(AND('Mapa final'!$AB$46="Baja",'Mapa final'!$AD$46="Catastrófico"),CONCATENATE("R7C",'Mapa final'!$R$46),"")</f>
        <v/>
      </c>
      <c r="AJ42" s="38" t="str">
        <f>IF(AND('Mapa final'!$AB$47="Baja",'Mapa final'!$AD$47="Catastrófico"),CONCATENATE("R7C",'Mapa final'!$R$47),"")</f>
        <v/>
      </c>
      <c r="AK42" s="38" t="str">
        <f>IF(AND('Mapa final'!$AB$48="Baja",'Mapa final'!$AD$48="Catastrófico"),CONCATENATE("R7C",'Mapa final'!$R$48),"")</f>
        <v/>
      </c>
      <c r="AL42" s="38" t="str">
        <f>IF(AND('Mapa final'!$AB$49="Baja",'Mapa final'!$AD$49="Catastrófico"),CONCATENATE("R7C",'Mapa final'!$R$49),"")</f>
        <v/>
      </c>
      <c r="AM42" s="39" t="str">
        <f>IF(AND('Mapa final'!$AB$50="Baja",'Mapa final'!$AD$50="Catastrófico"),CONCATENATE("R7C",'Mapa final'!$R$50),"")</f>
        <v/>
      </c>
      <c r="AN42" s="65"/>
      <c r="AO42" s="700"/>
      <c r="AP42" s="701"/>
      <c r="AQ42" s="701"/>
      <c r="AR42" s="701"/>
      <c r="AS42" s="701"/>
      <c r="AT42" s="702"/>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row>
    <row r="43" spans="1:80" ht="15" customHeight="1" x14ac:dyDescent="0.3">
      <c r="A43" s="65"/>
      <c r="B43" s="581"/>
      <c r="C43" s="581"/>
      <c r="D43" s="582"/>
      <c r="E43" s="680"/>
      <c r="F43" s="679"/>
      <c r="G43" s="679"/>
      <c r="H43" s="679"/>
      <c r="I43" s="679"/>
      <c r="J43" s="58" t="str">
        <f>IF(AND('Mapa final'!$AB$51="Baja",'Mapa final'!$AD$51="Leve"),CONCATENATE("R8C",'Mapa final'!$R$51),"")</f>
        <v/>
      </c>
      <c r="K43" s="59" t="str">
        <f>IF(AND('Mapa final'!$AB$52="Baja",'Mapa final'!$AD$52="Leve"),CONCATENATE("R8C",'Mapa final'!$R$52),"")</f>
        <v/>
      </c>
      <c r="L43" s="59" t="str">
        <f>IF(AND('Mapa final'!$AB$53="Baja",'Mapa final'!$AD$53="Leve"),CONCATENATE("R8C",'Mapa final'!$R$53),"")</f>
        <v/>
      </c>
      <c r="M43" s="59" t="str">
        <f>IF(AND('Mapa final'!$AB$54="Baja",'Mapa final'!$AD$54="Leve"),CONCATENATE("R8C",'Mapa final'!$R$54),"")</f>
        <v/>
      </c>
      <c r="N43" s="59" t="str">
        <f>IF(AND('Mapa final'!$AB$55="Baja",'Mapa final'!$AD$55="Leve"),CONCATENATE("R8C",'Mapa final'!$R$55),"")</f>
        <v/>
      </c>
      <c r="O43" s="60" t="str">
        <f>IF(AND('Mapa final'!$AB$56="Baja",'Mapa final'!$AD$56="Leve"),CONCATENATE("R8C",'Mapa final'!$R$56),"")</f>
        <v/>
      </c>
      <c r="P43" s="49" t="str">
        <f>IF(AND('Mapa final'!$AB$51="Baja",'Mapa final'!$AD$51="Menor"),CONCATENATE("R8C",'Mapa final'!$R$51),"")</f>
        <v/>
      </c>
      <c r="Q43" s="50" t="str">
        <f>IF(AND('Mapa final'!$AB$52="Baja",'Mapa final'!$AD$52="Menor"),CONCATENATE("R8C",'Mapa final'!$R$52),"")</f>
        <v/>
      </c>
      <c r="R43" s="50" t="str">
        <f>IF(AND('Mapa final'!$AB$53="Baja",'Mapa final'!$AD$53="Menor"),CONCATENATE("R8C",'Mapa final'!$R$53),"")</f>
        <v/>
      </c>
      <c r="S43" s="50" t="str">
        <f>IF(AND('Mapa final'!$AB$54="Baja",'Mapa final'!$AD$54="Menor"),CONCATENATE("R8C",'Mapa final'!$R$54),"")</f>
        <v/>
      </c>
      <c r="T43" s="50" t="str">
        <f>IF(AND('Mapa final'!$AB$55="Baja",'Mapa final'!$AD$55="Menor"),CONCATENATE("R8C",'Mapa final'!$R$55),"")</f>
        <v/>
      </c>
      <c r="U43" s="51" t="str">
        <f>IF(AND('Mapa final'!$AB$56="Baja",'Mapa final'!$AD$56="Menor"),CONCATENATE("R8C",'Mapa final'!$R$56),"")</f>
        <v/>
      </c>
      <c r="V43" s="49" t="str">
        <f>IF(AND('Mapa final'!$AB$51="Baja",'Mapa final'!$AD$51="Moderado"),CONCATENATE("R8C",'Mapa final'!$R$51),"")</f>
        <v/>
      </c>
      <c r="W43" s="50" t="str">
        <f>IF(AND('Mapa final'!$AB$52="Baja",'Mapa final'!$AD$52="Moderado"),CONCATENATE("R8C",'Mapa final'!$R$52),"")</f>
        <v/>
      </c>
      <c r="X43" s="50" t="str">
        <f>IF(AND('Mapa final'!$AB$53="Baja",'Mapa final'!$AD$53="Moderado"),CONCATENATE("R8C",'Mapa final'!$R$53),"")</f>
        <v/>
      </c>
      <c r="Y43" s="50" t="str">
        <f>IF(AND('Mapa final'!$AB$54="Baja",'Mapa final'!$AD$54="Moderado"),CONCATENATE("R8C",'Mapa final'!$R$54),"")</f>
        <v/>
      </c>
      <c r="Z43" s="50" t="str">
        <f>IF(AND('Mapa final'!$AB$55="Baja",'Mapa final'!$AD$55="Moderado"),CONCATENATE("R8C",'Mapa final'!$R$55),"")</f>
        <v/>
      </c>
      <c r="AA43" s="51" t="str">
        <f>IF(AND('Mapa final'!$AB$56="Baja",'Mapa final'!$AD$56="Moderado"),CONCATENATE("R8C",'Mapa final'!$R$56),"")</f>
        <v/>
      </c>
      <c r="AB43" s="34" t="str">
        <f>IF(AND('Mapa final'!$AB$51="Baja",'Mapa final'!$AD$51="Mayor"),CONCATENATE("R8C",'Mapa final'!$R$51),"")</f>
        <v/>
      </c>
      <c r="AC43" s="35" t="str">
        <f>IF(AND('Mapa final'!$AB$52="Baja",'Mapa final'!$AD$52="Mayor"),CONCATENATE("R8C",'Mapa final'!$R$52),"")</f>
        <v/>
      </c>
      <c r="AD43" s="35" t="str">
        <f>IF(AND('Mapa final'!$AB$53="Baja",'Mapa final'!$AD$53="Mayor"),CONCATENATE("R8C",'Mapa final'!$R$53),"")</f>
        <v/>
      </c>
      <c r="AE43" s="35" t="str">
        <f>IF(AND('Mapa final'!$AB$54="Baja",'Mapa final'!$AD$54="Mayor"),CONCATENATE("R8C",'Mapa final'!$R$54),"")</f>
        <v/>
      </c>
      <c r="AF43" s="35" t="str">
        <f>IF(AND('Mapa final'!$AB$55="Baja",'Mapa final'!$AD$55="Mayor"),CONCATENATE("R8C",'Mapa final'!$R$55),"")</f>
        <v/>
      </c>
      <c r="AG43" s="36" t="str">
        <f>IF(AND('Mapa final'!$AB$56="Baja",'Mapa final'!$AD$56="Mayor"),CONCATENATE("R8C",'Mapa final'!$R$56),"")</f>
        <v/>
      </c>
      <c r="AH43" s="37" t="str">
        <f>IF(AND('Mapa final'!$AB$51="Baja",'Mapa final'!$AD$51="Catastrófico"),CONCATENATE("R8C",'Mapa final'!$R$51),"")</f>
        <v/>
      </c>
      <c r="AI43" s="38" t="str">
        <f>IF(AND('Mapa final'!$AB$52="Baja",'Mapa final'!$AD$52="Catastrófico"),CONCATENATE("R8C",'Mapa final'!$R$52),"")</f>
        <v/>
      </c>
      <c r="AJ43" s="38" t="str">
        <f>IF(AND('Mapa final'!$AB$53="Baja",'Mapa final'!$AD$53="Catastrófico"),CONCATENATE("R8C",'Mapa final'!$R$53),"")</f>
        <v/>
      </c>
      <c r="AK43" s="38" t="str">
        <f>IF(AND('Mapa final'!$AB$54="Baja",'Mapa final'!$AD$54="Catastrófico"),CONCATENATE("R8C",'Mapa final'!$R$54),"")</f>
        <v/>
      </c>
      <c r="AL43" s="38" t="str">
        <f>IF(AND('Mapa final'!$AB$55="Baja",'Mapa final'!$AD$55="Catastrófico"),CONCATENATE("R8C",'Mapa final'!$R$55),"")</f>
        <v/>
      </c>
      <c r="AM43" s="39" t="str">
        <f>IF(AND('Mapa final'!$AB$56="Baja",'Mapa final'!$AD$56="Catastrófico"),CONCATENATE("R8C",'Mapa final'!$R$56),"")</f>
        <v/>
      </c>
      <c r="AN43" s="65"/>
      <c r="AO43" s="700"/>
      <c r="AP43" s="701"/>
      <c r="AQ43" s="701"/>
      <c r="AR43" s="701"/>
      <c r="AS43" s="701"/>
      <c r="AT43" s="702"/>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row>
    <row r="44" spans="1:80" ht="15" customHeight="1" x14ac:dyDescent="0.3">
      <c r="A44" s="65"/>
      <c r="B44" s="581"/>
      <c r="C44" s="581"/>
      <c r="D44" s="582"/>
      <c r="E44" s="680"/>
      <c r="F44" s="679"/>
      <c r="G44" s="679"/>
      <c r="H44" s="679"/>
      <c r="I44" s="679"/>
      <c r="J44" s="58" t="str">
        <f>IF(AND('Mapa final'!$AB$57="Baja",'Mapa final'!$AD$57="Leve"),CONCATENATE("R9C",'Mapa final'!$R$57),"")</f>
        <v/>
      </c>
      <c r="K44" s="59" t="str">
        <f>IF(AND('Mapa final'!$AB$58="Baja",'Mapa final'!$AD$58="Leve"),CONCATENATE("R9C",'Mapa final'!$R$58),"")</f>
        <v/>
      </c>
      <c r="L44" s="59" t="str">
        <f>IF(AND('Mapa final'!$AB$59="Baja",'Mapa final'!$AD$59="Leve"),CONCATENATE("R9C",'Mapa final'!$R$59),"")</f>
        <v/>
      </c>
      <c r="M44" s="59" t="str">
        <f>IF(AND('Mapa final'!$AB$60="Baja",'Mapa final'!$AD$60="Leve"),CONCATENATE("R9C",'Mapa final'!$R$60),"")</f>
        <v/>
      </c>
      <c r="N44" s="59" t="str">
        <f>IF(AND('Mapa final'!$AB$61="Baja",'Mapa final'!$AD$61="Leve"),CONCATENATE("R9C",'Mapa final'!$R$61),"")</f>
        <v/>
      </c>
      <c r="O44" s="60" t="str">
        <f>IF(AND('Mapa final'!$AB$62="Baja",'Mapa final'!$AD$62="Leve"),CONCATENATE("R9C",'Mapa final'!$R$62),"")</f>
        <v/>
      </c>
      <c r="P44" s="49" t="str">
        <f>IF(AND('Mapa final'!$AB$57="Baja",'Mapa final'!$AD$57="Menor"),CONCATENATE("R9C",'Mapa final'!$R$57),"")</f>
        <v/>
      </c>
      <c r="Q44" s="50" t="str">
        <f>IF(AND('Mapa final'!$AB$58="Baja",'Mapa final'!$AD$58="Menor"),CONCATENATE("R9C",'Mapa final'!$R$58),"")</f>
        <v/>
      </c>
      <c r="R44" s="50" t="str">
        <f>IF(AND('Mapa final'!$AB$59="Baja",'Mapa final'!$AD$59="Menor"),CONCATENATE("R9C",'Mapa final'!$R$59),"")</f>
        <v/>
      </c>
      <c r="S44" s="50" t="str">
        <f>IF(AND('Mapa final'!$AB$60="Baja",'Mapa final'!$AD$60="Menor"),CONCATENATE("R9C",'Mapa final'!$R$60),"")</f>
        <v/>
      </c>
      <c r="T44" s="50" t="str">
        <f>IF(AND('Mapa final'!$AB$61="Baja",'Mapa final'!$AD$61="Menor"),CONCATENATE("R9C",'Mapa final'!$R$61),"")</f>
        <v/>
      </c>
      <c r="U44" s="51" t="str">
        <f>IF(AND('Mapa final'!$AB$62="Baja",'Mapa final'!$AD$62="Menor"),CONCATENATE("R9C",'Mapa final'!$R$62),"")</f>
        <v/>
      </c>
      <c r="V44" s="49" t="str">
        <f>IF(AND('Mapa final'!$AB$57="Baja",'Mapa final'!$AD$57="Moderado"),CONCATENATE("R9C",'Mapa final'!$R$57),"")</f>
        <v/>
      </c>
      <c r="W44" s="50" t="str">
        <f>IF(AND('Mapa final'!$AB$58="Baja",'Mapa final'!$AD$58="Moderado"),CONCATENATE("R9C",'Mapa final'!$R$58),"")</f>
        <v/>
      </c>
      <c r="X44" s="50" t="str">
        <f>IF(AND('Mapa final'!$AB$59="Baja",'Mapa final'!$AD$59="Moderado"),CONCATENATE("R9C",'Mapa final'!$R$59),"")</f>
        <v/>
      </c>
      <c r="Y44" s="50" t="str">
        <f>IF(AND('Mapa final'!$AB$60="Baja",'Mapa final'!$AD$60="Moderado"),CONCATENATE("R9C",'Mapa final'!$R$60),"")</f>
        <v/>
      </c>
      <c r="Z44" s="50" t="str">
        <f>IF(AND('Mapa final'!$AB$61="Baja",'Mapa final'!$AD$61="Moderado"),CONCATENATE("R9C",'Mapa final'!$R$61),"")</f>
        <v/>
      </c>
      <c r="AA44" s="51" t="str">
        <f>IF(AND('Mapa final'!$AB$62="Baja",'Mapa final'!$AD$62="Moderado"),CONCATENATE("R9C",'Mapa final'!$R$62),"")</f>
        <v/>
      </c>
      <c r="AB44" s="34" t="str">
        <f>IF(AND('Mapa final'!$AB$57="Baja",'Mapa final'!$AD$57="Mayor"),CONCATENATE("R9C",'Mapa final'!$R$57),"")</f>
        <v/>
      </c>
      <c r="AC44" s="35" t="str">
        <f>IF(AND('Mapa final'!$AB$58="Baja",'Mapa final'!$AD$58="Mayor"),CONCATENATE("R9C",'Mapa final'!$R$58),"")</f>
        <v/>
      </c>
      <c r="AD44" s="35" t="str">
        <f>IF(AND('Mapa final'!$AB$59="Baja",'Mapa final'!$AD$59="Mayor"),CONCATENATE("R9C",'Mapa final'!$R$59),"")</f>
        <v/>
      </c>
      <c r="AE44" s="35" t="str">
        <f>IF(AND('Mapa final'!$AB$60="Baja",'Mapa final'!$AD$60="Mayor"),CONCATENATE("R9C",'Mapa final'!$R$60),"")</f>
        <v/>
      </c>
      <c r="AF44" s="35" t="str">
        <f>IF(AND('Mapa final'!$AB$61="Baja",'Mapa final'!$AD$61="Mayor"),CONCATENATE("R9C",'Mapa final'!$R$61),"")</f>
        <v/>
      </c>
      <c r="AG44" s="36" t="str">
        <f>IF(AND('Mapa final'!$AB$62="Baja",'Mapa final'!$AD$62="Mayor"),CONCATENATE("R9C",'Mapa final'!$R$62),"")</f>
        <v/>
      </c>
      <c r="AH44" s="37" t="str">
        <f>IF(AND('Mapa final'!$AB$57="Baja",'Mapa final'!$AD$57="Catastrófico"),CONCATENATE("R9C",'Mapa final'!$R$57),"")</f>
        <v/>
      </c>
      <c r="AI44" s="38" t="str">
        <f>IF(AND('Mapa final'!$AB$58="Baja",'Mapa final'!$AD$58="Catastrófico"),CONCATENATE("R9C",'Mapa final'!$R$58),"")</f>
        <v/>
      </c>
      <c r="AJ44" s="38" t="str">
        <f>IF(AND('Mapa final'!$AB$59="Baja",'Mapa final'!$AD$59="Catastrófico"),CONCATENATE("R9C",'Mapa final'!$R$59),"")</f>
        <v/>
      </c>
      <c r="AK44" s="38" t="str">
        <f>IF(AND('Mapa final'!$AB$60="Baja",'Mapa final'!$AD$60="Catastrófico"),CONCATENATE("R9C",'Mapa final'!$R$60),"")</f>
        <v/>
      </c>
      <c r="AL44" s="38" t="str">
        <f>IF(AND('Mapa final'!$AB$61="Baja",'Mapa final'!$AD$61="Catastrófico"),CONCATENATE("R9C",'Mapa final'!$R$61),"")</f>
        <v/>
      </c>
      <c r="AM44" s="39" t="str">
        <f>IF(AND('Mapa final'!$AB$62="Baja",'Mapa final'!$AD$62="Catastrófico"),CONCATENATE("R9C",'Mapa final'!$R$62),"")</f>
        <v/>
      </c>
      <c r="AN44" s="65"/>
      <c r="AO44" s="700"/>
      <c r="AP44" s="701"/>
      <c r="AQ44" s="701"/>
      <c r="AR44" s="701"/>
      <c r="AS44" s="701"/>
      <c r="AT44" s="702"/>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row>
    <row r="45" spans="1:80" ht="15.75" customHeight="1" thickBot="1" x14ac:dyDescent="0.35">
      <c r="A45" s="65"/>
      <c r="B45" s="581"/>
      <c r="C45" s="581"/>
      <c r="D45" s="582"/>
      <c r="E45" s="681"/>
      <c r="F45" s="682"/>
      <c r="G45" s="682"/>
      <c r="H45" s="682"/>
      <c r="I45" s="682"/>
      <c r="J45" s="61" t="str">
        <f>IF(AND('Mapa final'!$AB$63="Baja",'Mapa final'!$AD$63="Leve"),CONCATENATE("R10C",'Mapa final'!$R$63),"")</f>
        <v/>
      </c>
      <c r="K45" s="62" t="str">
        <f>IF(AND('Mapa final'!$AB$64="Baja",'Mapa final'!$AD$64="Leve"),CONCATENATE("R10C",'Mapa final'!$R$64),"")</f>
        <v/>
      </c>
      <c r="L45" s="62" t="str">
        <f>IF(AND('Mapa final'!$AB$65="Baja",'Mapa final'!$AD$65="Leve"),CONCATENATE("R10C",'Mapa final'!$R$65),"")</f>
        <v/>
      </c>
      <c r="M45" s="62" t="str">
        <f>IF(AND('Mapa final'!$AB$66="Baja",'Mapa final'!$AD$66="Leve"),CONCATENATE("R10C",'Mapa final'!$R$66),"")</f>
        <v/>
      </c>
      <c r="N45" s="62" t="str">
        <f>IF(AND('Mapa final'!$AB$67="Baja",'Mapa final'!$AD$67="Leve"),CONCATENATE("R10C",'Mapa final'!$R$67),"")</f>
        <v/>
      </c>
      <c r="O45" s="63" t="str">
        <f>IF(AND('Mapa final'!$AB$68="Baja",'Mapa final'!$AD$68="Leve"),CONCATENATE("R10C",'Mapa final'!$R$68),"")</f>
        <v/>
      </c>
      <c r="P45" s="49" t="str">
        <f>IF(AND('Mapa final'!$AB$63="Baja",'Mapa final'!$AD$63="Menor"),CONCATENATE("R10C",'Mapa final'!$R$63),"")</f>
        <v/>
      </c>
      <c r="Q45" s="50" t="str">
        <f>IF(AND('Mapa final'!$AB$64="Baja",'Mapa final'!$AD$64="Menor"),CONCATENATE("R10C",'Mapa final'!$R$64),"")</f>
        <v/>
      </c>
      <c r="R45" s="50" t="str">
        <f>IF(AND('Mapa final'!$AB$65="Baja",'Mapa final'!$AD$65="Menor"),CONCATENATE("R10C",'Mapa final'!$R$65),"")</f>
        <v/>
      </c>
      <c r="S45" s="50" t="str">
        <f>IF(AND('Mapa final'!$AB$66="Baja",'Mapa final'!$AD$66="Menor"),CONCATENATE("R10C",'Mapa final'!$R$66),"")</f>
        <v/>
      </c>
      <c r="T45" s="50" t="str">
        <f>IF(AND('Mapa final'!$AB$67="Baja",'Mapa final'!$AD$67="Menor"),CONCATENATE("R10C",'Mapa final'!$R$67),"")</f>
        <v/>
      </c>
      <c r="U45" s="51" t="str">
        <f>IF(AND('Mapa final'!$AB$68="Baja",'Mapa final'!$AD$68="Menor"),CONCATENATE("R10C",'Mapa final'!$R$68),"")</f>
        <v/>
      </c>
      <c r="V45" s="52" t="str">
        <f>IF(AND('Mapa final'!$AB$63="Baja",'Mapa final'!$AD$63="Moderado"),CONCATENATE("R10C",'Mapa final'!$R$63),"")</f>
        <v/>
      </c>
      <c r="W45" s="53" t="str">
        <f>IF(AND('Mapa final'!$AB$64="Baja",'Mapa final'!$AD$64="Moderado"),CONCATENATE("R10C",'Mapa final'!$R$64),"")</f>
        <v/>
      </c>
      <c r="X45" s="53" t="str">
        <f>IF(AND('Mapa final'!$AB$65="Baja",'Mapa final'!$AD$65="Moderado"),CONCATENATE("R10C",'Mapa final'!$R$65),"")</f>
        <v/>
      </c>
      <c r="Y45" s="53" t="str">
        <f>IF(AND('Mapa final'!$AB$66="Baja",'Mapa final'!$AD$66="Moderado"),CONCATENATE("R10C",'Mapa final'!$R$66),"")</f>
        <v/>
      </c>
      <c r="Z45" s="53" t="str">
        <f>IF(AND('Mapa final'!$AB$67="Baja",'Mapa final'!$AD$67="Moderado"),CONCATENATE("R10C",'Mapa final'!$R$67),"")</f>
        <v/>
      </c>
      <c r="AA45" s="54" t="str">
        <f>IF(AND('Mapa final'!$AB$68="Baja",'Mapa final'!$AD$68="Moderado"),CONCATENATE("R10C",'Mapa final'!$R$68),"")</f>
        <v/>
      </c>
      <c r="AB45" s="40" t="str">
        <f>IF(AND('Mapa final'!$AB$63="Baja",'Mapa final'!$AD$63="Mayor"),CONCATENATE("R10C",'Mapa final'!$R$63),"")</f>
        <v/>
      </c>
      <c r="AC45" s="41" t="str">
        <f>IF(AND('Mapa final'!$AB$64="Baja",'Mapa final'!$AD$64="Mayor"),CONCATENATE("R10C",'Mapa final'!$R$64),"")</f>
        <v/>
      </c>
      <c r="AD45" s="41" t="str">
        <f>IF(AND('Mapa final'!$AB$65="Baja",'Mapa final'!$AD$65="Mayor"),CONCATENATE("R10C",'Mapa final'!$R$65),"")</f>
        <v/>
      </c>
      <c r="AE45" s="41" t="str">
        <f>IF(AND('Mapa final'!$AB$66="Baja",'Mapa final'!$AD$66="Mayor"),CONCATENATE("R10C",'Mapa final'!$R$66),"")</f>
        <v/>
      </c>
      <c r="AF45" s="41" t="str">
        <f>IF(AND('Mapa final'!$AB$67="Baja",'Mapa final'!$AD$67="Mayor"),CONCATENATE("R10C",'Mapa final'!$R$67),"")</f>
        <v/>
      </c>
      <c r="AG45" s="42" t="str">
        <f>IF(AND('Mapa final'!$AB$68="Baja",'Mapa final'!$AD$68="Mayor"),CONCATENATE("R10C",'Mapa final'!$R$68),"")</f>
        <v/>
      </c>
      <c r="AH45" s="43" t="str">
        <f>IF(AND('Mapa final'!$AB$63="Baja",'Mapa final'!$AD$63="Catastrófico"),CONCATENATE("R10C",'Mapa final'!$R$63),"")</f>
        <v/>
      </c>
      <c r="AI45" s="44" t="str">
        <f>IF(AND('Mapa final'!$AB$64="Baja",'Mapa final'!$AD$64="Catastrófico"),CONCATENATE("R10C",'Mapa final'!$R$64),"")</f>
        <v/>
      </c>
      <c r="AJ45" s="44" t="str">
        <f>IF(AND('Mapa final'!$AB$65="Baja",'Mapa final'!$AD$65="Catastrófico"),CONCATENATE("R10C",'Mapa final'!$R$65),"")</f>
        <v/>
      </c>
      <c r="AK45" s="44" t="str">
        <f>IF(AND('Mapa final'!$AB$66="Baja",'Mapa final'!$AD$66="Catastrófico"),CONCATENATE("R10C",'Mapa final'!$R$66),"")</f>
        <v/>
      </c>
      <c r="AL45" s="44" t="str">
        <f>IF(AND('Mapa final'!$AB$67="Baja",'Mapa final'!$AD$67="Catastrófico"),CONCATENATE("R10C",'Mapa final'!$R$67),"")</f>
        <v/>
      </c>
      <c r="AM45" s="45" t="str">
        <f>IF(AND('Mapa final'!$AB$68="Baja",'Mapa final'!$AD$68="Catastrófico"),CONCATENATE("R10C",'Mapa final'!$R$68),"")</f>
        <v/>
      </c>
      <c r="AN45" s="65"/>
      <c r="AO45" s="703"/>
      <c r="AP45" s="704"/>
      <c r="AQ45" s="704"/>
      <c r="AR45" s="704"/>
      <c r="AS45" s="704"/>
      <c r="AT45" s="705"/>
    </row>
    <row r="46" spans="1:80" ht="46.5" customHeight="1" x14ac:dyDescent="0.45">
      <c r="A46" s="65"/>
      <c r="B46" s="581"/>
      <c r="C46" s="581"/>
      <c r="D46" s="582"/>
      <c r="E46" s="676" t="s">
        <v>108</v>
      </c>
      <c r="F46" s="677"/>
      <c r="G46" s="677"/>
      <c r="H46" s="677"/>
      <c r="I46" s="694"/>
      <c r="J46" s="55" t="str">
        <f>IF(AND('Mapa final'!$AB$10="Muy Baja",'Mapa final'!$AD$10="Leve"),CONCATENATE("R1C",'Mapa final'!$R$10),"")</f>
        <v/>
      </c>
      <c r="K46" s="56" t="str">
        <f>IF(AND('Mapa final'!$AB$11="Muy Baja",'Mapa final'!$AD$11="Leve"),CONCATENATE("R1C",'Mapa final'!$R$11),"")</f>
        <v/>
      </c>
      <c r="L46" s="56" t="str">
        <f>IF(AND('Mapa final'!$AB$12="Muy Baja",'Mapa final'!$AD$12="Leve"),CONCATENATE("R1C",'Mapa final'!$R$12),"")</f>
        <v/>
      </c>
      <c r="M46" s="56" t="str">
        <f>IF(AND('Mapa final'!$AB$13="Muy Baja",'Mapa final'!$AD$13="Leve"),CONCATENATE("R1C",'Mapa final'!$R$13),"")</f>
        <v/>
      </c>
      <c r="N46" s="56" t="str">
        <f>IF(AND('Mapa final'!$AB$14="Muy Baja",'Mapa final'!$AD$14="Leve"),CONCATENATE("R1C",'Mapa final'!$R$14),"")</f>
        <v/>
      </c>
      <c r="O46" s="57" t="str">
        <f>IF(AND('Mapa final'!$AB$15="Muy Baja",'Mapa final'!$AD$15="Leve"),CONCATENATE("R1C",'Mapa final'!$R$15),"")</f>
        <v/>
      </c>
      <c r="P46" s="55" t="str">
        <f>IF(AND('Mapa final'!$AB$10="Muy Baja",'Mapa final'!$AD$10="Menor"),CONCATENATE("R1C",'Mapa final'!$R$10),"")</f>
        <v/>
      </c>
      <c r="Q46" s="56" t="str">
        <f>IF(AND('Mapa final'!$AB$11="Muy Baja",'Mapa final'!$AD$11="Menor"),CONCATENATE("R1C",'Mapa final'!$R$11),"")</f>
        <v/>
      </c>
      <c r="R46" s="56" t="str">
        <f>IF(AND('Mapa final'!$AB$12="Muy Baja",'Mapa final'!$AD$12="Menor"),CONCATENATE("R1C",'Mapa final'!$R$12),"")</f>
        <v/>
      </c>
      <c r="S46" s="56" t="str">
        <f>IF(AND('Mapa final'!$AB$13="Muy Baja",'Mapa final'!$AD$13="Menor"),CONCATENATE("R1C",'Mapa final'!$R$13),"")</f>
        <v/>
      </c>
      <c r="T46" s="56" t="str">
        <f>IF(AND('Mapa final'!$AB$14="Muy Baja",'Mapa final'!$AD$14="Menor"),CONCATENATE("R1C",'Mapa final'!$R$14),"")</f>
        <v/>
      </c>
      <c r="U46" s="57" t="str">
        <f>IF(AND('Mapa final'!$AB$15="Muy Baja",'Mapa final'!$AD$15="Menor"),CONCATENATE("R1C",'Mapa final'!$R$15),"")</f>
        <v/>
      </c>
      <c r="V46" s="46" t="str">
        <f>IF(AND('Mapa final'!$AB$10="Muy Baja",'Mapa final'!$AD$10="Moderado"),CONCATENATE("R1C",'Mapa final'!$R$10),"")</f>
        <v/>
      </c>
      <c r="W46" s="64" t="str">
        <f>IF(AND('Mapa final'!$AB$11="Muy Baja",'Mapa final'!$AD$11="Moderado"),CONCATENATE("R1C",'Mapa final'!$R$11),"")</f>
        <v/>
      </c>
      <c r="X46" s="47" t="str">
        <f>IF(AND('Mapa final'!$AB$12="Muy Baja",'Mapa final'!$AD$12="Moderado"),CONCATENATE("R1C",'Mapa final'!$R$12),"")</f>
        <v/>
      </c>
      <c r="Y46" s="47" t="str">
        <f>IF(AND('Mapa final'!$AB$13="Muy Baja",'Mapa final'!$AD$13="Moderado"),CONCATENATE("R1C",'Mapa final'!$R$13),"")</f>
        <v/>
      </c>
      <c r="Z46" s="47" t="str">
        <f>IF(AND('Mapa final'!$AB$14="Muy Baja",'Mapa final'!$AD$14="Moderado"),CONCATENATE("R1C",'Mapa final'!$R$14),"")</f>
        <v/>
      </c>
      <c r="AA46" s="48" t="str">
        <f>IF(AND('Mapa final'!$AB$15="Muy Baja",'Mapa final'!$AD$15="Moderado"),CONCATENATE("R1C",'Mapa final'!$R$15),"")</f>
        <v/>
      </c>
      <c r="AB46" s="28" t="str">
        <f>IF(AND('Mapa final'!$AB$10="Muy Baja",'Mapa final'!$AD$10="Mayor"),CONCATENATE("R1C",'Mapa final'!$R$10),"")</f>
        <v/>
      </c>
      <c r="AC46" s="29" t="str">
        <f>IF(AND('Mapa final'!$AB$11="Muy Baja",'Mapa final'!$AD$11="Mayor"),CONCATENATE("R1C",'Mapa final'!$R$11),"")</f>
        <v/>
      </c>
      <c r="AD46" s="29" t="str">
        <f>IF(AND('Mapa final'!$AB$12="Muy Baja",'Mapa final'!$AD$12="Mayor"),CONCATENATE("R1C",'Mapa final'!$R$12),"")</f>
        <v/>
      </c>
      <c r="AE46" s="29" t="str">
        <f>IF(AND('Mapa final'!$AB$13="Muy Baja",'Mapa final'!$AD$13="Mayor"),CONCATENATE("R1C",'Mapa final'!$R$13),"")</f>
        <v/>
      </c>
      <c r="AF46" s="29" t="str">
        <f>IF(AND('Mapa final'!$AB$14="Muy Baja",'Mapa final'!$AD$14="Mayor"),CONCATENATE("R1C",'Mapa final'!$R$14),"")</f>
        <v/>
      </c>
      <c r="AG46" s="30" t="str">
        <f>IF(AND('Mapa final'!$AB$15="Muy Baja",'Mapa final'!$AD$15="Mayor"),CONCATENATE("R1C",'Mapa final'!$R$15),"")</f>
        <v/>
      </c>
      <c r="AH46" s="31" t="str">
        <f>IF(AND('Mapa final'!$AB$10="Muy Baja",'Mapa final'!$AD$10="Catastrófico"),CONCATENATE("R1C",'Mapa final'!$R$10),"")</f>
        <v/>
      </c>
      <c r="AI46" s="32" t="str">
        <f>IF(AND('Mapa final'!$AB$11="Muy Baja",'Mapa final'!$AD$11="Catastrófico"),CONCATENATE("R1C",'Mapa final'!$R$11),"")</f>
        <v/>
      </c>
      <c r="AJ46" s="32" t="str">
        <f>IF(AND('Mapa final'!$AB$12="Muy Baja",'Mapa final'!$AD$12="Catastrófico"),CONCATENATE("R1C",'Mapa final'!$R$12),"")</f>
        <v/>
      </c>
      <c r="AK46" s="32" t="str">
        <f>IF(AND('Mapa final'!$AB$13="Muy Baja",'Mapa final'!$AD$13="Catastrófico"),CONCATENATE("R1C",'Mapa final'!$R$13),"")</f>
        <v/>
      </c>
      <c r="AL46" s="32" t="str">
        <f>IF(AND('Mapa final'!$AB$14="Muy Baja",'Mapa final'!$AD$14="Catastrófico"),CONCATENATE("R1C",'Mapa final'!$R$14),"")</f>
        <v/>
      </c>
      <c r="AM46" s="33" t="str">
        <f>IF(AND('Mapa final'!$AB$15="Muy Baja",'Mapa final'!$AD$15="Catastrófico"),CONCATENATE("R1C",'Mapa final'!$R$15),"")</f>
        <v/>
      </c>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row>
    <row r="47" spans="1:80" ht="46.5" customHeight="1" x14ac:dyDescent="0.3">
      <c r="A47" s="65"/>
      <c r="B47" s="581"/>
      <c r="C47" s="581"/>
      <c r="D47" s="582"/>
      <c r="E47" s="678"/>
      <c r="F47" s="679"/>
      <c r="G47" s="679"/>
      <c r="H47" s="679"/>
      <c r="I47" s="695"/>
      <c r="J47" s="58" t="str">
        <f>IF(AND('Mapa final'!$AB$16="Muy Baja",'Mapa final'!$AD$16="Leve"),CONCATENATE("R2C",'Mapa final'!$R$16),"")</f>
        <v/>
      </c>
      <c r="K47" s="59" t="str">
        <f>IF(AND('Mapa final'!$AB$17="Muy Baja",'Mapa final'!$AD$17="Leve"),CONCATENATE("R2C",'Mapa final'!$R$17),"")</f>
        <v/>
      </c>
      <c r="L47" s="59" t="str">
        <f>IF(AND('Mapa final'!$AB$18="Muy Baja",'Mapa final'!$AD$18="Leve"),CONCATENATE("R2C",'Mapa final'!$R$18),"")</f>
        <v/>
      </c>
      <c r="M47" s="59" t="str">
        <f>IF(AND('Mapa final'!$AB$19="Muy Baja",'Mapa final'!$AD$19="Leve"),CONCATENATE("R2C",'Mapa final'!$R$19),"")</f>
        <v/>
      </c>
      <c r="N47" s="59" t="str">
        <f>IF(AND('Mapa final'!$AB$20="Muy Baja",'Mapa final'!$AD$20="Leve"),CONCATENATE("R2C",'Mapa final'!$R$20),"")</f>
        <v/>
      </c>
      <c r="O47" s="60" t="str">
        <f>IF(AND('Mapa final'!$AB$21="Muy Baja",'Mapa final'!$AD$21="Leve"),CONCATENATE("R2C",'Mapa final'!$R$21),"")</f>
        <v/>
      </c>
      <c r="P47" s="58" t="str">
        <f>IF(AND('Mapa final'!$AB$16="Muy Baja",'Mapa final'!$AD$16="Menor"),CONCATENATE("R2C",'Mapa final'!$R$16),"")</f>
        <v/>
      </c>
      <c r="Q47" s="59" t="str">
        <f>IF(AND('Mapa final'!$AB$17="Muy Baja",'Mapa final'!$AD$17="Menor"),CONCATENATE("R2C",'Mapa final'!$R$17),"")</f>
        <v/>
      </c>
      <c r="R47" s="59" t="str">
        <f>IF(AND('Mapa final'!$AB$18="Muy Baja",'Mapa final'!$AD$18="Menor"),CONCATENATE("R2C",'Mapa final'!$R$18),"")</f>
        <v/>
      </c>
      <c r="S47" s="59" t="str">
        <f>IF(AND('Mapa final'!$AB$19="Muy Baja",'Mapa final'!$AD$19="Menor"),CONCATENATE("R2C",'Mapa final'!$R$19),"")</f>
        <v/>
      </c>
      <c r="T47" s="59" t="str">
        <f>IF(AND('Mapa final'!$AB$20="Muy Baja",'Mapa final'!$AD$20="Menor"),CONCATENATE("R2C",'Mapa final'!$R$20),"")</f>
        <v/>
      </c>
      <c r="U47" s="60" t="str">
        <f>IF(AND('Mapa final'!$AB$21="Muy Baja",'Mapa final'!$AD$21="Menor"),CONCATENATE("R2C",'Mapa final'!$R$21),"")</f>
        <v/>
      </c>
      <c r="V47" s="49" t="str">
        <f>IF(AND('Mapa final'!$AB$16="Muy Baja",'Mapa final'!$AD$16="Moderado"),CONCATENATE("R2C",'Mapa final'!$R$16),"")</f>
        <v/>
      </c>
      <c r="W47" s="50" t="str">
        <f>IF(AND('Mapa final'!$AB$17="Muy Baja",'Mapa final'!$AD$17="Moderado"),CONCATENATE("R2C",'Mapa final'!$R$17),"")</f>
        <v/>
      </c>
      <c r="X47" s="50" t="str">
        <f>IF(AND('Mapa final'!$AB$18="Muy Baja",'Mapa final'!$AD$18="Moderado"),CONCATENATE("R2C",'Mapa final'!$R$18),"")</f>
        <v/>
      </c>
      <c r="Y47" s="50" t="str">
        <f>IF(AND('Mapa final'!$AB$19="Muy Baja",'Mapa final'!$AD$19="Moderado"),CONCATENATE("R2C",'Mapa final'!$R$19),"")</f>
        <v/>
      </c>
      <c r="Z47" s="50" t="str">
        <f>IF(AND('Mapa final'!$AB$20="Muy Baja",'Mapa final'!$AD$20="Moderado"),CONCATENATE("R2C",'Mapa final'!$R$20),"")</f>
        <v/>
      </c>
      <c r="AA47" s="51" t="str">
        <f>IF(AND('Mapa final'!$AB$21="Muy Baja",'Mapa final'!$AD$21="Moderado"),CONCATENATE("R2C",'Mapa final'!$R$21),"")</f>
        <v/>
      </c>
      <c r="AB47" s="34" t="str">
        <f>IF(AND('Mapa final'!$AB$16="Muy Baja",'Mapa final'!$AD$16="Mayor"),CONCATENATE("R2C",'Mapa final'!$R$16),"")</f>
        <v/>
      </c>
      <c r="AC47" s="35" t="str">
        <f>IF(AND('Mapa final'!$AB$17="Muy Baja",'Mapa final'!$AD$17="Mayor"),CONCATENATE("R2C",'Mapa final'!$R$17),"")</f>
        <v/>
      </c>
      <c r="AD47" s="35" t="str">
        <f>IF(AND('Mapa final'!$AB$18="Muy Baja",'Mapa final'!$AD$18="Mayor"),CONCATENATE("R2C",'Mapa final'!$R$18),"")</f>
        <v/>
      </c>
      <c r="AE47" s="35" t="str">
        <f>IF(AND('Mapa final'!$AB$19="Muy Baja",'Mapa final'!$AD$19="Mayor"),CONCATENATE("R2C",'Mapa final'!$R$19),"")</f>
        <v/>
      </c>
      <c r="AF47" s="35" t="str">
        <f>IF(AND('Mapa final'!$AB$20="Muy Baja",'Mapa final'!$AD$20="Mayor"),CONCATENATE("R2C",'Mapa final'!$R$20),"")</f>
        <v/>
      </c>
      <c r="AG47" s="36" t="str">
        <f>IF(AND('Mapa final'!$AB$21="Muy Baja",'Mapa final'!$AD$21="Mayor"),CONCATENATE("R2C",'Mapa final'!$R$21),"")</f>
        <v/>
      </c>
      <c r="AH47" s="37" t="str">
        <f>IF(AND('Mapa final'!$AB$16="Muy Baja",'Mapa final'!$AD$16="Catastrófico"),CONCATENATE("R2C",'Mapa final'!$R$16),"")</f>
        <v/>
      </c>
      <c r="AI47" s="38" t="str">
        <f>IF(AND('Mapa final'!$AB$17="Muy Baja",'Mapa final'!$AD$17="Catastrófico"),CONCATENATE("R2C",'Mapa final'!$R$17),"")</f>
        <v/>
      </c>
      <c r="AJ47" s="38" t="str">
        <f>IF(AND('Mapa final'!$AB$18="Muy Baja",'Mapa final'!$AD$18="Catastrófico"),CONCATENATE("R2C",'Mapa final'!$R$18),"")</f>
        <v/>
      </c>
      <c r="AK47" s="38" t="str">
        <f>IF(AND('Mapa final'!$AB$19="Muy Baja",'Mapa final'!$AD$19="Catastrófico"),CONCATENATE("R2C",'Mapa final'!$R$19),"")</f>
        <v/>
      </c>
      <c r="AL47" s="38" t="str">
        <f>IF(AND('Mapa final'!$AB$20="Muy Baja",'Mapa final'!$AD$20="Catastrófico"),CONCATENATE("R2C",'Mapa final'!$R$20),"")</f>
        <v/>
      </c>
      <c r="AM47" s="39" t="str">
        <f>IF(AND('Mapa final'!$AB$21="Muy Baja",'Mapa final'!$AD$21="Catastrófico"),CONCATENATE("R2C",'Mapa final'!$R$21),"")</f>
        <v/>
      </c>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row>
    <row r="48" spans="1:80" ht="15" customHeight="1" x14ac:dyDescent="0.3">
      <c r="A48" s="65"/>
      <c r="B48" s="581"/>
      <c r="C48" s="581"/>
      <c r="D48" s="582"/>
      <c r="E48" s="678"/>
      <c r="F48" s="679"/>
      <c r="G48" s="679"/>
      <c r="H48" s="679"/>
      <c r="I48" s="695"/>
      <c r="J48" s="58" t="str">
        <f>IF(AND('Mapa final'!$AB$22="Muy Baja",'Mapa final'!$AD$22="Leve"),CONCATENATE("R3C",'Mapa final'!$R$22),"")</f>
        <v/>
      </c>
      <c r="K48" s="59" t="str">
        <f>IF(AND('Mapa final'!$AB$23="Muy Baja",'Mapa final'!$AD$23="Leve"),CONCATENATE("R3C",'Mapa final'!$R$23),"")</f>
        <v/>
      </c>
      <c r="L48" s="59" t="str">
        <f>IF(AND('Mapa final'!$AB$24="Muy Baja",'Mapa final'!$AD$24="Leve"),CONCATENATE("R3C",'Mapa final'!$R$24),"")</f>
        <v/>
      </c>
      <c r="M48" s="59" t="str">
        <f>IF(AND('Mapa final'!$AB$25="Muy Baja",'Mapa final'!$AD$25="Leve"),CONCATENATE("R3C",'Mapa final'!$R$25),"")</f>
        <v/>
      </c>
      <c r="N48" s="59" t="str">
        <f>IF(AND('Mapa final'!$AB$26="Muy Baja",'Mapa final'!$AD$26="Leve"),CONCATENATE("R3C",'Mapa final'!$R$26),"")</f>
        <v/>
      </c>
      <c r="O48" s="60" t="str">
        <f>IF(AND('Mapa final'!$AB$27="Muy Baja",'Mapa final'!$AD$27="Leve"),CONCATENATE("R3C",'Mapa final'!$R$27),"")</f>
        <v/>
      </c>
      <c r="P48" s="58" t="str">
        <f>IF(AND('Mapa final'!$AB$22="Muy Baja",'Mapa final'!$AD$22="Menor"),CONCATENATE("R3C",'Mapa final'!$R$22),"")</f>
        <v/>
      </c>
      <c r="Q48" s="59" t="str">
        <f>IF(AND('Mapa final'!$AB$23="Muy Baja",'Mapa final'!$AD$23="Menor"),CONCATENATE("R3C",'Mapa final'!$R$23),"")</f>
        <v/>
      </c>
      <c r="R48" s="59" t="str">
        <f>IF(AND('Mapa final'!$AB$24="Muy Baja",'Mapa final'!$AD$24="Menor"),CONCATENATE("R3C",'Mapa final'!$R$24),"")</f>
        <v/>
      </c>
      <c r="S48" s="59" t="str">
        <f>IF(AND('Mapa final'!$AB$25="Muy Baja",'Mapa final'!$AD$25="Menor"),CONCATENATE("R3C",'Mapa final'!$R$25),"")</f>
        <v/>
      </c>
      <c r="T48" s="59" t="str">
        <f>IF(AND('Mapa final'!$AB$26="Muy Baja",'Mapa final'!$AD$26="Menor"),CONCATENATE("R3C",'Mapa final'!$R$26),"")</f>
        <v/>
      </c>
      <c r="U48" s="60" t="str">
        <f>IF(AND('Mapa final'!$AB$27="Muy Baja",'Mapa final'!$AD$27="Menor"),CONCATENATE("R3C",'Mapa final'!$R$27),"")</f>
        <v/>
      </c>
      <c r="V48" s="49" t="str">
        <f>IF(AND('Mapa final'!$AB$22="Muy Baja",'Mapa final'!$AD$22="Moderado"),CONCATENATE("R3C",'Mapa final'!$R$22),"")</f>
        <v/>
      </c>
      <c r="W48" s="50" t="str">
        <f>IF(AND('Mapa final'!$AB$23="Muy Baja",'Mapa final'!$AD$23="Moderado"),CONCATENATE("R3C",'Mapa final'!$R$23),"")</f>
        <v/>
      </c>
      <c r="X48" s="50" t="str">
        <f>IF(AND('Mapa final'!$AB$24="Muy Baja",'Mapa final'!$AD$24="Moderado"),CONCATENATE("R3C",'Mapa final'!$R$24),"")</f>
        <v/>
      </c>
      <c r="Y48" s="50" t="str">
        <f>IF(AND('Mapa final'!$AB$25="Muy Baja",'Mapa final'!$AD$25="Moderado"),CONCATENATE("R3C",'Mapa final'!$R$25),"")</f>
        <v/>
      </c>
      <c r="Z48" s="50" t="str">
        <f>IF(AND('Mapa final'!$AB$26="Muy Baja",'Mapa final'!$AD$26="Moderado"),CONCATENATE("R3C",'Mapa final'!$R$26),"")</f>
        <v/>
      </c>
      <c r="AA48" s="51" t="str">
        <f>IF(AND('Mapa final'!$AB$27="Muy Baja",'Mapa final'!$AD$27="Moderado"),CONCATENATE("R3C",'Mapa final'!$R$27),"")</f>
        <v/>
      </c>
      <c r="AB48" s="34" t="str">
        <f>IF(AND('Mapa final'!$AB$22="Muy Baja",'Mapa final'!$AD$22="Mayor"),CONCATENATE("R3C",'Mapa final'!$R$22),"")</f>
        <v/>
      </c>
      <c r="AC48" s="35" t="str">
        <f>IF(AND('Mapa final'!$AB$23="Muy Baja",'Mapa final'!$AD$23="Mayor"),CONCATENATE("R3C",'Mapa final'!$R$23),"")</f>
        <v/>
      </c>
      <c r="AD48" s="35" t="str">
        <f>IF(AND('Mapa final'!$AB$24="Muy Baja",'Mapa final'!$AD$24="Mayor"),CONCATENATE("R3C",'Mapa final'!$R$24),"")</f>
        <v/>
      </c>
      <c r="AE48" s="35" t="str">
        <f>IF(AND('Mapa final'!$AB$25="Muy Baja",'Mapa final'!$AD$25="Mayor"),CONCATENATE("R3C",'Mapa final'!$R$25),"")</f>
        <v/>
      </c>
      <c r="AF48" s="35" t="str">
        <f>IF(AND('Mapa final'!$AB$26="Muy Baja",'Mapa final'!$AD$26="Mayor"),CONCATENATE("R3C",'Mapa final'!$R$26),"")</f>
        <v/>
      </c>
      <c r="AG48" s="36" t="str">
        <f>IF(AND('Mapa final'!$AB$27="Muy Baja",'Mapa final'!$AD$27="Mayor"),CONCATENATE("R3C",'Mapa final'!$R$27),"")</f>
        <v/>
      </c>
      <c r="AH48" s="37" t="str">
        <f>IF(AND('Mapa final'!$AB$22="Muy Baja",'Mapa final'!$AD$22="Catastrófico"),CONCATENATE("R3C",'Mapa final'!$R$22),"")</f>
        <v/>
      </c>
      <c r="AI48" s="38" t="str">
        <f>IF(AND('Mapa final'!$AB$23="Muy Baja",'Mapa final'!$AD$23="Catastrófico"),CONCATENATE("R3C",'Mapa final'!$R$23),"")</f>
        <v/>
      </c>
      <c r="AJ48" s="38" t="str">
        <f>IF(AND('Mapa final'!$AB$24="Muy Baja",'Mapa final'!$AD$24="Catastrófico"),CONCATENATE("R3C",'Mapa final'!$R$24),"")</f>
        <v/>
      </c>
      <c r="AK48" s="38" t="str">
        <f>IF(AND('Mapa final'!$AB$25="Muy Baja",'Mapa final'!$AD$25="Catastrófico"),CONCATENATE("R3C",'Mapa final'!$R$25),"")</f>
        <v/>
      </c>
      <c r="AL48" s="38" t="str">
        <f>IF(AND('Mapa final'!$AB$26="Muy Baja",'Mapa final'!$AD$26="Catastrófico"),CONCATENATE("R3C",'Mapa final'!$R$26),"")</f>
        <v/>
      </c>
      <c r="AM48" s="39" t="str">
        <f>IF(AND('Mapa final'!$AB$27="Muy Baja",'Mapa final'!$AD$27="Catastrófico"),CONCATENATE("R3C",'Mapa final'!$R$27),"")</f>
        <v/>
      </c>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row>
    <row r="49" spans="1:80" ht="15" customHeight="1" x14ac:dyDescent="0.3">
      <c r="A49" s="65"/>
      <c r="B49" s="581"/>
      <c r="C49" s="581"/>
      <c r="D49" s="582"/>
      <c r="E49" s="680"/>
      <c r="F49" s="679"/>
      <c r="G49" s="679"/>
      <c r="H49" s="679"/>
      <c r="I49" s="695"/>
      <c r="J49" s="58" t="str">
        <f>IF(AND('Mapa final'!$AB$28="Muy Baja",'Mapa final'!$AD$28="Leve"),CONCATENATE("R4C",'Mapa final'!$R$28),"")</f>
        <v>R4C1</v>
      </c>
      <c r="K49" s="59" t="e">
        <f>IF(AND('Mapa final'!#REF!="Muy Baja",'Mapa final'!#REF!="Leve"),CONCATENATE("R4C",'Mapa final'!#REF!),"")</f>
        <v>#REF!</v>
      </c>
      <c r="L49" s="59" t="str">
        <f>IF(AND('Mapa final'!$AB$29="Muy Baja",'Mapa final'!$AD$29="Leve"),CONCATENATE("R4C",'Mapa final'!$R$29),"")</f>
        <v/>
      </c>
      <c r="M49" s="59" t="str">
        <f>IF(AND('Mapa final'!$AB$30="Muy Baja",'Mapa final'!$AD$30="Leve"),CONCATENATE("R4C",'Mapa final'!$R$30),"")</f>
        <v/>
      </c>
      <c r="N49" s="59" t="str">
        <f>IF(AND('Mapa final'!$AB$31="Muy Baja",'Mapa final'!$AD$31="Leve"),CONCATENATE("R4C",'Mapa final'!$R$31),"")</f>
        <v/>
      </c>
      <c r="O49" s="60" t="str">
        <f>IF(AND('Mapa final'!$AB$32="Muy Baja",'Mapa final'!$AD$32="Leve"),CONCATENATE("R4C",'Mapa final'!$R$32),"")</f>
        <v/>
      </c>
      <c r="P49" s="58" t="str">
        <f>IF(AND('Mapa final'!$AB$28="Muy Baja",'Mapa final'!$AD$28="Menor"),CONCATENATE("R4C",'Mapa final'!$R$28),"")</f>
        <v/>
      </c>
      <c r="Q49" s="59" t="e">
        <f>IF(AND('Mapa final'!#REF!="Muy Baja",'Mapa final'!#REF!="Menor"),CONCATENATE("R4C",'Mapa final'!#REF!),"")</f>
        <v>#REF!</v>
      </c>
      <c r="R49" s="59" t="str">
        <f>IF(AND('Mapa final'!$AB$29="Muy Baja",'Mapa final'!$AD$29="Menor"),CONCATENATE("R4C",'Mapa final'!$R$29),"")</f>
        <v/>
      </c>
      <c r="S49" s="59" t="str">
        <f>IF(AND('Mapa final'!$AB$30="Muy Baja",'Mapa final'!$AD$30="Menor"),CONCATENATE("R4C",'Mapa final'!$R$30),"")</f>
        <v/>
      </c>
      <c r="T49" s="59" t="str">
        <f>IF(AND('Mapa final'!$AB$31="Muy Baja",'Mapa final'!$AD$31="Menor"),CONCATENATE("R4C",'Mapa final'!$R$31),"")</f>
        <v/>
      </c>
      <c r="U49" s="60" t="str">
        <f>IF(AND('Mapa final'!$AB$32="Muy Baja",'Mapa final'!$AD$32="Menor"),CONCATENATE("R4C",'Mapa final'!$R$32),"")</f>
        <v/>
      </c>
      <c r="V49" s="49" t="str">
        <f>IF(AND('Mapa final'!$AB$28="Muy Baja",'Mapa final'!$AD$28="Moderado"),CONCATENATE("R4C",'Mapa final'!$R$28),"")</f>
        <v/>
      </c>
      <c r="W49" s="50" t="e">
        <f>IF(AND('Mapa final'!#REF!="Muy Baja",'Mapa final'!#REF!="Moderado"),CONCATENATE("R4C",'Mapa final'!#REF!),"")</f>
        <v>#REF!</v>
      </c>
      <c r="X49" s="50" t="str">
        <f>IF(AND('Mapa final'!$AB$29="Muy Baja",'Mapa final'!$AD$29="Moderado"),CONCATENATE("R4C",'Mapa final'!$R$29),"")</f>
        <v/>
      </c>
      <c r="Y49" s="50" t="str">
        <f>IF(AND('Mapa final'!$AB$30="Muy Baja",'Mapa final'!$AD$30="Moderado"),CONCATENATE("R4C",'Mapa final'!$R$30),"")</f>
        <v/>
      </c>
      <c r="Z49" s="50" t="str">
        <f>IF(AND('Mapa final'!$AB$31="Muy Baja",'Mapa final'!$AD$31="Moderado"),CONCATENATE("R4C",'Mapa final'!$R$31),"")</f>
        <v/>
      </c>
      <c r="AA49" s="51" t="str">
        <f>IF(AND('Mapa final'!$AB$32="Muy Baja",'Mapa final'!$AD$32="Moderado"),CONCATENATE("R4C",'Mapa final'!$R$32),"")</f>
        <v/>
      </c>
      <c r="AB49" s="34" t="str">
        <f>IF(AND('Mapa final'!$AB$28="Muy Baja",'Mapa final'!$AD$28="Mayor"),CONCATENATE("R4C",'Mapa final'!$R$28),"")</f>
        <v/>
      </c>
      <c r="AC49" s="35" t="e">
        <f>IF(AND('Mapa final'!#REF!="Muy Baja",'Mapa final'!#REF!="Mayor"),CONCATENATE("R4C",'Mapa final'!#REF!),"")</f>
        <v>#REF!</v>
      </c>
      <c r="AD49" s="35" t="str">
        <f>IF(AND('Mapa final'!$AB$29="Muy Baja",'Mapa final'!$AD$29="Mayor"),CONCATENATE("R4C",'Mapa final'!$R$29),"")</f>
        <v/>
      </c>
      <c r="AE49" s="35" t="str">
        <f>IF(AND('Mapa final'!$AB$30="Muy Baja",'Mapa final'!$AD$30="Mayor"),CONCATENATE("R4C",'Mapa final'!$R$30),"")</f>
        <v/>
      </c>
      <c r="AF49" s="35" t="str">
        <f>IF(AND('Mapa final'!$AB$31="Muy Baja",'Mapa final'!$AD$31="Mayor"),CONCATENATE("R4C",'Mapa final'!$R$31),"")</f>
        <v/>
      </c>
      <c r="AG49" s="36" t="str">
        <f>IF(AND('Mapa final'!$AB$32="Muy Baja",'Mapa final'!$AD$32="Mayor"),CONCATENATE("R4C",'Mapa final'!$R$32),"")</f>
        <v/>
      </c>
      <c r="AH49" s="37" t="str">
        <f>IF(AND('Mapa final'!$AB$28="Muy Baja",'Mapa final'!$AD$28="Catastrófico"),CONCATENATE("R4C",'Mapa final'!$R$28),"")</f>
        <v/>
      </c>
      <c r="AI49" s="38" t="e">
        <f>IF(AND('Mapa final'!#REF!="Muy Baja",'Mapa final'!#REF!="Catastrófico"),CONCATENATE("R4C",'Mapa final'!#REF!),"")</f>
        <v>#REF!</v>
      </c>
      <c r="AJ49" s="38" t="str">
        <f>IF(AND('Mapa final'!$AB$29="Muy Baja",'Mapa final'!$AD$29="Catastrófico"),CONCATENATE("R4C",'Mapa final'!$R$29),"")</f>
        <v/>
      </c>
      <c r="AK49" s="38" t="str">
        <f>IF(AND('Mapa final'!$AB$30="Muy Baja",'Mapa final'!$AD$30="Catastrófico"),CONCATENATE("R4C",'Mapa final'!$R$30),"")</f>
        <v/>
      </c>
      <c r="AL49" s="38" t="str">
        <f>IF(AND('Mapa final'!$AB$31="Muy Baja",'Mapa final'!$AD$31="Catastrófico"),CONCATENATE("R4C",'Mapa final'!$R$31),"")</f>
        <v/>
      </c>
      <c r="AM49" s="39" t="str">
        <f>IF(AND('Mapa final'!$AB$32="Muy Baja",'Mapa final'!$AD$32="Catastrófico"),CONCATENATE("R4C",'Mapa final'!$R$32),"")</f>
        <v/>
      </c>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row>
    <row r="50" spans="1:80" ht="15" customHeight="1" x14ac:dyDescent="0.3">
      <c r="A50" s="65"/>
      <c r="B50" s="581"/>
      <c r="C50" s="581"/>
      <c r="D50" s="582"/>
      <c r="E50" s="680"/>
      <c r="F50" s="679"/>
      <c r="G50" s="679"/>
      <c r="H50" s="679"/>
      <c r="I50" s="695"/>
      <c r="J50" s="58" t="str">
        <f>IF(AND('Mapa final'!$AB$33="Muy Baja",'Mapa final'!$AD$33="Leve"),CONCATENATE("R5C",'Mapa final'!$R$33),"")</f>
        <v/>
      </c>
      <c r="K50" s="59" t="str">
        <f>IF(AND('Mapa final'!$AB$34="Muy Baja",'Mapa final'!$AD$34="Leve"),CONCATENATE("R5C",'Mapa final'!$R$34),"")</f>
        <v/>
      </c>
      <c r="L50" s="59" t="str">
        <f>IF(AND('Mapa final'!$AB$35="Muy Baja",'Mapa final'!$AD$35="Leve"),CONCATENATE("R5C",'Mapa final'!$R$35),"")</f>
        <v/>
      </c>
      <c r="M50" s="59" t="str">
        <f>IF(AND('Mapa final'!$AB$36="Muy Baja",'Mapa final'!$AD$36="Leve"),CONCATENATE("R5C",'Mapa final'!$R$36),"")</f>
        <v/>
      </c>
      <c r="N50" s="59" t="str">
        <f>IF(AND('Mapa final'!$AB$37="Muy Baja",'Mapa final'!$AD$37="Leve"),CONCATENATE("R5C",'Mapa final'!$R$37),"")</f>
        <v/>
      </c>
      <c r="O50" s="60" t="str">
        <f>IF(AND('Mapa final'!$AB$38="Muy Baja",'Mapa final'!$AD$38="Leve"),CONCATENATE("R5C",'Mapa final'!$R$38),"")</f>
        <v/>
      </c>
      <c r="P50" s="58" t="str">
        <f>IF(AND('Mapa final'!$AB$33="Muy Baja",'Mapa final'!$AD$33="Menor"),CONCATENATE("R5C",'Mapa final'!$R$33),"")</f>
        <v/>
      </c>
      <c r="Q50" s="59" t="str">
        <f>IF(AND('Mapa final'!$AB$34="Muy Baja",'Mapa final'!$AD$34="Menor"),CONCATENATE("R5C",'Mapa final'!$R$34),"")</f>
        <v/>
      </c>
      <c r="R50" s="59" t="str">
        <f>IF(AND('Mapa final'!$AB$35="Muy Baja",'Mapa final'!$AD$35="Menor"),CONCATENATE("R5C",'Mapa final'!$R$35),"")</f>
        <v/>
      </c>
      <c r="S50" s="59" t="str">
        <f>IF(AND('Mapa final'!$AB$36="Muy Baja",'Mapa final'!$AD$36="Menor"),CONCATENATE("R5C",'Mapa final'!$R$36),"")</f>
        <v/>
      </c>
      <c r="T50" s="59" t="str">
        <f>IF(AND('Mapa final'!$AB$37="Muy Baja",'Mapa final'!$AD$37="Menor"),CONCATENATE("R5C",'Mapa final'!$R$37),"")</f>
        <v/>
      </c>
      <c r="U50" s="60" t="str">
        <f>IF(AND('Mapa final'!$AB$38="Muy Baja",'Mapa final'!$AD$38="Menor"),CONCATENATE("R5C",'Mapa final'!$R$38),"")</f>
        <v/>
      </c>
      <c r="V50" s="49" t="str">
        <f>IF(AND('Mapa final'!$AB$33="Muy Baja",'Mapa final'!$AD$33="Moderado"),CONCATENATE("R5C",'Mapa final'!$R$33),"")</f>
        <v/>
      </c>
      <c r="W50" s="50" t="str">
        <f>IF(AND('Mapa final'!$AB$34="Muy Baja",'Mapa final'!$AD$34="Moderado"),CONCATENATE("R5C",'Mapa final'!$R$34),"")</f>
        <v/>
      </c>
      <c r="X50" s="50" t="str">
        <f>IF(AND('Mapa final'!$AB$35="Muy Baja",'Mapa final'!$AD$35="Moderado"),CONCATENATE("R5C",'Mapa final'!$R$35),"")</f>
        <v/>
      </c>
      <c r="Y50" s="50" t="str">
        <f>IF(AND('Mapa final'!$AB$36="Muy Baja",'Mapa final'!$AD$36="Moderado"),CONCATENATE("R5C",'Mapa final'!$R$36),"")</f>
        <v/>
      </c>
      <c r="Z50" s="50" t="str">
        <f>IF(AND('Mapa final'!$AB$37="Muy Baja",'Mapa final'!$AD$37="Moderado"),CONCATENATE("R5C",'Mapa final'!$R$37),"")</f>
        <v/>
      </c>
      <c r="AA50" s="51" t="str">
        <f>IF(AND('Mapa final'!$AB$38="Muy Baja",'Mapa final'!$AD$38="Moderado"),CONCATENATE("R5C",'Mapa final'!$R$38),"")</f>
        <v/>
      </c>
      <c r="AB50" s="34" t="str">
        <f>IF(AND('Mapa final'!$AB$33="Muy Baja",'Mapa final'!$AD$33="Mayor"),CONCATENATE("R5C",'Mapa final'!$R$33),"")</f>
        <v/>
      </c>
      <c r="AC50" s="35" t="str">
        <f>IF(AND('Mapa final'!$AB$34="Muy Baja",'Mapa final'!$AD$34="Mayor"),CONCATENATE("R5C",'Mapa final'!$R$34),"")</f>
        <v/>
      </c>
      <c r="AD50" s="35" t="str">
        <f>IF(AND('Mapa final'!$AB$35="Muy Baja",'Mapa final'!$AD$35="Mayor"),CONCATENATE("R5C",'Mapa final'!$R$35),"")</f>
        <v/>
      </c>
      <c r="AE50" s="35" t="str">
        <f>IF(AND('Mapa final'!$AB$36="Muy Baja",'Mapa final'!$AD$36="Mayor"),CONCATENATE("R5C",'Mapa final'!$R$36),"")</f>
        <v/>
      </c>
      <c r="AF50" s="35" t="str">
        <f>IF(AND('Mapa final'!$AB$37="Muy Baja",'Mapa final'!$AD$37="Mayor"),CONCATENATE("R5C",'Mapa final'!$R$37),"")</f>
        <v/>
      </c>
      <c r="AG50" s="36" t="str">
        <f>IF(AND('Mapa final'!$AB$38="Muy Baja",'Mapa final'!$AD$38="Mayor"),CONCATENATE("R5C",'Mapa final'!$R$38),"")</f>
        <v/>
      </c>
      <c r="AH50" s="37" t="str">
        <f>IF(AND('Mapa final'!$AB$33="Muy Baja",'Mapa final'!$AD$33="Catastrófico"),CONCATENATE("R5C",'Mapa final'!$R$33),"")</f>
        <v/>
      </c>
      <c r="AI50" s="38" t="str">
        <f>IF(AND('Mapa final'!$AB$34="Muy Baja",'Mapa final'!$AD$34="Catastrófico"),CONCATENATE("R5C",'Mapa final'!$R$34),"")</f>
        <v/>
      </c>
      <c r="AJ50" s="38" t="str">
        <f>IF(AND('Mapa final'!$AB$35="Muy Baja",'Mapa final'!$AD$35="Catastrófico"),CONCATENATE("R5C",'Mapa final'!$R$35),"")</f>
        <v/>
      </c>
      <c r="AK50" s="38" t="str">
        <f>IF(AND('Mapa final'!$AB$36="Muy Baja",'Mapa final'!$AD$36="Catastrófico"),CONCATENATE("R5C",'Mapa final'!$R$36),"")</f>
        <v/>
      </c>
      <c r="AL50" s="38" t="str">
        <f>IF(AND('Mapa final'!$AB$37="Muy Baja",'Mapa final'!$AD$37="Catastrófico"),CONCATENATE("R5C",'Mapa final'!$R$37),"")</f>
        <v/>
      </c>
      <c r="AM50" s="39" t="str">
        <f>IF(AND('Mapa final'!$AB$38="Muy Baja",'Mapa final'!$AD$38="Catastrófico"),CONCATENATE("R5C",'Mapa final'!$R$38),"")</f>
        <v/>
      </c>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row>
    <row r="51" spans="1:80" ht="15" customHeight="1" x14ac:dyDescent="0.3">
      <c r="A51" s="65"/>
      <c r="B51" s="581"/>
      <c r="C51" s="581"/>
      <c r="D51" s="582"/>
      <c r="E51" s="680"/>
      <c r="F51" s="679"/>
      <c r="G51" s="679"/>
      <c r="H51" s="679"/>
      <c r="I51" s="695"/>
      <c r="J51" s="58" t="str">
        <f>IF(AND('Mapa final'!$AB$39="Muy Baja",'Mapa final'!$AD$39="Leve"),CONCATENATE("R6C",'Mapa final'!$R$39),"")</f>
        <v/>
      </c>
      <c r="K51" s="59" t="str">
        <f>IF(AND('Mapa final'!$AB$40="Muy Baja",'Mapa final'!$AD$40="Leve"),CONCATENATE("R6C",'Mapa final'!$R$40),"")</f>
        <v/>
      </c>
      <c r="L51" s="59" t="str">
        <f>IF(AND('Mapa final'!$AB$41="Muy Baja",'Mapa final'!$AD$41="Leve"),CONCATENATE("R6C",'Mapa final'!$R$41),"")</f>
        <v/>
      </c>
      <c r="M51" s="59" t="str">
        <f>IF(AND('Mapa final'!$AB$42="Muy Baja",'Mapa final'!$AD$42="Leve"),CONCATENATE("R6C",'Mapa final'!$R$42),"")</f>
        <v/>
      </c>
      <c r="N51" s="59" t="str">
        <f>IF(AND('Mapa final'!$AB$43="Muy Baja",'Mapa final'!$AD$43="Leve"),CONCATENATE("R6C",'Mapa final'!$R$43),"")</f>
        <v/>
      </c>
      <c r="O51" s="60" t="str">
        <f>IF(AND('Mapa final'!$AB$44="Muy Baja",'Mapa final'!$AD$44="Leve"),CONCATENATE("R6C",'Mapa final'!$R$44),"")</f>
        <v/>
      </c>
      <c r="P51" s="58" t="str">
        <f>IF(AND('Mapa final'!$AB$39="Muy Baja",'Mapa final'!$AD$39="Menor"),CONCATENATE("R6C",'Mapa final'!$R$39),"")</f>
        <v/>
      </c>
      <c r="Q51" s="59" t="str">
        <f>IF(AND('Mapa final'!$AB$40="Muy Baja",'Mapa final'!$AD$40="Menor"),CONCATENATE("R6C",'Mapa final'!$R$40),"")</f>
        <v/>
      </c>
      <c r="R51" s="59" t="str">
        <f>IF(AND('Mapa final'!$AB$41="Muy Baja",'Mapa final'!$AD$41="Menor"),CONCATENATE("R6C",'Mapa final'!$R$41),"")</f>
        <v/>
      </c>
      <c r="S51" s="59" t="str">
        <f>IF(AND('Mapa final'!$AB$42="Muy Baja",'Mapa final'!$AD$42="Menor"),CONCATENATE("R6C",'Mapa final'!$R$42),"")</f>
        <v/>
      </c>
      <c r="T51" s="59" t="str">
        <f>IF(AND('Mapa final'!$AB$43="Muy Baja",'Mapa final'!$AD$43="Menor"),CONCATENATE("R6C",'Mapa final'!$R$43),"")</f>
        <v/>
      </c>
      <c r="U51" s="60" t="str">
        <f>IF(AND('Mapa final'!$AB$44="Muy Baja",'Mapa final'!$AD$44="Menor"),CONCATENATE("R6C",'Mapa final'!$R$44),"")</f>
        <v/>
      </c>
      <c r="V51" s="49" t="str">
        <f>IF(AND('Mapa final'!$AB$39="Muy Baja",'Mapa final'!$AD$39="Moderado"),CONCATENATE("R6C",'Mapa final'!$R$39),"")</f>
        <v/>
      </c>
      <c r="W51" s="50" t="str">
        <f>IF(AND('Mapa final'!$AB$40="Muy Baja",'Mapa final'!$AD$40="Moderado"),CONCATENATE("R6C",'Mapa final'!$R$40),"")</f>
        <v/>
      </c>
      <c r="X51" s="50" t="str">
        <f>IF(AND('Mapa final'!$AB$41="Muy Baja",'Mapa final'!$AD$41="Moderado"),CONCATENATE("R6C",'Mapa final'!$R$41),"")</f>
        <v/>
      </c>
      <c r="Y51" s="50" t="str">
        <f>IF(AND('Mapa final'!$AB$42="Muy Baja",'Mapa final'!$AD$42="Moderado"),CONCATENATE("R6C",'Mapa final'!$R$42),"")</f>
        <v/>
      </c>
      <c r="Z51" s="50" t="str">
        <f>IF(AND('Mapa final'!$AB$43="Muy Baja",'Mapa final'!$AD$43="Moderado"),CONCATENATE("R6C",'Mapa final'!$R$43),"")</f>
        <v/>
      </c>
      <c r="AA51" s="51" t="str">
        <f>IF(AND('Mapa final'!$AB$44="Muy Baja",'Mapa final'!$AD$44="Moderado"),CONCATENATE("R6C",'Mapa final'!$R$44),"")</f>
        <v/>
      </c>
      <c r="AB51" s="34" t="str">
        <f>IF(AND('Mapa final'!$AB$39="Muy Baja",'Mapa final'!$AD$39="Mayor"),CONCATENATE("R6C",'Mapa final'!$R$39),"")</f>
        <v/>
      </c>
      <c r="AC51" s="35" t="str">
        <f>IF(AND('Mapa final'!$AB$40="Muy Baja",'Mapa final'!$AD$40="Mayor"),CONCATENATE("R6C",'Mapa final'!$R$40),"")</f>
        <v/>
      </c>
      <c r="AD51" s="35" t="str">
        <f>IF(AND('Mapa final'!$AB$41="Muy Baja",'Mapa final'!$AD$41="Mayor"),CONCATENATE("R6C",'Mapa final'!$R$41),"")</f>
        <v/>
      </c>
      <c r="AE51" s="35" t="str">
        <f>IF(AND('Mapa final'!$AB$42="Muy Baja",'Mapa final'!$AD$42="Mayor"),CONCATENATE("R6C",'Mapa final'!$R$42),"")</f>
        <v/>
      </c>
      <c r="AF51" s="35" t="str">
        <f>IF(AND('Mapa final'!$AB$43="Muy Baja",'Mapa final'!$AD$43="Mayor"),CONCATENATE("R6C",'Mapa final'!$R$43),"")</f>
        <v/>
      </c>
      <c r="AG51" s="36" t="str">
        <f>IF(AND('Mapa final'!$AB$44="Muy Baja",'Mapa final'!$AD$44="Mayor"),CONCATENATE("R6C",'Mapa final'!$R$44),"")</f>
        <v/>
      </c>
      <c r="AH51" s="37" t="str">
        <f>IF(AND('Mapa final'!$AB$39="Muy Baja",'Mapa final'!$AD$39="Catastrófico"),CONCATENATE("R6C",'Mapa final'!$R$39),"")</f>
        <v/>
      </c>
      <c r="AI51" s="38" t="str">
        <f>IF(AND('Mapa final'!$AB$40="Muy Baja",'Mapa final'!$AD$40="Catastrófico"),CONCATENATE("R6C",'Mapa final'!$R$40),"")</f>
        <v/>
      </c>
      <c r="AJ51" s="38" t="str">
        <f>IF(AND('Mapa final'!$AB$41="Muy Baja",'Mapa final'!$AD$41="Catastrófico"),CONCATENATE("R6C",'Mapa final'!$R$41),"")</f>
        <v/>
      </c>
      <c r="AK51" s="38" t="str">
        <f>IF(AND('Mapa final'!$AB$42="Muy Baja",'Mapa final'!$AD$42="Catastrófico"),CONCATENATE("R6C",'Mapa final'!$R$42),"")</f>
        <v/>
      </c>
      <c r="AL51" s="38" t="str">
        <f>IF(AND('Mapa final'!$AB$43="Muy Baja",'Mapa final'!$AD$43="Catastrófico"),CONCATENATE("R6C",'Mapa final'!$R$43),"")</f>
        <v/>
      </c>
      <c r="AM51" s="39" t="str">
        <f>IF(AND('Mapa final'!$AB$44="Muy Baja",'Mapa final'!$AD$44="Catastrófico"),CONCATENATE("R6C",'Mapa final'!$R$44),"")</f>
        <v/>
      </c>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row>
    <row r="52" spans="1:80" ht="15" customHeight="1" x14ac:dyDescent="0.3">
      <c r="A52" s="65"/>
      <c r="B52" s="581"/>
      <c r="C52" s="581"/>
      <c r="D52" s="582"/>
      <c r="E52" s="680"/>
      <c r="F52" s="679"/>
      <c r="G52" s="679"/>
      <c r="H52" s="679"/>
      <c r="I52" s="695"/>
      <c r="J52" s="58" t="str">
        <f>IF(AND('Mapa final'!$AB$45="Muy Baja",'Mapa final'!$AD$45="Leve"),CONCATENATE("R7C",'Mapa final'!$R$45),"")</f>
        <v/>
      </c>
      <c r="K52" s="59" t="str">
        <f>IF(AND('Mapa final'!$AB$46="Muy Baja",'Mapa final'!$AD$46="Leve"),CONCATENATE("R7C",'Mapa final'!$R$46),"")</f>
        <v/>
      </c>
      <c r="L52" s="59" t="str">
        <f>IF(AND('Mapa final'!$AB$47="Muy Baja",'Mapa final'!$AD$47="Leve"),CONCATENATE("R7C",'Mapa final'!$R$47),"")</f>
        <v/>
      </c>
      <c r="M52" s="59" t="str">
        <f>IF(AND('Mapa final'!$AB$48="Muy Baja",'Mapa final'!$AD$48="Leve"),CONCATENATE("R7C",'Mapa final'!$R$48),"")</f>
        <v/>
      </c>
      <c r="N52" s="59" t="str">
        <f>IF(AND('Mapa final'!$AB$49="Muy Baja",'Mapa final'!$AD$49="Leve"),CONCATENATE("R7C",'Mapa final'!$R$49),"")</f>
        <v/>
      </c>
      <c r="O52" s="60" t="str">
        <f>IF(AND('Mapa final'!$AB$50="Muy Baja",'Mapa final'!$AD$50="Leve"),CONCATENATE("R7C",'Mapa final'!$R$50),"")</f>
        <v/>
      </c>
      <c r="P52" s="58" t="str">
        <f>IF(AND('Mapa final'!$AB$45="Muy Baja",'Mapa final'!$AD$45="Menor"),CONCATENATE("R7C",'Mapa final'!$R$45),"")</f>
        <v/>
      </c>
      <c r="Q52" s="59" t="str">
        <f>IF(AND('Mapa final'!$AB$46="Muy Baja",'Mapa final'!$AD$46="Menor"),CONCATENATE("R7C",'Mapa final'!$R$46),"")</f>
        <v/>
      </c>
      <c r="R52" s="59" t="str">
        <f>IF(AND('Mapa final'!$AB$47="Muy Baja",'Mapa final'!$AD$47="Menor"),CONCATENATE("R7C",'Mapa final'!$R$47),"")</f>
        <v/>
      </c>
      <c r="S52" s="59" t="str">
        <f>IF(AND('Mapa final'!$AB$48="Muy Baja",'Mapa final'!$AD$48="Menor"),CONCATENATE("R7C",'Mapa final'!$R$48),"")</f>
        <v/>
      </c>
      <c r="T52" s="59" t="str">
        <f>IF(AND('Mapa final'!$AB$49="Muy Baja",'Mapa final'!$AD$49="Menor"),CONCATENATE("R7C",'Mapa final'!$R$49),"")</f>
        <v/>
      </c>
      <c r="U52" s="60" t="str">
        <f>IF(AND('Mapa final'!$AB$50="Muy Baja",'Mapa final'!$AD$50="Menor"),CONCATENATE("R7C",'Mapa final'!$R$50),"")</f>
        <v/>
      </c>
      <c r="V52" s="49" t="str">
        <f>IF(AND('Mapa final'!$AB$45="Muy Baja",'Mapa final'!$AD$45="Moderado"),CONCATENATE("R7C",'Mapa final'!$R$45),"")</f>
        <v/>
      </c>
      <c r="W52" s="50" t="str">
        <f>IF(AND('Mapa final'!$AB$46="Muy Baja",'Mapa final'!$AD$46="Moderado"),CONCATENATE("R7C",'Mapa final'!$R$46),"")</f>
        <v/>
      </c>
      <c r="X52" s="50" t="str">
        <f>IF(AND('Mapa final'!$AB$47="Muy Baja",'Mapa final'!$AD$47="Moderado"),CONCATENATE("R7C",'Mapa final'!$R$47),"")</f>
        <v/>
      </c>
      <c r="Y52" s="50" t="str">
        <f>IF(AND('Mapa final'!$AB$48="Muy Baja",'Mapa final'!$AD$48="Moderado"),CONCATENATE("R7C",'Mapa final'!$R$48),"")</f>
        <v/>
      </c>
      <c r="Z52" s="50" t="str">
        <f>IF(AND('Mapa final'!$AB$49="Muy Baja",'Mapa final'!$AD$49="Moderado"),CONCATENATE("R7C",'Mapa final'!$R$49),"")</f>
        <v/>
      </c>
      <c r="AA52" s="51" t="str">
        <f>IF(AND('Mapa final'!$AB$50="Muy Baja",'Mapa final'!$AD$50="Moderado"),CONCATENATE("R7C",'Mapa final'!$R$50),"")</f>
        <v/>
      </c>
      <c r="AB52" s="34" t="str">
        <f>IF(AND('Mapa final'!$AB$45="Muy Baja",'Mapa final'!$AD$45="Mayor"),CONCATENATE("R7C",'Mapa final'!$R$45),"")</f>
        <v/>
      </c>
      <c r="AC52" s="35" t="str">
        <f>IF(AND('Mapa final'!$AB$46="Muy Baja",'Mapa final'!$AD$46="Mayor"),CONCATENATE("R7C",'Mapa final'!$R$46),"")</f>
        <v/>
      </c>
      <c r="AD52" s="35" t="str">
        <f>IF(AND('Mapa final'!$AB$47="Muy Baja",'Mapa final'!$AD$47="Mayor"),CONCATENATE("R7C",'Mapa final'!$R$47),"")</f>
        <v/>
      </c>
      <c r="AE52" s="35" t="str">
        <f>IF(AND('Mapa final'!$AB$48="Muy Baja",'Mapa final'!$AD$48="Mayor"),CONCATENATE("R7C",'Mapa final'!$R$48),"")</f>
        <v/>
      </c>
      <c r="AF52" s="35" t="str">
        <f>IF(AND('Mapa final'!$AB$49="Muy Baja",'Mapa final'!$AD$49="Mayor"),CONCATENATE("R7C",'Mapa final'!$R$49),"")</f>
        <v/>
      </c>
      <c r="AG52" s="36" t="str">
        <f>IF(AND('Mapa final'!$AB$50="Muy Baja",'Mapa final'!$AD$50="Mayor"),CONCATENATE("R7C",'Mapa final'!$R$50),"")</f>
        <v/>
      </c>
      <c r="AH52" s="37" t="str">
        <f>IF(AND('Mapa final'!$AB$45="Muy Baja",'Mapa final'!$AD$45="Catastrófico"),CONCATENATE("R7C",'Mapa final'!$R$45),"")</f>
        <v/>
      </c>
      <c r="AI52" s="38" t="str">
        <f>IF(AND('Mapa final'!$AB$46="Muy Baja",'Mapa final'!$AD$46="Catastrófico"),CONCATENATE("R7C",'Mapa final'!$R$46),"")</f>
        <v/>
      </c>
      <c r="AJ52" s="38" t="str">
        <f>IF(AND('Mapa final'!$AB$47="Muy Baja",'Mapa final'!$AD$47="Catastrófico"),CONCATENATE("R7C",'Mapa final'!$R$47),"")</f>
        <v/>
      </c>
      <c r="AK52" s="38" t="str">
        <f>IF(AND('Mapa final'!$AB$48="Muy Baja",'Mapa final'!$AD$48="Catastrófico"),CONCATENATE("R7C",'Mapa final'!$R$48),"")</f>
        <v/>
      </c>
      <c r="AL52" s="38" t="str">
        <f>IF(AND('Mapa final'!$AB$49="Muy Baja",'Mapa final'!$AD$49="Catastrófico"),CONCATENATE("R7C",'Mapa final'!$R$49),"")</f>
        <v/>
      </c>
      <c r="AM52" s="39" t="str">
        <f>IF(AND('Mapa final'!$AB$50="Muy Baja",'Mapa final'!$AD$50="Catastrófico"),CONCATENATE("R7C",'Mapa final'!$R$50),"")</f>
        <v/>
      </c>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row>
    <row r="53" spans="1:80" ht="15" customHeight="1" x14ac:dyDescent="0.3">
      <c r="A53" s="65"/>
      <c r="B53" s="581"/>
      <c r="C53" s="581"/>
      <c r="D53" s="582"/>
      <c r="E53" s="680"/>
      <c r="F53" s="679"/>
      <c r="G53" s="679"/>
      <c r="H53" s="679"/>
      <c r="I53" s="695"/>
      <c r="J53" s="58" t="str">
        <f>IF(AND('Mapa final'!$AB$51="Muy Baja",'Mapa final'!$AD$51="Leve"),CONCATENATE("R8C",'Mapa final'!$R$51),"")</f>
        <v/>
      </c>
      <c r="K53" s="59" t="str">
        <f>IF(AND('Mapa final'!$AB$52="Muy Baja",'Mapa final'!$AD$52="Leve"),CONCATENATE("R8C",'Mapa final'!$R$52),"")</f>
        <v/>
      </c>
      <c r="L53" s="59" t="str">
        <f>IF(AND('Mapa final'!$AB$53="Muy Baja",'Mapa final'!$AD$53="Leve"),CONCATENATE("R8C",'Mapa final'!$R$53),"")</f>
        <v/>
      </c>
      <c r="M53" s="59" t="str">
        <f>IF(AND('Mapa final'!$AB$54="Muy Baja",'Mapa final'!$AD$54="Leve"),CONCATENATE("R8C",'Mapa final'!$R$54),"")</f>
        <v/>
      </c>
      <c r="N53" s="59" t="str">
        <f>IF(AND('Mapa final'!$AB$55="Muy Baja",'Mapa final'!$AD$55="Leve"),CONCATENATE("R8C",'Mapa final'!$R$55),"")</f>
        <v/>
      </c>
      <c r="O53" s="60" t="str">
        <f>IF(AND('Mapa final'!$AB$56="Muy Baja",'Mapa final'!$AD$56="Leve"),CONCATENATE("R8C",'Mapa final'!$R$56),"")</f>
        <v/>
      </c>
      <c r="P53" s="58" t="str">
        <f>IF(AND('Mapa final'!$AB$51="Muy Baja",'Mapa final'!$AD$51="Menor"),CONCATENATE("R8C",'Mapa final'!$R$51),"")</f>
        <v/>
      </c>
      <c r="Q53" s="59" t="str">
        <f>IF(AND('Mapa final'!$AB$52="Muy Baja",'Mapa final'!$AD$52="Menor"),CONCATENATE("R8C",'Mapa final'!$R$52),"")</f>
        <v/>
      </c>
      <c r="R53" s="59" t="str">
        <f>IF(AND('Mapa final'!$AB$53="Muy Baja",'Mapa final'!$AD$53="Menor"),CONCATENATE("R8C",'Mapa final'!$R$53),"")</f>
        <v/>
      </c>
      <c r="S53" s="59" t="str">
        <f>IF(AND('Mapa final'!$AB$54="Muy Baja",'Mapa final'!$AD$54="Menor"),CONCATENATE("R8C",'Mapa final'!$R$54),"")</f>
        <v/>
      </c>
      <c r="T53" s="59" t="str">
        <f>IF(AND('Mapa final'!$AB$55="Muy Baja",'Mapa final'!$AD$55="Menor"),CONCATENATE("R8C",'Mapa final'!$R$55),"")</f>
        <v/>
      </c>
      <c r="U53" s="60" t="str">
        <f>IF(AND('Mapa final'!$AB$56="Muy Baja",'Mapa final'!$AD$56="Menor"),CONCATENATE("R8C",'Mapa final'!$R$56),"")</f>
        <v/>
      </c>
      <c r="V53" s="49" t="str">
        <f>IF(AND('Mapa final'!$AB$51="Muy Baja",'Mapa final'!$AD$51="Moderado"),CONCATENATE("R8C",'Mapa final'!$R$51),"")</f>
        <v/>
      </c>
      <c r="W53" s="50" t="str">
        <f>IF(AND('Mapa final'!$AB$52="Muy Baja",'Mapa final'!$AD$52="Moderado"),CONCATENATE("R8C",'Mapa final'!$R$52),"")</f>
        <v/>
      </c>
      <c r="X53" s="50" t="str">
        <f>IF(AND('Mapa final'!$AB$53="Muy Baja",'Mapa final'!$AD$53="Moderado"),CONCATENATE("R8C",'Mapa final'!$R$53),"")</f>
        <v/>
      </c>
      <c r="Y53" s="50" t="str">
        <f>IF(AND('Mapa final'!$AB$54="Muy Baja",'Mapa final'!$AD$54="Moderado"),CONCATENATE("R8C",'Mapa final'!$R$54),"")</f>
        <v/>
      </c>
      <c r="Z53" s="50" t="str">
        <f>IF(AND('Mapa final'!$AB$55="Muy Baja",'Mapa final'!$AD$55="Moderado"),CONCATENATE("R8C",'Mapa final'!$R$55),"")</f>
        <v/>
      </c>
      <c r="AA53" s="51" t="str">
        <f>IF(AND('Mapa final'!$AB$56="Muy Baja",'Mapa final'!$AD$56="Moderado"),CONCATENATE("R8C",'Mapa final'!$R$56),"")</f>
        <v/>
      </c>
      <c r="AB53" s="34" t="str">
        <f>IF(AND('Mapa final'!$AB$51="Muy Baja",'Mapa final'!$AD$51="Mayor"),CONCATENATE("R8C",'Mapa final'!$R$51),"")</f>
        <v/>
      </c>
      <c r="AC53" s="35" t="str">
        <f>IF(AND('Mapa final'!$AB$52="Muy Baja",'Mapa final'!$AD$52="Mayor"),CONCATENATE("R8C",'Mapa final'!$R$52),"")</f>
        <v/>
      </c>
      <c r="AD53" s="35" t="str">
        <f>IF(AND('Mapa final'!$AB$53="Muy Baja",'Mapa final'!$AD$53="Mayor"),CONCATENATE("R8C",'Mapa final'!$R$53),"")</f>
        <v/>
      </c>
      <c r="AE53" s="35" t="str">
        <f>IF(AND('Mapa final'!$AB$54="Muy Baja",'Mapa final'!$AD$54="Mayor"),CONCATENATE("R8C",'Mapa final'!$R$54),"")</f>
        <v/>
      </c>
      <c r="AF53" s="35" t="str">
        <f>IF(AND('Mapa final'!$AB$55="Muy Baja",'Mapa final'!$AD$55="Mayor"),CONCATENATE("R8C",'Mapa final'!$R$55),"")</f>
        <v/>
      </c>
      <c r="AG53" s="36" t="str">
        <f>IF(AND('Mapa final'!$AB$56="Muy Baja",'Mapa final'!$AD$56="Mayor"),CONCATENATE("R8C",'Mapa final'!$R$56),"")</f>
        <v/>
      </c>
      <c r="AH53" s="37" t="str">
        <f>IF(AND('Mapa final'!$AB$51="Muy Baja",'Mapa final'!$AD$51="Catastrófico"),CONCATENATE("R8C",'Mapa final'!$R$51),"")</f>
        <v/>
      </c>
      <c r="AI53" s="38" t="str">
        <f>IF(AND('Mapa final'!$AB$52="Muy Baja",'Mapa final'!$AD$52="Catastrófico"),CONCATENATE("R8C",'Mapa final'!$R$52),"")</f>
        <v/>
      </c>
      <c r="AJ53" s="38" t="str">
        <f>IF(AND('Mapa final'!$AB$53="Muy Baja",'Mapa final'!$AD$53="Catastrófico"),CONCATENATE("R8C",'Mapa final'!$R$53),"")</f>
        <v/>
      </c>
      <c r="AK53" s="38" t="str">
        <f>IF(AND('Mapa final'!$AB$54="Muy Baja",'Mapa final'!$AD$54="Catastrófico"),CONCATENATE("R8C",'Mapa final'!$R$54),"")</f>
        <v/>
      </c>
      <c r="AL53" s="38" t="str">
        <f>IF(AND('Mapa final'!$AB$55="Muy Baja",'Mapa final'!$AD$55="Catastrófico"),CONCATENATE("R8C",'Mapa final'!$R$55),"")</f>
        <v/>
      </c>
      <c r="AM53" s="39" t="str">
        <f>IF(AND('Mapa final'!$AB$56="Muy Baja",'Mapa final'!$AD$56="Catastrófico"),CONCATENATE("R8C",'Mapa final'!$R$56),"")</f>
        <v/>
      </c>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row>
    <row r="54" spans="1:80" ht="15" customHeight="1" x14ac:dyDescent="0.3">
      <c r="A54" s="65"/>
      <c r="B54" s="581"/>
      <c r="C54" s="581"/>
      <c r="D54" s="582"/>
      <c r="E54" s="680"/>
      <c r="F54" s="679"/>
      <c r="G54" s="679"/>
      <c r="H54" s="679"/>
      <c r="I54" s="695"/>
      <c r="J54" s="58" t="str">
        <f>IF(AND('Mapa final'!$AB$57="Muy Baja",'Mapa final'!$AD$57="Leve"),CONCATENATE("R9C",'Mapa final'!$R$57),"")</f>
        <v/>
      </c>
      <c r="K54" s="59" t="str">
        <f>IF(AND('Mapa final'!$AB$58="Muy Baja",'Mapa final'!$AD$58="Leve"),CONCATENATE("R9C",'Mapa final'!$R$58),"")</f>
        <v/>
      </c>
      <c r="L54" s="59" t="str">
        <f>IF(AND('Mapa final'!$AB$59="Muy Baja",'Mapa final'!$AD$59="Leve"),CONCATENATE("R9C",'Mapa final'!$R$59),"")</f>
        <v/>
      </c>
      <c r="M54" s="59" t="str">
        <f>IF(AND('Mapa final'!$AB$60="Muy Baja",'Mapa final'!$AD$60="Leve"),CONCATENATE("R9C",'Mapa final'!$R$60),"")</f>
        <v/>
      </c>
      <c r="N54" s="59" t="str">
        <f>IF(AND('Mapa final'!$AB$61="Muy Baja",'Mapa final'!$AD$61="Leve"),CONCATENATE("R9C",'Mapa final'!$R$61),"")</f>
        <v/>
      </c>
      <c r="O54" s="60" t="str">
        <f>IF(AND('Mapa final'!$AB$62="Muy Baja",'Mapa final'!$AD$62="Leve"),CONCATENATE("R9C",'Mapa final'!$R$62),"")</f>
        <v/>
      </c>
      <c r="P54" s="58" t="str">
        <f>IF(AND('Mapa final'!$AB$57="Muy Baja",'Mapa final'!$AD$57="Menor"),CONCATENATE("R9C",'Mapa final'!$R$57),"")</f>
        <v/>
      </c>
      <c r="Q54" s="59" t="str">
        <f>IF(AND('Mapa final'!$AB$58="Muy Baja",'Mapa final'!$AD$58="Menor"),CONCATENATE("R9C",'Mapa final'!$R$58),"")</f>
        <v/>
      </c>
      <c r="R54" s="59" t="str">
        <f>IF(AND('Mapa final'!$AB$59="Muy Baja",'Mapa final'!$AD$59="Menor"),CONCATENATE("R9C",'Mapa final'!$R$59),"")</f>
        <v/>
      </c>
      <c r="S54" s="59" t="str">
        <f>IF(AND('Mapa final'!$AB$60="Muy Baja",'Mapa final'!$AD$60="Menor"),CONCATENATE("R9C",'Mapa final'!$R$60),"")</f>
        <v/>
      </c>
      <c r="T54" s="59" t="str">
        <f>IF(AND('Mapa final'!$AB$61="Muy Baja",'Mapa final'!$AD$61="Menor"),CONCATENATE("R9C",'Mapa final'!$R$61),"")</f>
        <v/>
      </c>
      <c r="U54" s="60" t="str">
        <f>IF(AND('Mapa final'!$AB$62="Muy Baja",'Mapa final'!$AD$62="Menor"),CONCATENATE("R9C",'Mapa final'!$R$62),"")</f>
        <v/>
      </c>
      <c r="V54" s="49" t="str">
        <f>IF(AND('Mapa final'!$AB$57="Muy Baja",'Mapa final'!$AD$57="Moderado"),CONCATENATE("R9C",'Mapa final'!$R$57),"")</f>
        <v/>
      </c>
      <c r="W54" s="50" t="str">
        <f>IF(AND('Mapa final'!$AB$58="Muy Baja",'Mapa final'!$AD$58="Moderado"),CONCATENATE("R9C",'Mapa final'!$R$58),"")</f>
        <v/>
      </c>
      <c r="X54" s="50" t="str">
        <f>IF(AND('Mapa final'!$AB$59="Muy Baja",'Mapa final'!$AD$59="Moderado"),CONCATENATE("R9C",'Mapa final'!$R$59),"")</f>
        <v/>
      </c>
      <c r="Y54" s="50" t="str">
        <f>IF(AND('Mapa final'!$AB$60="Muy Baja",'Mapa final'!$AD$60="Moderado"),CONCATENATE("R9C",'Mapa final'!$R$60),"")</f>
        <v/>
      </c>
      <c r="Z54" s="50" t="str">
        <f>IF(AND('Mapa final'!$AB$61="Muy Baja",'Mapa final'!$AD$61="Moderado"),CONCATENATE("R9C",'Mapa final'!$R$61),"")</f>
        <v/>
      </c>
      <c r="AA54" s="51" t="str">
        <f>IF(AND('Mapa final'!$AB$62="Muy Baja",'Mapa final'!$AD$62="Moderado"),CONCATENATE("R9C",'Mapa final'!$R$62),"")</f>
        <v/>
      </c>
      <c r="AB54" s="34" t="str">
        <f>IF(AND('Mapa final'!$AB$57="Muy Baja",'Mapa final'!$AD$57="Mayor"),CONCATENATE("R9C",'Mapa final'!$R$57),"")</f>
        <v/>
      </c>
      <c r="AC54" s="35" t="str">
        <f>IF(AND('Mapa final'!$AB$58="Muy Baja",'Mapa final'!$AD$58="Mayor"),CONCATENATE("R9C",'Mapa final'!$R$58),"")</f>
        <v/>
      </c>
      <c r="AD54" s="35" t="str">
        <f>IF(AND('Mapa final'!$AB$59="Muy Baja",'Mapa final'!$AD$59="Mayor"),CONCATENATE("R9C",'Mapa final'!$R$59),"")</f>
        <v/>
      </c>
      <c r="AE54" s="35" t="str">
        <f>IF(AND('Mapa final'!$AB$60="Muy Baja",'Mapa final'!$AD$60="Mayor"),CONCATENATE("R9C",'Mapa final'!$R$60),"")</f>
        <v/>
      </c>
      <c r="AF54" s="35" t="str">
        <f>IF(AND('Mapa final'!$AB$61="Muy Baja",'Mapa final'!$AD$61="Mayor"),CONCATENATE("R9C",'Mapa final'!$R$61),"")</f>
        <v/>
      </c>
      <c r="AG54" s="36" t="str">
        <f>IF(AND('Mapa final'!$AB$62="Muy Baja",'Mapa final'!$AD$62="Mayor"),CONCATENATE("R9C",'Mapa final'!$R$62),"")</f>
        <v/>
      </c>
      <c r="AH54" s="37" t="str">
        <f>IF(AND('Mapa final'!$AB$57="Muy Baja",'Mapa final'!$AD$57="Catastrófico"),CONCATENATE("R9C",'Mapa final'!$R$57),"")</f>
        <v/>
      </c>
      <c r="AI54" s="38" t="str">
        <f>IF(AND('Mapa final'!$AB$58="Muy Baja",'Mapa final'!$AD$58="Catastrófico"),CONCATENATE("R9C",'Mapa final'!$R$58),"")</f>
        <v/>
      </c>
      <c r="AJ54" s="38" t="str">
        <f>IF(AND('Mapa final'!$AB$59="Muy Baja",'Mapa final'!$AD$59="Catastrófico"),CONCATENATE("R9C",'Mapa final'!$R$59),"")</f>
        <v/>
      </c>
      <c r="AK54" s="38" t="str">
        <f>IF(AND('Mapa final'!$AB$60="Muy Baja",'Mapa final'!$AD$60="Catastrófico"),CONCATENATE("R9C",'Mapa final'!$R$60),"")</f>
        <v/>
      </c>
      <c r="AL54" s="38" t="str">
        <f>IF(AND('Mapa final'!$AB$61="Muy Baja",'Mapa final'!$AD$61="Catastrófico"),CONCATENATE("R9C",'Mapa final'!$R$61),"")</f>
        <v/>
      </c>
      <c r="AM54" s="39" t="str">
        <f>IF(AND('Mapa final'!$AB$62="Muy Baja",'Mapa final'!$AD$62="Catastrófico"),CONCATENATE("R9C",'Mapa final'!$R$62),"")</f>
        <v/>
      </c>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row>
    <row r="55" spans="1:80" ht="15.75" customHeight="1" thickBot="1" x14ac:dyDescent="0.35">
      <c r="A55" s="65"/>
      <c r="B55" s="581"/>
      <c r="C55" s="581"/>
      <c r="D55" s="582"/>
      <c r="E55" s="681"/>
      <c r="F55" s="682"/>
      <c r="G55" s="682"/>
      <c r="H55" s="682"/>
      <c r="I55" s="696"/>
      <c r="J55" s="61" t="str">
        <f>IF(AND('Mapa final'!$AB$63="Muy Baja",'Mapa final'!$AD$63="Leve"),CONCATENATE("R10C",'Mapa final'!$R$63),"")</f>
        <v/>
      </c>
      <c r="K55" s="62" t="str">
        <f>IF(AND('Mapa final'!$AB$64="Muy Baja",'Mapa final'!$AD$64="Leve"),CONCATENATE("R10C",'Mapa final'!$R$64),"")</f>
        <v/>
      </c>
      <c r="L55" s="62" t="str">
        <f>IF(AND('Mapa final'!$AB$65="Muy Baja",'Mapa final'!$AD$65="Leve"),CONCATENATE("R10C",'Mapa final'!$R$65),"")</f>
        <v/>
      </c>
      <c r="M55" s="62" t="str">
        <f>IF(AND('Mapa final'!$AB$66="Muy Baja",'Mapa final'!$AD$66="Leve"),CONCATENATE("R10C",'Mapa final'!$R$66),"")</f>
        <v/>
      </c>
      <c r="N55" s="62" t="str">
        <f>IF(AND('Mapa final'!$AB$67="Muy Baja",'Mapa final'!$AD$67="Leve"),CONCATENATE("R10C",'Mapa final'!$R$67),"")</f>
        <v/>
      </c>
      <c r="O55" s="63" t="str">
        <f>IF(AND('Mapa final'!$AB$68="Muy Baja",'Mapa final'!$AD$68="Leve"),CONCATENATE("R10C",'Mapa final'!$R$68),"")</f>
        <v/>
      </c>
      <c r="P55" s="61" t="str">
        <f>IF(AND('Mapa final'!$AB$63="Muy Baja",'Mapa final'!$AD$63="Menor"),CONCATENATE("R10C",'Mapa final'!$R$63),"")</f>
        <v/>
      </c>
      <c r="Q55" s="62" t="str">
        <f>IF(AND('Mapa final'!$AB$64="Muy Baja",'Mapa final'!$AD$64="Menor"),CONCATENATE("R10C",'Mapa final'!$R$64),"")</f>
        <v/>
      </c>
      <c r="R55" s="62" t="str">
        <f>IF(AND('Mapa final'!$AB$65="Muy Baja",'Mapa final'!$AD$65="Menor"),CONCATENATE("R10C",'Mapa final'!$R$65),"")</f>
        <v/>
      </c>
      <c r="S55" s="62" t="str">
        <f>IF(AND('Mapa final'!$AB$66="Muy Baja",'Mapa final'!$AD$66="Menor"),CONCATENATE("R10C",'Mapa final'!$R$66),"")</f>
        <v/>
      </c>
      <c r="T55" s="62" t="str">
        <f>IF(AND('Mapa final'!$AB$67="Muy Baja",'Mapa final'!$AD$67="Menor"),CONCATENATE("R10C",'Mapa final'!$R$67),"")</f>
        <v/>
      </c>
      <c r="U55" s="63" t="str">
        <f>IF(AND('Mapa final'!$AB$68="Muy Baja",'Mapa final'!$AD$68="Menor"),CONCATENATE("R10C",'Mapa final'!$R$68),"")</f>
        <v/>
      </c>
      <c r="V55" s="52" t="str">
        <f>IF(AND('Mapa final'!$AB$63="Muy Baja",'Mapa final'!$AD$63="Moderado"),CONCATENATE("R10C",'Mapa final'!$R$63),"")</f>
        <v/>
      </c>
      <c r="W55" s="53" t="str">
        <f>IF(AND('Mapa final'!$AB$64="Muy Baja",'Mapa final'!$AD$64="Moderado"),CONCATENATE("R10C",'Mapa final'!$R$64),"")</f>
        <v/>
      </c>
      <c r="X55" s="53" t="str">
        <f>IF(AND('Mapa final'!$AB$65="Muy Baja",'Mapa final'!$AD$65="Moderado"),CONCATENATE("R10C",'Mapa final'!$R$65),"")</f>
        <v/>
      </c>
      <c r="Y55" s="53" t="str">
        <f>IF(AND('Mapa final'!$AB$66="Muy Baja",'Mapa final'!$AD$66="Moderado"),CONCATENATE("R10C",'Mapa final'!$R$66),"")</f>
        <v/>
      </c>
      <c r="Z55" s="53" t="str">
        <f>IF(AND('Mapa final'!$AB$67="Muy Baja",'Mapa final'!$AD$67="Moderado"),CONCATENATE("R10C",'Mapa final'!$R$67),"")</f>
        <v/>
      </c>
      <c r="AA55" s="54" t="str">
        <f>IF(AND('Mapa final'!$AB$68="Muy Baja",'Mapa final'!$AD$68="Moderado"),CONCATENATE("R10C",'Mapa final'!$R$68),"")</f>
        <v/>
      </c>
      <c r="AB55" s="40" t="str">
        <f>IF(AND('Mapa final'!$AB$63="Muy Baja",'Mapa final'!$AD$63="Mayor"),CONCATENATE("R10C",'Mapa final'!$R$63),"")</f>
        <v/>
      </c>
      <c r="AC55" s="41" t="str">
        <f>IF(AND('Mapa final'!$AB$64="Muy Baja",'Mapa final'!$AD$64="Mayor"),CONCATENATE("R10C",'Mapa final'!$R$64),"")</f>
        <v/>
      </c>
      <c r="AD55" s="41" t="str">
        <f>IF(AND('Mapa final'!$AB$65="Muy Baja",'Mapa final'!$AD$65="Mayor"),CONCATENATE("R10C",'Mapa final'!$R$65),"")</f>
        <v/>
      </c>
      <c r="AE55" s="41" t="str">
        <f>IF(AND('Mapa final'!$AB$66="Muy Baja",'Mapa final'!$AD$66="Mayor"),CONCATENATE("R10C",'Mapa final'!$R$66),"")</f>
        <v/>
      </c>
      <c r="AF55" s="41" t="str">
        <f>IF(AND('Mapa final'!$AB$67="Muy Baja",'Mapa final'!$AD$67="Mayor"),CONCATENATE("R10C",'Mapa final'!$R$67),"")</f>
        <v/>
      </c>
      <c r="AG55" s="42" t="str">
        <f>IF(AND('Mapa final'!$AB$68="Muy Baja",'Mapa final'!$AD$68="Mayor"),CONCATENATE("R10C",'Mapa final'!$R$68),"")</f>
        <v/>
      </c>
      <c r="AH55" s="43" t="str">
        <f>IF(AND('Mapa final'!$AB$63="Muy Baja",'Mapa final'!$AD$63="Catastrófico"),CONCATENATE("R10C",'Mapa final'!$R$63),"")</f>
        <v/>
      </c>
      <c r="AI55" s="44" t="str">
        <f>IF(AND('Mapa final'!$AB$64="Muy Baja",'Mapa final'!$AD$64="Catastrófico"),CONCATENATE("R10C",'Mapa final'!$R$64),"")</f>
        <v/>
      </c>
      <c r="AJ55" s="44" t="str">
        <f>IF(AND('Mapa final'!$AB$65="Muy Baja",'Mapa final'!$AD$65="Catastrófico"),CONCATENATE("R10C",'Mapa final'!$R$65),"")</f>
        <v/>
      </c>
      <c r="AK55" s="44" t="str">
        <f>IF(AND('Mapa final'!$AB$66="Muy Baja",'Mapa final'!$AD$66="Catastrófico"),CONCATENATE("R10C",'Mapa final'!$R$66),"")</f>
        <v/>
      </c>
      <c r="AL55" s="44" t="str">
        <f>IF(AND('Mapa final'!$AB$67="Muy Baja",'Mapa final'!$AD$67="Catastrófico"),CONCATENATE("R10C",'Mapa final'!$R$67),"")</f>
        <v/>
      </c>
      <c r="AM55" s="45" t="str">
        <f>IF(AND('Mapa final'!$AB$68="Muy Baja",'Mapa final'!$AD$68="Catastrófico"),CONCATENATE("R10C",'Mapa final'!$R$68),"")</f>
        <v/>
      </c>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row>
    <row r="56" spans="1:80" x14ac:dyDescent="0.3">
      <c r="A56" s="65"/>
      <c r="B56" s="65"/>
      <c r="C56" s="65"/>
      <c r="D56" s="65"/>
      <c r="E56" s="65"/>
      <c r="F56" s="65"/>
      <c r="G56" s="65"/>
      <c r="H56" s="65"/>
      <c r="I56" s="65"/>
      <c r="J56" s="676" t="s">
        <v>107</v>
      </c>
      <c r="K56" s="677"/>
      <c r="L56" s="677"/>
      <c r="M56" s="677"/>
      <c r="N56" s="677"/>
      <c r="O56" s="694"/>
      <c r="P56" s="676" t="s">
        <v>106</v>
      </c>
      <c r="Q56" s="677"/>
      <c r="R56" s="677"/>
      <c r="S56" s="677"/>
      <c r="T56" s="677"/>
      <c r="U56" s="694"/>
      <c r="V56" s="676" t="s">
        <v>105</v>
      </c>
      <c r="W56" s="677"/>
      <c r="X56" s="677"/>
      <c r="Y56" s="677"/>
      <c r="Z56" s="677"/>
      <c r="AA56" s="694"/>
      <c r="AB56" s="676" t="s">
        <v>104</v>
      </c>
      <c r="AC56" s="715"/>
      <c r="AD56" s="677"/>
      <c r="AE56" s="677"/>
      <c r="AF56" s="677"/>
      <c r="AG56" s="694"/>
      <c r="AH56" s="676" t="s">
        <v>103</v>
      </c>
      <c r="AI56" s="677"/>
      <c r="AJ56" s="677"/>
      <c r="AK56" s="677"/>
      <c r="AL56" s="677"/>
      <c r="AM56" s="694"/>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row>
    <row r="57" spans="1:80" x14ac:dyDescent="0.3">
      <c r="A57" s="65"/>
      <c r="B57" s="65"/>
      <c r="C57" s="65"/>
      <c r="D57" s="65"/>
      <c r="E57" s="65"/>
      <c r="F57" s="65"/>
      <c r="G57" s="65"/>
      <c r="H57" s="65"/>
      <c r="I57" s="65"/>
      <c r="J57" s="680"/>
      <c r="K57" s="679"/>
      <c r="L57" s="679"/>
      <c r="M57" s="679"/>
      <c r="N57" s="679"/>
      <c r="O57" s="695"/>
      <c r="P57" s="680"/>
      <c r="Q57" s="679"/>
      <c r="R57" s="679"/>
      <c r="S57" s="679"/>
      <c r="T57" s="679"/>
      <c r="U57" s="695"/>
      <c r="V57" s="680"/>
      <c r="W57" s="679"/>
      <c r="X57" s="679"/>
      <c r="Y57" s="679"/>
      <c r="Z57" s="679"/>
      <c r="AA57" s="695"/>
      <c r="AB57" s="680"/>
      <c r="AC57" s="679"/>
      <c r="AD57" s="679"/>
      <c r="AE57" s="679"/>
      <c r="AF57" s="679"/>
      <c r="AG57" s="695"/>
      <c r="AH57" s="680"/>
      <c r="AI57" s="679"/>
      <c r="AJ57" s="679"/>
      <c r="AK57" s="679"/>
      <c r="AL57" s="679"/>
      <c r="AM57" s="69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row>
    <row r="58" spans="1:80" x14ac:dyDescent="0.3">
      <c r="A58" s="65"/>
      <c r="B58" s="65"/>
      <c r="C58" s="65"/>
      <c r="D58" s="65"/>
      <c r="E58" s="65"/>
      <c r="F58" s="65"/>
      <c r="G58" s="65"/>
      <c r="H58" s="65"/>
      <c r="I58" s="65"/>
      <c r="J58" s="680"/>
      <c r="K58" s="679"/>
      <c r="L58" s="679"/>
      <c r="M58" s="679"/>
      <c r="N58" s="679"/>
      <c r="O58" s="695"/>
      <c r="P58" s="680"/>
      <c r="Q58" s="679"/>
      <c r="R58" s="679"/>
      <c r="S58" s="679"/>
      <c r="T58" s="679"/>
      <c r="U58" s="695"/>
      <c r="V58" s="680"/>
      <c r="W58" s="679"/>
      <c r="X58" s="679"/>
      <c r="Y58" s="679"/>
      <c r="Z58" s="679"/>
      <c r="AA58" s="695"/>
      <c r="AB58" s="680"/>
      <c r="AC58" s="679"/>
      <c r="AD58" s="679"/>
      <c r="AE58" s="679"/>
      <c r="AF58" s="679"/>
      <c r="AG58" s="695"/>
      <c r="AH58" s="680"/>
      <c r="AI58" s="679"/>
      <c r="AJ58" s="679"/>
      <c r="AK58" s="679"/>
      <c r="AL58" s="679"/>
      <c r="AM58" s="69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row>
    <row r="59" spans="1:80" x14ac:dyDescent="0.3">
      <c r="A59" s="65"/>
      <c r="B59" s="65"/>
      <c r="C59" s="65"/>
      <c r="D59" s="65"/>
      <c r="E59" s="65"/>
      <c r="F59" s="65"/>
      <c r="G59" s="65"/>
      <c r="H59" s="65"/>
      <c r="I59" s="65"/>
      <c r="J59" s="680"/>
      <c r="K59" s="679"/>
      <c r="L59" s="679"/>
      <c r="M59" s="679"/>
      <c r="N59" s="679"/>
      <c r="O59" s="695"/>
      <c r="P59" s="680"/>
      <c r="Q59" s="679"/>
      <c r="R59" s="679"/>
      <c r="S59" s="679"/>
      <c r="T59" s="679"/>
      <c r="U59" s="695"/>
      <c r="V59" s="680"/>
      <c r="W59" s="679"/>
      <c r="X59" s="679"/>
      <c r="Y59" s="679"/>
      <c r="Z59" s="679"/>
      <c r="AA59" s="695"/>
      <c r="AB59" s="680"/>
      <c r="AC59" s="679"/>
      <c r="AD59" s="679"/>
      <c r="AE59" s="679"/>
      <c r="AF59" s="679"/>
      <c r="AG59" s="695"/>
      <c r="AH59" s="680"/>
      <c r="AI59" s="679"/>
      <c r="AJ59" s="679"/>
      <c r="AK59" s="679"/>
      <c r="AL59" s="679"/>
      <c r="AM59" s="695"/>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row>
    <row r="60" spans="1:80" x14ac:dyDescent="0.3">
      <c r="A60" s="65"/>
      <c r="B60" s="65"/>
      <c r="C60" s="65"/>
      <c r="D60" s="65"/>
      <c r="E60" s="65"/>
      <c r="F60" s="65"/>
      <c r="G60" s="65"/>
      <c r="H60" s="65"/>
      <c r="I60" s="65"/>
      <c r="J60" s="680"/>
      <c r="K60" s="679"/>
      <c r="L60" s="679"/>
      <c r="M60" s="679"/>
      <c r="N60" s="679"/>
      <c r="O60" s="695"/>
      <c r="P60" s="680"/>
      <c r="Q60" s="679"/>
      <c r="R60" s="679"/>
      <c r="S60" s="679"/>
      <c r="T60" s="679"/>
      <c r="U60" s="695"/>
      <c r="V60" s="680"/>
      <c r="W60" s="679"/>
      <c r="X60" s="679"/>
      <c r="Y60" s="679"/>
      <c r="Z60" s="679"/>
      <c r="AA60" s="695"/>
      <c r="AB60" s="680"/>
      <c r="AC60" s="679"/>
      <c r="AD60" s="679"/>
      <c r="AE60" s="679"/>
      <c r="AF60" s="679"/>
      <c r="AG60" s="695"/>
      <c r="AH60" s="680"/>
      <c r="AI60" s="679"/>
      <c r="AJ60" s="679"/>
      <c r="AK60" s="679"/>
      <c r="AL60" s="679"/>
      <c r="AM60" s="69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row>
    <row r="61" spans="1:80" ht="15" thickBot="1" x14ac:dyDescent="0.35">
      <c r="A61" s="65"/>
      <c r="B61" s="65"/>
      <c r="C61" s="65"/>
      <c r="D61" s="65"/>
      <c r="E61" s="65"/>
      <c r="F61" s="65"/>
      <c r="G61" s="65"/>
      <c r="H61" s="65"/>
      <c r="I61" s="65"/>
      <c r="J61" s="681"/>
      <c r="K61" s="682"/>
      <c r="L61" s="682"/>
      <c r="M61" s="682"/>
      <c r="N61" s="682"/>
      <c r="O61" s="696"/>
      <c r="P61" s="681"/>
      <c r="Q61" s="682"/>
      <c r="R61" s="682"/>
      <c r="S61" s="682"/>
      <c r="T61" s="682"/>
      <c r="U61" s="696"/>
      <c r="V61" s="681"/>
      <c r="W61" s="682"/>
      <c r="X61" s="682"/>
      <c r="Y61" s="682"/>
      <c r="Z61" s="682"/>
      <c r="AA61" s="696"/>
      <c r="AB61" s="681"/>
      <c r="AC61" s="682"/>
      <c r="AD61" s="682"/>
      <c r="AE61" s="682"/>
      <c r="AF61" s="682"/>
      <c r="AG61" s="696"/>
      <c r="AH61" s="681"/>
      <c r="AI61" s="682"/>
      <c r="AJ61" s="682"/>
      <c r="AK61" s="682"/>
      <c r="AL61" s="682"/>
      <c r="AM61" s="696"/>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row>
    <row r="62" spans="1:80" x14ac:dyDescent="0.3">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row>
    <row r="63" spans="1:80" ht="15" customHeight="1" x14ac:dyDescent="0.3">
      <c r="A63" s="65"/>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5"/>
      <c r="AV63" s="65"/>
      <c r="AW63" s="65"/>
      <c r="AX63" s="65"/>
      <c r="AY63" s="65"/>
      <c r="AZ63" s="65"/>
      <c r="BA63" s="65"/>
      <c r="BB63" s="65"/>
      <c r="BC63" s="65"/>
      <c r="BD63" s="65"/>
      <c r="BE63" s="65"/>
      <c r="BF63" s="65"/>
      <c r="BG63" s="65"/>
      <c r="BH63" s="65"/>
    </row>
    <row r="64" spans="1:80" ht="15" customHeight="1" x14ac:dyDescent="0.3">
      <c r="A64" s="65"/>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5"/>
      <c r="AV64" s="65"/>
      <c r="AW64" s="65"/>
      <c r="AX64" s="65"/>
      <c r="AY64" s="65"/>
      <c r="AZ64" s="65"/>
      <c r="BA64" s="65"/>
      <c r="BB64" s="65"/>
      <c r="BC64" s="65"/>
      <c r="BD64" s="65"/>
      <c r="BE64" s="65"/>
      <c r="BF64" s="65"/>
      <c r="BG64" s="65"/>
      <c r="BH64" s="65"/>
    </row>
    <row r="65" spans="1:60" x14ac:dyDescent="0.3">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row>
    <row r="66" spans="1:60" x14ac:dyDescent="0.3">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60" x14ac:dyDescent="0.3">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60" x14ac:dyDescent="0.3">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60" x14ac:dyDescent="0.3">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60" x14ac:dyDescent="0.3">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60" x14ac:dyDescent="0.3">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60" x14ac:dyDescent="0.3">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60" x14ac:dyDescent="0.3">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60" x14ac:dyDescent="0.3">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60" x14ac:dyDescent="0.3">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60" x14ac:dyDescent="0.3">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60" x14ac:dyDescent="0.3">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60" x14ac:dyDescent="0.3">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60" x14ac:dyDescent="0.3">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60" x14ac:dyDescent="0.3">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3">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3">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3">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3">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3">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3">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3">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3">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3">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3">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3">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3">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3">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3">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3">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3">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3">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3">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3">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3">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3">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3">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3">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3">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3">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3">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c r="AT106" s="65"/>
      <c r="AU106" s="65"/>
      <c r="AV106" s="65"/>
      <c r="AW106" s="65"/>
      <c r="AX106" s="65"/>
      <c r="AY106" s="65"/>
      <c r="AZ106" s="65"/>
      <c r="BA106" s="65"/>
      <c r="BB106" s="65"/>
      <c r="BC106" s="65"/>
      <c r="BD106" s="65"/>
      <c r="BE106" s="65"/>
      <c r="BF106" s="65"/>
      <c r="BG106" s="65"/>
      <c r="BH106" s="65"/>
    </row>
    <row r="107" spans="1:60" x14ac:dyDescent="0.3">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c r="AV107" s="65"/>
      <c r="AW107" s="65"/>
      <c r="AX107" s="65"/>
      <c r="AY107" s="65"/>
      <c r="AZ107" s="65"/>
      <c r="BA107" s="65"/>
      <c r="BB107" s="65"/>
      <c r="BC107" s="65"/>
      <c r="BD107" s="65"/>
      <c r="BE107" s="65"/>
      <c r="BF107" s="65"/>
      <c r="BG107" s="65"/>
      <c r="BH107" s="65"/>
    </row>
    <row r="108" spans="1:60" x14ac:dyDescent="0.3">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row>
    <row r="109" spans="1:60" x14ac:dyDescent="0.3">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c r="AZ109" s="65"/>
      <c r="BA109" s="65"/>
      <c r="BB109" s="65"/>
      <c r="BC109" s="65"/>
      <c r="BD109" s="65"/>
      <c r="BE109" s="65"/>
      <c r="BF109" s="65"/>
      <c r="BG109" s="65"/>
      <c r="BH109" s="65"/>
    </row>
    <row r="110" spans="1:60" x14ac:dyDescent="0.3">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65"/>
      <c r="BB110" s="65"/>
      <c r="BC110" s="65"/>
      <c r="BD110" s="65"/>
      <c r="BE110" s="65"/>
      <c r="BF110" s="65"/>
      <c r="BG110" s="65"/>
      <c r="BH110" s="65"/>
    </row>
    <row r="111" spans="1:60" x14ac:dyDescent="0.3">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c r="BE111" s="65"/>
      <c r="BF111" s="65"/>
      <c r="BG111" s="65"/>
      <c r="BH111" s="65"/>
    </row>
    <row r="112" spans="1:60" x14ac:dyDescent="0.3">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row>
    <row r="113" spans="1:60" x14ac:dyDescent="0.3">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c r="BE113" s="65"/>
      <c r="BF113" s="65"/>
      <c r="BG113" s="65"/>
      <c r="BH113" s="65"/>
    </row>
    <row r="114" spans="1:60" x14ac:dyDescent="0.3">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c r="BE114" s="65"/>
      <c r="BF114" s="65"/>
      <c r="BG114" s="65"/>
      <c r="BH114" s="65"/>
    </row>
    <row r="115" spans="1:60" x14ac:dyDescent="0.3">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c r="BE115" s="65"/>
      <c r="BF115" s="65"/>
      <c r="BG115" s="65"/>
      <c r="BH115" s="65"/>
    </row>
    <row r="116" spans="1:60" x14ac:dyDescent="0.3">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c r="BE116" s="65"/>
      <c r="BF116" s="65"/>
      <c r="BG116" s="65"/>
      <c r="BH116" s="65"/>
    </row>
    <row r="117" spans="1:60" x14ac:dyDescent="0.3">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c r="BE117" s="65"/>
      <c r="BF117" s="65"/>
      <c r="BG117" s="65"/>
      <c r="BH117" s="65"/>
    </row>
    <row r="118" spans="1:60" x14ac:dyDescent="0.3">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c r="BE118" s="65"/>
      <c r="BF118" s="65"/>
      <c r="BG118" s="65"/>
      <c r="BH118" s="65"/>
    </row>
    <row r="119" spans="1:60" x14ac:dyDescent="0.3">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row>
    <row r="120" spans="1:60" x14ac:dyDescent="0.3">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c r="BE120" s="65"/>
      <c r="BF120" s="65"/>
      <c r="BG120" s="65"/>
      <c r="BH120" s="65"/>
    </row>
    <row r="121" spans="1:60" x14ac:dyDescent="0.3">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c r="BE121" s="65"/>
      <c r="BF121" s="65"/>
      <c r="BG121" s="65"/>
      <c r="BH121" s="65"/>
    </row>
    <row r="122" spans="1:60" x14ac:dyDescent="0.3">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5"/>
    </row>
    <row r="123" spans="1:60" x14ac:dyDescent="0.3">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65"/>
      <c r="BH123" s="65"/>
    </row>
    <row r="124" spans="1:60" x14ac:dyDescent="0.3">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c r="BE124" s="65"/>
      <c r="BF124" s="65"/>
      <c r="BG124" s="65"/>
      <c r="BH124" s="65"/>
    </row>
    <row r="125" spans="1:60" x14ac:dyDescent="0.3">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row>
    <row r="126" spans="1:60" x14ac:dyDescent="0.3">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row>
    <row r="127" spans="1:60" x14ac:dyDescent="0.3">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row>
    <row r="128" spans="1:60" x14ac:dyDescent="0.3">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65"/>
    </row>
    <row r="129" spans="1:60" x14ac:dyDescent="0.3">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row>
    <row r="130" spans="1:60" x14ac:dyDescent="0.3">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c r="BE130" s="65"/>
      <c r="BF130" s="65"/>
      <c r="BG130" s="65"/>
      <c r="BH130" s="65"/>
    </row>
    <row r="131" spans="1:60" x14ac:dyDescent="0.3">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row>
    <row r="132" spans="1:60" x14ac:dyDescent="0.3">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c r="BE132" s="65"/>
      <c r="BF132" s="65"/>
      <c r="BG132" s="65"/>
      <c r="BH132" s="65"/>
    </row>
    <row r="133" spans="1:60" x14ac:dyDescent="0.3">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c r="BE133" s="65"/>
      <c r="BF133" s="65"/>
      <c r="BG133" s="65"/>
      <c r="BH133" s="65"/>
    </row>
    <row r="134" spans="1:60" x14ac:dyDescent="0.3">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row>
    <row r="135" spans="1:60" x14ac:dyDescent="0.3">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65"/>
      <c r="BH135" s="65"/>
    </row>
    <row r="136" spans="1:60" x14ac:dyDescent="0.3">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5"/>
      <c r="BF136" s="65"/>
      <c r="BG136" s="65"/>
      <c r="BH136" s="65"/>
    </row>
    <row r="137" spans="1:60" x14ac:dyDescent="0.3">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c r="BE137" s="65"/>
      <c r="BF137" s="65"/>
      <c r="BG137" s="65"/>
      <c r="BH137" s="65"/>
    </row>
    <row r="138" spans="1:60" x14ac:dyDescent="0.3">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c r="BE138" s="65"/>
      <c r="BF138" s="65"/>
      <c r="BG138" s="65"/>
      <c r="BH138" s="65"/>
    </row>
    <row r="139" spans="1:60" x14ac:dyDescent="0.3">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c r="BE139" s="65"/>
      <c r="BF139" s="65"/>
      <c r="BG139" s="65"/>
      <c r="BH139" s="65"/>
    </row>
    <row r="140" spans="1:60" x14ac:dyDescent="0.3">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c r="BE140" s="65"/>
      <c r="BF140" s="65"/>
      <c r="BG140" s="65"/>
      <c r="BH140" s="65"/>
    </row>
    <row r="141" spans="1:60" x14ac:dyDescent="0.3">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c r="BE141" s="65"/>
      <c r="BF141" s="65"/>
      <c r="BG141" s="65"/>
      <c r="BH141" s="65"/>
    </row>
    <row r="142" spans="1:60" x14ac:dyDescent="0.3">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c r="BE142" s="65"/>
      <c r="BF142" s="65"/>
      <c r="BG142" s="65"/>
      <c r="BH142" s="65"/>
    </row>
    <row r="143" spans="1:60" x14ac:dyDescent="0.3">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c r="BE143" s="65"/>
      <c r="BF143" s="65"/>
      <c r="BG143" s="65"/>
      <c r="BH143" s="65"/>
    </row>
    <row r="144" spans="1:60" x14ac:dyDescent="0.3">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c r="BE144" s="65"/>
      <c r="BF144" s="65"/>
      <c r="BG144" s="65"/>
      <c r="BH144" s="65"/>
    </row>
    <row r="145" spans="1:60" x14ac:dyDescent="0.3">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c r="BE145" s="65"/>
      <c r="BF145" s="65"/>
      <c r="BG145" s="65"/>
      <c r="BH145" s="65"/>
    </row>
    <row r="146" spans="1:60" x14ac:dyDescent="0.3">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c r="BE146" s="65"/>
      <c r="BF146" s="65"/>
      <c r="BG146" s="65"/>
      <c r="BH146" s="65"/>
    </row>
    <row r="147" spans="1:60" x14ac:dyDescent="0.3">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c r="BE147" s="65"/>
      <c r="BF147" s="65"/>
      <c r="BG147" s="65"/>
      <c r="BH147" s="65"/>
    </row>
    <row r="148" spans="1:60" x14ac:dyDescent="0.3">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c r="BE148" s="65"/>
      <c r="BF148" s="65"/>
      <c r="BG148" s="65"/>
      <c r="BH148" s="65"/>
    </row>
    <row r="149" spans="1:60" x14ac:dyDescent="0.3">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65"/>
      <c r="BH149" s="65"/>
    </row>
    <row r="150" spans="1:60" x14ac:dyDescent="0.3">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c r="BE150" s="65"/>
      <c r="BF150" s="65"/>
      <c r="BG150" s="65"/>
      <c r="BH150" s="65"/>
    </row>
    <row r="151" spans="1:60" x14ac:dyDescent="0.3">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c r="BE151" s="65"/>
      <c r="BF151" s="65"/>
      <c r="BG151" s="65"/>
      <c r="BH151" s="65"/>
    </row>
    <row r="152" spans="1:60" x14ac:dyDescent="0.3">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5"/>
    </row>
    <row r="153" spans="1:60" x14ac:dyDescent="0.3">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c r="BE153" s="65"/>
      <c r="BF153" s="65"/>
      <c r="BG153" s="65"/>
      <c r="BH153" s="65"/>
    </row>
    <row r="154" spans="1:60" x14ac:dyDescent="0.3">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c r="BE154" s="65"/>
      <c r="BF154" s="65"/>
      <c r="BG154" s="65"/>
      <c r="BH154" s="65"/>
    </row>
    <row r="155" spans="1:60" x14ac:dyDescent="0.3">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c r="BE155" s="65"/>
      <c r="BF155" s="65"/>
      <c r="BG155" s="65"/>
      <c r="BH155" s="65"/>
    </row>
    <row r="156" spans="1:60" x14ac:dyDescent="0.3">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c r="BE156" s="65"/>
      <c r="BF156" s="65"/>
      <c r="BG156" s="65"/>
      <c r="BH156" s="65"/>
    </row>
    <row r="157" spans="1:60" x14ac:dyDescent="0.3">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c r="BE157" s="65"/>
      <c r="BF157" s="65"/>
      <c r="BG157" s="65"/>
      <c r="BH157" s="65"/>
    </row>
    <row r="158" spans="1:60" x14ac:dyDescent="0.3">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c r="BE158" s="65"/>
      <c r="BF158" s="65"/>
      <c r="BG158" s="65"/>
      <c r="BH158" s="65"/>
    </row>
    <row r="159" spans="1:60" x14ac:dyDescent="0.3">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c r="BE159" s="65"/>
      <c r="BF159" s="65"/>
      <c r="BG159" s="65"/>
      <c r="BH159" s="65"/>
    </row>
    <row r="160" spans="1:60" x14ac:dyDescent="0.3">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c r="BE160" s="65"/>
      <c r="BF160" s="65"/>
      <c r="BG160" s="65"/>
      <c r="BH160" s="65"/>
    </row>
    <row r="161" spans="1:60" x14ac:dyDescent="0.3">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c r="BE161" s="65"/>
      <c r="BF161" s="65"/>
      <c r="BG161" s="65"/>
      <c r="BH161" s="65"/>
    </row>
    <row r="162" spans="1:60" x14ac:dyDescent="0.3">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c r="BE162" s="65"/>
      <c r="BF162" s="65"/>
      <c r="BG162" s="65"/>
      <c r="BH162" s="65"/>
    </row>
    <row r="163" spans="1:60" x14ac:dyDescent="0.3">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c r="BE163" s="65"/>
      <c r="BF163" s="65"/>
      <c r="BG163" s="65"/>
      <c r="BH163" s="65"/>
    </row>
    <row r="164" spans="1:60" x14ac:dyDescent="0.3">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c r="BE164" s="65"/>
      <c r="BF164" s="65"/>
      <c r="BG164" s="65"/>
      <c r="BH164" s="65"/>
    </row>
    <row r="165" spans="1:60" x14ac:dyDescent="0.3">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c r="BE165" s="65"/>
      <c r="BF165" s="65"/>
      <c r="BG165" s="65"/>
      <c r="BH165" s="65"/>
    </row>
    <row r="166" spans="1:60" x14ac:dyDescent="0.3">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c r="BE166" s="65"/>
      <c r="BF166" s="65"/>
      <c r="BG166" s="65"/>
      <c r="BH166" s="65"/>
    </row>
    <row r="167" spans="1:60" x14ac:dyDescent="0.3">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c r="BE167" s="65"/>
      <c r="BF167" s="65"/>
      <c r="BG167" s="65"/>
      <c r="BH167" s="65"/>
    </row>
    <row r="168" spans="1:60" x14ac:dyDescent="0.3">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c r="BE168" s="65"/>
      <c r="BF168" s="65"/>
      <c r="BG168" s="65"/>
      <c r="BH168" s="65"/>
    </row>
    <row r="169" spans="1:60" x14ac:dyDescent="0.3">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c r="BE169" s="65"/>
      <c r="BF169" s="65"/>
      <c r="BG169" s="65"/>
      <c r="BH169" s="65"/>
    </row>
    <row r="170" spans="1:60" x14ac:dyDescent="0.3">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c r="BE170" s="65"/>
      <c r="BF170" s="65"/>
      <c r="BG170" s="65"/>
      <c r="BH170" s="65"/>
    </row>
    <row r="171" spans="1:60" x14ac:dyDescent="0.3">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c r="BE171" s="65"/>
      <c r="BF171" s="65"/>
      <c r="BG171" s="65"/>
      <c r="BH171" s="65"/>
    </row>
    <row r="172" spans="1:60" x14ac:dyDescent="0.3">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c r="BE172" s="65"/>
      <c r="BF172" s="65"/>
      <c r="BG172" s="65"/>
      <c r="BH172" s="65"/>
    </row>
    <row r="173" spans="1:60" x14ac:dyDescent="0.3">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c r="BE173" s="65"/>
      <c r="BF173" s="65"/>
      <c r="BG173" s="65"/>
      <c r="BH173" s="65"/>
    </row>
    <row r="174" spans="1:60" x14ac:dyDescent="0.3">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c r="BE174" s="65"/>
      <c r="BF174" s="65"/>
      <c r="BG174" s="65"/>
      <c r="BH174" s="65"/>
    </row>
    <row r="175" spans="1:60" x14ac:dyDescent="0.3">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c r="BE175" s="65"/>
      <c r="BF175" s="65"/>
      <c r="BG175" s="65"/>
      <c r="BH175" s="65"/>
    </row>
    <row r="176" spans="1:60" x14ac:dyDescent="0.3">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c r="BE176" s="65"/>
      <c r="BF176" s="65"/>
      <c r="BG176" s="65"/>
      <c r="BH176" s="65"/>
    </row>
    <row r="177" spans="1:60" x14ac:dyDescent="0.3">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c r="BE177" s="65"/>
      <c r="BF177" s="65"/>
      <c r="BG177" s="65"/>
      <c r="BH177" s="65"/>
    </row>
    <row r="178" spans="1:60" x14ac:dyDescent="0.3">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c r="BE178" s="65"/>
      <c r="BF178" s="65"/>
      <c r="BG178" s="65"/>
      <c r="BH178" s="65"/>
    </row>
    <row r="179" spans="1:60" x14ac:dyDescent="0.3">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c r="BE179" s="65"/>
      <c r="BF179" s="65"/>
      <c r="BG179" s="65"/>
      <c r="BH179" s="65"/>
    </row>
    <row r="180" spans="1:60" x14ac:dyDescent="0.3">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c r="BE180" s="65"/>
      <c r="BF180" s="65"/>
      <c r="BG180" s="65"/>
      <c r="BH180" s="65"/>
    </row>
    <row r="181" spans="1:60" x14ac:dyDescent="0.3">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c r="BE181" s="65"/>
      <c r="BF181" s="65"/>
      <c r="BG181" s="65"/>
      <c r="BH181" s="65"/>
    </row>
    <row r="182" spans="1:60" x14ac:dyDescent="0.3">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c r="BE182" s="65"/>
      <c r="BF182" s="65"/>
      <c r="BG182" s="65"/>
      <c r="BH182" s="65"/>
    </row>
    <row r="183" spans="1:60" x14ac:dyDescent="0.3">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c r="BE183" s="65"/>
      <c r="BF183" s="65"/>
      <c r="BG183" s="65"/>
      <c r="BH183" s="65"/>
    </row>
    <row r="184" spans="1:60" x14ac:dyDescent="0.3">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c r="BE184" s="65"/>
      <c r="BF184" s="65"/>
      <c r="BG184" s="65"/>
      <c r="BH184" s="65"/>
    </row>
    <row r="185" spans="1:60" x14ac:dyDescent="0.3">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c r="BE185" s="65"/>
      <c r="BF185" s="65"/>
      <c r="BG185" s="65"/>
      <c r="BH185" s="65"/>
    </row>
    <row r="186" spans="1:60" x14ac:dyDescent="0.3">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c r="BE186" s="65"/>
      <c r="BF186" s="65"/>
      <c r="BG186" s="65"/>
      <c r="BH186" s="65"/>
    </row>
    <row r="187" spans="1:60" x14ac:dyDescent="0.3">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c r="BE187" s="65"/>
      <c r="BF187" s="65"/>
      <c r="BG187" s="65"/>
      <c r="BH187" s="65"/>
    </row>
    <row r="188" spans="1:60" x14ac:dyDescent="0.3">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c r="BE188" s="65"/>
      <c r="BF188" s="65"/>
      <c r="BG188" s="65"/>
      <c r="BH188" s="65"/>
    </row>
    <row r="189" spans="1:60" x14ac:dyDescent="0.3">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c r="BE189" s="65"/>
      <c r="BF189" s="65"/>
      <c r="BG189" s="65"/>
      <c r="BH189" s="65"/>
    </row>
    <row r="190" spans="1:60" x14ac:dyDescent="0.3">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c r="BE190" s="65"/>
      <c r="BF190" s="65"/>
      <c r="BG190" s="65"/>
      <c r="BH190" s="65"/>
    </row>
    <row r="191" spans="1:60" x14ac:dyDescent="0.3">
      <c r="A191" s="65"/>
      <c r="J191" s="65"/>
      <c r="K191" s="65"/>
      <c r="L191" s="65"/>
      <c r="M191" s="65"/>
      <c r="N191" s="65"/>
      <c r="O191" s="65"/>
      <c r="P191" s="65"/>
      <c r="Q191" s="65"/>
      <c r="R191" s="65"/>
      <c r="S191" s="65"/>
      <c r="T191" s="65"/>
      <c r="U191" s="65"/>
      <c r="V191" s="65"/>
      <c r="W191" s="65"/>
      <c r="X191" s="65"/>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c r="BE191" s="65"/>
      <c r="BF191" s="65"/>
      <c r="BG191" s="65"/>
      <c r="BH191" s="65"/>
    </row>
    <row r="192" spans="1:60" x14ac:dyDescent="0.3">
      <c r="A192" s="65"/>
      <c r="J192" s="65"/>
      <c r="K192" s="65"/>
      <c r="L192" s="65"/>
      <c r="M192" s="65"/>
      <c r="N192" s="65"/>
      <c r="O192" s="65"/>
      <c r="P192" s="65"/>
      <c r="Q192" s="65"/>
      <c r="R192" s="65"/>
      <c r="S192" s="65"/>
      <c r="T192" s="65"/>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c r="BE192" s="65"/>
      <c r="BF192" s="65"/>
      <c r="BG192" s="65"/>
      <c r="BH192" s="65"/>
    </row>
    <row r="193" spans="1:60" x14ac:dyDescent="0.3">
      <c r="A193" s="65"/>
      <c r="J193" s="65"/>
      <c r="K193" s="65"/>
      <c r="L193" s="65"/>
      <c r="M193" s="65"/>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c r="BE193" s="65"/>
      <c r="BF193" s="65"/>
      <c r="BG193" s="65"/>
      <c r="BH193" s="65"/>
    </row>
    <row r="194" spans="1:60" x14ac:dyDescent="0.3">
      <c r="A194" s="65"/>
      <c r="J194" s="65"/>
      <c r="K194" s="65"/>
      <c r="L194" s="65"/>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c r="BE194" s="65"/>
      <c r="BF194" s="65"/>
      <c r="BG194" s="65"/>
      <c r="BH194" s="65"/>
    </row>
    <row r="195" spans="1:60" x14ac:dyDescent="0.3">
      <c r="A195" s="65"/>
      <c r="J195" s="65"/>
      <c r="K195" s="65"/>
      <c r="L195" s="65"/>
      <c r="M195" s="65"/>
      <c r="N195" s="65"/>
      <c r="O195" s="65"/>
      <c r="P195" s="65"/>
      <c r="Q195" s="65"/>
      <c r="R195" s="65"/>
      <c r="S195" s="65"/>
      <c r="T195" s="65"/>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c r="BE195" s="65"/>
      <c r="BF195" s="65"/>
      <c r="BG195" s="65"/>
      <c r="BH195" s="65"/>
    </row>
    <row r="196" spans="1:60" x14ac:dyDescent="0.3">
      <c r="A196" s="65"/>
      <c r="J196" s="65"/>
      <c r="K196" s="65"/>
      <c r="L196" s="65"/>
      <c r="M196" s="65"/>
      <c r="N196" s="65"/>
      <c r="O196" s="65"/>
      <c r="P196" s="65"/>
      <c r="Q196" s="65"/>
      <c r="R196" s="65"/>
      <c r="S196" s="65"/>
      <c r="T196" s="65"/>
      <c r="U196" s="65"/>
      <c r="V196" s="65"/>
      <c r="W196" s="65"/>
      <c r="X196" s="65"/>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c r="BE196" s="65"/>
      <c r="BF196" s="65"/>
      <c r="BG196" s="65"/>
      <c r="BH196" s="65"/>
    </row>
    <row r="197" spans="1:60" x14ac:dyDescent="0.3">
      <c r="A197" s="65"/>
      <c r="J197" s="65"/>
      <c r="K197" s="65"/>
      <c r="L197" s="65"/>
      <c r="M197" s="65"/>
      <c r="N197" s="65"/>
      <c r="O197" s="65"/>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c r="BE197" s="65"/>
      <c r="BF197" s="65"/>
      <c r="BG197" s="65"/>
      <c r="BH197" s="65"/>
    </row>
    <row r="198" spans="1:60" x14ac:dyDescent="0.3">
      <c r="A198" s="65"/>
      <c r="J198" s="65"/>
      <c r="K198" s="65"/>
      <c r="L198" s="65"/>
      <c r="M198" s="65"/>
      <c r="N198" s="65"/>
      <c r="O198" s="65"/>
      <c r="P198" s="65"/>
      <c r="Q198" s="65"/>
      <c r="R198" s="65"/>
      <c r="S198" s="65"/>
      <c r="T198" s="65"/>
      <c r="U198" s="65"/>
      <c r="V198" s="65"/>
      <c r="W198" s="65"/>
      <c r="X198" s="65"/>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c r="BE198" s="65"/>
      <c r="BF198" s="65"/>
      <c r="BG198" s="65"/>
      <c r="BH198" s="65"/>
    </row>
    <row r="199" spans="1:60" x14ac:dyDescent="0.3">
      <c r="A199" s="65"/>
      <c r="J199" s="65"/>
      <c r="K199" s="65"/>
      <c r="L199" s="65"/>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c r="BE199" s="65"/>
      <c r="BF199" s="65"/>
      <c r="BG199" s="65"/>
      <c r="BH199" s="65"/>
    </row>
    <row r="200" spans="1:60" x14ac:dyDescent="0.3">
      <c r="A200" s="65"/>
      <c r="J200" s="65"/>
      <c r="K200" s="65"/>
      <c r="L200" s="65"/>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c r="BE200" s="65"/>
      <c r="BF200" s="65"/>
      <c r="BG200" s="65"/>
      <c r="BH200" s="65"/>
    </row>
    <row r="201" spans="1:60" x14ac:dyDescent="0.3">
      <c r="A201" s="65"/>
      <c r="J201" s="65"/>
      <c r="K201" s="65"/>
      <c r="L201" s="65"/>
      <c r="M201" s="65"/>
      <c r="N201" s="65"/>
      <c r="O201" s="65"/>
      <c r="P201" s="65"/>
      <c r="Q201" s="65"/>
      <c r="R201" s="65"/>
      <c r="S201" s="65"/>
      <c r="T201" s="65"/>
      <c r="U201" s="65"/>
      <c r="V201" s="65"/>
      <c r="W201" s="65"/>
      <c r="X201" s="65"/>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c r="BE201" s="65"/>
      <c r="BF201" s="65"/>
      <c r="BG201" s="65"/>
      <c r="BH201" s="65"/>
    </row>
    <row r="202" spans="1:60" x14ac:dyDescent="0.3">
      <c r="A202" s="65"/>
      <c r="J202" s="65"/>
      <c r="K202" s="65"/>
      <c r="L202" s="65"/>
      <c r="M202" s="65"/>
      <c r="N202" s="65"/>
      <c r="O202" s="65"/>
      <c r="P202" s="65"/>
      <c r="Q202" s="65"/>
      <c r="R202" s="65"/>
      <c r="S202" s="65"/>
      <c r="T202" s="65"/>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c r="BE202" s="65"/>
      <c r="BF202" s="65"/>
      <c r="BG202" s="65"/>
      <c r="BH202" s="65"/>
    </row>
    <row r="203" spans="1:60" x14ac:dyDescent="0.3">
      <c r="A203" s="65"/>
      <c r="J203" s="65"/>
      <c r="K203" s="65"/>
      <c r="L203" s="65"/>
      <c r="M203" s="65"/>
      <c r="N203" s="65"/>
      <c r="O203" s="65"/>
      <c r="P203" s="65"/>
      <c r="Q203" s="65"/>
      <c r="R203" s="65"/>
      <c r="S203" s="65"/>
      <c r="T203" s="65"/>
      <c r="U203" s="65"/>
      <c r="V203" s="65"/>
      <c r="W203" s="65"/>
      <c r="X203" s="65"/>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c r="BE203" s="65"/>
      <c r="BF203" s="65"/>
      <c r="BG203" s="65"/>
      <c r="BH203" s="65"/>
    </row>
    <row r="204" spans="1:60" x14ac:dyDescent="0.3">
      <c r="A204" s="65"/>
      <c r="J204" s="65"/>
      <c r="K204" s="65"/>
      <c r="L204" s="65"/>
      <c r="M204" s="65"/>
      <c r="N204" s="65"/>
      <c r="O204" s="65"/>
      <c r="P204" s="65"/>
      <c r="Q204" s="65"/>
      <c r="R204" s="65"/>
      <c r="S204" s="65"/>
      <c r="T204" s="65"/>
      <c r="U204" s="65"/>
      <c r="V204" s="65"/>
      <c r="W204" s="65"/>
      <c r="X204" s="65"/>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c r="BE204" s="65"/>
      <c r="BF204" s="65"/>
      <c r="BG204" s="65"/>
      <c r="BH204" s="65"/>
    </row>
    <row r="205" spans="1:60" x14ac:dyDescent="0.3">
      <c r="A205" s="65"/>
      <c r="J205" s="65"/>
      <c r="K205" s="65"/>
      <c r="L205" s="65"/>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c r="BE205" s="65"/>
      <c r="BF205" s="65"/>
      <c r="BG205" s="65"/>
      <c r="BH205" s="65"/>
    </row>
    <row r="206" spans="1:60" x14ac:dyDescent="0.3">
      <c r="A206" s="65"/>
      <c r="J206" s="65"/>
      <c r="K206" s="65"/>
      <c r="L206" s="65"/>
      <c r="M206" s="65"/>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c r="BE206" s="65"/>
      <c r="BF206" s="65"/>
      <c r="BG206" s="65"/>
      <c r="BH206" s="65"/>
    </row>
    <row r="207" spans="1:60" x14ac:dyDescent="0.3">
      <c r="A207" s="65"/>
      <c r="J207" s="65"/>
      <c r="K207" s="65"/>
      <c r="L207" s="65"/>
      <c r="M207" s="65"/>
      <c r="N207" s="65"/>
      <c r="O207" s="65"/>
      <c r="P207" s="65"/>
      <c r="Q207" s="65"/>
      <c r="R207" s="65"/>
      <c r="S207" s="65"/>
      <c r="T207" s="65"/>
      <c r="U207" s="65"/>
      <c r="V207" s="65"/>
      <c r="W207" s="65"/>
      <c r="X207" s="65"/>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c r="BE207" s="65"/>
      <c r="BF207" s="65"/>
      <c r="BG207" s="65"/>
      <c r="BH207" s="65"/>
    </row>
    <row r="208" spans="1:60" x14ac:dyDescent="0.3">
      <c r="A208" s="65"/>
      <c r="J208" s="65"/>
      <c r="K208" s="65"/>
      <c r="L208" s="65"/>
      <c r="M208" s="65"/>
      <c r="N208" s="65"/>
      <c r="O208" s="65"/>
      <c r="P208" s="65"/>
      <c r="Q208" s="65"/>
      <c r="R208" s="65"/>
      <c r="S208" s="65"/>
      <c r="T208" s="65"/>
      <c r="U208" s="65"/>
      <c r="V208" s="65"/>
      <c r="W208" s="65"/>
      <c r="X208" s="65"/>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c r="BE208" s="65"/>
      <c r="BF208" s="65"/>
      <c r="BG208" s="65"/>
      <c r="BH208" s="65"/>
    </row>
    <row r="209" spans="1:60" x14ac:dyDescent="0.3">
      <c r="A209" s="65"/>
      <c r="J209" s="65"/>
      <c r="K209" s="65"/>
      <c r="L209" s="65"/>
      <c r="M209" s="65"/>
      <c r="N209" s="65"/>
      <c r="O209" s="65"/>
      <c r="P209" s="65"/>
      <c r="Q209" s="65"/>
      <c r="R209" s="65"/>
      <c r="S209" s="65"/>
      <c r="T209" s="65"/>
      <c r="U209" s="65"/>
      <c r="V209" s="65"/>
      <c r="W209" s="65"/>
      <c r="X209" s="65"/>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c r="BE209" s="65"/>
      <c r="BF209" s="65"/>
      <c r="BG209" s="65"/>
      <c r="BH209" s="65"/>
    </row>
    <row r="210" spans="1:60" x14ac:dyDescent="0.3">
      <c r="A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row>
    <row r="211" spans="1:60" x14ac:dyDescent="0.3">
      <c r="A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row>
    <row r="212" spans="1:60" x14ac:dyDescent="0.3">
      <c r="A212" s="65"/>
      <c r="J212" s="65"/>
      <c r="K212" s="65"/>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c r="BE212" s="65"/>
      <c r="BF212" s="65"/>
      <c r="BG212" s="65"/>
      <c r="BH212" s="65"/>
    </row>
    <row r="213" spans="1:60" x14ac:dyDescent="0.3">
      <c r="A213" s="65"/>
      <c r="J213" s="65"/>
      <c r="K213" s="65"/>
      <c r="L213" s="65"/>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c r="BE213" s="65"/>
      <c r="BF213" s="65"/>
      <c r="BG213" s="65"/>
      <c r="BH213" s="65"/>
    </row>
    <row r="214" spans="1:60" x14ac:dyDescent="0.3">
      <c r="A214" s="65"/>
      <c r="J214" s="65"/>
      <c r="K214" s="65"/>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c r="BE214" s="65"/>
      <c r="BF214" s="65"/>
      <c r="BG214" s="65"/>
      <c r="BH214" s="65"/>
    </row>
    <row r="215" spans="1:60" x14ac:dyDescent="0.3">
      <c r="A215" s="65"/>
      <c r="J215" s="65"/>
      <c r="K215" s="65"/>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c r="BE215" s="65"/>
      <c r="BF215" s="65"/>
      <c r="BG215" s="65"/>
      <c r="BH215" s="65"/>
    </row>
    <row r="216" spans="1:60" x14ac:dyDescent="0.3">
      <c r="A216" s="65"/>
      <c r="J216" s="65"/>
      <c r="K216" s="65"/>
      <c r="L216" s="65"/>
      <c r="M216" s="65"/>
      <c r="N216" s="65"/>
      <c r="O216" s="65"/>
      <c r="P216" s="65"/>
      <c r="Q216" s="65"/>
      <c r="R216" s="65"/>
      <c r="S216" s="65"/>
      <c r="T216" s="65"/>
      <c r="U216" s="65"/>
      <c r="V216" s="65"/>
      <c r="W216" s="65"/>
      <c r="X216" s="65"/>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c r="BE216" s="65"/>
      <c r="BF216" s="65"/>
      <c r="BG216" s="65"/>
      <c r="BH216" s="65"/>
    </row>
    <row r="217" spans="1:60" x14ac:dyDescent="0.3">
      <c r="A217" s="65"/>
      <c r="J217" s="65"/>
      <c r="K217" s="65"/>
      <c r="L217" s="65"/>
      <c r="M217" s="65"/>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65"/>
      <c r="BF217" s="65"/>
      <c r="BG217" s="65"/>
      <c r="BH217" s="65"/>
    </row>
    <row r="218" spans="1:60" x14ac:dyDescent="0.3">
      <c r="A218" s="65"/>
      <c r="J218" s="65"/>
      <c r="K218" s="65"/>
      <c r="L218" s="65"/>
      <c r="M218" s="65"/>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c r="BE218" s="65"/>
      <c r="BF218" s="65"/>
      <c r="BG218" s="65"/>
      <c r="BH218" s="65"/>
    </row>
    <row r="219" spans="1:60" x14ac:dyDescent="0.3">
      <c r="A219" s="65"/>
      <c r="J219" s="65"/>
      <c r="K219" s="65"/>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c r="BE219" s="65"/>
      <c r="BF219" s="65"/>
      <c r="BG219" s="65"/>
      <c r="BH219" s="65"/>
    </row>
    <row r="220" spans="1:60" x14ac:dyDescent="0.3">
      <c r="A220" s="65"/>
      <c r="J220" s="65"/>
      <c r="K220" s="65"/>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c r="BE220" s="65"/>
      <c r="BF220" s="65"/>
      <c r="BG220" s="65"/>
      <c r="BH220" s="65"/>
    </row>
    <row r="221" spans="1:60" x14ac:dyDescent="0.3">
      <c r="A221" s="65"/>
      <c r="J221" s="65"/>
      <c r="K221" s="65"/>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c r="BE221" s="65"/>
      <c r="BF221" s="65"/>
      <c r="BG221" s="65"/>
      <c r="BH221" s="65"/>
    </row>
    <row r="222" spans="1:60" x14ac:dyDescent="0.3">
      <c r="A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c r="BE222" s="65"/>
      <c r="BF222" s="65"/>
      <c r="BG222" s="65"/>
      <c r="BH222" s="65"/>
    </row>
    <row r="223" spans="1:60" x14ac:dyDescent="0.3">
      <c r="A223" s="65"/>
      <c r="J223" s="65"/>
      <c r="K223" s="65"/>
      <c r="L223" s="65"/>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c r="BE223" s="65"/>
      <c r="BF223" s="65"/>
      <c r="BG223" s="65"/>
      <c r="BH223" s="65"/>
    </row>
    <row r="224" spans="1:60" x14ac:dyDescent="0.3">
      <c r="A224" s="65"/>
      <c r="J224" s="65"/>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c r="BE224" s="65"/>
      <c r="BF224" s="65"/>
      <c r="BG224" s="65"/>
      <c r="BH224" s="65"/>
    </row>
    <row r="225" spans="1:60" x14ac:dyDescent="0.3">
      <c r="A225" s="65"/>
      <c r="J225" s="65"/>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c r="BE225" s="65"/>
      <c r="BF225" s="65"/>
      <c r="BG225" s="65"/>
      <c r="BH225" s="65"/>
    </row>
    <row r="226" spans="1:60" x14ac:dyDescent="0.3">
      <c r="A226" s="65"/>
      <c r="J226" s="65"/>
      <c r="K226" s="65"/>
      <c r="L226" s="65"/>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c r="BE226" s="65"/>
      <c r="BF226" s="65"/>
      <c r="BG226" s="65"/>
      <c r="BH226" s="65"/>
    </row>
    <row r="227" spans="1:60" x14ac:dyDescent="0.3">
      <c r="A227" s="65"/>
      <c r="J227" s="65"/>
      <c r="K227" s="65"/>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c r="BE227" s="65"/>
      <c r="BF227" s="65"/>
      <c r="BG227" s="65"/>
      <c r="BH227" s="65"/>
    </row>
    <row r="228" spans="1:60" x14ac:dyDescent="0.3">
      <c r="A228" s="65"/>
      <c r="J228" s="65"/>
      <c r="K228" s="65"/>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c r="AQ228" s="65"/>
      <c r="AR228" s="65"/>
      <c r="AS228" s="65"/>
      <c r="AT228" s="65"/>
      <c r="AU228" s="65"/>
      <c r="AV228" s="65"/>
      <c r="AW228" s="65"/>
      <c r="AX228" s="65"/>
      <c r="AY228" s="65"/>
      <c r="AZ228" s="65"/>
      <c r="BA228" s="65"/>
      <c r="BB228" s="65"/>
      <c r="BC228" s="65"/>
      <c r="BD228" s="65"/>
      <c r="BE228" s="65"/>
      <c r="BF228" s="65"/>
      <c r="BG228" s="65"/>
      <c r="BH228" s="65"/>
    </row>
    <row r="229" spans="1:60" x14ac:dyDescent="0.3">
      <c r="A229" s="65"/>
      <c r="J229" s="65"/>
      <c r="K229" s="65"/>
      <c r="L229" s="65"/>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c r="AQ229" s="65"/>
      <c r="AR229" s="65"/>
      <c r="AS229" s="65"/>
      <c r="AT229" s="65"/>
      <c r="AU229" s="65"/>
      <c r="AV229" s="65"/>
      <c r="AW229" s="65"/>
      <c r="AX229" s="65"/>
      <c r="AY229" s="65"/>
      <c r="AZ229" s="65"/>
      <c r="BA229" s="65"/>
      <c r="BB229" s="65"/>
      <c r="BC229" s="65"/>
      <c r="BD229" s="65"/>
      <c r="BE229" s="65"/>
      <c r="BF229" s="65"/>
      <c r="BG229" s="65"/>
      <c r="BH229" s="65"/>
    </row>
    <row r="230" spans="1:60" x14ac:dyDescent="0.3">
      <c r="A230" s="65"/>
      <c r="J230" s="65"/>
      <c r="K230" s="65"/>
      <c r="L230" s="65"/>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c r="AQ230" s="65"/>
      <c r="AR230" s="65"/>
      <c r="AS230" s="65"/>
      <c r="AT230" s="65"/>
      <c r="AU230" s="65"/>
      <c r="AV230" s="65"/>
      <c r="AW230" s="65"/>
      <c r="AX230" s="65"/>
      <c r="AY230" s="65"/>
      <c r="AZ230" s="65"/>
      <c r="BA230" s="65"/>
      <c r="BB230" s="65"/>
      <c r="BC230" s="65"/>
      <c r="BD230" s="65"/>
      <c r="BE230" s="65"/>
      <c r="BF230" s="65"/>
      <c r="BG230" s="65"/>
      <c r="BH230" s="65"/>
    </row>
    <row r="231" spans="1:60" x14ac:dyDescent="0.3">
      <c r="A231" s="65"/>
      <c r="J231" s="65"/>
      <c r="K231" s="65"/>
      <c r="L231" s="65"/>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c r="AQ231" s="65"/>
      <c r="AR231" s="65"/>
      <c r="AS231" s="65"/>
      <c r="AT231" s="65"/>
      <c r="AU231" s="65"/>
      <c r="AV231" s="65"/>
      <c r="AW231" s="65"/>
      <c r="AX231" s="65"/>
      <c r="AY231" s="65"/>
      <c r="AZ231" s="65"/>
      <c r="BA231" s="65"/>
      <c r="BB231" s="65"/>
      <c r="BC231" s="65"/>
      <c r="BD231" s="65"/>
      <c r="BE231" s="65"/>
      <c r="BF231" s="65"/>
      <c r="BG231" s="65"/>
      <c r="BH231" s="65"/>
    </row>
    <row r="232" spans="1:60" x14ac:dyDescent="0.3">
      <c r="A232" s="65"/>
      <c r="J232" s="65"/>
      <c r="K232" s="65"/>
      <c r="L232" s="65"/>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c r="AQ232" s="65"/>
      <c r="AR232" s="65"/>
      <c r="AS232" s="65"/>
      <c r="AT232" s="65"/>
      <c r="AU232" s="65"/>
      <c r="AV232" s="65"/>
      <c r="AW232" s="65"/>
      <c r="AX232" s="65"/>
      <c r="AY232" s="65"/>
      <c r="AZ232" s="65"/>
      <c r="BA232" s="65"/>
      <c r="BB232" s="65"/>
      <c r="BC232" s="65"/>
      <c r="BD232" s="65"/>
      <c r="BE232" s="65"/>
      <c r="BF232" s="65"/>
      <c r="BG232" s="65"/>
      <c r="BH232" s="65"/>
    </row>
    <row r="233" spans="1:60" x14ac:dyDescent="0.3">
      <c r="A233" s="65"/>
      <c r="J233" s="65"/>
      <c r="K233" s="65"/>
      <c r="L233" s="65"/>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c r="AQ233" s="65"/>
      <c r="AR233" s="65"/>
      <c r="AS233" s="65"/>
      <c r="AT233" s="65"/>
      <c r="AU233" s="65"/>
      <c r="AV233" s="65"/>
      <c r="AW233" s="65"/>
      <c r="AX233" s="65"/>
      <c r="AY233" s="65"/>
      <c r="AZ233" s="65"/>
      <c r="BA233" s="65"/>
      <c r="BB233" s="65"/>
      <c r="BC233" s="65"/>
      <c r="BD233" s="65"/>
      <c r="BE233" s="65"/>
      <c r="BF233" s="65"/>
      <c r="BG233" s="65"/>
      <c r="BH233" s="65"/>
    </row>
    <row r="234" spans="1:60" x14ac:dyDescent="0.3">
      <c r="A234" s="65"/>
      <c r="J234" s="65"/>
      <c r="K234" s="65"/>
      <c r="L234" s="65"/>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c r="AQ234" s="65"/>
      <c r="AR234" s="65"/>
      <c r="AS234" s="65"/>
      <c r="AT234" s="65"/>
      <c r="AU234" s="65"/>
      <c r="AV234" s="65"/>
      <c r="AW234" s="65"/>
      <c r="AX234" s="65"/>
      <c r="AY234" s="65"/>
      <c r="AZ234" s="65"/>
      <c r="BA234" s="65"/>
      <c r="BB234" s="65"/>
      <c r="BC234" s="65"/>
      <c r="BD234" s="65"/>
      <c r="BE234" s="65"/>
      <c r="BF234" s="65"/>
      <c r="BG234" s="65"/>
      <c r="BH234" s="65"/>
    </row>
    <row r="235" spans="1:60" x14ac:dyDescent="0.3">
      <c r="A235" s="65"/>
      <c r="J235" s="65"/>
      <c r="K235" s="65"/>
      <c r="L235" s="65"/>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c r="AQ235" s="65"/>
      <c r="AR235" s="65"/>
      <c r="AS235" s="65"/>
      <c r="AT235" s="65"/>
      <c r="AU235" s="65"/>
      <c r="AV235" s="65"/>
      <c r="AW235" s="65"/>
      <c r="AX235" s="65"/>
      <c r="AY235" s="65"/>
      <c r="AZ235" s="65"/>
      <c r="BA235" s="65"/>
      <c r="BB235" s="65"/>
      <c r="BC235" s="65"/>
      <c r="BD235" s="65"/>
      <c r="BE235" s="65"/>
      <c r="BF235" s="65"/>
      <c r="BG235" s="65"/>
      <c r="BH235" s="65"/>
    </row>
    <row r="236" spans="1:60" x14ac:dyDescent="0.3">
      <c r="A236" s="65"/>
      <c r="J236" s="65"/>
      <c r="K236" s="65"/>
      <c r="L236" s="65"/>
      <c r="M236" s="65"/>
      <c r="N236" s="65"/>
      <c r="O236" s="65"/>
      <c r="P236" s="65"/>
      <c r="Q236" s="65"/>
      <c r="R236" s="65"/>
      <c r="S236" s="65"/>
      <c r="T236" s="65"/>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c r="AQ236" s="65"/>
      <c r="AR236" s="65"/>
      <c r="AS236" s="65"/>
      <c r="AT236" s="65"/>
      <c r="AU236" s="65"/>
      <c r="AV236" s="65"/>
      <c r="AW236" s="65"/>
      <c r="AX236" s="65"/>
      <c r="AY236" s="65"/>
      <c r="AZ236" s="65"/>
      <c r="BA236" s="65"/>
      <c r="BB236" s="65"/>
      <c r="BC236" s="65"/>
      <c r="BD236" s="65"/>
      <c r="BE236" s="65"/>
      <c r="BF236" s="65"/>
      <c r="BG236" s="65"/>
      <c r="BH236" s="65"/>
    </row>
    <row r="237" spans="1:60" x14ac:dyDescent="0.3">
      <c r="A237" s="65"/>
      <c r="J237" s="65"/>
      <c r="K237" s="65"/>
      <c r="L237" s="65"/>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c r="AQ237" s="65"/>
      <c r="AR237" s="65"/>
      <c r="AS237" s="65"/>
      <c r="AT237" s="65"/>
      <c r="AU237" s="65"/>
      <c r="AV237" s="65"/>
      <c r="AW237" s="65"/>
      <c r="AX237" s="65"/>
      <c r="AY237" s="65"/>
      <c r="AZ237" s="65"/>
      <c r="BA237" s="65"/>
      <c r="BB237" s="65"/>
      <c r="BC237" s="65"/>
      <c r="BD237" s="65"/>
      <c r="BE237" s="65"/>
      <c r="BF237" s="65"/>
      <c r="BG237" s="65"/>
      <c r="BH237" s="65"/>
    </row>
    <row r="238" spans="1:60" x14ac:dyDescent="0.3">
      <c r="A238" s="65"/>
      <c r="J238" s="65"/>
      <c r="K238" s="65"/>
      <c r="L238" s="65"/>
      <c r="M238" s="65"/>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5"/>
      <c r="AM238" s="65"/>
      <c r="AN238" s="65"/>
      <c r="AO238" s="65"/>
      <c r="AP238" s="65"/>
      <c r="AQ238" s="65"/>
      <c r="AR238" s="65"/>
      <c r="AS238" s="65"/>
      <c r="AT238" s="65"/>
      <c r="AU238" s="65"/>
      <c r="AV238" s="65"/>
      <c r="AW238" s="65"/>
      <c r="AX238" s="65"/>
      <c r="AY238" s="65"/>
      <c r="AZ238" s="65"/>
      <c r="BA238" s="65"/>
      <c r="BB238" s="65"/>
      <c r="BC238" s="65"/>
      <c r="BD238" s="65"/>
      <c r="BE238" s="65"/>
      <c r="BF238" s="65"/>
      <c r="BG238" s="65"/>
      <c r="BH238" s="65"/>
    </row>
    <row r="239" spans="1:60" x14ac:dyDescent="0.3">
      <c r="A239" s="65"/>
      <c r="J239" s="65"/>
      <c r="K239" s="65"/>
      <c r="L239" s="65"/>
      <c r="M239" s="65"/>
      <c r="N239" s="65"/>
      <c r="O239" s="65"/>
      <c r="P239" s="65"/>
      <c r="Q239" s="65"/>
      <c r="R239" s="65"/>
      <c r="S239" s="65"/>
      <c r="T239" s="65"/>
      <c r="U239" s="65"/>
      <c r="V239" s="65"/>
      <c r="W239" s="65"/>
      <c r="X239" s="65"/>
      <c r="Y239" s="65"/>
      <c r="Z239" s="65"/>
      <c r="AA239" s="65"/>
      <c r="AB239" s="65"/>
      <c r="AC239" s="65"/>
      <c r="AD239" s="65"/>
      <c r="AE239" s="65"/>
      <c r="AF239" s="65"/>
      <c r="AG239" s="65"/>
      <c r="AH239" s="65"/>
      <c r="AI239" s="65"/>
      <c r="AJ239" s="65"/>
      <c r="AK239" s="65"/>
      <c r="AL239" s="65"/>
      <c r="AM239" s="65"/>
      <c r="AN239" s="65"/>
      <c r="AO239" s="65"/>
      <c r="AP239" s="65"/>
      <c r="AQ239" s="65"/>
      <c r="AR239" s="65"/>
      <c r="AS239" s="65"/>
      <c r="AT239" s="65"/>
      <c r="AU239" s="65"/>
      <c r="AV239" s="65"/>
      <c r="AW239" s="65"/>
      <c r="AX239" s="65"/>
      <c r="AY239" s="65"/>
      <c r="AZ239" s="65"/>
      <c r="BA239" s="65"/>
      <c r="BB239" s="65"/>
      <c r="BC239" s="65"/>
      <c r="BD239" s="65"/>
      <c r="BE239" s="65"/>
      <c r="BF239" s="65"/>
      <c r="BG239" s="65"/>
      <c r="BH239" s="65"/>
    </row>
    <row r="240" spans="1:60" x14ac:dyDescent="0.3">
      <c r="A240" s="65"/>
      <c r="J240" s="65"/>
      <c r="K240" s="65"/>
      <c r="L240" s="65"/>
      <c r="M240" s="65"/>
      <c r="N240" s="65"/>
      <c r="O240" s="65"/>
      <c r="P240" s="65"/>
      <c r="Q240" s="65"/>
      <c r="R240" s="65"/>
      <c r="S240" s="65"/>
      <c r="T240" s="65"/>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c r="AQ240" s="65"/>
      <c r="AR240" s="65"/>
      <c r="AS240" s="65"/>
      <c r="AT240" s="65"/>
      <c r="AU240" s="65"/>
      <c r="AV240" s="65"/>
      <c r="AW240" s="65"/>
      <c r="AX240" s="65"/>
      <c r="AY240" s="65"/>
      <c r="AZ240" s="65"/>
      <c r="BA240" s="65"/>
      <c r="BB240" s="65"/>
      <c r="BC240" s="65"/>
      <c r="BD240" s="65"/>
      <c r="BE240" s="65"/>
      <c r="BF240" s="65"/>
      <c r="BG240" s="65"/>
      <c r="BH240" s="65"/>
    </row>
    <row r="241" spans="1:60" x14ac:dyDescent="0.3">
      <c r="A241" s="65"/>
      <c r="J241" s="65"/>
      <c r="K241" s="65"/>
      <c r="L241" s="65"/>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c r="AQ241" s="65"/>
      <c r="AR241" s="65"/>
      <c r="AS241" s="65"/>
      <c r="AT241" s="65"/>
      <c r="AU241" s="65"/>
      <c r="AV241" s="65"/>
      <c r="AW241" s="65"/>
      <c r="AX241" s="65"/>
      <c r="AY241" s="65"/>
      <c r="AZ241" s="65"/>
      <c r="BA241" s="65"/>
      <c r="BB241" s="65"/>
      <c r="BC241" s="65"/>
      <c r="BD241" s="65"/>
      <c r="BE241" s="65"/>
      <c r="BF241" s="65"/>
      <c r="BG241" s="65"/>
      <c r="BH241" s="65"/>
    </row>
    <row r="242" spans="1:60" x14ac:dyDescent="0.3">
      <c r="A242" s="65"/>
      <c r="J242" s="65"/>
      <c r="K242" s="65"/>
      <c r="L242" s="65"/>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c r="AQ242" s="65"/>
      <c r="AR242" s="65"/>
      <c r="AS242" s="65"/>
      <c r="AT242" s="65"/>
      <c r="AU242" s="65"/>
      <c r="AV242" s="65"/>
      <c r="AW242" s="65"/>
      <c r="AX242" s="65"/>
      <c r="AY242" s="65"/>
      <c r="AZ242" s="65"/>
      <c r="BA242" s="65"/>
      <c r="BB242" s="65"/>
      <c r="BC242" s="65"/>
      <c r="BD242" s="65"/>
      <c r="BE242" s="65"/>
      <c r="BF242" s="65"/>
      <c r="BG242" s="65"/>
      <c r="BH242" s="65"/>
    </row>
    <row r="243" spans="1:60" x14ac:dyDescent="0.3">
      <c r="A243" s="65"/>
      <c r="J243" s="65"/>
      <c r="K243" s="65"/>
      <c r="L243" s="65"/>
      <c r="M243" s="65"/>
      <c r="N243" s="65"/>
      <c r="O243" s="65"/>
      <c r="P243" s="65"/>
      <c r="Q243" s="65"/>
      <c r="R243" s="65"/>
      <c r="S243" s="65"/>
      <c r="T243" s="65"/>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c r="AQ243" s="65"/>
      <c r="AR243" s="65"/>
      <c r="AS243" s="65"/>
      <c r="AT243" s="65"/>
      <c r="AU243" s="65"/>
      <c r="AV243" s="65"/>
      <c r="AW243" s="65"/>
      <c r="AX243" s="65"/>
      <c r="AY243" s="65"/>
      <c r="AZ243" s="65"/>
      <c r="BA243" s="65"/>
      <c r="BB243" s="65"/>
      <c r="BC243" s="65"/>
      <c r="BD243" s="65"/>
      <c r="BE243" s="65"/>
      <c r="BF243" s="65"/>
      <c r="BG243" s="65"/>
      <c r="BH243" s="65"/>
    </row>
    <row r="244" spans="1:60" x14ac:dyDescent="0.3">
      <c r="A244" s="65"/>
      <c r="J244" s="65"/>
      <c r="K244" s="65"/>
      <c r="L244" s="65"/>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c r="AQ244" s="65"/>
      <c r="AR244" s="65"/>
      <c r="AS244" s="65"/>
      <c r="AT244" s="65"/>
      <c r="AU244" s="65"/>
      <c r="AV244" s="65"/>
      <c r="AW244" s="65"/>
      <c r="AX244" s="65"/>
      <c r="AY244" s="65"/>
      <c r="AZ244" s="65"/>
      <c r="BA244" s="65"/>
      <c r="BB244" s="65"/>
      <c r="BC244" s="65"/>
      <c r="BD244" s="65"/>
      <c r="BE244" s="65"/>
      <c r="BF244" s="65"/>
      <c r="BG244" s="65"/>
      <c r="BH244" s="65"/>
    </row>
    <row r="245" spans="1:60" x14ac:dyDescent="0.3">
      <c r="A245" s="65"/>
    </row>
    <row r="246" spans="1:60" x14ac:dyDescent="0.3">
      <c r="A246" s="65"/>
    </row>
    <row r="247" spans="1:60" x14ac:dyDescent="0.3">
      <c r="A247" s="65"/>
    </row>
    <row r="248" spans="1:60" x14ac:dyDescent="0.3">
      <c r="A248" s="65"/>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rgb="FF00B0F0"/>
  </sheetPr>
  <dimension ref="A1:AK55"/>
  <sheetViews>
    <sheetView zoomScale="66" zoomScaleNormal="66" workbookViewId="0">
      <selection activeCell="C8" sqref="C8"/>
    </sheetView>
  </sheetViews>
  <sheetFormatPr baseColWidth="10" defaultRowHeight="14.4" x14ac:dyDescent="0.3"/>
  <cols>
    <col min="2" max="2" width="24.109375" customWidth="1"/>
    <col min="3" max="3" width="70.109375" customWidth="1"/>
    <col min="4" max="4" width="29.88671875" customWidth="1"/>
  </cols>
  <sheetData>
    <row r="1" spans="1:37" ht="23.4" x14ac:dyDescent="0.3">
      <c r="A1" s="65"/>
      <c r="B1" s="716" t="s">
        <v>55</v>
      </c>
      <c r="C1" s="716"/>
      <c r="D1" s="716"/>
      <c r="E1" s="65"/>
      <c r="F1" s="65"/>
      <c r="G1" s="65"/>
      <c r="H1" s="65"/>
      <c r="I1" s="65"/>
      <c r="J1" s="65"/>
      <c r="K1" s="65"/>
      <c r="L1" s="65"/>
      <c r="M1" s="65"/>
      <c r="N1" s="65"/>
      <c r="O1" s="65"/>
      <c r="P1" s="65"/>
      <c r="Q1" s="65"/>
      <c r="R1" s="65"/>
      <c r="S1" s="65"/>
      <c r="T1" s="65"/>
      <c r="U1" s="65"/>
      <c r="V1" s="65"/>
      <c r="W1" s="65"/>
      <c r="X1" s="65"/>
      <c r="Y1" s="65"/>
      <c r="Z1" s="65"/>
      <c r="AA1" s="65"/>
      <c r="AB1" s="65"/>
      <c r="AC1" s="65"/>
      <c r="AD1" s="65"/>
      <c r="AE1" s="65"/>
    </row>
    <row r="2" spans="1:37" x14ac:dyDescent="0.3">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row>
    <row r="3" spans="1:37" ht="25.2" x14ac:dyDescent="0.3">
      <c r="A3" s="65"/>
      <c r="B3" s="10"/>
      <c r="C3" s="11" t="s">
        <v>52</v>
      </c>
      <c r="D3" s="11" t="s">
        <v>4</v>
      </c>
      <c r="E3" s="65"/>
      <c r="F3" s="65"/>
      <c r="G3" s="65"/>
      <c r="H3" s="65"/>
      <c r="I3" s="65"/>
      <c r="J3" s="65"/>
      <c r="K3" s="65"/>
      <c r="L3" s="65"/>
      <c r="M3" s="65"/>
      <c r="N3" s="65"/>
      <c r="O3" s="65"/>
      <c r="P3" s="65"/>
      <c r="Q3" s="65"/>
      <c r="R3" s="65"/>
      <c r="S3" s="65"/>
      <c r="T3" s="65"/>
      <c r="U3" s="65"/>
      <c r="V3" s="65"/>
      <c r="W3" s="65"/>
      <c r="X3" s="65"/>
      <c r="Y3" s="65"/>
      <c r="Z3" s="65"/>
      <c r="AA3" s="65"/>
      <c r="AB3" s="65"/>
      <c r="AC3" s="65"/>
      <c r="AD3" s="65"/>
      <c r="AE3" s="65"/>
    </row>
    <row r="4" spans="1:37" ht="50.4" x14ac:dyDescent="0.3">
      <c r="A4" s="65"/>
      <c r="B4" s="12" t="s">
        <v>51</v>
      </c>
      <c r="C4" s="13" t="s">
        <v>97</v>
      </c>
      <c r="D4" s="14">
        <v>0.2</v>
      </c>
      <c r="E4" s="65"/>
      <c r="F4" s="65"/>
      <c r="G4" s="65"/>
      <c r="H4" s="65"/>
      <c r="I4" s="65"/>
      <c r="J4" s="65"/>
      <c r="K4" s="65"/>
      <c r="L4" s="65"/>
      <c r="M4" s="65"/>
      <c r="N4" s="65"/>
      <c r="O4" s="65"/>
      <c r="P4" s="65"/>
      <c r="Q4" s="65"/>
      <c r="R4" s="65"/>
      <c r="S4" s="65"/>
      <c r="T4" s="65"/>
      <c r="U4" s="65"/>
      <c r="V4" s="65"/>
      <c r="W4" s="65"/>
      <c r="X4" s="65"/>
      <c r="Y4" s="65"/>
      <c r="Z4" s="65"/>
      <c r="AA4" s="65"/>
      <c r="AB4" s="65"/>
      <c r="AC4" s="65"/>
      <c r="AD4" s="65"/>
      <c r="AE4" s="65"/>
    </row>
    <row r="5" spans="1:37" ht="50.4" x14ac:dyDescent="0.3">
      <c r="A5" s="65"/>
      <c r="B5" s="15" t="s">
        <v>53</v>
      </c>
      <c r="C5" s="16" t="s">
        <v>98</v>
      </c>
      <c r="D5" s="17">
        <v>0.4</v>
      </c>
      <c r="E5" s="65"/>
      <c r="F5" s="65"/>
      <c r="G5" s="65"/>
      <c r="H5" s="65"/>
      <c r="I5" s="65"/>
      <c r="J5" s="65"/>
      <c r="K5" s="65"/>
      <c r="L5" s="65"/>
      <c r="M5" s="65"/>
      <c r="N5" s="65"/>
      <c r="O5" s="65"/>
      <c r="P5" s="65"/>
      <c r="Q5" s="65"/>
      <c r="R5" s="65"/>
      <c r="S5" s="65"/>
      <c r="T5" s="65"/>
      <c r="U5" s="65"/>
      <c r="V5" s="65"/>
      <c r="W5" s="65"/>
      <c r="X5" s="65"/>
      <c r="Y5" s="65"/>
      <c r="Z5" s="65"/>
      <c r="AA5" s="65"/>
      <c r="AB5" s="65"/>
      <c r="AC5" s="65"/>
      <c r="AD5" s="65"/>
      <c r="AE5" s="65"/>
    </row>
    <row r="6" spans="1:37" ht="50.4" x14ac:dyDescent="0.3">
      <c r="A6" s="65"/>
      <c r="B6" s="18" t="s">
        <v>102</v>
      </c>
      <c r="C6" s="16" t="s">
        <v>99</v>
      </c>
      <c r="D6" s="17">
        <v>0.6</v>
      </c>
      <c r="E6" s="65"/>
      <c r="F6" s="65"/>
      <c r="G6" s="65"/>
      <c r="H6" s="65"/>
      <c r="I6" s="65"/>
      <c r="J6" s="65"/>
      <c r="K6" s="65"/>
      <c r="L6" s="65"/>
      <c r="M6" s="65"/>
      <c r="N6" s="65"/>
      <c r="O6" s="65"/>
      <c r="P6" s="65"/>
      <c r="Q6" s="65"/>
      <c r="R6" s="65"/>
      <c r="S6" s="65"/>
      <c r="T6" s="65"/>
      <c r="U6" s="65"/>
      <c r="V6" s="65"/>
      <c r="W6" s="65"/>
      <c r="X6" s="65"/>
      <c r="Y6" s="65"/>
      <c r="Z6" s="65"/>
      <c r="AA6" s="65"/>
      <c r="AB6" s="65"/>
      <c r="AC6" s="65"/>
      <c r="AD6" s="65"/>
      <c r="AE6" s="65"/>
    </row>
    <row r="7" spans="1:37" ht="75.599999999999994" x14ac:dyDescent="0.3">
      <c r="A7" s="65"/>
      <c r="B7" s="19" t="s">
        <v>6</v>
      </c>
      <c r="C7" s="16" t="s">
        <v>100</v>
      </c>
      <c r="D7" s="17">
        <v>0.8</v>
      </c>
      <c r="E7" s="65"/>
      <c r="F7" s="65"/>
      <c r="G7" s="65"/>
      <c r="H7" s="65"/>
      <c r="I7" s="65"/>
      <c r="J7" s="65"/>
      <c r="K7" s="65"/>
      <c r="L7" s="65"/>
      <c r="M7" s="65"/>
      <c r="N7" s="65"/>
      <c r="O7" s="65"/>
      <c r="P7" s="65"/>
      <c r="Q7" s="65"/>
      <c r="R7" s="65"/>
      <c r="S7" s="65"/>
      <c r="T7" s="65"/>
      <c r="U7" s="65"/>
      <c r="V7" s="65"/>
      <c r="W7" s="65"/>
      <c r="X7" s="65"/>
      <c r="Y7" s="65"/>
      <c r="Z7" s="65"/>
      <c r="AA7" s="65"/>
      <c r="AB7" s="65"/>
      <c r="AC7" s="65"/>
      <c r="AD7" s="65"/>
      <c r="AE7" s="65"/>
    </row>
    <row r="8" spans="1:37" ht="50.4" x14ac:dyDescent="0.3">
      <c r="A8" s="65"/>
      <c r="B8" s="20" t="s">
        <v>54</v>
      </c>
      <c r="C8" s="16" t="s">
        <v>101</v>
      </c>
      <c r="D8" s="17">
        <v>1</v>
      </c>
      <c r="E8" s="65"/>
      <c r="F8" s="65"/>
      <c r="G8" s="65"/>
      <c r="H8" s="65"/>
      <c r="I8" s="65"/>
      <c r="J8" s="65"/>
      <c r="K8" s="65"/>
      <c r="L8" s="65"/>
      <c r="M8" s="65"/>
      <c r="N8" s="65"/>
      <c r="O8" s="65"/>
      <c r="P8" s="65"/>
      <c r="Q8" s="65"/>
      <c r="R8" s="65"/>
      <c r="S8" s="65"/>
      <c r="T8" s="65"/>
      <c r="U8" s="65"/>
      <c r="V8" s="65"/>
      <c r="W8" s="65"/>
      <c r="X8" s="65"/>
      <c r="Y8" s="65"/>
      <c r="Z8" s="65"/>
      <c r="AA8" s="65"/>
      <c r="AB8" s="65"/>
      <c r="AC8" s="65"/>
      <c r="AD8" s="65"/>
      <c r="AE8" s="65"/>
    </row>
    <row r="9" spans="1:37" x14ac:dyDescent="0.3">
      <c r="A9" s="65"/>
      <c r="B9" s="87"/>
      <c r="C9" s="87"/>
      <c r="D9" s="87"/>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row>
    <row r="10" spans="1:37" x14ac:dyDescent="0.3">
      <c r="A10" s="65"/>
      <c r="B10" s="88"/>
      <c r="C10" s="87"/>
      <c r="D10" s="87"/>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row>
    <row r="11" spans="1:37" x14ac:dyDescent="0.3">
      <c r="A11" s="65"/>
      <c r="B11" s="87"/>
      <c r="C11" s="87"/>
      <c r="D11" s="87"/>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row>
    <row r="12" spans="1:37" x14ac:dyDescent="0.3">
      <c r="A12" s="65"/>
      <c r="B12" s="87"/>
      <c r="C12" s="87"/>
      <c r="D12" s="87"/>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row>
    <row r="13" spans="1:37" x14ac:dyDescent="0.3">
      <c r="A13" s="65"/>
      <c r="B13" s="87"/>
      <c r="C13" s="87"/>
      <c r="D13" s="87"/>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row>
    <row r="14" spans="1:37" x14ac:dyDescent="0.3">
      <c r="A14" s="65"/>
      <c r="B14" s="87"/>
      <c r="C14" s="87"/>
      <c r="D14" s="87"/>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row>
    <row r="15" spans="1:37" x14ac:dyDescent="0.3">
      <c r="A15" s="65"/>
      <c r="B15" s="87"/>
      <c r="C15" s="87"/>
      <c r="D15" s="87"/>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row>
    <row r="16" spans="1:37" x14ac:dyDescent="0.3">
      <c r="A16" s="65"/>
      <c r="B16" s="87"/>
      <c r="C16" s="87"/>
      <c r="D16" s="87"/>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row>
    <row r="17" spans="1:37" x14ac:dyDescent="0.3">
      <c r="A17" s="65"/>
      <c r="B17" s="87"/>
      <c r="C17" s="87"/>
      <c r="D17" s="87"/>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row>
    <row r="18" spans="1:37" x14ac:dyDescent="0.3">
      <c r="A18" s="65"/>
      <c r="B18" s="87"/>
      <c r="C18" s="87"/>
      <c r="D18" s="87"/>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row>
    <row r="19" spans="1:37" x14ac:dyDescent="0.3">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row>
    <row r="20" spans="1:37" x14ac:dyDescent="0.3">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row>
    <row r="21" spans="1:37" x14ac:dyDescent="0.3">
      <c r="A21" s="65"/>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row>
    <row r="22" spans="1:37" x14ac:dyDescent="0.3">
      <c r="A22" s="65"/>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row>
    <row r="23" spans="1:37" x14ac:dyDescent="0.3">
      <c r="A23" s="6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row>
    <row r="24" spans="1:37" x14ac:dyDescent="0.3">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row>
    <row r="25" spans="1:37" x14ac:dyDescent="0.3">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row>
    <row r="26" spans="1:37" x14ac:dyDescent="0.3">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row>
    <row r="27" spans="1:37" x14ac:dyDescent="0.3">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row>
    <row r="28" spans="1:37" x14ac:dyDescent="0.3">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row>
    <row r="29" spans="1:37" x14ac:dyDescent="0.3">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row>
    <row r="30" spans="1:37" x14ac:dyDescent="0.3">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row>
    <row r="31" spans="1:37" x14ac:dyDescent="0.3">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row>
    <row r="32" spans="1:37" x14ac:dyDescent="0.3">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row>
    <row r="33" spans="1:31" x14ac:dyDescent="0.3">
      <c r="A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row>
    <row r="34" spans="1:31" x14ac:dyDescent="0.3">
      <c r="A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row>
    <row r="35" spans="1:31" x14ac:dyDescent="0.3">
      <c r="A35" s="65"/>
    </row>
    <row r="36" spans="1:31" x14ac:dyDescent="0.3">
      <c r="A36" s="65"/>
    </row>
    <row r="37" spans="1:31" x14ac:dyDescent="0.3">
      <c r="A37" s="65"/>
    </row>
    <row r="38" spans="1:31" x14ac:dyDescent="0.3">
      <c r="A38" s="65"/>
    </row>
    <row r="39" spans="1:31" x14ac:dyDescent="0.3">
      <c r="A39" s="65"/>
    </row>
    <row r="40" spans="1:31" x14ac:dyDescent="0.3">
      <c r="A40" s="65"/>
    </row>
    <row r="41" spans="1:31" x14ac:dyDescent="0.3">
      <c r="A41" s="65"/>
    </row>
    <row r="42" spans="1:31" x14ac:dyDescent="0.3">
      <c r="A42" s="65"/>
    </row>
    <row r="43" spans="1:31" x14ac:dyDescent="0.3">
      <c r="A43" s="65"/>
    </row>
    <row r="44" spans="1:31" x14ac:dyDescent="0.3">
      <c r="A44" s="65"/>
    </row>
    <row r="45" spans="1:31" x14ac:dyDescent="0.3">
      <c r="A45" s="65"/>
    </row>
    <row r="46" spans="1:31" x14ac:dyDescent="0.3">
      <c r="A46" s="65"/>
    </row>
    <row r="47" spans="1:31" x14ac:dyDescent="0.3">
      <c r="A47" s="65"/>
    </row>
    <row r="48" spans="1:31" x14ac:dyDescent="0.3">
      <c r="A48" s="65"/>
    </row>
    <row r="49" spans="1:1" x14ac:dyDescent="0.3">
      <c r="A49" s="65"/>
    </row>
    <row r="50" spans="1:1" x14ac:dyDescent="0.3">
      <c r="A50" s="65"/>
    </row>
    <row r="51" spans="1:1" x14ac:dyDescent="0.3">
      <c r="A51" s="65"/>
    </row>
    <row r="52" spans="1:1" x14ac:dyDescent="0.3">
      <c r="A52" s="65"/>
    </row>
    <row r="53" spans="1:1" x14ac:dyDescent="0.3">
      <c r="A53" s="65"/>
    </row>
    <row r="54" spans="1:1" x14ac:dyDescent="0.3">
      <c r="A54" s="65"/>
    </row>
    <row r="55" spans="1:1" x14ac:dyDescent="0.3">
      <c r="A55" s="65"/>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6" tint="-0.249977111117893"/>
  </sheetPr>
  <dimension ref="A1:U224"/>
  <sheetViews>
    <sheetView zoomScale="70" zoomScaleNormal="70" workbookViewId="0">
      <selection activeCell="D7" sqref="D7"/>
    </sheetView>
  </sheetViews>
  <sheetFormatPr baseColWidth="10" defaultColWidth="11.44140625" defaultRowHeight="14.4" x14ac:dyDescent="0.3"/>
  <cols>
    <col min="1" max="1" width="11.44140625" style="21"/>
    <col min="2" max="2" width="40.44140625" style="21" customWidth="1"/>
    <col min="3" max="3" width="74.88671875" style="21" customWidth="1"/>
    <col min="4" max="4" width="135" style="21" bestFit="1" customWidth="1"/>
    <col min="5" max="5" width="137.88671875" style="21" customWidth="1"/>
    <col min="6" max="16384" width="11.44140625" style="21"/>
  </cols>
  <sheetData>
    <row r="1" spans="1:21" ht="32.4" x14ac:dyDescent="0.3">
      <c r="A1" s="87"/>
      <c r="B1" s="717" t="s">
        <v>62</v>
      </c>
      <c r="C1" s="717"/>
      <c r="D1" s="717"/>
      <c r="E1" s="87"/>
      <c r="F1" s="87"/>
      <c r="G1" s="87"/>
      <c r="H1" s="87"/>
      <c r="I1" s="87"/>
      <c r="J1" s="87"/>
      <c r="K1" s="87"/>
      <c r="L1" s="87"/>
      <c r="M1" s="87"/>
      <c r="N1" s="87"/>
      <c r="O1" s="87"/>
      <c r="P1" s="87"/>
      <c r="Q1" s="87"/>
      <c r="R1" s="87"/>
      <c r="S1" s="87"/>
      <c r="T1" s="87"/>
      <c r="U1" s="87"/>
    </row>
    <row r="2" spans="1:21" x14ac:dyDescent="0.3">
      <c r="A2" s="87"/>
      <c r="B2" s="87"/>
      <c r="C2" s="87"/>
      <c r="D2" s="87"/>
      <c r="E2" s="87"/>
      <c r="F2" s="87"/>
      <c r="G2" s="87"/>
      <c r="H2" s="87"/>
      <c r="I2" s="87"/>
      <c r="J2" s="87"/>
      <c r="K2" s="87"/>
      <c r="L2" s="87"/>
      <c r="M2" s="87"/>
      <c r="N2" s="87"/>
      <c r="O2" s="87"/>
      <c r="P2" s="87"/>
      <c r="Q2" s="87"/>
      <c r="R2" s="87"/>
      <c r="S2" s="87"/>
      <c r="T2" s="87"/>
      <c r="U2" s="87"/>
    </row>
    <row r="3" spans="1:21" ht="30" x14ac:dyDescent="0.3">
      <c r="A3" s="87"/>
      <c r="B3" s="86"/>
      <c r="C3" s="120" t="s">
        <v>56</v>
      </c>
      <c r="D3" s="120" t="s">
        <v>57</v>
      </c>
      <c r="E3" s="87"/>
      <c r="F3" s="87"/>
      <c r="G3" s="87"/>
      <c r="H3" s="87"/>
      <c r="I3" s="87"/>
      <c r="J3" s="87"/>
      <c r="K3" s="87"/>
      <c r="L3" s="87"/>
      <c r="M3" s="87"/>
      <c r="N3" s="87"/>
      <c r="O3" s="87"/>
      <c r="P3" s="87"/>
      <c r="Q3" s="87"/>
      <c r="R3" s="87"/>
      <c r="S3" s="87"/>
      <c r="T3" s="87"/>
      <c r="U3" s="87"/>
    </row>
    <row r="4" spans="1:21" ht="32.4" x14ac:dyDescent="0.3">
      <c r="A4" s="87" t="s">
        <v>82</v>
      </c>
      <c r="B4" s="121" t="s">
        <v>96</v>
      </c>
      <c r="C4" s="122" t="s">
        <v>205</v>
      </c>
      <c r="D4" s="123" t="s">
        <v>92</v>
      </c>
      <c r="E4" s="87"/>
      <c r="F4" s="87"/>
      <c r="G4" s="87"/>
      <c r="H4" s="87"/>
      <c r="I4" s="87"/>
      <c r="J4" s="87"/>
      <c r="K4" s="87"/>
      <c r="L4" s="87"/>
      <c r="M4" s="87"/>
      <c r="N4" s="87"/>
      <c r="O4" s="87"/>
      <c r="P4" s="87"/>
      <c r="Q4" s="87"/>
      <c r="R4" s="87"/>
      <c r="S4" s="87"/>
      <c r="T4" s="87"/>
      <c r="U4" s="87"/>
    </row>
    <row r="5" spans="1:21" ht="64.8" x14ac:dyDescent="0.3">
      <c r="A5" s="87" t="s">
        <v>83</v>
      </c>
      <c r="B5" s="124" t="s">
        <v>58</v>
      </c>
      <c r="C5" s="125" t="s">
        <v>206</v>
      </c>
      <c r="D5" s="126" t="s">
        <v>93</v>
      </c>
      <c r="E5" s="87"/>
      <c r="F5" s="87"/>
      <c r="G5" s="87"/>
      <c r="H5" s="87"/>
      <c r="I5" s="87"/>
      <c r="J5" s="87"/>
      <c r="K5" s="87"/>
      <c r="L5" s="87"/>
      <c r="M5" s="87"/>
      <c r="N5" s="87"/>
      <c r="O5" s="87"/>
      <c r="P5" s="87"/>
      <c r="Q5" s="87"/>
      <c r="R5" s="87"/>
      <c r="S5" s="87"/>
      <c r="T5" s="87"/>
      <c r="U5" s="87"/>
    </row>
    <row r="6" spans="1:21" ht="64.8" x14ac:dyDescent="0.3">
      <c r="A6" s="87" t="s">
        <v>80</v>
      </c>
      <c r="B6" s="127" t="s">
        <v>59</v>
      </c>
      <c r="C6" s="125" t="s">
        <v>210</v>
      </c>
      <c r="D6" s="126" t="s">
        <v>95</v>
      </c>
      <c r="E6" s="87"/>
      <c r="F6" s="87"/>
      <c r="G6" s="87"/>
      <c r="H6" s="87"/>
      <c r="I6" s="87"/>
      <c r="J6" s="87"/>
      <c r="K6" s="87"/>
      <c r="L6" s="87"/>
      <c r="M6" s="87"/>
      <c r="N6" s="87"/>
      <c r="O6" s="87"/>
      <c r="P6" s="87"/>
      <c r="Q6" s="87"/>
      <c r="R6" s="87"/>
      <c r="S6" s="87"/>
      <c r="T6" s="87"/>
      <c r="U6" s="87"/>
    </row>
    <row r="7" spans="1:21" ht="97.2" x14ac:dyDescent="0.3">
      <c r="A7" s="87" t="s">
        <v>7</v>
      </c>
      <c r="B7" s="128" t="s">
        <v>60</v>
      </c>
      <c r="C7" s="125" t="s">
        <v>211</v>
      </c>
      <c r="D7" s="126" t="s">
        <v>94</v>
      </c>
      <c r="E7" s="87"/>
      <c r="F7" s="87"/>
      <c r="G7" s="87"/>
      <c r="H7" s="87"/>
      <c r="I7" s="87"/>
      <c r="J7" s="87"/>
      <c r="K7" s="87"/>
      <c r="L7" s="87"/>
      <c r="M7" s="87"/>
      <c r="N7" s="87"/>
      <c r="O7" s="87"/>
      <c r="P7" s="87"/>
      <c r="Q7" s="87"/>
      <c r="R7" s="87"/>
      <c r="S7" s="87"/>
      <c r="T7" s="87"/>
      <c r="U7" s="87"/>
    </row>
    <row r="8" spans="1:21" ht="64.8" x14ac:dyDescent="0.3">
      <c r="A8" s="87" t="s">
        <v>84</v>
      </c>
      <c r="B8" s="129" t="s">
        <v>61</v>
      </c>
      <c r="C8" s="125" t="s">
        <v>207</v>
      </c>
      <c r="D8" s="126" t="s">
        <v>113</v>
      </c>
      <c r="E8" s="87"/>
      <c r="F8" s="87"/>
      <c r="G8" s="87"/>
      <c r="H8" s="87"/>
      <c r="I8" s="87"/>
      <c r="J8" s="87"/>
      <c r="K8" s="87"/>
      <c r="L8" s="87"/>
      <c r="M8" s="87"/>
      <c r="N8" s="87"/>
      <c r="O8" s="87"/>
      <c r="P8" s="87"/>
      <c r="Q8" s="87"/>
      <c r="R8" s="87"/>
      <c r="S8" s="87"/>
      <c r="T8" s="87"/>
      <c r="U8" s="87"/>
    </row>
    <row r="9" spans="1:21" s="22" customFormat="1" ht="20.399999999999999" x14ac:dyDescent="0.3">
      <c r="A9" s="85"/>
      <c r="B9" s="85"/>
      <c r="C9" s="132"/>
      <c r="D9" s="132"/>
      <c r="E9" s="85"/>
      <c r="F9" s="85"/>
      <c r="G9" s="85"/>
      <c r="H9" s="85"/>
      <c r="I9" s="85"/>
      <c r="J9" s="85"/>
      <c r="K9" s="85"/>
      <c r="L9" s="85"/>
      <c r="M9" s="85"/>
      <c r="N9" s="85"/>
      <c r="O9" s="85"/>
      <c r="P9" s="85"/>
      <c r="Q9" s="85"/>
      <c r="R9" s="85"/>
      <c r="S9" s="85"/>
      <c r="T9" s="85"/>
      <c r="U9" s="85"/>
    </row>
    <row r="10" spans="1:21" s="22" customFormat="1" x14ac:dyDescent="0.3">
      <c r="A10" s="85"/>
      <c r="B10" s="133"/>
      <c r="C10" s="133"/>
      <c r="D10" s="133"/>
      <c r="E10" s="85"/>
      <c r="F10" s="85"/>
      <c r="G10" s="85"/>
      <c r="H10" s="85"/>
      <c r="I10" s="85"/>
      <c r="J10" s="85"/>
      <c r="K10" s="85"/>
      <c r="L10" s="85"/>
      <c r="M10" s="85"/>
      <c r="N10" s="85"/>
      <c r="O10" s="85"/>
      <c r="P10" s="85"/>
      <c r="Q10" s="85"/>
      <c r="R10" s="85"/>
      <c r="S10" s="85"/>
      <c r="T10" s="85"/>
      <c r="U10" s="85"/>
    </row>
    <row r="11" spans="1:21" s="22" customFormat="1" x14ac:dyDescent="0.3">
      <c r="A11" s="85"/>
      <c r="B11" s="85" t="s">
        <v>90</v>
      </c>
      <c r="C11" s="85" t="s">
        <v>209</v>
      </c>
      <c r="D11" s="85" t="s">
        <v>143</v>
      </c>
      <c r="E11" s="85"/>
      <c r="F11" s="85"/>
      <c r="G11" s="85"/>
      <c r="H11" s="85"/>
      <c r="I11" s="85"/>
      <c r="J11" s="85"/>
      <c r="K11" s="85"/>
      <c r="L11" s="85"/>
      <c r="M11" s="85"/>
      <c r="N11" s="85"/>
      <c r="O11" s="85"/>
      <c r="P11" s="85"/>
      <c r="Q11" s="85"/>
      <c r="R11" s="85"/>
      <c r="S11" s="85"/>
      <c r="T11" s="85"/>
      <c r="U11" s="85"/>
    </row>
    <row r="12" spans="1:21" s="22" customFormat="1" x14ac:dyDescent="0.3">
      <c r="A12" s="85"/>
      <c r="B12" s="85" t="s">
        <v>88</v>
      </c>
      <c r="C12" s="85" t="s">
        <v>208</v>
      </c>
      <c r="D12" s="85" t="s">
        <v>144</v>
      </c>
      <c r="E12" s="85"/>
      <c r="F12" s="85"/>
      <c r="G12" s="85"/>
      <c r="H12" s="85"/>
      <c r="I12" s="85"/>
      <c r="J12" s="85"/>
      <c r="K12" s="85"/>
      <c r="L12" s="85"/>
      <c r="M12" s="85"/>
      <c r="N12" s="85"/>
      <c r="O12" s="85"/>
      <c r="P12" s="85"/>
      <c r="Q12" s="85"/>
      <c r="R12" s="85"/>
      <c r="S12" s="85"/>
      <c r="T12" s="85"/>
      <c r="U12" s="85"/>
    </row>
    <row r="13" spans="1:21" s="22" customFormat="1" x14ac:dyDescent="0.3">
      <c r="A13" s="85"/>
      <c r="B13" s="85"/>
      <c r="C13" s="85" t="s">
        <v>212</v>
      </c>
      <c r="D13" s="85" t="s">
        <v>145</v>
      </c>
      <c r="E13" s="85"/>
      <c r="F13" s="85"/>
      <c r="G13" s="85"/>
      <c r="H13" s="85"/>
      <c r="I13" s="85"/>
      <c r="J13" s="85"/>
      <c r="K13" s="85"/>
      <c r="L13" s="85"/>
      <c r="M13" s="85"/>
      <c r="N13" s="85"/>
      <c r="O13" s="85"/>
      <c r="P13" s="85"/>
      <c r="Q13" s="85"/>
      <c r="R13" s="85"/>
      <c r="S13" s="85"/>
      <c r="T13" s="85"/>
      <c r="U13" s="85"/>
    </row>
    <row r="14" spans="1:21" s="22" customFormat="1" x14ac:dyDescent="0.3">
      <c r="A14" s="85"/>
      <c r="B14" s="85"/>
      <c r="C14" s="85" t="s">
        <v>214</v>
      </c>
      <c r="D14" s="85" t="s">
        <v>146</v>
      </c>
      <c r="E14" s="85"/>
      <c r="F14" s="85"/>
      <c r="G14" s="85"/>
      <c r="H14" s="85"/>
      <c r="I14" s="85"/>
      <c r="J14" s="85"/>
      <c r="K14" s="85"/>
      <c r="L14" s="85"/>
      <c r="M14" s="85"/>
      <c r="N14" s="85"/>
      <c r="O14" s="85"/>
      <c r="P14" s="85"/>
      <c r="Q14" s="85"/>
      <c r="R14" s="85"/>
      <c r="S14" s="85"/>
      <c r="T14" s="85"/>
      <c r="U14" s="85"/>
    </row>
    <row r="15" spans="1:21" s="22" customFormat="1" x14ac:dyDescent="0.3">
      <c r="A15" s="85"/>
      <c r="B15" s="85"/>
      <c r="C15" s="85" t="s">
        <v>213</v>
      </c>
      <c r="D15" s="85" t="s">
        <v>147</v>
      </c>
      <c r="E15" s="85"/>
      <c r="F15" s="85"/>
      <c r="G15" s="85"/>
      <c r="H15" s="85"/>
      <c r="I15" s="85"/>
      <c r="J15" s="85"/>
      <c r="K15" s="85"/>
      <c r="L15" s="85"/>
      <c r="M15" s="85"/>
      <c r="N15" s="85"/>
      <c r="O15" s="85"/>
      <c r="P15" s="85"/>
      <c r="Q15" s="85"/>
      <c r="R15" s="85"/>
      <c r="S15" s="85"/>
      <c r="T15" s="85"/>
      <c r="U15" s="85"/>
    </row>
    <row r="16" spans="1:21" s="22" customFormat="1" x14ac:dyDescent="0.3">
      <c r="A16" s="85"/>
      <c r="B16" s="85"/>
      <c r="C16" s="85"/>
      <c r="D16" s="85"/>
      <c r="E16" s="85"/>
      <c r="F16" s="85"/>
      <c r="G16" s="85"/>
      <c r="H16" s="85"/>
      <c r="I16" s="85"/>
      <c r="J16" s="85"/>
      <c r="K16" s="85"/>
      <c r="L16" s="85"/>
      <c r="M16" s="85"/>
      <c r="N16" s="85"/>
      <c r="O16" s="85"/>
    </row>
    <row r="17" spans="1:15" s="22" customFormat="1" x14ac:dyDescent="0.3">
      <c r="A17" s="85"/>
      <c r="B17" s="85"/>
      <c r="C17" s="85"/>
      <c r="D17" s="85"/>
      <c r="E17" s="85"/>
      <c r="F17" s="85"/>
      <c r="G17" s="85"/>
      <c r="H17" s="85"/>
      <c r="I17" s="85"/>
      <c r="J17" s="85"/>
      <c r="K17" s="85"/>
      <c r="L17" s="85"/>
      <c r="M17" s="85"/>
      <c r="N17" s="85"/>
      <c r="O17" s="85"/>
    </row>
    <row r="18" spans="1:15" s="22" customFormat="1" x14ac:dyDescent="0.3">
      <c r="A18" s="85"/>
      <c r="B18" s="85"/>
      <c r="C18" s="85"/>
      <c r="D18" s="85"/>
      <c r="E18" s="85"/>
      <c r="F18" s="85"/>
      <c r="G18" s="85"/>
      <c r="H18" s="85"/>
      <c r="I18" s="85"/>
      <c r="J18" s="85"/>
      <c r="K18" s="85"/>
      <c r="L18" s="85"/>
      <c r="M18" s="85"/>
      <c r="N18" s="85"/>
      <c r="O18" s="85"/>
    </row>
    <row r="19" spans="1:15" s="22" customFormat="1" x14ac:dyDescent="0.3">
      <c r="A19" s="85"/>
      <c r="B19" s="85"/>
      <c r="C19" s="85"/>
      <c r="D19" s="85"/>
      <c r="E19" s="85"/>
      <c r="F19" s="85"/>
      <c r="G19" s="85"/>
      <c r="H19" s="85"/>
      <c r="I19" s="85"/>
      <c r="J19" s="85"/>
      <c r="K19" s="85"/>
      <c r="L19" s="85"/>
      <c r="M19" s="85"/>
      <c r="N19" s="85"/>
      <c r="O19" s="85"/>
    </row>
    <row r="20" spans="1:15" s="22" customFormat="1" x14ac:dyDescent="0.3">
      <c r="A20" s="85"/>
      <c r="B20" s="85"/>
      <c r="C20" s="85"/>
      <c r="D20" s="85"/>
      <c r="E20" s="85"/>
      <c r="F20" s="85"/>
      <c r="G20" s="85"/>
      <c r="H20" s="85"/>
      <c r="I20" s="85"/>
      <c r="J20" s="85"/>
      <c r="K20" s="85"/>
      <c r="L20" s="85"/>
      <c r="M20" s="85"/>
      <c r="N20" s="85"/>
      <c r="O20" s="85"/>
    </row>
    <row r="21" spans="1:15" s="22" customFormat="1" x14ac:dyDescent="0.3">
      <c r="A21" s="85"/>
      <c r="B21" s="85"/>
      <c r="C21" s="85"/>
      <c r="D21" s="85"/>
      <c r="E21" s="85"/>
      <c r="F21" s="85"/>
      <c r="G21" s="85"/>
      <c r="H21" s="85"/>
      <c r="I21" s="85"/>
      <c r="J21" s="85"/>
      <c r="K21" s="85"/>
      <c r="L21" s="85"/>
      <c r="M21" s="85"/>
      <c r="N21" s="85"/>
      <c r="O21" s="85"/>
    </row>
    <row r="22" spans="1:15" s="22" customFormat="1" ht="20.399999999999999" x14ac:dyDescent="0.3">
      <c r="A22" s="85"/>
      <c r="B22" s="85"/>
      <c r="C22" s="132"/>
      <c r="D22" s="132"/>
      <c r="E22" s="85"/>
      <c r="F22" s="85"/>
      <c r="G22" s="85"/>
      <c r="H22" s="85"/>
      <c r="I22" s="85"/>
      <c r="J22" s="85"/>
      <c r="K22" s="85"/>
      <c r="L22" s="85"/>
      <c r="M22" s="85"/>
      <c r="N22" s="85"/>
      <c r="O22" s="85"/>
    </row>
    <row r="23" spans="1:15" s="22" customFormat="1" ht="20.399999999999999" x14ac:dyDescent="0.3">
      <c r="A23" s="85"/>
      <c r="B23" s="85"/>
      <c r="C23" s="132"/>
      <c r="D23" s="132"/>
      <c r="E23" s="85"/>
      <c r="F23" s="85"/>
      <c r="G23" s="85"/>
      <c r="H23" s="85"/>
      <c r="I23" s="85"/>
      <c r="J23" s="85"/>
      <c r="K23" s="85"/>
      <c r="L23" s="85"/>
      <c r="M23" s="85"/>
      <c r="N23" s="85"/>
      <c r="O23" s="85"/>
    </row>
    <row r="24" spans="1:15" s="22" customFormat="1" ht="20.399999999999999" x14ac:dyDescent="0.3">
      <c r="A24" s="85"/>
      <c r="B24" s="85"/>
      <c r="C24" s="132"/>
      <c r="D24" s="132"/>
      <c r="E24" s="85"/>
      <c r="F24" s="85"/>
      <c r="G24" s="85"/>
      <c r="H24" s="85"/>
      <c r="I24" s="85"/>
      <c r="J24" s="85"/>
      <c r="K24" s="85"/>
      <c r="L24" s="85"/>
      <c r="M24" s="85"/>
      <c r="N24" s="85"/>
      <c r="O24" s="85"/>
    </row>
    <row r="25" spans="1:15" s="22" customFormat="1" ht="20.399999999999999" x14ac:dyDescent="0.3">
      <c r="A25" s="85"/>
      <c r="B25" s="85"/>
      <c r="C25" s="132"/>
      <c r="D25" s="132"/>
      <c r="E25" s="85"/>
      <c r="F25" s="85"/>
      <c r="G25" s="85"/>
      <c r="H25" s="85"/>
      <c r="I25" s="85"/>
      <c r="J25" s="85"/>
      <c r="K25" s="85"/>
      <c r="L25" s="85"/>
      <c r="M25" s="85"/>
      <c r="N25" s="85"/>
      <c r="O25" s="85"/>
    </row>
    <row r="26" spans="1:15" s="22" customFormat="1" ht="20.399999999999999" x14ac:dyDescent="0.3">
      <c r="A26" s="85"/>
      <c r="B26" s="85"/>
      <c r="C26" s="132"/>
      <c r="D26" s="132"/>
      <c r="E26" s="85"/>
      <c r="F26" s="85"/>
      <c r="G26" s="85"/>
      <c r="H26" s="85"/>
      <c r="I26" s="85"/>
      <c r="J26" s="85"/>
      <c r="K26" s="85"/>
      <c r="L26" s="85"/>
      <c r="M26" s="85"/>
      <c r="N26" s="85"/>
      <c r="O26" s="85"/>
    </row>
    <row r="27" spans="1:15" s="22" customFormat="1" ht="20.399999999999999" x14ac:dyDescent="0.3">
      <c r="A27" s="85"/>
      <c r="B27" s="85"/>
      <c r="C27" s="132"/>
      <c r="D27" s="132"/>
      <c r="E27" s="85"/>
      <c r="F27" s="85"/>
      <c r="G27" s="85"/>
      <c r="H27" s="85"/>
      <c r="I27" s="85"/>
      <c r="J27" s="85"/>
      <c r="K27" s="85"/>
      <c r="L27" s="85"/>
      <c r="M27" s="85"/>
      <c r="N27" s="85"/>
      <c r="O27" s="85"/>
    </row>
    <row r="28" spans="1:15" s="22" customFormat="1" ht="20.399999999999999" x14ac:dyDescent="0.3">
      <c r="A28" s="85"/>
      <c r="B28" s="85"/>
      <c r="C28" s="132"/>
      <c r="D28" s="132"/>
      <c r="E28" s="85"/>
      <c r="F28" s="85"/>
      <c r="G28" s="85"/>
      <c r="H28" s="85"/>
      <c r="I28" s="85"/>
      <c r="J28" s="85"/>
      <c r="K28" s="85"/>
      <c r="L28" s="85"/>
      <c r="M28" s="85"/>
      <c r="N28" s="85"/>
      <c r="O28" s="85"/>
    </row>
    <row r="29" spans="1:15" s="22" customFormat="1" ht="20.399999999999999" x14ac:dyDescent="0.3">
      <c r="A29" s="85"/>
      <c r="B29" s="85"/>
      <c r="C29" s="132"/>
      <c r="D29" s="132"/>
      <c r="E29" s="85"/>
      <c r="F29" s="85"/>
      <c r="G29" s="85"/>
      <c r="H29" s="85"/>
      <c r="I29" s="85"/>
      <c r="J29" s="85"/>
      <c r="K29" s="85"/>
      <c r="L29" s="85"/>
      <c r="M29" s="85"/>
      <c r="N29" s="85"/>
      <c r="O29" s="85"/>
    </row>
    <row r="30" spans="1:15" s="22" customFormat="1" ht="20.399999999999999" x14ac:dyDescent="0.3">
      <c r="A30" s="85"/>
      <c r="B30" s="85"/>
      <c r="C30" s="132"/>
      <c r="D30" s="132"/>
      <c r="E30" s="85"/>
      <c r="F30" s="85"/>
      <c r="G30" s="85"/>
      <c r="H30" s="85"/>
      <c r="I30" s="85"/>
      <c r="J30" s="85"/>
      <c r="K30" s="85"/>
      <c r="L30" s="85"/>
      <c r="M30" s="85"/>
      <c r="N30" s="85"/>
      <c r="O30" s="85"/>
    </row>
    <row r="31" spans="1:15" s="22" customFormat="1" ht="20.399999999999999" x14ac:dyDescent="0.3">
      <c r="A31" s="85"/>
      <c r="B31" s="85"/>
      <c r="C31" s="132"/>
      <c r="D31" s="132"/>
      <c r="E31" s="85"/>
      <c r="F31" s="85"/>
      <c r="G31" s="85"/>
      <c r="H31" s="85"/>
      <c r="I31" s="85"/>
      <c r="J31" s="85"/>
      <c r="K31" s="85"/>
      <c r="L31" s="85"/>
      <c r="M31" s="85"/>
      <c r="N31" s="85"/>
      <c r="O31" s="85"/>
    </row>
    <row r="32" spans="1:15" s="22" customFormat="1" ht="20.399999999999999" x14ac:dyDescent="0.3">
      <c r="A32" s="85"/>
      <c r="B32" s="85"/>
      <c r="C32" s="132"/>
      <c r="D32" s="132"/>
      <c r="E32" s="85"/>
      <c r="F32" s="85"/>
      <c r="G32" s="85"/>
      <c r="H32" s="85"/>
      <c r="I32" s="85"/>
      <c r="J32" s="85"/>
      <c r="K32" s="85"/>
      <c r="L32" s="85"/>
      <c r="M32" s="85"/>
      <c r="N32" s="85"/>
      <c r="O32" s="85"/>
    </row>
    <row r="33" spans="1:15" s="22" customFormat="1" ht="20.399999999999999" x14ac:dyDescent="0.3">
      <c r="A33" s="85"/>
      <c r="B33" s="85"/>
      <c r="C33" s="132"/>
      <c r="D33" s="132"/>
      <c r="E33" s="85"/>
      <c r="F33" s="85"/>
      <c r="G33" s="85"/>
      <c r="H33" s="85"/>
      <c r="I33" s="85"/>
      <c r="J33" s="85"/>
      <c r="K33" s="85"/>
      <c r="L33" s="85"/>
      <c r="M33" s="85"/>
      <c r="N33" s="85"/>
      <c r="O33" s="85"/>
    </row>
    <row r="34" spans="1:15" s="22" customFormat="1" ht="20.399999999999999" x14ac:dyDescent="0.3">
      <c r="A34" s="85"/>
      <c r="B34" s="85"/>
      <c r="C34" s="132"/>
      <c r="D34" s="132"/>
      <c r="E34" s="85"/>
      <c r="F34" s="85"/>
      <c r="G34" s="85"/>
      <c r="H34" s="85"/>
      <c r="I34" s="85"/>
      <c r="J34" s="85"/>
      <c r="K34" s="85"/>
      <c r="L34" s="85"/>
      <c r="M34" s="85"/>
      <c r="N34" s="85"/>
      <c r="O34" s="85"/>
    </row>
    <row r="35" spans="1:15" s="22" customFormat="1" ht="20.399999999999999" x14ac:dyDescent="0.3">
      <c r="A35" s="85"/>
      <c r="B35" s="85"/>
      <c r="C35" s="132"/>
      <c r="D35" s="132"/>
      <c r="E35" s="85"/>
      <c r="F35" s="85"/>
      <c r="G35" s="85"/>
      <c r="H35" s="85"/>
      <c r="I35" s="85"/>
      <c r="J35" s="85"/>
      <c r="K35" s="85"/>
      <c r="L35" s="85"/>
      <c r="M35" s="85"/>
      <c r="N35" s="85"/>
      <c r="O35" s="85"/>
    </row>
    <row r="36" spans="1:15" s="22" customFormat="1" ht="20.399999999999999" x14ac:dyDescent="0.3">
      <c r="A36" s="85"/>
      <c r="B36" s="85"/>
      <c r="C36" s="132"/>
      <c r="D36" s="132"/>
      <c r="E36" s="85"/>
      <c r="F36" s="85"/>
      <c r="G36" s="85"/>
      <c r="H36" s="85"/>
      <c r="I36" s="85"/>
      <c r="J36" s="85"/>
      <c r="K36" s="85"/>
      <c r="L36" s="85"/>
      <c r="M36" s="85"/>
      <c r="N36" s="85"/>
      <c r="O36" s="85"/>
    </row>
    <row r="37" spans="1:15" s="22" customFormat="1" ht="20.399999999999999" x14ac:dyDescent="0.3">
      <c r="A37" s="85"/>
      <c r="B37" s="85"/>
      <c r="C37" s="132"/>
      <c r="D37" s="132"/>
      <c r="E37" s="85"/>
      <c r="F37" s="85"/>
      <c r="G37" s="85"/>
      <c r="H37" s="85"/>
      <c r="I37" s="85"/>
      <c r="J37" s="85"/>
      <c r="K37" s="85"/>
      <c r="L37" s="85"/>
      <c r="M37" s="85"/>
      <c r="N37" s="85"/>
      <c r="O37" s="85"/>
    </row>
    <row r="38" spans="1:15" s="22" customFormat="1" ht="20.399999999999999" x14ac:dyDescent="0.3">
      <c r="A38" s="85"/>
      <c r="B38" s="85"/>
      <c r="C38" s="132"/>
      <c r="D38" s="132"/>
      <c r="E38" s="85"/>
      <c r="F38" s="85"/>
      <c r="G38" s="85"/>
      <c r="H38" s="85"/>
      <c r="I38" s="85"/>
      <c r="J38" s="85"/>
      <c r="K38" s="85"/>
      <c r="L38" s="85"/>
      <c r="M38" s="85"/>
      <c r="N38" s="85"/>
      <c r="O38" s="85"/>
    </row>
    <row r="39" spans="1:15" s="22" customFormat="1" ht="20.399999999999999" x14ac:dyDescent="0.3">
      <c r="A39" s="85"/>
      <c r="B39" s="85"/>
      <c r="C39" s="132"/>
      <c r="D39" s="132"/>
      <c r="E39" s="85"/>
      <c r="F39" s="85"/>
      <c r="G39" s="85"/>
      <c r="H39" s="85"/>
      <c r="I39" s="85"/>
      <c r="J39" s="85"/>
      <c r="K39" s="85"/>
      <c r="L39" s="85"/>
      <c r="M39" s="85"/>
      <c r="N39" s="85"/>
      <c r="O39" s="85"/>
    </row>
    <row r="40" spans="1:15" s="22" customFormat="1" ht="20.399999999999999" x14ac:dyDescent="0.3">
      <c r="A40" s="85"/>
      <c r="B40" s="85"/>
      <c r="C40" s="132"/>
      <c r="D40" s="132"/>
      <c r="E40" s="85"/>
      <c r="F40" s="85"/>
      <c r="G40" s="85"/>
      <c r="H40" s="85"/>
      <c r="I40" s="85"/>
      <c r="J40" s="85"/>
      <c r="K40" s="85"/>
      <c r="L40" s="85"/>
      <c r="M40" s="85"/>
      <c r="N40" s="85"/>
      <c r="O40" s="85"/>
    </row>
    <row r="41" spans="1:15" s="22" customFormat="1" ht="20.399999999999999" x14ac:dyDescent="0.3">
      <c r="A41" s="85"/>
      <c r="B41" s="85"/>
      <c r="C41" s="132"/>
      <c r="D41" s="132"/>
      <c r="E41" s="85"/>
      <c r="F41" s="85"/>
      <c r="G41" s="85"/>
      <c r="H41" s="85"/>
      <c r="I41" s="85"/>
      <c r="J41" s="85"/>
      <c r="K41" s="85"/>
      <c r="L41" s="85"/>
      <c r="M41" s="85"/>
      <c r="N41" s="85"/>
      <c r="O41" s="85"/>
    </row>
    <row r="42" spans="1:15" s="22" customFormat="1" ht="20.399999999999999" x14ac:dyDescent="0.3">
      <c r="A42" s="85"/>
      <c r="B42" s="85"/>
      <c r="C42" s="132"/>
      <c r="D42" s="132"/>
      <c r="E42" s="85"/>
      <c r="F42" s="85"/>
      <c r="G42" s="85"/>
      <c r="H42" s="85"/>
      <c r="I42" s="85"/>
      <c r="J42" s="85"/>
      <c r="K42" s="85"/>
      <c r="L42" s="85"/>
      <c r="M42" s="85"/>
      <c r="N42" s="85"/>
      <c r="O42" s="85"/>
    </row>
    <row r="43" spans="1:15" s="22" customFormat="1" ht="20.399999999999999" x14ac:dyDescent="0.3">
      <c r="A43" s="85"/>
      <c r="B43" s="85"/>
      <c r="C43" s="132"/>
      <c r="D43" s="132"/>
      <c r="E43" s="85"/>
      <c r="F43" s="85"/>
      <c r="G43" s="85"/>
      <c r="H43" s="85"/>
      <c r="I43" s="85"/>
      <c r="J43" s="85"/>
      <c r="K43" s="85"/>
      <c r="L43" s="85"/>
      <c r="M43" s="85"/>
      <c r="N43" s="85"/>
      <c r="O43" s="85"/>
    </row>
    <row r="44" spans="1:15" s="22" customFormat="1" ht="20.399999999999999" x14ac:dyDescent="0.3">
      <c r="A44" s="85"/>
      <c r="B44" s="85"/>
      <c r="C44" s="132"/>
      <c r="D44" s="132"/>
      <c r="E44" s="85"/>
      <c r="F44" s="85"/>
      <c r="G44" s="85"/>
      <c r="H44" s="85"/>
      <c r="I44" s="85"/>
      <c r="J44" s="85"/>
      <c r="K44" s="85"/>
      <c r="L44" s="85"/>
      <c r="M44" s="85"/>
      <c r="N44" s="85"/>
      <c r="O44" s="85"/>
    </row>
    <row r="45" spans="1:15" s="22" customFormat="1" ht="20.399999999999999" x14ac:dyDescent="0.3">
      <c r="A45" s="85"/>
      <c r="B45" s="85"/>
      <c r="C45" s="132"/>
      <c r="D45" s="132"/>
      <c r="E45" s="85"/>
      <c r="F45" s="85"/>
      <c r="G45" s="85"/>
      <c r="H45" s="85"/>
      <c r="I45" s="85"/>
      <c r="J45" s="85"/>
      <c r="K45" s="85"/>
      <c r="L45" s="85"/>
      <c r="M45" s="85"/>
      <c r="N45" s="85"/>
      <c r="O45" s="85"/>
    </row>
    <row r="46" spans="1:15" s="22" customFormat="1" ht="20.399999999999999" x14ac:dyDescent="0.3">
      <c r="A46" s="85"/>
      <c r="B46" s="85"/>
      <c r="C46" s="132"/>
      <c r="D46" s="132"/>
      <c r="E46" s="85"/>
      <c r="F46" s="85"/>
      <c r="G46" s="85"/>
      <c r="H46" s="85"/>
      <c r="I46" s="85"/>
      <c r="J46" s="85"/>
      <c r="K46" s="85"/>
      <c r="L46" s="85"/>
      <c r="M46" s="85"/>
      <c r="N46" s="85"/>
      <c r="O46" s="85"/>
    </row>
    <row r="47" spans="1:15" s="22" customFormat="1" ht="20.399999999999999" x14ac:dyDescent="0.3">
      <c r="A47" s="85"/>
      <c r="B47" s="85"/>
      <c r="C47" s="132"/>
      <c r="D47" s="132"/>
      <c r="E47" s="85"/>
      <c r="F47" s="85"/>
      <c r="G47" s="85"/>
      <c r="H47" s="85"/>
      <c r="I47" s="85"/>
      <c r="J47" s="85"/>
      <c r="K47" s="85"/>
      <c r="L47" s="85"/>
      <c r="M47" s="85"/>
      <c r="N47" s="85"/>
      <c r="O47" s="85"/>
    </row>
    <row r="48" spans="1:15" s="22" customFormat="1" ht="20.399999999999999" x14ac:dyDescent="0.3">
      <c r="A48" s="85"/>
      <c r="B48" s="85"/>
      <c r="C48" s="132"/>
      <c r="D48" s="132"/>
      <c r="E48" s="85"/>
      <c r="F48" s="85"/>
      <c r="G48" s="85"/>
      <c r="H48" s="85"/>
      <c r="I48" s="85"/>
      <c r="J48" s="85"/>
      <c r="K48" s="85"/>
      <c r="L48" s="85"/>
      <c r="M48" s="85"/>
      <c r="N48" s="85"/>
      <c r="O48" s="85"/>
    </row>
    <row r="49" spans="1:15" s="22" customFormat="1" ht="20.399999999999999" x14ac:dyDescent="0.3">
      <c r="A49" s="85"/>
      <c r="B49" s="85"/>
      <c r="C49" s="132"/>
      <c r="D49" s="132"/>
      <c r="E49" s="85"/>
      <c r="F49" s="85"/>
      <c r="G49" s="85"/>
      <c r="H49" s="85"/>
      <c r="I49" s="85"/>
      <c r="J49" s="85"/>
      <c r="K49" s="85"/>
      <c r="L49" s="85"/>
      <c r="M49" s="85"/>
      <c r="N49" s="85"/>
      <c r="O49" s="85"/>
    </row>
    <row r="50" spans="1:15" s="22" customFormat="1" ht="20.399999999999999" x14ac:dyDescent="0.3">
      <c r="A50" s="85"/>
      <c r="B50" s="85"/>
      <c r="C50" s="132"/>
      <c r="D50" s="132"/>
      <c r="E50" s="85"/>
      <c r="F50" s="85"/>
      <c r="G50" s="85"/>
      <c r="H50" s="85"/>
      <c r="I50" s="85"/>
      <c r="J50" s="85"/>
      <c r="K50" s="85"/>
      <c r="L50" s="85"/>
      <c r="M50" s="85"/>
      <c r="N50" s="85"/>
      <c r="O50" s="85"/>
    </row>
    <row r="51" spans="1:15" s="22" customFormat="1" ht="20.399999999999999" x14ac:dyDescent="0.3">
      <c r="A51" s="85"/>
      <c r="B51" s="85"/>
      <c r="C51" s="132"/>
      <c r="D51" s="132"/>
      <c r="E51" s="85"/>
      <c r="F51" s="85"/>
      <c r="G51" s="85"/>
      <c r="H51" s="85"/>
      <c r="I51" s="85"/>
      <c r="J51" s="85"/>
      <c r="K51" s="85"/>
      <c r="L51" s="85"/>
      <c r="M51" s="85"/>
      <c r="N51" s="85"/>
      <c r="O51" s="85"/>
    </row>
    <row r="52" spans="1:15" s="22" customFormat="1" ht="20.399999999999999" x14ac:dyDescent="0.3">
      <c r="A52" s="85"/>
      <c r="C52" s="134"/>
      <c r="D52" s="134"/>
    </row>
    <row r="53" spans="1:15" s="22" customFormat="1" ht="20.399999999999999" x14ac:dyDescent="0.3">
      <c r="A53" s="85"/>
      <c r="C53" s="134"/>
      <c r="D53" s="134"/>
    </row>
    <row r="54" spans="1:15" s="22" customFormat="1" ht="20.399999999999999" x14ac:dyDescent="0.3">
      <c r="A54" s="85"/>
      <c r="C54" s="134"/>
      <c r="D54" s="134"/>
    </row>
    <row r="55" spans="1:15" s="22" customFormat="1" ht="20.399999999999999" x14ac:dyDescent="0.3">
      <c r="A55" s="85"/>
      <c r="C55" s="134"/>
      <c r="D55" s="134"/>
    </row>
    <row r="56" spans="1:15" s="22" customFormat="1" ht="20.399999999999999" x14ac:dyDescent="0.3">
      <c r="A56" s="85"/>
      <c r="C56" s="134"/>
      <c r="D56" s="134"/>
    </row>
    <row r="57" spans="1:15" s="22" customFormat="1" ht="20.399999999999999" x14ac:dyDescent="0.3">
      <c r="A57" s="85"/>
      <c r="C57" s="134"/>
      <c r="D57" s="134"/>
    </row>
    <row r="58" spans="1:15" s="22" customFormat="1" ht="20.399999999999999" x14ac:dyDescent="0.3">
      <c r="A58" s="85"/>
      <c r="C58" s="134"/>
      <c r="D58" s="134"/>
    </row>
    <row r="59" spans="1:15" s="22" customFormat="1" ht="20.399999999999999" x14ac:dyDescent="0.3">
      <c r="A59" s="85"/>
      <c r="C59" s="134"/>
      <c r="D59" s="134"/>
    </row>
    <row r="60" spans="1:15" s="22" customFormat="1" ht="20.399999999999999" x14ac:dyDescent="0.3">
      <c r="A60" s="85"/>
      <c r="C60" s="134"/>
      <c r="D60" s="134"/>
    </row>
    <row r="61" spans="1:15" s="22" customFormat="1" ht="20.399999999999999" x14ac:dyDescent="0.3">
      <c r="A61" s="85"/>
      <c r="C61" s="134"/>
      <c r="D61" s="134"/>
    </row>
    <row r="62" spans="1:15" s="22" customFormat="1" ht="20.399999999999999" x14ac:dyDescent="0.3">
      <c r="A62" s="85"/>
      <c r="C62" s="134"/>
      <c r="D62" s="134"/>
    </row>
    <row r="63" spans="1:15" s="22" customFormat="1" ht="20.399999999999999" x14ac:dyDescent="0.3">
      <c r="A63" s="85"/>
      <c r="C63" s="134"/>
      <c r="D63" s="134"/>
    </row>
    <row r="64" spans="1:15" s="22" customFormat="1" ht="20.399999999999999" x14ac:dyDescent="0.3">
      <c r="A64" s="85"/>
      <c r="C64" s="134"/>
      <c r="D64" s="134"/>
    </row>
    <row r="65" spans="1:4" s="22" customFormat="1" ht="20.399999999999999" x14ac:dyDescent="0.3">
      <c r="A65" s="85"/>
      <c r="C65" s="134"/>
      <c r="D65" s="134"/>
    </row>
    <row r="66" spans="1:4" s="22" customFormat="1" ht="20.399999999999999" x14ac:dyDescent="0.3">
      <c r="A66" s="85"/>
      <c r="C66" s="134"/>
      <c r="D66" s="134"/>
    </row>
    <row r="67" spans="1:4" s="22" customFormat="1" ht="20.399999999999999" x14ac:dyDescent="0.3">
      <c r="A67" s="85"/>
      <c r="C67" s="134"/>
      <c r="D67" s="134"/>
    </row>
    <row r="68" spans="1:4" s="22" customFormat="1" ht="20.399999999999999" x14ac:dyDescent="0.3">
      <c r="A68" s="85"/>
      <c r="C68" s="134"/>
      <c r="D68" s="134"/>
    </row>
    <row r="69" spans="1:4" s="22" customFormat="1" ht="20.399999999999999" x14ac:dyDescent="0.3">
      <c r="A69" s="85"/>
      <c r="C69" s="134"/>
      <c r="D69" s="134"/>
    </row>
    <row r="70" spans="1:4" s="22" customFormat="1" ht="20.399999999999999" x14ac:dyDescent="0.3">
      <c r="A70" s="85"/>
      <c r="C70" s="134"/>
      <c r="D70" s="134"/>
    </row>
    <row r="71" spans="1:4" s="22" customFormat="1" ht="20.399999999999999" x14ac:dyDescent="0.3">
      <c r="A71" s="85"/>
      <c r="C71" s="134"/>
      <c r="D71" s="134"/>
    </row>
    <row r="72" spans="1:4" s="22" customFormat="1" ht="20.399999999999999" x14ac:dyDescent="0.3">
      <c r="A72" s="85"/>
      <c r="C72" s="134"/>
      <c r="D72" s="134"/>
    </row>
    <row r="73" spans="1:4" s="22" customFormat="1" ht="20.399999999999999" x14ac:dyDescent="0.3">
      <c r="A73" s="85"/>
      <c r="C73" s="134"/>
      <c r="D73" s="134"/>
    </row>
    <row r="74" spans="1:4" s="22" customFormat="1" ht="20.399999999999999" x14ac:dyDescent="0.3">
      <c r="A74" s="85"/>
      <c r="C74" s="134"/>
      <c r="D74" s="134"/>
    </row>
    <row r="75" spans="1:4" s="22" customFormat="1" ht="20.399999999999999" x14ac:dyDescent="0.3">
      <c r="A75" s="85"/>
      <c r="C75" s="134"/>
      <c r="D75" s="134"/>
    </row>
    <row r="76" spans="1:4" s="22" customFormat="1" ht="20.399999999999999" x14ac:dyDescent="0.3">
      <c r="A76" s="85"/>
      <c r="C76" s="134"/>
      <c r="D76" s="134"/>
    </row>
    <row r="77" spans="1:4" s="22" customFormat="1" ht="20.399999999999999" x14ac:dyDescent="0.3">
      <c r="A77" s="85"/>
      <c r="C77" s="134"/>
      <c r="D77" s="134"/>
    </row>
    <row r="78" spans="1:4" s="22" customFormat="1" ht="20.399999999999999" x14ac:dyDescent="0.3">
      <c r="A78" s="85"/>
      <c r="C78" s="134"/>
      <c r="D78" s="134"/>
    </row>
    <row r="79" spans="1:4" s="22" customFormat="1" ht="20.399999999999999" x14ac:dyDescent="0.3">
      <c r="A79" s="85"/>
      <c r="C79" s="134"/>
      <c r="D79" s="134"/>
    </row>
    <row r="80" spans="1:4" s="22" customFormat="1" ht="20.399999999999999" x14ac:dyDescent="0.3">
      <c r="A80" s="85"/>
      <c r="C80" s="134"/>
      <c r="D80" s="134"/>
    </row>
    <row r="81" spans="1:4" s="22" customFormat="1" ht="20.399999999999999" x14ac:dyDescent="0.3">
      <c r="A81" s="85"/>
      <c r="C81" s="134"/>
      <c r="D81" s="134"/>
    </row>
    <row r="82" spans="1:4" s="22" customFormat="1" ht="20.399999999999999" x14ac:dyDescent="0.3">
      <c r="A82" s="85"/>
      <c r="C82" s="134"/>
      <c r="D82" s="134"/>
    </row>
    <row r="83" spans="1:4" s="22" customFormat="1" ht="20.399999999999999" x14ac:dyDescent="0.3">
      <c r="A83" s="85"/>
      <c r="C83" s="134"/>
      <c r="D83" s="134"/>
    </row>
    <row r="84" spans="1:4" s="22" customFormat="1" ht="20.399999999999999" x14ac:dyDescent="0.3">
      <c r="A84" s="85"/>
      <c r="C84" s="134"/>
      <c r="D84" s="134"/>
    </row>
    <row r="85" spans="1:4" s="22" customFormat="1" ht="20.399999999999999" x14ac:dyDescent="0.3">
      <c r="A85" s="85"/>
      <c r="C85" s="134"/>
      <c r="D85" s="134"/>
    </row>
    <row r="86" spans="1:4" s="22" customFormat="1" ht="20.399999999999999" x14ac:dyDescent="0.3">
      <c r="A86" s="85"/>
      <c r="C86" s="134"/>
      <c r="D86" s="134"/>
    </row>
    <row r="87" spans="1:4" s="22" customFormat="1" ht="20.399999999999999" x14ac:dyDescent="0.3">
      <c r="A87" s="85"/>
      <c r="C87" s="134"/>
      <c r="D87" s="134"/>
    </row>
    <row r="88" spans="1:4" s="22" customFormat="1" ht="20.399999999999999" x14ac:dyDescent="0.3">
      <c r="A88" s="85"/>
      <c r="C88" s="134"/>
      <c r="D88" s="134"/>
    </row>
    <row r="89" spans="1:4" s="22" customFormat="1" ht="20.399999999999999" x14ac:dyDescent="0.3">
      <c r="A89" s="85"/>
      <c r="C89" s="134"/>
      <c r="D89" s="134"/>
    </row>
    <row r="90" spans="1:4" s="22" customFormat="1" ht="20.399999999999999" x14ac:dyDescent="0.3">
      <c r="A90" s="85"/>
      <c r="C90" s="134"/>
      <c r="D90" s="134"/>
    </row>
    <row r="91" spans="1:4" s="22" customFormat="1" ht="20.399999999999999" x14ac:dyDescent="0.3">
      <c r="A91" s="85"/>
      <c r="C91" s="134"/>
      <c r="D91" s="134"/>
    </row>
    <row r="92" spans="1:4" s="22" customFormat="1" ht="20.399999999999999" x14ac:dyDescent="0.3">
      <c r="A92" s="85"/>
      <c r="C92" s="134"/>
      <c r="D92" s="134"/>
    </row>
    <row r="93" spans="1:4" s="22" customFormat="1" ht="20.399999999999999" x14ac:dyDescent="0.3">
      <c r="A93" s="85"/>
      <c r="C93" s="134"/>
      <c r="D93" s="134"/>
    </row>
    <row r="94" spans="1:4" s="22" customFormat="1" ht="20.399999999999999" x14ac:dyDescent="0.3">
      <c r="A94" s="85"/>
      <c r="C94" s="134"/>
      <c r="D94" s="134"/>
    </row>
    <row r="95" spans="1:4" s="22" customFormat="1" ht="20.399999999999999" x14ac:dyDescent="0.3">
      <c r="A95" s="85"/>
      <c r="C95" s="134"/>
      <c r="D95" s="134"/>
    </row>
    <row r="96" spans="1:4" s="22" customFormat="1" ht="20.399999999999999" x14ac:dyDescent="0.3">
      <c r="A96" s="85"/>
      <c r="C96" s="134"/>
      <c r="D96" s="134"/>
    </row>
    <row r="97" spans="1:4" s="22" customFormat="1" ht="20.399999999999999" x14ac:dyDescent="0.3">
      <c r="A97" s="85"/>
      <c r="C97" s="134"/>
      <c r="D97" s="134"/>
    </row>
    <row r="98" spans="1:4" s="22" customFormat="1" ht="20.399999999999999" x14ac:dyDescent="0.3">
      <c r="A98" s="85"/>
      <c r="C98" s="134"/>
      <c r="D98" s="134"/>
    </row>
    <row r="99" spans="1:4" s="22" customFormat="1" ht="20.399999999999999" x14ac:dyDescent="0.3">
      <c r="A99" s="85"/>
      <c r="C99" s="134"/>
      <c r="D99" s="134"/>
    </row>
    <row r="100" spans="1:4" s="22" customFormat="1" ht="20.399999999999999" x14ac:dyDescent="0.3">
      <c r="A100" s="85"/>
      <c r="C100" s="134"/>
      <c r="D100" s="134"/>
    </row>
    <row r="101" spans="1:4" s="22" customFormat="1" ht="20.399999999999999" x14ac:dyDescent="0.3">
      <c r="A101" s="85"/>
      <c r="C101" s="134"/>
      <c r="D101" s="134"/>
    </row>
    <row r="102" spans="1:4" s="22" customFormat="1" ht="20.399999999999999" x14ac:dyDescent="0.3">
      <c r="A102" s="85"/>
      <c r="C102" s="134"/>
      <c r="D102" s="134"/>
    </row>
    <row r="103" spans="1:4" s="22" customFormat="1" ht="20.399999999999999" x14ac:dyDescent="0.3">
      <c r="A103" s="85"/>
      <c r="C103" s="134"/>
      <c r="D103" s="134"/>
    </row>
    <row r="104" spans="1:4" s="22" customFormat="1" ht="20.399999999999999" x14ac:dyDescent="0.3">
      <c r="A104" s="85"/>
      <c r="C104" s="134"/>
      <c r="D104" s="134"/>
    </row>
    <row r="105" spans="1:4" s="22" customFormat="1" ht="20.399999999999999" x14ac:dyDescent="0.3">
      <c r="A105" s="85"/>
      <c r="C105" s="134"/>
      <c r="D105" s="134"/>
    </row>
    <row r="106" spans="1:4" s="22" customFormat="1" ht="20.399999999999999" x14ac:dyDescent="0.3">
      <c r="A106" s="85"/>
      <c r="C106" s="134"/>
      <c r="D106" s="134"/>
    </row>
    <row r="107" spans="1:4" s="22" customFormat="1" ht="20.399999999999999" x14ac:dyDescent="0.3">
      <c r="A107" s="85"/>
      <c r="C107" s="134"/>
      <c r="D107" s="134"/>
    </row>
    <row r="108" spans="1:4" s="22" customFormat="1" ht="20.399999999999999" x14ac:dyDescent="0.3">
      <c r="A108" s="85"/>
      <c r="C108" s="134"/>
      <c r="D108" s="134"/>
    </row>
    <row r="109" spans="1:4" s="22" customFormat="1" ht="20.399999999999999" x14ac:dyDescent="0.3">
      <c r="A109" s="85"/>
      <c r="C109" s="134"/>
      <c r="D109" s="134"/>
    </row>
    <row r="110" spans="1:4" s="22" customFormat="1" ht="20.399999999999999" x14ac:dyDescent="0.3">
      <c r="A110" s="85"/>
      <c r="C110" s="134"/>
      <c r="D110" s="134"/>
    </row>
    <row r="111" spans="1:4" s="22" customFormat="1" ht="20.399999999999999" x14ac:dyDescent="0.3">
      <c r="A111" s="85"/>
      <c r="C111" s="134"/>
      <c r="D111" s="134"/>
    </row>
    <row r="112" spans="1:4" s="22" customFormat="1" ht="20.399999999999999" x14ac:dyDescent="0.3">
      <c r="A112" s="85"/>
      <c r="C112" s="134"/>
      <c r="D112" s="134"/>
    </row>
    <row r="113" spans="1:4" s="22" customFormat="1" ht="20.399999999999999" x14ac:dyDescent="0.3">
      <c r="A113" s="85"/>
      <c r="C113" s="134"/>
      <c r="D113" s="134"/>
    </row>
    <row r="114" spans="1:4" s="22" customFormat="1" ht="20.399999999999999" x14ac:dyDescent="0.3">
      <c r="A114" s="85"/>
      <c r="C114" s="134"/>
      <c r="D114" s="134"/>
    </row>
    <row r="115" spans="1:4" s="22" customFormat="1" ht="20.399999999999999" x14ac:dyDescent="0.3">
      <c r="A115" s="85"/>
      <c r="C115" s="134"/>
      <c r="D115" s="134"/>
    </row>
    <row r="116" spans="1:4" s="22" customFormat="1" ht="20.399999999999999" x14ac:dyDescent="0.3">
      <c r="A116" s="85"/>
      <c r="C116" s="134"/>
      <c r="D116" s="134"/>
    </row>
    <row r="117" spans="1:4" s="22" customFormat="1" ht="20.399999999999999" x14ac:dyDescent="0.3">
      <c r="A117" s="85"/>
      <c r="C117" s="134"/>
      <c r="D117" s="134"/>
    </row>
    <row r="118" spans="1:4" s="22" customFormat="1" ht="20.399999999999999" x14ac:dyDescent="0.3">
      <c r="A118" s="85"/>
      <c r="C118" s="134"/>
      <c r="D118" s="134"/>
    </row>
    <row r="119" spans="1:4" s="22" customFormat="1" ht="20.399999999999999" x14ac:dyDescent="0.3">
      <c r="A119" s="85"/>
      <c r="C119" s="134"/>
      <c r="D119" s="134"/>
    </row>
    <row r="120" spans="1:4" s="22" customFormat="1" ht="20.399999999999999" x14ac:dyDescent="0.3">
      <c r="A120" s="85"/>
      <c r="C120" s="134"/>
      <c r="D120" s="134"/>
    </row>
    <row r="121" spans="1:4" s="22" customFormat="1" ht="20.399999999999999" x14ac:dyDescent="0.3">
      <c r="A121" s="85"/>
      <c r="C121" s="134"/>
      <c r="D121" s="134"/>
    </row>
    <row r="122" spans="1:4" s="22" customFormat="1" ht="20.399999999999999" x14ac:dyDescent="0.3">
      <c r="A122" s="85"/>
      <c r="C122" s="134"/>
      <c r="D122" s="134"/>
    </row>
    <row r="123" spans="1:4" s="22" customFormat="1" ht="20.399999999999999" x14ac:dyDescent="0.3">
      <c r="A123" s="85"/>
      <c r="C123" s="134"/>
      <c r="D123" s="134"/>
    </row>
    <row r="124" spans="1:4" s="22" customFormat="1" ht="20.399999999999999" x14ac:dyDescent="0.3">
      <c r="A124" s="85"/>
      <c r="C124" s="134"/>
      <c r="D124" s="134"/>
    </row>
    <row r="125" spans="1:4" s="22" customFormat="1" ht="20.399999999999999" x14ac:dyDescent="0.3">
      <c r="A125" s="85"/>
      <c r="C125" s="134"/>
      <c r="D125" s="134"/>
    </row>
    <row r="126" spans="1:4" s="22" customFormat="1" ht="20.399999999999999" x14ac:dyDescent="0.3">
      <c r="A126" s="85"/>
      <c r="C126" s="134"/>
      <c r="D126" s="134"/>
    </row>
    <row r="127" spans="1:4" s="22" customFormat="1" ht="20.399999999999999" x14ac:dyDescent="0.3">
      <c r="A127" s="85"/>
      <c r="C127" s="134"/>
      <c r="D127" s="134"/>
    </row>
    <row r="128" spans="1:4" s="22" customFormat="1" ht="20.399999999999999" x14ac:dyDescent="0.3">
      <c r="A128" s="85"/>
      <c r="C128" s="134"/>
      <c r="D128" s="134"/>
    </row>
    <row r="129" spans="1:4" s="22" customFormat="1" ht="20.399999999999999" x14ac:dyDescent="0.3">
      <c r="A129" s="85"/>
      <c r="C129" s="134"/>
      <c r="D129" s="134"/>
    </row>
    <row r="130" spans="1:4" s="22" customFormat="1" ht="20.399999999999999" x14ac:dyDescent="0.3">
      <c r="A130" s="85"/>
      <c r="C130" s="134"/>
      <c r="D130" s="134"/>
    </row>
    <row r="131" spans="1:4" s="22" customFormat="1" ht="20.399999999999999" x14ac:dyDescent="0.3">
      <c r="A131" s="85"/>
      <c r="C131" s="134"/>
      <c r="D131" s="134"/>
    </row>
    <row r="132" spans="1:4" s="22" customFormat="1" ht="20.399999999999999" x14ac:dyDescent="0.3">
      <c r="A132" s="85"/>
      <c r="C132" s="134"/>
      <c r="D132" s="134"/>
    </row>
    <row r="133" spans="1:4" s="22" customFormat="1" ht="20.399999999999999" x14ac:dyDescent="0.3">
      <c r="A133" s="85"/>
      <c r="C133" s="134"/>
      <c r="D133" s="134"/>
    </row>
    <row r="134" spans="1:4" s="22" customFormat="1" ht="20.399999999999999" x14ac:dyDescent="0.3">
      <c r="A134" s="85"/>
      <c r="C134" s="134"/>
      <c r="D134" s="134"/>
    </row>
    <row r="135" spans="1:4" s="22" customFormat="1" ht="20.399999999999999" x14ac:dyDescent="0.3">
      <c r="A135" s="85"/>
      <c r="C135" s="134"/>
      <c r="D135" s="134"/>
    </row>
    <row r="136" spans="1:4" s="22" customFormat="1" ht="20.399999999999999" x14ac:dyDescent="0.3">
      <c r="A136" s="85"/>
      <c r="C136" s="134"/>
      <c r="D136" s="134"/>
    </row>
    <row r="137" spans="1:4" s="22" customFormat="1" ht="20.399999999999999" x14ac:dyDescent="0.3">
      <c r="A137" s="85"/>
      <c r="C137" s="134"/>
      <c r="D137" s="134"/>
    </row>
    <row r="138" spans="1:4" s="22" customFormat="1" ht="20.399999999999999" x14ac:dyDescent="0.3">
      <c r="A138" s="85"/>
      <c r="C138" s="134"/>
      <c r="D138" s="134"/>
    </row>
    <row r="139" spans="1:4" s="22" customFormat="1" ht="20.399999999999999" x14ac:dyDescent="0.3">
      <c r="A139" s="85"/>
      <c r="C139" s="134"/>
      <c r="D139" s="134"/>
    </row>
    <row r="140" spans="1:4" s="22" customFormat="1" ht="20.399999999999999" x14ac:dyDescent="0.3">
      <c r="A140" s="85"/>
      <c r="C140" s="134"/>
      <c r="D140" s="134"/>
    </row>
    <row r="141" spans="1:4" s="22" customFormat="1" ht="20.399999999999999" x14ac:dyDescent="0.3">
      <c r="A141" s="85"/>
      <c r="C141" s="134"/>
      <c r="D141" s="134"/>
    </row>
    <row r="142" spans="1:4" s="22" customFormat="1" ht="20.399999999999999" x14ac:dyDescent="0.3">
      <c r="A142" s="85"/>
      <c r="C142" s="134"/>
      <c r="D142" s="134"/>
    </row>
    <row r="143" spans="1:4" s="22" customFormat="1" ht="20.399999999999999" x14ac:dyDescent="0.3">
      <c r="A143" s="85"/>
      <c r="C143" s="134"/>
      <c r="D143" s="134"/>
    </row>
    <row r="144" spans="1:4" s="22" customFormat="1" ht="20.399999999999999" x14ac:dyDescent="0.3">
      <c r="A144" s="85"/>
      <c r="C144" s="134"/>
      <c r="D144" s="134"/>
    </row>
    <row r="145" spans="1:4" s="22" customFormat="1" ht="20.399999999999999" x14ac:dyDescent="0.3">
      <c r="A145" s="85"/>
      <c r="C145" s="134"/>
      <c r="D145" s="134"/>
    </row>
    <row r="146" spans="1:4" s="22" customFormat="1" ht="20.399999999999999" x14ac:dyDescent="0.3">
      <c r="A146" s="85"/>
      <c r="C146" s="134"/>
      <c r="D146" s="134"/>
    </row>
    <row r="147" spans="1:4" s="22" customFormat="1" ht="20.399999999999999" x14ac:dyDescent="0.3">
      <c r="A147" s="85"/>
      <c r="C147" s="134"/>
      <c r="D147" s="134"/>
    </row>
    <row r="148" spans="1:4" s="22" customFormat="1" ht="20.399999999999999" x14ac:dyDescent="0.3">
      <c r="A148" s="85"/>
      <c r="C148" s="134"/>
      <c r="D148" s="134"/>
    </row>
    <row r="149" spans="1:4" s="22" customFormat="1" ht="20.399999999999999" x14ac:dyDescent="0.3">
      <c r="A149" s="85"/>
      <c r="C149" s="134"/>
      <c r="D149" s="134"/>
    </row>
    <row r="150" spans="1:4" s="22" customFormat="1" ht="20.399999999999999" x14ac:dyDescent="0.3">
      <c r="A150" s="85"/>
      <c r="C150" s="134"/>
      <c r="D150" s="134"/>
    </row>
    <row r="151" spans="1:4" s="22" customFormat="1" ht="20.399999999999999" x14ac:dyDescent="0.3">
      <c r="A151" s="85"/>
      <c r="C151" s="134"/>
      <c r="D151" s="134"/>
    </row>
    <row r="152" spans="1:4" s="22" customFormat="1" ht="20.399999999999999" x14ac:dyDescent="0.3">
      <c r="A152" s="85"/>
      <c r="C152" s="134"/>
      <c r="D152" s="134"/>
    </row>
    <row r="153" spans="1:4" s="22" customFormat="1" ht="20.399999999999999" x14ac:dyDescent="0.3">
      <c r="A153" s="85"/>
      <c r="C153" s="134"/>
      <c r="D153" s="134"/>
    </row>
    <row r="154" spans="1:4" s="22" customFormat="1" ht="20.399999999999999" x14ac:dyDescent="0.3">
      <c r="A154" s="85"/>
      <c r="C154" s="134"/>
      <c r="D154" s="134"/>
    </row>
    <row r="155" spans="1:4" s="22" customFormat="1" ht="20.399999999999999" x14ac:dyDescent="0.3">
      <c r="A155" s="85"/>
      <c r="C155" s="134"/>
      <c r="D155" s="134"/>
    </row>
    <row r="156" spans="1:4" s="22" customFormat="1" ht="20.399999999999999" x14ac:dyDescent="0.3">
      <c r="A156" s="85"/>
      <c r="C156" s="134"/>
      <c r="D156" s="134"/>
    </row>
    <row r="157" spans="1:4" s="22" customFormat="1" ht="20.399999999999999" x14ac:dyDescent="0.3">
      <c r="A157" s="85"/>
      <c r="C157" s="134"/>
      <c r="D157" s="134"/>
    </row>
    <row r="158" spans="1:4" s="22" customFormat="1" ht="20.399999999999999" x14ac:dyDescent="0.3">
      <c r="A158" s="85"/>
      <c r="C158" s="134"/>
      <c r="D158" s="134"/>
    </row>
    <row r="159" spans="1:4" s="22" customFormat="1" ht="20.399999999999999" x14ac:dyDescent="0.3">
      <c r="A159" s="85"/>
      <c r="C159" s="134"/>
      <c r="D159" s="134"/>
    </row>
    <row r="160" spans="1:4" s="22" customFormat="1" ht="20.399999999999999" x14ac:dyDescent="0.3">
      <c r="A160" s="85"/>
      <c r="C160" s="134"/>
      <c r="D160" s="134"/>
    </row>
    <row r="161" spans="1:4" s="22" customFormat="1" ht="20.399999999999999" x14ac:dyDescent="0.3">
      <c r="A161" s="85"/>
      <c r="C161" s="134"/>
      <c r="D161" s="134"/>
    </row>
    <row r="162" spans="1:4" s="22" customFormat="1" ht="20.399999999999999" x14ac:dyDescent="0.3">
      <c r="A162" s="85"/>
      <c r="C162" s="134"/>
      <c r="D162" s="134"/>
    </row>
    <row r="163" spans="1:4" s="22" customFormat="1" ht="20.399999999999999" x14ac:dyDescent="0.3">
      <c r="A163" s="85"/>
      <c r="C163" s="134"/>
      <c r="D163" s="134"/>
    </row>
    <row r="164" spans="1:4" s="22" customFormat="1" ht="20.399999999999999" x14ac:dyDescent="0.3">
      <c r="A164" s="85"/>
      <c r="C164" s="134"/>
      <c r="D164" s="134"/>
    </row>
    <row r="165" spans="1:4" s="22" customFormat="1" ht="20.399999999999999" x14ac:dyDescent="0.3">
      <c r="A165" s="85"/>
      <c r="C165" s="134"/>
      <c r="D165" s="134"/>
    </row>
    <row r="166" spans="1:4" s="22" customFormat="1" ht="20.399999999999999" x14ac:dyDescent="0.3">
      <c r="A166" s="85"/>
      <c r="C166" s="134"/>
      <c r="D166" s="134"/>
    </row>
    <row r="167" spans="1:4" s="22" customFormat="1" ht="20.399999999999999" x14ac:dyDescent="0.3">
      <c r="A167" s="85"/>
      <c r="C167" s="134"/>
      <c r="D167" s="134"/>
    </row>
    <row r="168" spans="1:4" s="22" customFormat="1" ht="20.399999999999999" x14ac:dyDescent="0.3">
      <c r="A168" s="85"/>
      <c r="C168" s="134"/>
      <c r="D168" s="134"/>
    </row>
    <row r="169" spans="1:4" s="22" customFormat="1" ht="20.399999999999999" x14ac:dyDescent="0.3">
      <c r="A169" s="85"/>
      <c r="C169" s="134"/>
      <c r="D169" s="134"/>
    </row>
    <row r="170" spans="1:4" s="22" customFormat="1" ht="20.399999999999999" x14ac:dyDescent="0.3">
      <c r="A170" s="85"/>
      <c r="C170" s="134"/>
      <c r="D170" s="134"/>
    </row>
    <row r="171" spans="1:4" s="22" customFormat="1" ht="20.399999999999999" x14ac:dyDescent="0.3">
      <c r="A171" s="85"/>
      <c r="C171" s="134"/>
      <c r="D171" s="134"/>
    </row>
    <row r="172" spans="1:4" s="22" customFormat="1" ht="20.399999999999999" x14ac:dyDescent="0.3">
      <c r="A172" s="85"/>
      <c r="C172" s="134"/>
      <c r="D172" s="134"/>
    </row>
    <row r="173" spans="1:4" s="22" customFormat="1" ht="20.399999999999999" x14ac:dyDescent="0.3">
      <c r="A173" s="85"/>
      <c r="C173" s="134"/>
      <c r="D173" s="134"/>
    </row>
    <row r="174" spans="1:4" s="22" customFormat="1" ht="20.399999999999999" x14ac:dyDescent="0.3">
      <c r="A174" s="85"/>
      <c r="C174" s="134"/>
      <c r="D174" s="134"/>
    </row>
    <row r="175" spans="1:4" s="22" customFormat="1" ht="20.399999999999999" x14ac:dyDescent="0.3">
      <c r="A175" s="85"/>
      <c r="C175" s="134"/>
      <c r="D175" s="134"/>
    </row>
    <row r="176" spans="1:4" s="22" customFormat="1" ht="20.399999999999999" x14ac:dyDescent="0.3">
      <c r="A176" s="85"/>
      <c r="C176" s="134"/>
      <c r="D176" s="134"/>
    </row>
    <row r="177" spans="1:4" s="22" customFormat="1" ht="20.399999999999999" x14ac:dyDescent="0.3">
      <c r="A177" s="85"/>
      <c r="C177" s="134"/>
      <c r="D177" s="134"/>
    </row>
    <row r="178" spans="1:4" s="22" customFormat="1" ht="20.399999999999999" x14ac:dyDescent="0.3">
      <c r="A178" s="85"/>
      <c r="C178" s="134"/>
      <c r="D178" s="134"/>
    </row>
    <row r="179" spans="1:4" s="22" customFormat="1" ht="20.399999999999999" x14ac:dyDescent="0.3">
      <c r="A179" s="85"/>
      <c r="C179" s="134"/>
      <c r="D179" s="134"/>
    </row>
    <row r="180" spans="1:4" s="22" customFormat="1" ht="20.399999999999999" x14ac:dyDescent="0.3">
      <c r="A180" s="85"/>
      <c r="C180" s="134"/>
      <c r="D180" s="134"/>
    </row>
    <row r="181" spans="1:4" s="22" customFormat="1" ht="20.399999999999999" x14ac:dyDescent="0.3">
      <c r="A181" s="85"/>
      <c r="C181" s="134"/>
      <c r="D181" s="134"/>
    </row>
    <row r="182" spans="1:4" s="22" customFormat="1" ht="20.399999999999999" x14ac:dyDescent="0.3">
      <c r="A182" s="85"/>
      <c r="C182" s="134"/>
      <c r="D182" s="134"/>
    </row>
    <row r="183" spans="1:4" s="22" customFormat="1" ht="20.399999999999999" x14ac:dyDescent="0.3">
      <c r="A183" s="85"/>
      <c r="C183" s="134"/>
      <c r="D183" s="134"/>
    </row>
    <row r="184" spans="1:4" s="22" customFormat="1" ht="20.399999999999999" x14ac:dyDescent="0.3">
      <c r="A184" s="85"/>
      <c r="C184" s="134"/>
      <c r="D184" s="134"/>
    </row>
    <row r="185" spans="1:4" s="22" customFormat="1" ht="20.399999999999999" x14ac:dyDescent="0.3">
      <c r="A185" s="85"/>
      <c r="C185" s="134"/>
      <c r="D185" s="134"/>
    </row>
    <row r="186" spans="1:4" s="22" customFormat="1" ht="20.399999999999999" x14ac:dyDescent="0.3">
      <c r="A186" s="85"/>
      <c r="C186" s="134"/>
      <c r="D186" s="134"/>
    </row>
    <row r="187" spans="1:4" s="22" customFormat="1" ht="20.399999999999999" x14ac:dyDescent="0.3">
      <c r="A187" s="85"/>
      <c r="C187" s="134"/>
      <c r="D187" s="134"/>
    </row>
    <row r="188" spans="1:4" s="22" customFormat="1" ht="20.399999999999999" x14ac:dyDescent="0.3">
      <c r="A188" s="85"/>
      <c r="C188" s="134"/>
      <c r="D188" s="134"/>
    </row>
    <row r="189" spans="1:4" s="22" customFormat="1" ht="20.399999999999999" x14ac:dyDescent="0.3">
      <c r="A189" s="85"/>
      <c r="C189" s="134"/>
      <c r="D189" s="134"/>
    </row>
    <row r="190" spans="1:4" s="22" customFormat="1" ht="20.399999999999999" x14ac:dyDescent="0.3">
      <c r="A190" s="85"/>
      <c r="C190" s="134"/>
      <c r="D190" s="134"/>
    </row>
    <row r="191" spans="1:4" s="22" customFormat="1" ht="20.399999999999999" x14ac:dyDescent="0.3">
      <c r="A191" s="85"/>
      <c r="C191" s="134"/>
      <c r="D191" s="134"/>
    </row>
    <row r="192" spans="1:4" s="22" customFormat="1" ht="20.399999999999999" x14ac:dyDescent="0.3">
      <c r="A192" s="85"/>
      <c r="C192" s="134"/>
      <c r="D192" s="134"/>
    </row>
    <row r="193" spans="1:4" s="22" customFormat="1" ht="20.399999999999999" x14ac:dyDescent="0.3">
      <c r="A193" s="85"/>
      <c r="C193" s="134"/>
      <c r="D193" s="134"/>
    </row>
    <row r="194" spans="1:4" s="22" customFormat="1" ht="20.399999999999999" x14ac:dyDescent="0.3">
      <c r="A194" s="85"/>
      <c r="C194" s="134"/>
      <c r="D194" s="134"/>
    </row>
    <row r="195" spans="1:4" s="22" customFormat="1" ht="20.399999999999999" x14ac:dyDescent="0.3">
      <c r="A195" s="85"/>
      <c r="C195" s="134"/>
      <c r="D195" s="134"/>
    </row>
    <row r="196" spans="1:4" s="22" customFormat="1" ht="20.399999999999999" x14ac:dyDescent="0.3">
      <c r="A196" s="85"/>
      <c r="C196" s="134"/>
      <c r="D196" s="134"/>
    </row>
    <row r="197" spans="1:4" s="22" customFormat="1" ht="20.399999999999999" x14ac:dyDescent="0.3">
      <c r="A197" s="85"/>
      <c r="C197" s="134"/>
      <c r="D197" s="134"/>
    </row>
    <row r="198" spans="1:4" s="22" customFormat="1" ht="20.399999999999999" x14ac:dyDescent="0.3">
      <c r="A198" s="85"/>
      <c r="C198" s="134"/>
      <c r="D198" s="134"/>
    </row>
    <row r="199" spans="1:4" s="22" customFormat="1" ht="20.399999999999999" x14ac:dyDescent="0.3">
      <c r="A199" s="85"/>
      <c r="C199" s="134"/>
      <c r="D199" s="134"/>
    </row>
    <row r="200" spans="1:4" s="22" customFormat="1" ht="20.399999999999999" x14ac:dyDescent="0.3">
      <c r="A200" s="85"/>
      <c r="C200" s="134"/>
      <c r="D200" s="134"/>
    </row>
    <row r="201" spans="1:4" s="22" customFormat="1" ht="20.399999999999999" x14ac:dyDescent="0.3">
      <c r="A201" s="85"/>
      <c r="C201" s="134"/>
      <c r="D201" s="134"/>
    </row>
    <row r="202" spans="1:4" s="22" customFormat="1" ht="20.399999999999999" x14ac:dyDescent="0.3">
      <c r="A202" s="85"/>
      <c r="C202" s="134"/>
      <c r="D202" s="134"/>
    </row>
    <row r="203" spans="1:4" s="22" customFormat="1" ht="20.399999999999999" x14ac:dyDescent="0.3">
      <c r="A203" s="85"/>
      <c r="C203" s="134"/>
      <c r="D203" s="134"/>
    </row>
    <row r="204" spans="1:4" s="22" customFormat="1" ht="20.399999999999999" x14ac:dyDescent="0.3">
      <c r="A204" s="85"/>
      <c r="C204" s="134"/>
      <c r="D204" s="134"/>
    </row>
    <row r="205" spans="1:4" s="22" customFormat="1" ht="20.399999999999999" x14ac:dyDescent="0.3">
      <c r="A205" s="85"/>
      <c r="C205" s="134"/>
      <c r="D205" s="134"/>
    </row>
    <row r="206" spans="1:4" s="22" customFormat="1" ht="20.399999999999999" x14ac:dyDescent="0.3">
      <c r="A206" s="85"/>
      <c r="C206" s="134"/>
      <c r="D206" s="134"/>
    </row>
    <row r="207" spans="1:4" s="22" customFormat="1" ht="20.399999999999999" x14ac:dyDescent="0.3">
      <c r="A207" s="85"/>
      <c r="C207" s="134"/>
      <c r="D207" s="134"/>
    </row>
    <row r="208" spans="1:4" s="22" customFormat="1" x14ac:dyDescent="0.3">
      <c r="A208" s="85"/>
    </row>
    <row r="209" spans="1:8" s="22" customFormat="1" ht="20.399999999999999" x14ac:dyDescent="0.3">
      <c r="A209" s="85"/>
      <c r="B209" s="135" t="s">
        <v>87</v>
      </c>
      <c r="C209" s="135" t="s">
        <v>140</v>
      </c>
      <c r="D209" s="136" t="s">
        <v>87</v>
      </c>
      <c r="E209" s="136" t="s">
        <v>140</v>
      </c>
    </row>
    <row r="210" spans="1:8" s="22" customFormat="1" ht="42" x14ac:dyDescent="0.4">
      <c r="A210" s="85"/>
      <c r="B210" s="137" t="s">
        <v>89</v>
      </c>
      <c r="C210" s="137" t="s">
        <v>205</v>
      </c>
      <c r="D210" s="22" t="s">
        <v>89</v>
      </c>
      <c r="F210" s="22" t="str">
        <f>IF(NOT(ISBLANK(D210)),D210,IF(NOT(ISBLANK(E210)),"     "&amp;E210,FALSE))</f>
        <v>Afectación Económica o presupuestal</v>
      </c>
      <c r="G210" s="22" t="s">
        <v>89</v>
      </c>
      <c r="H210" s="22" t="str">
        <f>IF(NOT(ISERROR(MATCH(G210,_xlfn.ANCHORARRAY(B221),0))),F223&amp;"Por favor no seleccionar los criterios de impacto",G210)</f>
        <v>❌Por favor no seleccionar los criterios de impacto</v>
      </c>
    </row>
    <row r="211" spans="1:8" s="22" customFormat="1" ht="42" x14ac:dyDescent="0.4">
      <c r="A211" s="85"/>
      <c r="B211" s="137" t="s">
        <v>89</v>
      </c>
      <c r="C211" s="137" t="s">
        <v>206</v>
      </c>
      <c r="E211" s="22" t="s">
        <v>205</v>
      </c>
      <c r="F211" s="22" t="str">
        <f t="shared" ref="F211:F221" si="0">IF(NOT(ISBLANK(D211)),D211,IF(NOT(ISBLANK(E211)),"     "&amp;E211,FALSE))</f>
        <v xml:space="preserve">     Afectación menor a 200 SMLMV</v>
      </c>
    </row>
    <row r="212" spans="1:8" s="22" customFormat="1" ht="42" x14ac:dyDescent="0.4">
      <c r="A212" s="85"/>
      <c r="B212" s="137" t="s">
        <v>89</v>
      </c>
      <c r="C212" s="137" t="s">
        <v>210</v>
      </c>
      <c r="E212" s="22" t="s">
        <v>206</v>
      </c>
      <c r="F212" s="22" t="str">
        <f t="shared" si="0"/>
        <v xml:space="preserve">     Entre 200 y 1000 SMLMV</v>
      </c>
    </row>
    <row r="213" spans="1:8" s="22" customFormat="1" ht="42" x14ac:dyDescent="0.4">
      <c r="A213" s="85"/>
      <c r="B213" s="137" t="s">
        <v>89</v>
      </c>
      <c r="C213" s="137" t="s">
        <v>211</v>
      </c>
      <c r="E213" s="22" t="s">
        <v>210</v>
      </c>
      <c r="F213" s="22" t="str">
        <f t="shared" si="0"/>
        <v xml:space="preserve">     Entre 1000 y 5000 SMLMV </v>
      </c>
    </row>
    <row r="214" spans="1:8" s="22" customFormat="1" ht="42" x14ac:dyDescent="0.4">
      <c r="A214" s="85"/>
      <c r="B214" s="137" t="s">
        <v>89</v>
      </c>
      <c r="C214" s="137" t="s">
        <v>207</v>
      </c>
      <c r="E214" s="22" t="s">
        <v>211</v>
      </c>
      <c r="F214" s="22" t="str">
        <f t="shared" si="0"/>
        <v xml:space="preserve">     Entre 5000 y 10000 SMLMV</v>
      </c>
    </row>
    <row r="215" spans="1:8" s="22" customFormat="1" ht="21" x14ac:dyDescent="0.4">
      <c r="A215" s="85"/>
      <c r="B215" s="137" t="s">
        <v>57</v>
      </c>
      <c r="C215" s="137" t="s">
        <v>92</v>
      </c>
      <c r="E215" s="22" t="s">
        <v>207</v>
      </c>
      <c r="F215" s="22" t="str">
        <f t="shared" si="0"/>
        <v xml:space="preserve">     Mayor a 10000 SMLMV</v>
      </c>
    </row>
    <row r="216" spans="1:8" s="22" customFormat="1" ht="63" x14ac:dyDescent="0.4">
      <c r="A216" s="85"/>
      <c r="B216" s="137" t="s">
        <v>57</v>
      </c>
      <c r="C216" s="137" t="s">
        <v>93</v>
      </c>
      <c r="D216" s="22" t="s">
        <v>57</v>
      </c>
      <c r="F216" s="22" t="str">
        <f t="shared" si="0"/>
        <v>Pérdida Reputacional</v>
      </c>
    </row>
    <row r="217" spans="1:8" s="22" customFormat="1" ht="42" x14ac:dyDescent="0.4">
      <c r="A217" s="85"/>
      <c r="B217" s="137" t="s">
        <v>57</v>
      </c>
      <c r="C217" s="137" t="s">
        <v>95</v>
      </c>
      <c r="E217" s="22" t="s">
        <v>92</v>
      </c>
      <c r="F217" s="22" t="str">
        <f>IF(NOT(ISBLANK(D217)),D217,IF(NOT(ISBLANK(E217)),"     "&amp;E217,FALSE))</f>
        <v xml:space="preserve">     El riesgo afecta la imagen de alguna área de la organización</v>
      </c>
    </row>
    <row r="218" spans="1:8" s="22" customFormat="1" ht="63" x14ac:dyDescent="0.4">
      <c r="A218" s="85"/>
      <c r="B218" s="137" t="s">
        <v>57</v>
      </c>
      <c r="C218" s="137" t="s">
        <v>94</v>
      </c>
      <c r="E218" s="22" t="s">
        <v>93</v>
      </c>
      <c r="F218" s="22" t="str">
        <f t="shared" si="0"/>
        <v xml:space="preserve">     El riesgo afecta la imagen de la entidad internamente, de conocimiento general, nivel interno, de junta dircetiva y accionistas y/o de provedores</v>
      </c>
    </row>
    <row r="219" spans="1:8" s="22" customFormat="1" ht="42" x14ac:dyDescent="0.4">
      <c r="A219" s="85"/>
      <c r="B219" s="137" t="s">
        <v>57</v>
      </c>
      <c r="C219" s="137" t="s">
        <v>113</v>
      </c>
      <c r="E219" s="22" t="s">
        <v>95</v>
      </c>
      <c r="F219" s="22" t="str">
        <f t="shared" si="0"/>
        <v xml:space="preserve">     El riesgo afecta la imagen de la entidad con algunos usuarios de relevancia frente al logro de los objetivos</v>
      </c>
    </row>
    <row r="220" spans="1:8" s="22" customFormat="1" x14ac:dyDescent="0.3">
      <c r="A220" s="85"/>
      <c r="E220" s="22" t="s">
        <v>94</v>
      </c>
      <c r="F220" s="22" t="str">
        <f t="shared" si="0"/>
        <v xml:space="preserve">     El riesgo afecta la imagen de de la entidad con efecto publicitario sostenido a nivel de sector administrativo, nivel departamental o municipal</v>
      </c>
    </row>
    <row r="221" spans="1:8" s="22" customFormat="1" x14ac:dyDescent="0.3">
      <c r="A221" s="85"/>
      <c r="B221" s="22" t="str">
        <f t="array" ref="B221:B223">_xlfn.UNIQUE(Tabla1[[#All],[Criterios]])</f>
        <v>Criterios</v>
      </c>
      <c r="E221" s="22" t="s">
        <v>113</v>
      </c>
      <c r="F221" s="22" t="str">
        <f t="shared" si="0"/>
        <v xml:space="preserve">     El riesgo afecta la imagen de la entidad a nivel nacional, con efecto publicitarios sostenible a nivel país</v>
      </c>
    </row>
    <row r="222" spans="1:8" s="22" customFormat="1" x14ac:dyDescent="0.3">
      <c r="A222" s="85"/>
      <c r="B222" s="22" t="str">
        <v>Afectación Económica o presupuestal</v>
      </c>
    </row>
    <row r="223" spans="1:8" s="22" customFormat="1" x14ac:dyDescent="0.3">
      <c r="B223" s="22" t="str">
        <v>Pérdida Reputacional</v>
      </c>
      <c r="F223" s="138" t="s">
        <v>141</v>
      </c>
    </row>
    <row r="224" spans="1:8" s="22" customFormat="1" x14ac:dyDescent="0.3">
      <c r="F224" s="138" t="s">
        <v>142</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Intructivo</vt:lpstr>
      <vt:lpstr>Contexto</vt:lpstr>
      <vt:lpstr>Priorizacion de Causas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lpstr>'Mapa final'!Títulos_a_imprimir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2024-10-31T00:54:11Z</cp:lastPrinted>
  <dcterms:created xsi:type="dcterms:W3CDTF">2020-03-24T23:12:47Z</dcterms:created>
  <dcterms:modified xsi:type="dcterms:W3CDTF">2024-11-20T05:02:28Z</dcterms:modified>
</cp:coreProperties>
</file>