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INFORME DE ACTIVIDADES\REVISION DEPENDENCIAS\MATRIZ\1. MONITOREO\10-8-24 REV SIGAMI RIESGOS GEST-CORRUPCION\5. BIM (SEP-OCT_24)\SEC HACIENDA\"/>
    </mc:Choice>
  </mc:AlternateContent>
  <xr:revisionPtr revIDLastSave="0" documentId="13_ncr:1_{8F6551D6-B2D3-4901-AB62-5B55A46545FE}" xr6:coauthVersionLast="47" xr6:coauthVersionMax="47" xr10:uidLastSave="{00000000-0000-0000-0000-000000000000}"/>
  <bookViews>
    <workbookView xWindow="-108" yWindow="-108" windowWidth="23256" windowHeight="12456" activeTab="2"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Print_Titles" localSheetId="4">'Mapa final'!$8:$9</definedName>
  </definedNames>
  <calcPr calcId="191029"/>
  <pivotCaches>
    <pivotCache cacheId="3"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3" l="1"/>
  <c r="C1" i="22"/>
  <c r="S22" i="1"/>
  <c r="S39" i="1" l="1"/>
  <c r="H2" i="23" l="1"/>
  <c r="H3" i="23"/>
  <c r="H4" i="23"/>
  <c r="H1" i="23"/>
  <c r="A5" i="23" l="1"/>
  <c r="E39" i="1" l="1"/>
  <c r="A6" i="23"/>
  <c r="A7" i="22"/>
  <c r="A6" i="22"/>
  <c r="S34" i="1" l="1"/>
  <c r="K34" i="1"/>
  <c r="L34" i="1" s="1"/>
  <c r="T34" i="1" l="1"/>
  <c r="T33" i="1"/>
  <c r="S33" i="1" l="1"/>
  <c r="S30" i="1"/>
  <c r="S31" i="1"/>
  <c r="S32" i="1"/>
  <c r="S10" i="1" l="1"/>
  <c r="K16" i="1"/>
  <c r="E10" i="1"/>
  <c r="R34" i="22"/>
  <c r="S34" i="22"/>
  <c r="S63" i="1" l="1"/>
  <c r="S57" i="1"/>
  <c r="S51" i="1"/>
  <c r="S45" i="1"/>
  <c r="S28" i="1" l="1"/>
  <c r="S16" i="1" l="1"/>
  <c r="J10" i="1" l="1"/>
  <c r="K10" i="1" s="1"/>
  <c r="T11" i="1"/>
  <c r="W11" i="1"/>
  <c r="T12" i="1"/>
  <c r="W12" i="1"/>
  <c r="T13" i="1"/>
  <c r="W13" i="1"/>
  <c r="T14" i="1"/>
  <c r="W14" i="1"/>
  <c r="T15" i="1"/>
  <c r="W15" i="1"/>
  <c r="S41" i="22"/>
  <c r="R12" i="22"/>
  <c r="S12" i="22"/>
  <c r="R13" i="22"/>
  <c r="S13" i="22"/>
  <c r="R14" i="22"/>
  <c r="S14" i="22"/>
  <c r="R15" i="22"/>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5" i="22"/>
  <c r="S35" i="22"/>
  <c r="R36" i="22"/>
  <c r="S36" i="22"/>
  <c r="R37" i="22"/>
  <c r="S37" i="22"/>
  <c r="R38" i="22"/>
  <c r="S38" i="22"/>
  <c r="R39" i="22"/>
  <c r="S39" i="22"/>
  <c r="R40" i="22"/>
  <c r="S40" i="22"/>
  <c r="R41" i="22"/>
  <c r="R11" i="22"/>
  <c r="S11" i="22"/>
  <c r="N13" i="1"/>
  <c r="N11" i="1"/>
  <c r="N15" i="1"/>
  <c r="N14" i="1"/>
  <c r="N12" i="1"/>
  <c r="AE15" i="1" l="1"/>
  <c r="AD15" i="1" s="1"/>
  <c r="AA14" i="1"/>
  <c r="AC14" i="1" s="1"/>
  <c r="AE12" i="1"/>
  <c r="AD12" i="1" s="1"/>
  <c r="AA13" i="1"/>
  <c r="AC13" i="1" s="1"/>
  <c r="AA15" i="1"/>
  <c r="AB15" i="1" s="1"/>
  <c r="AE13" i="1"/>
  <c r="AD13" i="1" s="1"/>
  <c r="AA12" i="1"/>
  <c r="AB12" i="1" s="1"/>
  <c r="AF12" i="1" s="1"/>
  <c r="AE14" i="1"/>
  <c r="AD14" i="1" s="1"/>
  <c r="S42" i="22"/>
  <c r="S43" i="22" s="1"/>
  <c r="AF15" i="1" l="1"/>
  <c r="AB14" i="1"/>
  <c r="AF14" i="1" s="1"/>
  <c r="AB13" i="1"/>
  <c r="AF13" i="1" s="1"/>
  <c r="AC15" i="1"/>
  <c r="AC12" i="1"/>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W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AE20" i="1" l="1"/>
  <c r="AD20" i="1" s="1"/>
  <c r="AE31" i="1"/>
  <c r="AD31" i="1" s="1"/>
  <c r="AE47" i="1"/>
  <c r="AD47" i="1" s="1"/>
  <c r="AE35" i="1"/>
  <c r="AD35" i="1" s="1"/>
  <c r="AE43" i="1"/>
  <c r="AD43" i="1" s="1"/>
  <c r="AE24" i="1"/>
  <c r="AD24" i="1" s="1"/>
  <c r="AE19" i="1"/>
  <c r="AD19" i="1" s="1"/>
  <c r="AE23" i="1"/>
  <c r="AD23" i="1" s="1"/>
  <c r="AE27" i="1"/>
  <c r="AD27" i="1" s="1"/>
  <c r="AE30" i="1"/>
  <c r="AD30" i="1" s="1"/>
  <c r="AE38" i="1"/>
  <c r="AD38" i="1" s="1"/>
  <c r="AE42" i="1"/>
  <c r="AD42" i="1" s="1"/>
  <c r="AE46" i="1"/>
  <c r="AD46" i="1" s="1"/>
  <c r="AE50" i="1"/>
  <c r="AD50" i="1" s="1"/>
  <c r="AE54" i="1"/>
  <c r="AD54" i="1" s="1"/>
  <c r="AE58" i="1"/>
  <c r="AD58" i="1" s="1"/>
  <c r="AE66" i="1"/>
  <c r="AD66" i="1" s="1"/>
  <c r="AE18" i="1"/>
  <c r="AD18" i="1" s="1"/>
  <c r="AE29" i="1"/>
  <c r="AD29" i="1" s="1"/>
  <c r="AE37" i="1"/>
  <c r="AD37" i="1" s="1"/>
  <c r="AE41" i="1"/>
  <c r="AD41" i="1" s="1"/>
  <c r="AE49" i="1"/>
  <c r="AD49" i="1" s="1"/>
  <c r="AE53" i="1"/>
  <c r="AD53" i="1" s="1"/>
  <c r="AE61" i="1"/>
  <c r="AD61" i="1" s="1"/>
  <c r="AE26" i="1"/>
  <c r="AD26" i="1" s="1"/>
  <c r="AE65" i="1"/>
  <c r="AD65" i="1" s="1"/>
  <c r="AE62" i="1"/>
  <c r="AD62" i="1" s="1"/>
  <c r="AE55" i="1"/>
  <c r="AD55" i="1" s="1"/>
  <c r="AE59" i="1"/>
  <c r="AD59" i="1" s="1"/>
  <c r="AE67" i="1"/>
  <c r="AD67" i="1" s="1"/>
  <c r="AE17" i="1"/>
  <c r="AD17" i="1" s="1"/>
  <c r="AE21" i="1"/>
  <c r="AD21" i="1" s="1"/>
  <c r="AE25" i="1"/>
  <c r="AD25"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41" i="1"/>
  <c r="AA43" i="1"/>
  <c r="AA40" i="1"/>
  <c r="AA42" i="1"/>
  <c r="AA44" i="1"/>
  <c r="AA35" i="1"/>
  <c r="AA37" i="1"/>
  <c r="AA36" i="1"/>
  <c r="AA38" i="1"/>
  <c r="AA29" i="1"/>
  <c r="AA31" i="1"/>
  <c r="AA30" i="1"/>
  <c r="AA32" i="1"/>
  <c r="AA24" i="1"/>
  <c r="AA26" i="1"/>
  <c r="AA23" i="1"/>
  <c r="AA25" i="1"/>
  <c r="AA27" i="1"/>
  <c r="AA18" i="1"/>
  <c r="AA20" i="1"/>
  <c r="AA17" i="1"/>
  <c r="AA19" i="1"/>
  <c r="AA21"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8" i="1"/>
  <c r="AB38" i="1"/>
  <c r="AF38" i="1" s="1"/>
  <c r="AC36" i="1"/>
  <c r="AB36" i="1"/>
  <c r="AF36" i="1" s="1"/>
  <c r="AB37" i="1"/>
  <c r="AF37" i="1" s="1"/>
  <c r="AC37" i="1"/>
  <c r="AB35" i="1"/>
  <c r="AF35" i="1" s="1"/>
  <c r="AC35" i="1"/>
  <c r="AC32" i="1"/>
  <c r="AB32" i="1"/>
  <c r="AF32" i="1" s="1"/>
  <c r="AC30" i="1"/>
  <c r="AB30" i="1"/>
  <c r="AF30" i="1" s="1"/>
  <c r="AC31" i="1"/>
  <c r="AB31" i="1"/>
  <c r="AF31" i="1" s="1"/>
  <c r="AC29" i="1"/>
  <c r="AB29" i="1"/>
  <c r="AF29" i="1" s="1"/>
  <c r="AC25" i="1"/>
  <c r="AB25" i="1"/>
  <c r="AF25" i="1" s="1"/>
  <c r="AC23" i="1"/>
  <c r="AB23" i="1"/>
  <c r="AF23" i="1" s="1"/>
  <c r="AC26" i="1"/>
  <c r="AB26" i="1"/>
  <c r="AF26" i="1" s="1"/>
  <c r="AC27" i="1"/>
  <c r="AB27" i="1"/>
  <c r="AF27" i="1" s="1"/>
  <c r="AC24" i="1"/>
  <c r="AB24" i="1"/>
  <c r="AF24" i="1" s="1"/>
  <c r="AC21" i="1"/>
  <c r="AB21" i="1"/>
  <c r="AF21" i="1" s="1"/>
  <c r="AC19" i="1"/>
  <c r="AB19" i="1"/>
  <c r="AF19" i="1" s="1"/>
  <c r="AC20" i="1"/>
  <c r="AB20" i="1"/>
  <c r="AF20" i="1" s="1"/>
  <c r="AC18" i="1"/>
  <c r="AB18" i="1"/>
  <c r="AF18" i="1" s="1"/>
  <c r="AC17" i="1"/>
  <c r="AB17" i="1"/>
  <c r="AF17" i="1" s="1"/>
  <c r="K22" i="1" l="1"/>
  <c r="L22" i="1" s="1"/>
  <c r="AA22" i="1" s="1"/>
  <c r="K28" i="1"/>
  <c r="K33" i="1"/>
  <c r="L33" i="1" s="1"/>
  <c r="AA33" i="1" s="1"/>
  <c r="K39" i="1"/>
  <c r="L39" i="1" s="1"/>
  <c r="AA39" i="1" s="1"/>
  <c r="K45" i="1"/>
  <c r="L45" i="1" s="1"/>
  <c r="K51" i="1"/>
  <c r="L51" i="1" s="1"/>
  <c r="K57" i="1"/>
  <c r="L57" i="1" s="1"/>
  <c r="K63" i="1"/>
  <c r="L63" i="1" s="1"/>
  <c r="N56" i="1"/>
  <c r="N62" i="1"/>
  <c r="N61" i="1"/>
  <c r="N40" i="1"/>
  <c r="N41" i="1"/>
  <c r="N38" i="1"/>
  <c r="N60" i="1"/>
  <c r="N49" i="1"/>
  <c r="N52" i="1"/>
  <c r="N50" i="1"/>
  <c r="N53" i="1"/>
  <c r="N58" i="1"/>
  <c r="N55" i="1"/>
  <c r="N68" i="1"/>
  <c r="N30" i="1"/>
  <c r="N42" i="1"/>
  <c r="N64" i="1"/>
  <c r="N54" i="1"/>
  <c r="N32" i="1"/>
  <c r="N48" i="1"/>
  <c r="N25" i="1"/>
  <c r="N24" i="1"/>
  <c r="N37" i="1"/>
  <c r="N59" i="1"/>
  <c r="N31" i="1"/>
  <c r="N27" i="1"/>
  <c r="N35" i="1"/>
  <c r="N23" i="1"/>
  <c r="N67" i="1"/>
  <c r="N43" i="1"/>
  <c r="N44" i="1"/>
  <c r="N36" i="1"/>
  <c r="N29" i="1"/>
  <c r="N26" i="1"/>
  <c r="N47" i="1"/>
  <c r="N65" i="1"/>
  <c r="N66" i="1"/>
  <c r="N34" i="1"/>
  <c r="O34" i="1" s="1"/>
  <c r="N46" i="1"/>
  <c r="P34" i="1" l="1"/>
  <c r="Q34" i="1"/>
  <c r="AC39" i="1"/>
  <c r="AB39" i="1"/>
  <c r="AC33" i="1"/>
  <c r="AA34" i="1" s="1"/>
  <c r="AB33" i="1"/>
  <c r="AC22" i="1"/>
  <c r="AB22" i="1"/>
  <c r="L28" i="1"/>
  <c r="AA28" i="1" s="1"/>
  <c r="AC34" i="1" l="1"/>
  <c r="AB34" i="1"/>
  <c r="AC28" i="1"/>
  <c r="AB28" i="1"/>
  <c r="F217" i="13"/>
  <c r="W10" i="1" l="1"/>
  <c r="T10" i="1"/>
  <c r="AE11" i="1" l="1"/>
  <c r="AD11" i="1" s="1"/>
  <c r="AA11" i="1"/>
  <c r="L10" i="1"/>
  <c r="N21" i="1"/>
  <c r="N18" i="1"/>
  <c r="N20" i="1"/>
  <c r="N19" i="1"/>
  <c r="N17" i="1"/>
  <c r="AB11" i="1" l="1"/>
  <c r="AF11" i="1" s="1"/>
  <c r="AC11" i="1"/>
  <c r="F221" i="13"/>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L16" i="1" l="1"/>
  <c r="AA16" i="1" s="1"/>
  <c r="AC16" i="1" l="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V25" i="19" l="1"/>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N22" i="1" l="1"/>
  <c r="O22" i="1" s="1"/>
  <c r="N28" i="1"/>
  <c r="O28" i="1" s="1"/>
  <c r="N33" i="1"/>
  <c r="O33" i="1" s="1"/>
  <c r="N39" i="1"/>
  <c r="O39" i="1" s="1"/>
  <c r="N45" i="1"/>
  <c r="O45" i="1" s="1"/>
  <c r="N51" i="1"/>
  <c r="O51" i="1" s="1"/>
  <c r="N57" i="1"/>
  <c r="O57" i="1" s="1"/>
  <c r="N63" i="1"/>
  <c r="O63" i="1" s="1"/>
  <c r="N16" i="1"/>
  <c r="O16" i="1" s="1"/>
  <c r="N10" i="1"/>
  <c r="O10" i="1" s="1"/>
  <c r="P38" i="18" l="1"/>
  <c r="J6" i="18"/>
  <c r="V6" i="18"/>
  <c r="J22" i="18"/>
  <c r="V22" i="18"/>
  <c r="AH6" i="18"/>
  <c r="P22" i="18"/>
  <c r="AH22" i="18"/>
  <c r="P6" i="18"/>
  <c r="P10" i="1"/>
  <c r="AE10"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AE39" i="1" s="1"/>
  <c r="AD39" i="1" s="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E33" i="1" s="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AE28" i="1" s="1"/>
  <c r="AD28" i="1" s="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AE22" i="1" s="1"/>
  <c r="AD22" i="1" s="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33" i="1" l="1"/>
  <c r="J50" i="19" s="1"/>
  <c r="AE34" i="1"/>
  <c r="AD34" i="1" s="1"/>
  <c r="AF39" i="1"/>
  <c r="J11" i="19"/>
  <c r="J31" i="19"/>
  <c r="J21" i="19"/>
  <c r="V41" i="19"/>
  <c r="P51" i="19"/>
  <c r="J51" i="19"/>
  <c r="P11" i="19"/>
  <c r="V11" i="19"/>
  <c r="AB41" i="19"/>
  <c r="AB31" i="19"/>
  <c r="V31" i="19"/>
  <c r="V21" i="19"/>
  <c r="AH51" i="19"/>
  <c r="AB21" i="19"/>
  <c r="AH41" i="19"/>
  <c r="AB51" i="19"/>
  <c r="AH21" i="19"/>
  <c r="AH31" i="19"/>
  <c r="AH11" i="19"/>
  <c r="P31" i="19"/>
  <c r="P41" i="19"/>
  <c r="P21" i="19"/>
  <c r="AB11" i="19"/>
  <c r="V51" i="19"/>
  <c r="J41" i="19"/>
  <c r="AF28" i="1"/>
  <c r="AB9" i="19"/>
  <c r="AB49" i="19"/>
  <c r="AH19" i="19"/>
  <c r="J49" i="19"/>
  <c r="AH39" i="19"/>
  <c r="V39" i="19"/>
  <c r="AB29" i="19"/>
  <c r="AH29" i="19"/>
  <c r="AH9" i="19"/>
  <c r="J9" i="19"/>
  <c r="P9" i="19"/>
  <c r="V9" i="19"/>
  <c r="P49" i="19"/>
  <c r="AB19" i="19"/>
  <c r="J39" i="19"/>
  <c r="V19" i="19"/>
  <c r="AB39" i="19"/>
  <c r="J29" i="19"/>
  <c r="P19" i="19"/>
  <c r="P39" i="19"/>
  <c r="P29" i="19"/>
  <c r="AH49" i="19"/>
  <c r="J19" i="19"/>
  <c r="V49" i="19"/>
  <c r="V29" i="19"/>
  <c r="AF22" i="1"/>
  <c r="P38" i="19"/>
  <c r="P48" i="19"/>
  <c r="J8" i="19"/>
  <c r="AH48" i="19"/>
  <c r="V18" i="19"/>
  <c r="J38" i="19"/>
  <c r="AH28" i="19"/>
  <c r="AB48" i="19"/>
  <c r="J28" i="19"/>
  <c r="V28" i="19"/>
  <c r="P28" i="19"/>
  <c r="AB18" i="19"/>
  <c r="AH18" i="19"/>
  <c r="AB8" i="19"/>
  <c r="V48" i="19"/>
  <c r="V38" i="19"/>
  <c r="AB38" i="19"/>
  <c r="P8" i="19"/>
  <c r="J18" i="19"/>
  <c r="V8" i="19"/>
  <c r="J48" i="19"/>
  <c r="AH38" i="19"/>
  <c r="AH8" i="19"/>
  <c r="P18" i="19"/>
  <c r="AB28" i="19"/>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B50" i="19" l="1"/>
  <c r="AB30" i="19"/>
  <c r="J20" i="19"/>
  <c r="V30" i="19"/>
  <c r="J30" i="19"/>
  <c r="P50" i="19"/>
  <c r="AH50" i="19"/>
  <c r="P20" i="19"/>
  <c r="V40" i="19"/>
  <c r="AB20" i="19"/>
  <c r="AF33" i="1"/>
  <c r="AB10" i="19"/>
  <c r="V20" i="19"/>
  <c r="P30" i="19"/>
  <c r="J10" i="19"/>
  <c r="P40" i="19"/>
  <c r="AH20" i="19"/>
  <c r="J40" i="19"/>
  <c r="V50" i="19"/>
  <c r="AB40" i="19"/>
  <c r="P10" i="19"/>
  <c r="AH30" i="19"/>
  <c r="AH40" i="19"/>
  <c r="V10" i="19"/>
  <c r="AH10" i="19"/>
  <c r="AF34" i="1"/>
  <c r="AC40" i="19"/>
  <c r="W20" i="19"/>
  <c r="W40" i="19"/>
  <c r="Q20" i="19"/>
  <c r="K20" i="19"/>
  <c r="W10" i="19"/>
  <c r="K10" i="19"/>
  <c r="AC50" i="19"/>
  <c r="Q40" i="19"/>
  <c r="AC10" i="19"/>
  <c r="K30" i="19"/>
  <c r="W50" i="19"/>
  <c r="Q10" i="19"/>
  <c r="AI10" i="19"/>
  <c r="AI30" i="19"/>
  <c r="Q30" i="19"/>
  <c r="AI50" i="19"/>
  <c r="AC20" i="19"/>
  <c r="AI20" i="19"/>
  <c r="W30" i="19"/>
  <c r="K40" i="19"/>
  <c r="K50" i="19"/>
  <c r="AC30" i="19"/>
  <c r="Q50" i="19"/>
  <c r="AI40" i="19"/>
  <c r="P26" i="19"/>
  <c r="V26" i="19"/>
  <c r="AH46" i="19"/>
  <c r="P6" i="19"/>
  <c r="J36" i="19"/>
  <c r="J6" i="19"/>
  <c r="V36" i="19"/>
  <c r="P46" i="19"/>
  <c r="J16" i="19"/>
  <c r="AH36" i="19"/>
  <c r="J46" i="19"/>
  <c r="AB16" i="19"/>
  <c r="J26" i="19"/>
  <c r="AB26" i="19"/>
  <c r="AB6" i="19"/>
  <c r="AB46" i="19"/>
  <c r="AF10" i="1"/>
  <c r="AH6" i="19"/>
  <c r="P16" i="19"/>
  <c r="AH16" i="19"/>
  <c r="AB36" i="19"/>
  <c r="AH26" i="19"/>
  <c r="V16" i="19"/>
  <c r="V4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E26" authorId="0" shapeId="0" xr:uid="{00000000-0006-0000-0300-000001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 ref="E50" authorId="0" shapeId="0" xr:uid="{00000000-0006-0000-0300-000002000000}">
      <text>
        <r>
          <rPr>
            <b/>
            <sz val="9"/>
            <color indexed="81"/>
            <rFont val="Tahoma"/>
            <family val="2"/>
          </rPr>
          <t>HACIENDA:</t>
        </r>
        <r>
          <rPr>
            <sz val="9"/>
            <color indexed="81"/>
            <rFont val="Tahoma"/>
            <family val="2"/>
          </rPr>
          <t xml:space="preserve">
 DA
pueden servir para la formulación de acciones de contingencia para reestablecer la normatividad de manera inmediata al momento qque el riesgo se materialice.</t>
        </r>
      </text>
    </comment>
    <comment ref="G50" authorId="0" shapeId="0" xr:uid="{00000000-0006-0000-0300-000003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B8" authorId="0" shapeId="0" xr:uid="{00000000-0006-0000-0400-000001000000}">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00000000-0006-0000-0400-000002000000}">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00000000-0006-0000-0400-000003000000}">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00000000-0006-0000-0400-000004000000}">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00000000-0006-0000-0400-000005000000}">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0000000-0006-0000-0400-000006000000}">
      <text>
        <r>
          <rPr>
            <b/>
            <sz val="9"/>
            <color indexed="81"/>
            <rFont val="Tahoma"/>
            <family val="2"/>
          </rPr>
          <t>HACIENDA:</t>
        </r>
        <r>
          <rPr>
            <sz val="9"/>
            <color indexed="81"/>
            <rFont val="Tahoma"/>
            <family val="2"/>
          </rPr>
          <t xml:space="preserve">
aplico el tipo de riesgo ver pag 38
</t>
        </r>
      </text>
    </comment>
    <comment ref="S8" authorId="0" shapeId="0" xr:uid="{00000000-0006-0000-0400-00000700000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00000000-0006-0000-0400-000008000000}">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00000000-0006-0000-0400-000009000000}">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00000000-0006-0000-0400-00000A000000}">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00000000-0006-0000-0400-00000B000000}">
      <text>
        <r>
          <rPr>
            <b/>
            <sz val="9"/>
            <color indexed="81"/>
            <rFont val="Tahoma"/>
            <family val="2"/>
          </rPr>
          <t>HACIENDA:</t>
        </r>
        <r>
          <rPr>
            <sz val="9"/>
            <color indexed="81"/>
            <rFont val="Tahoma"/>
            <family val="2"/>
          </rPr>
          <t xml:space="preserve">
11 reportes de ejecución y 3 a la alata gerencia (trimestral)</t>
        </r>
      </text>
    </comment>
    <comment ref="J22" authorId="0" shapeId="0" xr:uid="{00000000-0006-0000-0400-00000C000000}">
      <text>
        <r>
          <rPr>
            <b/>
            <sz val="9"/>
            <color indexed="81"/>
            <rFont val="Tahoma"/>
            <family val="2"/>
          </rPr>
          <t>HACIENDA:</t>
        </r>
        <r>
          <rPr>
            <sz val="9"/>
            <color indexed="81"/>
            <rFont val="Tahoma"/>
            <family val="2"/>
          </rPr>
          <t xml:space="preserve">
Revisión de documentos 1 vez al año y normograma trimestral (4 veces en el año)</t>
        </r>
      </text>
    </comment>
    <comment ref="J33" authorId="0" shapeId="0" xr:uid="{00000000-0006-0000-0400-00000D000000}">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34" authorId="0" shapeId="0" xr:uid="{4C5CE5E3-CDB0-4FD7-A78B-EAC29480FA81}">
      <text>
        <r>
          <rPr>
            <b/>
            <sz val="9"/>
            <color indexed="81"/>
            <rFont val="Tahoma"/>
            <family val="2"/>
          </rPr>
          <t>HACIENDA:</t>
        </r>
        <r>
          <rPr>
            <sz val="9"/>
            <color indexed="81"/>
            <rFont val="Tahoma"/>
            <family val="2"/>
          </rPr>
          <t xml:space="preserve">
promedio con riedgo de prescripcion anual cartera prescrita 2023-300,000,000
</t>
        </r>
      </text>
    </comment>
  </commentList>
</comments>
</file>

<file path=xl/sharedStrings.xml><?xml version="1.0" encoding="utf-8"?>
<sst xmlns="http://schemas.openxmlformats.org/spreadsheetml/2006/main" count="659" uniqueCount="436">
  <si>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</si>
  <si>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</si>
  <si>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</si>
  <si>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</si>
  <si>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</si>
  <si>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</si>
  <si>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</si>
  <si>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</si>
  <si>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</si>
  <si>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</si>
  <si>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</si>
  <si>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</si>
  <si>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</si>
  <si>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</si>
  <si>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</si>
  <si>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</si>
  <si>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</si>
  <si>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</si>
  <si>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</si>
  <si>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</si>
  <si>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</si>
  <si>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</si>
  <si>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</si>
  <si>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</si>
  <si>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</si>
  <si>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</si>
  <si>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</si>
  <si>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</si>
  <si>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</si>
  <si>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</si>
  <si>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</si>
  <si>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</si>
  <si>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</si>
  <si>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</si>
  <si>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</si>
  <si>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</si>
  <si>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</si>
  <si>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</si>
  <si>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</si>
  <si>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</si>
  <si>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</si>
  <si>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</si>
  <si>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</si>
  <si>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</si>
  <si>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</si>
  <si>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</si>
  <si>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</si>
  <si>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</si>
  <si>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</si>
  <si>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</si>
  <si>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</si>
  <si>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</si>
  <si>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</si>
  <si>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</si>
  <si>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</si>
  <si>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</si>
  <si>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</si>
  <si>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</si>
  <si>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</si>
  <si>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</si>
  <si>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</si>
  <si>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</si>
  <si>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</si>
  <si>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</si>
  <si>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</si>
  <si>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</si>
  <si>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</si>
  <si>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</si>
  <si>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</si>
  <si>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</si>
  <si>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</si>
  <si>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</si>
  <si>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</si>
  <si>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</si>
  <si>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</si>
  <si>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</si>
  <si>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</si>
  <si>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</si>
  <si>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</si>
  <si>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</si>
  <si>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</si>
  <si>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</si>
  <si>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</si>
  <si>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</si>
  <si>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</si>
  <si>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</si>
  <si>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</si>
  <si>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</si>
  <si>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</si>
  <si>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</si>
  <si>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</si>
  <si>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</si>
  <si>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</si>
  <si>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</si>
  <si>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</si>
  <si>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</si>
  <si>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</si>
  <si>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</si>
  <si>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</si>
  <si>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</si>
  <si>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</si>
  <si>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</si>
  <si>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</si>
  <si>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</si>
  <si>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</si>
  <si>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</si>
  <si>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</si>
  <si>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</si>
  <si>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</si>
  <si>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</si>
  <si>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</si>
  <si>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</si>
  <si>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</si>
  <si>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</si>
  <si>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</si>
  <si>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</si>
  <si>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</si>
  <si>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</si>
  <si>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</si>
  <si>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</si>
  <si>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</si>
  <si>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</si>
  <si>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</si>
  <si>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</si>
  <si>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</si>
  <si>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</si>
  <si>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</si>
  <si>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</si>
  <si>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</si>
  <si>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</si>
  <si>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</si>
  <si>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</si>
  <si>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</si>
  <si>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</si>
  <si>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</si>
  <si>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</si>
  <si>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</si>
  <si>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</si>
  <si>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</si>
  <si>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</si>
  <si>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</si>
  <si>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</si>
  <si>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</si>
  <si>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</si>
  <si>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</si>
  <si>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</si>
  <si>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</si>
  <si>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</si>
  <si>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</si>
  <si>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</si>
  <si>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</si>
  <si>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</si>
  <si>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</si>
  <si>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</si>
  <si>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</si>
  <si>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</si>
  <si>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</si>
  <si>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</si>
  <si>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</si>
  <si>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</si>
  <si>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</si>
  <si>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</si>
  <si>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</si>
  <si>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</si>
  <si>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</si>
  <si>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</si>
  <si>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</si>
  <si>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</si>
  <si>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</si>
  <si>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</si>
  <si>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</si>
  <si>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</si>
  <si>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</si>
  <si>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</si>
  <si>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</si>
  <si>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</si>
  <si>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</si>
  <si>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</si>
  <si>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</si>
  <si>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</si>
  <si>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</si>
  <si>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</si>
  <si>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</si>
  <si>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</si>
  <si>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</si>
  <si>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</si>
  <si>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</si>
  <si>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</si>
  <si>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</si>
  <si>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</si>
  <si>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</si>
  <si>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</si>
  <si>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</si>
  <si>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</si>
  <si>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</si>
  <si>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</si>
  <si>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</si>
  <si>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</si>
  <si>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</si>
  <si>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</si>
  <si>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</si>
  <si>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</si>
  <si>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</si>
  <si>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</si>
  <si>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</si>
  <si>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</si>
  <si>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</si>
  <si>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</si>
  <si>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</si>
  <si>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</si>
  <si>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</si>
  <si>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</si>
  <si>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</si>
  <si>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</si>
  <si>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</si>
  <si>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</si>
  <si>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</si>
  <si>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</si>
  <si>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</si>
  <si>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</si>
  <si>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</si>
  <si>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</si>
  <si>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</si>
  <si>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</si>
  <si>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</si>
  <si>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</si>
  <si>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</si>
  <si>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</si>
  <si>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</si>
  <si>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</si>
  <si>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</si>
  <si>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</si>
  <si>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</si>
  <si>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</si>
  <si>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</si>
  <si>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</si>
  <si>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</si>
  <si>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</si>
  <si>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</si>
  <si>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</si>
  <si>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</si>
  <si>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</si>
  <si>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</si>
  <si>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</si>
  <si>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</si>
  <si>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</si>
  <si>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</si>
  <si>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</si>
  <si>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</si>
  <si>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</si>
  <si>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</si>
  <si>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</si>
  <si>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</si>
  <si>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</si>
  <si>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</si>
  <si>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</si>
  <si>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</si>
  <si>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</si>
  <si>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</si>
  <si>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</si>
  <si>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</si>
  <si>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</si>
  <si>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</si>
  <si>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</si>
  <si>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</si>
  <si>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</si>
  <si>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1. Alta rotación de personal  afectando la continuidad en los procesos.</t>
  </si>
  <si>
    <t>2. Falta  de inducción y capacitación para conocer adecuadamente las actividades propias del proceso</t>
  </si>
  <si>
    <t xml:space="preserve">3. Falta de ética profesional y compromiso en el desarrollo de las actividades del procesos </t>
  </si>
  <si>
    <t>4. Baja capacidad de liderazgo</t>
  </si>
  <si>
    <t>5. Falta de integralidad en los módulos en los sistemas de información</t>
  </si>
  <si>
    <t>6. Deficiencia en la comunicación interna de la alta dirección con la parte operativa y viceversa.</t>
  </si>
  <si>
    <t>7.Falta de personal de planta para asumir las responsabilidades en la operación y continuidad de los procesos.</t>
  </si>
  <si>
    <t>8. Declataroria de la Urgencia manifiesta, ambiental, economica y Social por Pandemias o catastrófes nacionales</t>
  </si>
  <si>
    <t>9. Falta de seguimiento y gestión al proceso de peticiones, quejas y reclamos y/o tramites de gestión de Hacienda Pública.</t>
  </si>
  <si>
    <t>10. Falta de controles de la gestión de trámites</t>
  </si>
  <si>
    <t>11. Falta de digitalización de la totalidad de los expedientes que reposan en las diferentes direcciones.</t>
  </si>
  <si>
    <t xml:space="preserve">1. Módulo de predial, autoliquidador de industria y comercio, Módulo de constituciónde titulo, Módulo central de cuentas, Modulo de contabilidad, Módulo de Tesoreria, Módulo de deuda pública. </t>
  </si>
  <si>
    <t>2. constante actualizacion y socializacion  de los cambios normativos (normograma)</t>
  </si>
  <si>
    <t xml:space="preserve">3. Plan de Acción secretaria de Hacienda </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</si>
  <si>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</si>
  <si>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 xml:space="preserve">5. Recepción, trámite y pago de contratos en el periodo de confinamiento. </t>
  </si>
  <si>
    <t>6. Apoyo técnico por parte de la Dirección del Grupo de Informática</t>
  </si>
  <si>
    <t>7) Se cuenta con una política integral desarrollada en el  Sistema Integrado de Gestión de la Alcaldía municipal de Ibagué -SIGAMI</t>
  </si>
  <si>
    <t xml:space="preserve">8) contamos con un plan institucional de Capacitación PIC </t>
  </si>
  <si>
    <t>9) programa de inducción y reinducción</t>
  </si>
  <si>
    <t>1) Lineamientos nacionales, departamentales y municipales de hacienda publica que incentivan el pago de impuesto,  según decreto 678 del 20 de mayo 2020</t>
  </si>
  <si>
    <t xml:space="preserve">2) Apoyo técnico en las herramientas de las TICS </t>
  </si>
  <si>
    <t xml:space="preserve">3) Contamos con 4 certificaciones de sistema de Gestión en la Alcaldía </t>
  </si>
  <si>
    <t xml:space="preserve">4) Modelo Integrado de Planeación y Gestión - MIPG </t>
  </si>
  <si>
    <t>5) Normatividad Constitucional y Legal Colombiana.</t>
  </si>
  <si>
    <t>6)  Acciones para implementar en la Administracion publica las medidas establecidas en el protocolo general de bioseguridad adoptado en la Resolución 666 del 24 abril del 2020 del Ministerio de salud y Protección social.</t>
  </si>
  <si>
    <t xml:space="preserve">7) Código de Integridad y Buen Gobierno </t>
  </si>
  <si>
    <t xml:space="preserve">8)  Reorganización administrativa basada en estudios técnicos </t>
  </si>
  <si>
    <t xml:space="preserve">D5. O2 La secretaria de Hacienda convocará a mesas de trabajo a  las TICS junto al comité de Riesgos, para definir un plan de integralidad en la operación de los modulos del proceso de Gestión de Hacienda pública.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</si>
  <si>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</si>
  <si>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D6. O4 Incentivar en la secretaria de Hacienda la realización de los comites técnicos de forma periodica que faciliten la comunicación del nivel directivo y el nivel operativo y viceversa</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</si>
  <si>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</si>
  <si>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D3, O7 Sensibilización a los funcionarios en principios,ética y valores Institucionales Aplicación del Código de Integridad y buen Gobierno, para la satisfacción de clientes y grupos de valor.</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</si>
  <si>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</si>
  <si>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D7 O8 Solicitar personal de planta para la secretaria con el fin de garantizar la continuidad de los procesos. </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</si>
  <si>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</si>
  <si>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</si>
  <si>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</si>
  <si>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</si>
  <si>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</si>
  <si>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</si>
  <si>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F2. O5 Realizar una constante actualizacion y socializacion  de los cambios normativos (normograma) de la secretaria de Hacienda para su correcta aplicabilidad.</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</si>
  <si>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</si>
  <si>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F.8 O4 Se cuenta con una política integral desarrollada en el  Sistema Integrado de Gestión de la Alcaldía municipal de Ibagué -SIGAMI. 4) Modelo Integrado de Planeación y Gestión - MIPG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</si>
  <si>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</si>
  <si>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</si>
  <si>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</si>
  <si>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</si>
  <si>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</si>
  <si>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</si>
  <si>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</si>
  <si>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</si>
  <si>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</si>
  <si>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</si>
  <si>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</si>
  <si>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</si>
  <si>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</si>
  <si>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</si>
  <si>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</si>
  <si>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</si>
  <si>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</si>
  <si>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</si>
  <si>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</si>
  <si>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</si>
  <si>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</si>
  <si>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</si>
  <si>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</si>
  <si>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CAUSA</t>
  </si>
  <si>
    <t>EXTER</t>
  </si>
  <si>
    <t>INTERNA</t>
  </si>
  <si>
    <t>PROCESO</t>
  </si>
  <si>
    <t>INTERACCION CON OTROS PROCESOS</t>
  </si>
  <si>
    <t>Deficiente seguimiento por parte de los ordenadores del gasto  en la ejecución presupuestal</t>
  </si>
  <si>
    <t>subcausa</t>
  </si>
  <si>
    <t>RESPONSABLES DEL PROCESO</t>
  </si>
  <si>
    <t>Falta de aplicación de las políticas del proceso de gestión docuemntal en el control y préstamo de la documentación.</t>
  </si>
  <si>
    <t>ESTRATEGICO</t>
  </si>
  <si>
    <t>1, Retraso en la entrega de información relacionada con actualización y/o conservación catastral por parte del Gestor catastral.  Notificación indebida y/o extemporanea</t>
  </si>
  <si>
    <t>PROCEDIMIENTOS ASOCIADOS</t>
  </si>
  <si>
    <r>
      <t xml:space="preserve"> </t>
    </r>
    <r>
      <rPr>
        <sz val="11"/>
        <color rgb="FFFF0000"/>
        <rFont val="Arial"/>
        <family val="2"/>
      </rPr>
      <t>falta de actualización de los documentos de los procesos de gestión de la Secretaría de Hacienda.</t>
    </r>
  </si>
  <si>
    <r>
      <rPr>
        <sz val="11"/>
        <color rgb="FFFF0000"/>
        <rFont val="Arial"/>
        <family val="2"/>
      </rPr>
      <t>1. Inconsistencia en los cruces entre bancos y las certificacion</t>
    </r>
    <r>
      <rPr>
        <sz val="11"/>
        <color theme="1"/>
        <rFont val="Arial"/>
        <family val="2"/>
      </rPr>
      <t>es</t>
    </r>
  </si>
  <si>
    <t>LEGALES Y REGLAMENTARIOS</t>
  </si>
  <si>
    <t>ECONÓMICOS Y FINANCIEROS</t>
  </si>
  <si>
    <t>Declataroria de la Urgencia manifiesta, ambiental, economica y Social por Pandemias o catastófes nacionales</t>
  </si>
  <si>
    <t>PERSONAL DE LA ENTIDAD (Capacidad del personal, políticas de manejo del talento humano, idoneidad)</t>
  </si>
  <si>
    <t>PROCESOS OPERATIVOS</t>
  </si>
  <si>
    <t>ESTRATÉGICOS</t>
  </si>
  <si>
    <t>TECNOLOGÍA (integridad de datos, disponibilidad de datos y sistemas, desarrollo, producción, mantenimiento de sistemas de información)</t>
  </si>
  <si>
    <t>FINANCIEROS</t>
  </si>
  <si>
    <t>COMMUNICACIÓN INTERNA</t>
  </si>
  <si>
    <t>Incumplimiento en la gestión del CLDO del Impuesto predial unificado dentro de los términos establecidos en el procedimiento PRO-GHP-05 FACTURACION  I.P.U para la actividad No. 11-12 y 13 (C.L.D.O)</t>
  </si>
  <si>
    <t>INTERACCIÓN CON LOS PROCESOS</t>
  </si>
  <si>
    <t>PROCEDIMIENTOS DEL PROCESO</t>
  </si>
  <si>
    <t>COMUNICACIÓN ENTRE LOS PROCESOS</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</si>
  <si>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</si>
  <si>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</si>
  <si>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</si>
  <si>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ejecución presupuestal de gastos de inversión del Municipio de parte de las Secretarias Ejecutor</t>
  </si>
  <si>
    <t>Gestión</t>
  </si>
  <si>
    <t>Ejecución y administración del presupuesto de las Secretarías Ejecutoras</t>
  </si>
  <si>
    <r>
      <rPr>
        <b/>
        <sz val="11"/>
        <color theme="1"/>
        <rFont val="Arial"/>
        <family val="2"/>
      </rPr>
      <t>DO Y FA</t>
    </r>
    <r>
      <rPr>
        <sz val="11"/>
        <color theme="1"/>
        <rFont val="Arial"/>
        <family val="2"/>
      </rPr>
      <t xml:space="preserve">
acciones de control para el tratamiento de riesgos, por cuanto están atacando las causas (debilidades y amenazas)</t>
    </r>
  </si>
  <si>
    <r>
      <rPr>
        <b/>
        <sz val="11"/>
        <color theme="1"/>
        <rFont val="Arial"/>
        <family val="2"/>
      </rPr>
      <t xml:space="preserve"> DA</t>
    </r>
    <r>
      <rPr>
        <sz val="11"/>
        <color theme="1"/>
        <rFont val="Arial"/>
        <family val="2"/>
      </rPr>
      <t xml:space="preserve">
pueden servir para la formulación de acciones de contingencia para reestablecer la normatividad de manera inmediata al momento qque el riesgo se materialice.</t>
    </r>
  </si>
  <si>
    <t>Pérdida de memoria institucional y sanciones disciplinarias, fiscales y administrativa</t>
  </si>
  <si>
    <t>Custodia del archivo físico y digital de los expedientes de Gestión de Hacienda Pública</t>
  </si>
  <si>
    <t>Falta de apliacación de las políticas del proceso de gestión docuemntal en el control y préstamo de la documentación.</t>
  </si>
  <si>
    <t>12, Falta de seguimiento y control en la entrega y devolución de expedientes que reposan en el Archivo Físico</t>
  </si>
  <si>
    <t>sanciones disciplinarias  y administrativas</t>
  </si>
  <si>
    <t>Deficiencia en la aplicación de los cambios normativos para entidades del gobiern</t>
  </si>
  <si>
    <t xml:space="preserve"> falta de actualización de los documentos de los procesos de gestión de la Secretaría de Haciend</t>
  </si>
  <si>
    <t>actualización de los documentos y normograma</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</si>
  <si>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</si>
  <si>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</si>
  <si>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</si>
  <si>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</si>
  <si>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</si>
  <si>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</si>
  <si>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3, Falta de aplicación de las actividades del procedimiento PRO-GHP-05 FACTURACION  I.P.U para la actividad No. 11-12 y 13 (C.L.D.O)</t>
  </si>
  <si>
    <t>D1.A3. Solictar personal de planta para la Secretaría de Hacienda para dar aplicación  al procedimiento ,  PRO-GHP-05 FACTURACION  I.P.U para la actividad No. 11-12 y 13 (C.L.D.O)</t>
  </si>
  <si>
    <r>
      <t xml:space="preserve">D1, D3, D12, O4, O7, F7 </t>
    </r>
    <r>
      <rPr>
        <b/>
        <sz val="10"/>
        <color rgb="FFFF0000"/>
        <rFont val="Arial"/>
        <family val="2"/>
      </rPr>
      <t xml:space="preserve">El Profesional Universitado y/o técnico Operativo </t>
    </r>
    <r>
      <rPr>
        <b/>
        <sz val="10"/>
        <color rgb="FF00B050"/>
        <rFont val="Arial"/>
        <family val="2"/>
      </rPr>
      <t xml:space="preserve">cada vez que se requiera </t>
    </r>
    <r>
      <rPr>
        <b/>
        <sz val="10"/>
        <color rgb="FF0070C0"/>
        <rFont val="Arial"/>
        <family val="2"/>
      </rPr>
      <t>controla el prestamo y devolución de expedientes   deacuerdo a los lineamientos establecidos por Gestión Documental</t>
    </r>
    <r>
      <rPr>
        <b/>
        <sz val="10"/>
        <rFont val="Arial"/>
        <family val="2"/>
      </rPr>
      <t xml:space="preserve">, </t>
    </r>
    <r>
      <rPr>
        <b/>
        <sz val="10"/>
        <color rgb="FFC00000"/>
        <rFont val="Arial"/>
        <family val="2"/>
      </rPr>
      <t>dejando como Evidencia Planillas de control.
(GESTION DOCUMENTAL: FORMATO CONTROL PRESTAMO: PRO-GD-03)</t>
    </r>
  </si>
  <si>
    <t xml:space="preserve">SECRETARIO DE HACIENDA 
Y/O 
DIRECTORES </t>
  </si>
  <si>
    <t>sanciones disciplinarias  y/o administrativas</t>
  </si>
  <si>
    <t xml:space="preserve"> Inconsistencia en los cruces entre bancos y las certificaciones</t>
  </si>
  <si>
    <t>Certificaciones superavit y de cuentas bancarias</t>
  </si>
  <si>
    <t xml:space="preserve">9) Cambios políticos que afectan positivamente. </t>
  </si>
  <si>
    <t>13,Dificultad del trabajo en equipo</t>
  </si>
  <si>
    <t xml:space="preserve">14, Desconocimiento del proceso y procedimientos  por parte del personal de planta y contrato. </t>
  </si>
  <si>
    <t>10)Conocimiento,  experiencia, habilidades y compromiso por parte de  líderes del proceso</t>
  </si>
  <si>
    <t xml:space="preserve">11)Profesionales y técnicos con experiencia y conocimiento en el área de comunicaciones y protocolo. </t>
  </si>
  <si>
    <t xml:space="preserve">4, Baja efectividad de los flujos de informacion (demora en los tiempos de respuesta) </t>
  </si>
  <si>
    <r>
      <t xml:space="preserve">D 13, D14. O10, F11 , A4. </t>
    </r>
    <r>
      <rPr>
        <b/>
        <sz val="10"/>
        <color rgb="FFFF0000"/>
        <rFont val="Arial"/>
        <family val="2"/>
      </rPr>
      <t>El Director de Tesoreria</t>
    </r>
    <r>
      <rPr>
        <b/>
        <sz val="10"/>
        <rFont val="Arial"/>
        <family val="2"/>
      </rPr>
      <t xml:space="preserve"> ,</t>
    </r>
    <r>
      <rPr>
        <b/>
        <sz val="10"/>
        <color rgb="FF00B050"/>
        <rFont val="Arial"/>
        <family val="2"/>
      </rPr>
      <t xml:space="preserve"> anualmente, emitirá</t>
    </r>
    <r>
      <rPr>
        <b/>
        <sz val="10"/>
        <rFont val="Arial"/>
        <family val="2"/>
      </rPr>
      <t xml:space="preserve"> </t>
    </r>
    <r>
      <rPr>
        <b/>
        <sz val="10"/>
        <color theme="3" tint="0.39997558519241921"/>
        <rFont val="Arial"/>
        <family val="2"/>
      </rPr>
      <t>Certificado de superávit o déficit fiscal</t>
    </r>
    <r>
      <rPr>
        <b/>
        <sz val="10"/>
        <rFont val="Arial"/>
        <family val="2"/>
      </rPr>
      <t xml:space="preserve">, </t>
    </r>
    <r>
      <rPr>
        <b/>
        <sz val="10"/>
        <color rgb="FFC00000"/>
        <rFont val="Arial"/>
        <family val="2"/>
      </rPr>
      <t>dejando como evidencia dicha certificación. 
(PRO-GHP-010: PROCEDIMIENTO: CIERRE DEL EJERCICIO FISCAL)</t>
    </r>
  </si>
  <si>
    <t>DIRECTOR DE TESORERIA</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</si>
  <si>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</si>
  <si>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</si>
  <si>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10) Mejoramiento de los procesos de comunicación interna dentro de la entidad.</t>
  </si>
  <si>
    <t xml:space="preserve">Pagos efectuados a contratistas </t>
  </si>
  <si>
    <t xml:space="preserve">Inadecuada deducción de impuestos, tasas o contribuciones al contratista </t>
  </si>
  <si>
    <t>Inadecuada deducción de impuestos, tasas o contribuciones al contratista</t>
  </si>
  <si>
    <t>FISCAL</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</si>
  <si>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</si>
  <si>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t xml:space="preserve">HACIENDA:
subcausa(sacada de la act del proceso-ojo revisar proceso), con los 6pasos para el control
V5:  Estructura para la descripción del control: 
para una adecuada redacción del control se propone una estructura que facilitará más adelante entender su tipología y otros atributos para su valoración. La estructura es la siguiente:
Responsable de ejecutar el control: identifica el cargo del servidor que ejecuta el control, en caso de que sean controles automáticos se identificará el sistema que realiza la activ idad.
Acción: se determina mediante verbos que indican la acción que deben realizar como parte del control.
Complemento: corresponde a los detalles que permiten identificar claramente el objeto del control.
EJ:
(Responsable)El profesional de Contratación + ( Acción) verifica que la información suministrada por el proveedor corresponda con los requisitos establecidos acorde con el tipo de contratación,+ (COMPLEMENTO) a través de una lista de chequeo donde están los requisitos de información y la revisa con la información física suministrada por el proveedor, los contratos que cumplen son registrados en el sistema de información de contratación.
 </t>
  </si>
  <si>
    <r>
      <rPr>
        <b/>
        <sz val="10"/>
        <color rgb="FFFF0000"/>
        <rFont val="Arial"/>
        <family val="2"/>
      </rPr>
      <t>El técnico, los profesionales y el Grupo de Apoyo</t>
    </r>
    <r>
      <rPr>
        <sz val="10"/>
        <color rgb="FF00B050"/>
        <rFont val="Arial"/>
        <family val="2"/>
      </rPr>
      <t xml:space="preserve"> cada vez que llegue al correo documentos y órdenes de pago para tramite</t>
    </r>
    <r>
      <rPr>
        <sz val="10"/>
        <rFont val="Arial"/>
        <family val="2"/>
      </rPr>
      <t xml:space="preserv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t>
    </r>
    <r>
      <rPr>
        <b/>
        <sz val="10"/>
        <color rgb="FF00B050"/>
        <rFont val="Arial"/>
        <family val="2"/>
      </rPr>
      <t>PROCEDIMIENTO: ÓRDENES DE PAGO Código: PRO-GHP-008</t>
    </r>
  </si>
  <si>
    <t>Aplicación del procedimiento PRO-GHP-05 FACTURACION  Impuesto Predial Unificado.</t>
  </si>
  <si>
    <t xml:space="preserve">Deudas a favor de la entidad </t>
  </si>
  <si>
    <t xml:space="preserve">Vencimiento de plazos para la labor de cobro directo (persuasivo o coactivo) o judicial </t>
  </si>
  <si>
    <t>DIRECTOR DE PRESUPUESTO</t>
  </si>
  <si>
    <r>
      <rPr>
        <sz val="11"/>
        <color rgb="FFFF0000"/>
        <rFont val="Arial"/>
        <family val="2"/>
      </rPr>
      <t>Inconsistencia en los cruces entre bancos y las certificacion</t>
    </r>
    <r>
      <rPr>
        <sz val="11"/>
        <color theme="1"/>
        <rFont val="Arial"/>
        <family val="2"/>
      </rPr>
      <t>es</t>
    </r>
  </si>
  <si>
    <t>Retraso en la entrega de información relacionada con actualización y/o conservación catastral por parte del Gestor catastral.  Notificación indebida y/o extemporanea</t>
  </si>
  <si>
    <t>Al inicio de los procesos coactivos de la cartera del municipio</t>
  </si>
  <si>
    <r>
      <rPr>
        <b/>
        <sz val="10"/>
        <color rgb="FFFF0000"/>
        <rFont val="Arial"/>
        <family val="2"/>
      </rPr>
      <t>F10, A4, D5, O10  El director (a) de Rentas</t>
    </r>
    <r>
      <rPr>
        <sz val="10"/>
        <rFont val="Arial"/>
        <family val="2"/>
      </rPr>
      <t xml:space="preserve">,el Profesional Especializado </t>
    </r>
    <r>
      <rPr>
        <b/>
        <sz val="10"/>
        <rFont val="Arial"/>
        <family val="2"/>
      </rPr>
      <t xml:space="preserve">encargado de Causar el impuesto predial Unificado, </t>
    </r>
    <r>
      <rPr>
        <b/>
        <sz val="10"/>
        <color rgb="FFFF0000"/>
        <rFont val="Arial"/>
        <family val="2"/>
      </rPr>
      <t>con su equipo de trabajo</t>
    </r>
    <r>
      <rPr>
        <b/>
        <sz val="10"/>
        <color theme="3" tint="0.39997558519241921"/>
        <rFont val="Arial"/>
        <family val="2"/>
      </rPr>
      <t xml:space="preserve">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t>
    </r>
    <r>
      <rPr>
        <b/>
        <sz val="10"/>
        <color rgb="FFFF0000"/>
        <rFont val="Arial"/>
        <family val="2"/>
      </rPr>
      <t>. dejando como evidencia los avances presentados en el plan de accion de gestion trimestral de la direccion de rentas. 
 PRO-GHP-05 FACTURACION  Impuesto Predial Unificado.</t>
    </r>
  </si>
  <si>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</si>
  <si>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</si>
  <si>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Baja calificación en los indicadores de desempeño fiscal, pérdida de confianza de los ciudadanos hacia la administración y posible reducción en las asignaciones de recursos del Sistema General de Participacion - SGP</t>
  </si>
  <si>
    <t>PROCESO:  SECRETARIA DE HACIENDA PUBLICA MUNICIPAL</t>
  </si>
  <si>
    <t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</si>
  <si>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</si>
  <si>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</si>
  <si>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</si>
  <si>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</si>
  <si>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</si>
  <si>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</si>
  <si>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</si>
  <si>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</si>
  <si>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</si>
  <si>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</si>
  <si>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</si>
  <si>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r>
      <t xml:space="preserve">Debilidad de la Dirección de Tesorería-grupo Cobro Coactivo para efectuar el </t>
    </r>
    <r>
      <rPr>
        <b/>
        <sz val="10"/>
        <color theme="1"/>
        <rFont val="Arial Narrow"/>
        <family val="2"/>
      </rPr>
      <t>control</t>
    </r>
    <r>
      <rPr>
        <sz val="10"/>
        <color theme="1"/>
        <rFont val="Arial Narrow"/>
        <family val="2"/>
      </rPr>
      <t xml:space="preserve"> de  los impulsos procesales de la cartera de cobro.  </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</si>
  <si>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</si>
  <si>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r>
      <t>D3, O4-El</t>
    </r>
    <r>
      <rPr>
        <b/>
        <sz val="10"/>
        <color rgb="FFFF0000"/>
        <rFont val="Arial"/>
        <family val="2"/>
      </rPr>
      <t xml:space="preserve"> director (a) de Presupuesto por medio de su equipo de trabajo, </t>
    </r>
    <r>
      <rPr>
        <b/>
        <sz val="10"/>
        <color rgb="FF0070C0"/>
        <rFont val="Arial"/>
        <family val="2"/>
      </rPr>
      <t xml:space="preserve">realizará seguimiento a la ejecución presupuestal elaborando y presentando de manera </t>
    </r>
    <r>
      <rPr>
        <b/>
        <sz val="10"/>
        <color rgb="FF00B050"/>
        <rFont val="Arial"/>
        <family val="2"/>
      </rPr>
      <t xml:space="preserve">mensual </t>
    </r>
    <r>
      <rPr>
        <b/>
        <sz val="10"/>
        <color rgb="FF0070C0"/>
        <rFont val="Arial"/>
        <family val="2"/>
      </rPr>
      <t>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t>
    </r>
    <r>
      <rPr>
        <b/>
        <sz val="10"/>
        <rFont val="Arial"/>
        <family val="2"/>
      </rPr>
      <t xml:space="preserve">
</t>
    </r>
    <r>
      <rPr>
        <b/>
        <sz val="10"/>
        <color theme="9" tint="-0.499984740745262"/>
        <rFont val="Arial"/>
        <family val="2"/>
      </rPr>
      <t>Dejando como evidencia los correos electrónicos institucionales. (MANUAL  PRESUPUESTO: MAN-GHP-01- E</t>
    </r>
    <r>
      <rPr>
        <b/>
        <sz val="9"/>
        <color theme="9" tint="-0.499984740745262"/>
        <rFont val="Arial"/>
        <family val="2"/>
      </rPr>
      <t>LABORACIÓN DEL INFORME EJECUTIVO DE EJECUCIÓN PRESUPUESTAL DE GASTOS</t>
    </r>
    <r>
      <rPr>
        <b/>
        <sz val="10"/>
        <color theme="9" tint="-0.499984740745262"/>
        <rFont val="Arial"/>
        <family val="2"/>
      </rPr>
      <t xml:space="preserve"> //CARACTERIZACION DEL PROCESO: CAR-GHP-001 )</t>
    </r>
  </si>
  <si>
    <r>
      <rPr>
        <b/>
        <sz val="10"/>
        <color theme="9" tint="-0.249977111117893"/>
        <rFont val="Arial"/>
        <family val="2"/>
      </rPr>
      <t>F10, A4, D5, O10 , El director de Tesorería trimestralmente</t>
    </r>
    <r>
      <rPr>
        <b/>
        <sz val="10"/>
        <rFont val="Arial"/>
        <family val="2"/>
      </rPr>
      <t xml:space="preserv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t>
    </r>
    <r>
      <rPr>
        <b/>
        <sz val="10"/>
        <color theme="9" tint="-0.249977111117893"/>
        <rFont val="Arial"/>
        <family val="2"/>
      </rPr>
      <t xml:space="preserve">dejando como evidencia los informes trimestrales presentados al Director de Tesoreria
</t>
    </r>
    <r>
      <rPr>
        <sz val="10"/>
        <color theme="9" tint="-0.499984740745262"/>
        <rFont val="Arial"/>
        <family val="2"/>
      </rPr>
      <t xml:space="preserve">
</t>
    </r>
    <r>
      <rPr>
        <sz val="11"/>
        <color theme="9" tint="-0.499984740745262"/>
        <rFont val="Arial"/>
        <family val="2"/>
      </rPr>
      <t>MANUAL ESPECÍFICO DE FUNCIONES Y COMPETENCIAS
LABORALES (MAN-GHS-003) (</t>
    </r>
    <r>
      <rPr>
        <sz val="10"/>
        <color theme="9" tint="-0.499984740745262"/>
        <rFont val="Arial"/>
        <family val="2"/>
      </rPr>
      <t xml:space="preserve"> </t>
    </r>
    <r>
      <rPr>
        <sz val="8"/>
        <color theme="9" tint="-0.499984740745262"/>
        <rFont val="Arial"/>
        <family val="2"/>
      </rPr>
      <t>DESCRIPCION DE FUNCIONES ESENCIALES</t>
    </r>
    <r>
      <rPr>
        <sz val="10"/>
        <color theme="9" tint="-0.499984740745262"/>
        <rFont val="Arial"/>
        <family val="2"/>
      </rPr>
      <t xml:space="preserve"> y Página: 491 de 731)</t>
    </r>
  </si>
  <si>
    <r>
      <t xml:space="preserve">D2, D6,  F2, O5 </t>
    </r>
    <r>
      <rPr>
        <b/>
        <sz val="10"/>
        <color rgb="FFFF0000"/>
        <rFont val="Arial"/>
        <family val="2"/>
      </rPr>
      <t xml:space="preserve">Los Directores  </t>
    </r>
    <r>
      <rPr>
        <b/>
        <sz val="10"/>
        <color rgb="FF002060"/>
        <rFont val="Arial"/>
        <family val="2"/>
      </rPr>
      <t>por medio de su equipo de trabajo revisarán los documentos del proceso de gestión de Hacienda Pública</t>
    </r>
    <r>
      <rPr>
        <b/>
        <sz val="10"/>
        <rFont val="Arial"/>
        <family val="2"/>
      </rPr>
      <t xml:space="preserve">  </t>
    </r>
    <r>
      <rPr>
        <b/>
        <sz val="10"/>
        <color rgb="FF00B050"/>
        <rFont val="Arial"/>
        <family val="2"/>
      </rPr>
      <t>y actualizará si se requiere  anualmente</t>
    </r>
    <r>
      <rPr>
        <b/>
        <sz val="10"/>
        <rFont val="Arial"/>
        <family val="2"/>
      </rPr>
      <t xml:space="preserve"> los documentos, </t>
    </r>
    <r>
      <rPr>
        <b/>
        <sz val="10"/>
        <color theme="9" tint="-0.499984740745262"/>
        <rFont val="Arial"/>
        <family val="2"/>
      </rPr>
      <t>dejando como evidencia el correo electrónico con el envío de los docuementos a actualizar a la Dirección de Fortalecimiento Institucional.
(GESTION DOCUMENTAL: POLITICA GESTION DOCUMENTAL: POL-GD-001-PRO-SIG-001 CONTROL DE DOCUMENTOS DEL SIGAMI)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</si>
</sst>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FF0000"/>
      <name val="Arial"/>
      <family val="2"/>
    </font>
    <font>
      <sz val="9"/>
      <color indexed="81"/>
      <name val="Tahoma"/>
      <family val="2"/>
    </font>
    <font>
      <b/>
      <sz val="9"/>
      <color indexed="81"/>
      <name val="Tahoma"/>
      <family val="2"/>
    </font>
    <font>
      <sz val="8"/>
      <color rgb="FF000000"/>
      <name val="Segoe UI"/>
      <family val="2"/>
    </font>
    <font>
      <b/>
      <sz val="10"/>
      <color rgb="FF0070C0"/>
      <name val="Arial"/>
      <family val="2"/>
    </font>
    <font>
      <b/>
      <sz val="10"/>
      <color rgb="FF00B050"/>
      <name val="Arial"/>
      <family val="2"/>
    </font>
    <font>
      <b/>
      <sz val="10"/>
      <color rgb="FFFF0000"/>
      <name val="Arial"/>
      <family val="2"/>
    </font>
    <font>
      <b/>
      <sz val="10"/>
      <color theme="9" tint="-0.499984740745262"/>
      <name val="Arial"/>
      <family val="2"/>
    </font>
    <font>
      <b/>
      <sz val="11"/>
      <color rgb="FF0070C0"/>
      <name val="Arial Narrow"/>
      <family val="2"/>
    </font>
    <font>
      <b/>
      <sz val="11"/>
      <color rgb="FF00B050"/>
      <name val="Arial Narrow"/>
      <family val="2"/>
    </font>
    <font>
      <b/>
      <sz val="10"/>
      <color rgb="FFC00000"/>
      <name val="Arial"/>
      <family val="2"/>
    </font>
    <font>
      <b/>
      <sz val="10"/>
      <color rgb="FF002060"/>
      <name val="Arial"/>
      <family val="2"/>
    </font>
    <font>
      <b/>
      <sz val="10"/>
      <color theme="3" tint="0.39997558519241921"/>
      <name val="Arial"/>
      <family val="2"/>
    </font>
    <font>
      <sz val="11"/>
      <color rgb="FFFF0000"/>
      <name val="Arial Narrow"/>
      <family val="2"/>
    </font>
    <font>
      <sz val="11"/>
      <color theme="9" tint="-0.249977111117893"/>
      <name val="Arial Narrow"/>
      <family val="2"/>
    </font>
    <font>
      <sz val="10"/>
      <color rgb="FF00B050"/>
      <name val="Arial"/>
      <family val="2"/>
    </font>
    <font>
      <b/>
      <sz val="10"/>
      <color theme="9" tint="-0.249977111117893"/>
      <name val="Arial"/>
      <family val="2"/>
    </font>
    <font>
      <b/>
      <sz val="10"/>
      <color rgb="FF002060"/>
      <name val="Arial Narrow"/>
      <family val="2"/>
    </font>
    <font>
      <b/>
      <sz val="10"/>
      <color rgb="FF00B050"/>
      <name val="Arial Narrow"/>
      <family val="2"/>
    </font>
    <font>
      <b/>
      <sz val="10"/>
      <color theme="1"/>
      <name val="Arial Narrow"/>
      <family val="2"/>
    </font>
    <font>
      <b/>
      <sz val="10"/>
      <color rgb="FFFF0000"/>
      <name val="Arial Narrow"/>
      <family val="2"/>
    </font>
    <font>
      <b/>
      <sz val="10"/>
      <color rgb="FFFF9900"/>
      <name val="Arial Narrow"/>
      <family val="2"/>
    </font>
    <font>
      <b/>
      <sz val="10"/>
      <color rgb="FF0070C0"/>
      <name val="Arial Narrow"/>
      <family val="2"/>
    </font>
    <font>
      <b/>
      <sz val="10"/>
      <color rgb="FF00B0F0"/>
      <name val="Arial Narrow"/>
      <family val="2"/>
    </font>
    <font>
      <b/>
      <sz val="10"/>
      <color rgb="FFFFC000"/>
      <name val="Arial Narrow"/>
      <family val="2"/>
    </font>
    <font>
      <b/>
      <sz val="9"/>
      <color theme="9" tint="-0.499984740745262"/>
      <name val="Arial"/>
      <family val="2"/>
    </font>
    <font>
      <sz val="10"/>
      <color theme="9" tint="-0.499984740745262"/>
      <name val="Arial"/>
      <family val="2"/>
    </font>
    <font>
      <sz val="11"/>
      <color theme="9" tint="-0.499984740745262"/>
      <name val="Arial"/>
      <family val="2"/>
    </font>
    <font>
      <sz val="8"/>
      <color theme="9" tint="-0.499984740745262"/>
      <name val="Arial"/>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C8C5E"/>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3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18" borderId="39" xfId="0" applyFont="1" applyFill="1" applyBorder="1" applyAlignment="1">
      <alignment vertical="center" wrapText="1"/>
    </xf>
    <xf numFmtId="0" fontId="61" fillId="18" borderId="40" xfId="0" applyFont="1" applyFill="1" applyBorder="1" applyAlignment="1">
      <alignmen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61" fillId="0" borderId="94" xfId="0" applyFont="1" applyBorder="1" applyAlignment="1" applyProtection="1">
      <alignment horizontal="center" vertical="center"/>
      <protection locked="0"/>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22" borderId="33" xfId="0" applyFill="1" applyBorder="1"/>
    <xf numFmtId="0" fontId="0" fillId="21" borderId="33" xfId="0" applyFill="1" applyBorder="1"/>
    <xf numFmtId="0" fontId="0" fillId="23" borderId="33" xfId="0" applyFill="1" applyBorder="1"/>
    <xf numFmtId="0" fontId="61" fillId="22" borderId="78" xfId="0" applyFont="1" applyFill="1" applyBorder="1" applyAlignment="1">
      <alignment horizontal="left" vertical="center" wrapText="1"/>
    </xf>
    <xf numFmtId="0" fontId="61" fillId="22" borderId="33" xfId="0" applyFont="1" applyFill="1" applyBorder="1" applyAlignment="1">
      <alignment horizontal="left" vertical="center" wrapText="1"/>
    </xf>
    <xf numFmtId="0" fontId="61" fillId="22" borderId="33" xfId="0" applyFont="1" applyFill="1" applyBorder="1" applyAlignment="1">
      <alignment horizontal="left" vertical="center"/>
    </xf>
    <xf numFmtId="0" fontId="61" fillId="22" borderId="40" xfId="0" applyFont="1" applyFill="1" applyBorder="1" applyAlignment="1">
      <alignment horizontal="left" vertical="center" wrapText="1"/>
    </xf>
    <xf numFmtId="0" fontId="61" fillId="24" borderId="78"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5" fillId="24" borderId="33" xfId="0" applyFont="1" applyFill="1" applyBorder="1" applyAlignment="1">
      <alignment horizontal="left" vertical="center" wrapText="1"/>
    </xf>
    <xf numFmtId="0" fontId="65" fillId="24" borderId="40" xfId="0" applyFont="1" applyFill="1" applyBorder="1" applyAlignment="1">
      <alignment horizontal="left" vertical="center" wrapText="1"/>
    </xf>
    <xf numFmtId="0" fontId="61" fillId="25" borderId="38" xfId="0" applyFont="1" applyFill="1" applyBorder="1" applyAlignment="1">
      <alignment horizontal="left" vertical="center" wrapText="1"/>
    </xf>
    <xf numFmtId="0" fontId="61" fillId="25" borderId="41" xfId="0" applyFont="1" applyFill="1" applyBorder="1" applyAlignment="1">
      <alignment horizontal="left" vertical="center" wrapText="1"/>
    </xf>
    <xf numFmtId="0" fontId="61" fillId="0" borderId="0" xfId="0" applyFont="1" applyAlignment="1">
      <alignment horizontal="justify" vertical="top"/>
    </xf>
    <xf numFmtId="0" fontId="74" fillId="25" borderId="79" xfId="0" applyFont="1" applyFill="1" applyBorder="1" applyAlignment="1">
      <alignment horizontal="left" vertical="center" wrapText="1"/>
    </xf>
    <xf numFmtId="0" fontId="74" fillId="25" borderId="38"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61" fillId="13" borderId="105" xfId="0" applyFont="1" applyFill="1" applyBorder="1" applyAlignment="1">
      <alignment wrapText="1"/>
    </xf>
    <xf numFmtId="0" fontId="61" fillId="26" borderId="105" xfId="0" applyFont="1" applyFill="1" applyBorder="1" applyAlignment="1">
      <alignment vertical="top" wrapText="1"/>
    </xf>
    <xf numFmtId="0" fontId="61" fillId="0" borderId="0" xfId="0" applyFont="1" applyAlignment="1">
      <alignment vertical="top"/>
    </xf>
    <xf numFmtId="0" fontId="1" fillId="3" borderId="0" xfId="0" applyFont="1" applyFill="1" applyAlignment="1">
      <alignment horizontal="left"/>
    </xf>
    <xf numFmtId="0" fontId="1" fillId="0" borderId="0" xfId="0" applyFont="1" applyAlignment="1">
      <alignment horizontal="left"/>
    </xf>
    <xf numFmtId="0" fontId="1" fillId="0" borderId="75" xfId="0" applyFont="1" applyBorder="1" applyAlignment="1" applyProtection="1">
      <alignment horizontal="left" vertical="top" wrapText="1"/>
      <protection locked="0"/>
    </xf>
    <xf numFmtId="0" fontId="1" fillId="0" borderId="0" xfId="0" applyFont="1" applyAlignment="1">
      <alignment horizontal="left" vertical="center"/>
    </xf>
    <xf numFmtId="0" fontId="65" fillId="24" borderId="106" xfId="0" applyFont="1" applyFill="1" applyBorder="1" applyAlignment="1">
      <alignment horizontal="left" vertical="center" wrapText="1"/>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3" borderId="0" xfId="0" applyFont="1" applyFill="1" applyAlignment="1">
      <alignment horizontal="left" vertical="top"/>
    </xf>
    <xf numFmtId="0" fontId="1" fillId="0" borderId="0" xfId="0" applyFont="1" applyAlignment="1">
      <alignment horizontal="left" vertical="top"/>
    </xf>
    <xf numFmtId="0" fontId="1" fillId="3" borderId="0" xfId="0" applyFont="1" applyFill="1" applyAlignment="1">
      <alignment textRotation="180"/>
    </xf>
    <xf numFmtId="0" fontId="1" fillId="0" borderId="0" xfId="0" applyFont="1" applyAlignment="1">
      <alignment textRotation="180"/>
    </xf>
    <xf numFmtId="0" fontId="4" fillId="2" borderId="8" xfId="0" applyFont="1" applyFill="1" applyBorder="1" applyAlignment="1">
      <alignment horizontal="center" vertical="center" textRotation="180"/>
    </xf>
    <xf numFmtId="14" fontId="1" fillId="0" borderId="2" xfId="0" applyNumberFormat="1" applyFont="1" applyBorder="1" applyAlignment="1" applyProtection="1">
      <alignment horizontal="center" vertical="top" textRotation="180"/>
      <protection locked="0"/>
    </xf>
    <xf numFmtId="0" fontId="93" fillId="3" borderId="75" xfId="0" applyFont="1" applyFill="1" applyBorder="1" applyAlignment="1">
      <alignment horizontal="justify" vertical="top" wrapText="1"/>
    </xf>
    <xf numFmtId="0" fontId="6" fillId="0" borderId="2" xfId="0" applyFont="1" applyBorder="1" applyAlignment="1">
      <alignment horizontal="justify" vertical="top"/>
    </xf>
    <xf numFmtId="0" fontId="6" fillId="0" borderId="2" xfId="0" applyFont="1" applyBorder="1" applyAlignment="1" applyProtection="1">
      <alignment horizontal="justify" vertical="top"/>
      <protection hidden="1"/>
    </xf>
    <xf numFmtId="0" fontId="6" fillId="0" borderId="2" xfId="0" applyFont="1" applyBorder="1" applyAlignment="1" applyProtection="1">
      <alignment horizontal="justify" vertical="top" textRotation="90"/>
      <protection locked="0"/>
    </xf>
    <xf numFmtId="9" fontId="6" fillId="0" borderId="2" xfId="0" applyNumberFormat="1" applyFont="1" applyBorder="1" applyAlignment="1" applyProtection="1">
      <alignment horizontal="justify" vertical="top"/>
      <protection hidden="1"/>
    </xf>
    <xf numFmtId="164" fontId="6" fillId="0" borderId="2" xfId="1" applyNumberFormat="1" applyFont="1" applyBorder="1" applyAlignment="1">
      <alignment horizontal="justify" vertical="top"/>
    </xf>
    <xf numFmtId="0" fontId="93" fillId="0" borderId="2" xfId="0" applyFont="1" applyBorder="1" applyAlignment="1" applyProtection="1">
      <alignment horizontal="justify" vertical="top" textRotation="90" wrapText="1"/>
      <protection hidden="1"/>
    </xf>
    <xf numFmtId="9" fontId="6" fillId="0" borderId="4" xfId="0" applyNumberFormat="1" applyFont="1" applyBorder="1" applyAlignment="1" applyProtection="1">
      <alignment horizontal="justify" vertical="top"/>
      <protection hidden="1"/>
    </xf>
    <xf numFmtId="0" fontId="93" fillId="0" borderId="2" xfId="0" applyFont="1" applyBorder="1" applyAlignment="1" applyProtection="1">
      <alignment horizontal="justify" vertical="top" textRotation="90"/>
      <protection hidden="1"/>
    </xf>
    <xf numFmtId="0" fontId="6" fillId="0" borderId="4" xfId="0" applyFont="1" applyBorder="1" applyAlignment="1" applyProtection="1">
      <alignment horizontal="justify" vertical="top" textRotation="90"/>
      <protection locked="0"/>
    </xf>
    <xf numFmtId="14" fontId="6" fillId="0" borderId="2" xfId="0" applyNumberFormat="1" applyFont="1" applyBorder="1" applyAlignment="1" applyProtection="1">
      <alignment horizontal="justify" vertical="top" textRotation="180"/>
      <protection locked="0"/>
    </xf>
    <xf numFmtId="14" fontId="6" fillId="0" borderId="2" xfId="0" applyNumberFormat="1" applyFont="1" applyBorder="1" applyAlignment="1" applyProtection="1">
      <alignment horizontal="justify" vertical="top"/>
      <protection locked="0"/>
    </xf>
    <xf numFmtId="0" fontId="6" fillId="0" borderId="2" xfId="0" applyFont="1" applyBorder="1" applyAlignment="1" applyProtection="1">
      <alignment horizontal="justify" vertical="top"/>
      <protection locked="0"/>
    </xf>
    <xf numFmtId="0" fontId="6" fillId="3" borderId="0" xfId="0" applyFont="1" applyFill="1" applyAlignment="1">
      <alignment horizontal="justify" vertical="top"/>
    </xf>
    <xf numFmtId="0" fontId="6" fillId="0" borderId="0" xfId="0" applyFont="1" applyAlignment="1">
      <alignment horizontal="justify" vertical="top"/>
    </xf>
    <xf numFmtId="0" fontId="6" fillId="0" borderId="75" xfId="0" applyFont="1" applyBorder="1" applyAlignment="1" applyProtection="1">
      <alignment horizontal="justify" vertical="top" wrapText="1"/>
      <protection locked="0"/>
    </xf>
    <xf numFmtId="0" fontId="93" fillId="0" borderId="75" xfId="0" applyFont="1" applyBorder="1" applyAlignment="1" applyProtection="1">
      <alignment horizontal="justify" vertical="top" wrapText="1"/>
      <protection locked="0"/>
    </xf>
    <xf numFmtId="0" fontId="44" fillId="0" borderId="75" xfId="0" applyFont="1" applyBorder="1" applyAlignment="1" applyProtection="1">
      <alignment horizontal="justify" vertical="top" wrapText="1"/>
      <protection locked="0"/>
    </xf>
    <xf numFmtId="0" fontId="40" fillId="0" borderId="75" xfId="0" applyFont="1" applyBorder="1" applyAlignment="1" applyProtection="1">
      <alignment horizontal="justify" vertical="top" wrapText="1"/>
      <protection locked="0"/>
    </xf>
    <xf numFmtId="0" fontId="6" fillId="0" borderId="4" xfId="0" applyFont="1" applyBorder="1" applyAlignment="1">
      <alignment vertical="top"/>
    </xf>
    <xf numFmtId="0" fontId="6" fillId="0" borderId="4" xfId="0" applyFont="1" applyBorder="1" applyAlignment="1" applyProtection="1">
      <alignment vertical="top" wrapText="1"/>
      <protection locked="0"/>
    </xf>
    <xf numFmtId="0" fontId="97" fillId="0" borderId="4" xfId="0" applyFont="1" applyBorder="1" applyAlignment="1" applyProtection="1">
      <alignment vertical="top" wrapText="1"/>
      <protection locked="0"/>
    </xf>
    <xf numFmtId="0" fontId="6" fillId="0" borderId="28" xfId="0" applyFont="1" applyBorder="1" applyAlignment="1" applyProtection="1">
      <alignment vertical="top" wrapText="1"/>
      <protection locked="0"/>
    </xf>
    <xf numFmtId="0" fontId="44" fillId="0" borderId="75" xfId="0" applyFont="1" applyBorder="1" applyAlignment="1" applyProtection="1">
      <alignment vertical="top" wrapText="1"/>
      <protection locked="0"/>
    </xf>
    <xf numFmtId="0" fontId="40" fillId="0" borderId="96" xfId="0" applyFont="1" applyBorder="1" applyAlignment="1" applyProtection="1">
      <alignment vertical="top" textRotation="180" wrapText="1"/>
      <protection locked="0"/>
    </xf>
    <xf numFmtId="0" fontId="6" fillId="0" borderId="30" xfId="0" applyFont="1" applyBorder="1" applyAlignment="1" applyProtection="1">
      <alignment vertical="top" wrapText="1"/>
      <protection locked="0"/>
    </xf>
    <xf numFmtId="0" fontId="6" fillId="0" borderId="4" xfId="0" applyFont="1" applyBorder="1" applyAlignment="1" applyProtection="1">
      <alignment vertical="top"/>
      <protection locked="0"/>
    </xf>
    <xf numFmtId="0" fontId="93" fillId="0" borderId="4" xfId="0" applyFont="1" applyBorder="1" applyAlignment="1" applyProtection="1">
      <alignment vertical="top" textRotation="180" wrapText="1"/>
      <protection hidden="1"/>
    </xf>
    <xf numFmtId="9" fontId="6" fillId="0" borderId="4" xfId="0" applyNumberFormat="1" applyFont="1" applyBorder="1" applyAlignment="1" applyProtection="1">
      <alignment vertical="top" wrapText="1"/>
      <protection hidden="1"/>
    </xf>
    <xf numFmtId="9" fontId="6" fillId="0" borderId="4" xfId="0" applyNumberFormat="1" applyFont="1" applyBorder="1" applyAlignment="1" applyProtection="1">
      <alignment vertical="top" wrapText="1"/>
      <protection locked="0"/>
    </xf>
    <xf numFmtId="0" fontId="93" fillId="0" borderId="4" xfId="0" applyFont="1" applyBorder="1" applyAlignment="1" applyProtection="1">
      <alignment vertical="top" textRotation="180"/>
      <protection hidden="1"/>
    </xf>
    <xf numFmtId="0" fontId="6" fillId="0" borderId="8" xfId="0" applyFont="1" applyBorder="1" applyAlignment="1">
      <alignment vertical="top"/>
    </xf>
    <xf numFmtId="0" fontId="6" fillId="0" borderId="8" xfId="0" applyFont="1" applyBorder="1" applyAlignment="1" applyProtection="1">
      <alignment vertical="top" wrapText="1"/>
      <protection locked="0"/>
    </xf>
    <xf numFmtId="0" fontId="97"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40" fillId="0" borderId="97" xfId="0" applyFont="1" applyBorder="1" applyAlignment="1" applyProtection="1">
      <alignment vertical="top" textRotation="180" wrapText="1"/>
      <protection locked="0"/>
    </xf>
    <xf numFmtId="0" fontId="6" fillId="0" borderId="76" xfId="0" applyFont="1" applyBorder="1" applyAlignment="1" applyProtection="1">
      <alignment vertical="top" wrapText="1"/>
      <protection locked="0"/>
    </xf>
    <xf numFmtId="0" fontId="6" fillId="0" borderId="8" xfId="0" applyFont="1" applyBorder="1" applyAlignment="1" applyProtection="1">
      <alignment vertical="top"/>
      <protection locked="0"/>
    </xf>
    <xf numFmtId="0" fontId="93" fillId="0" borderId="8" xfId="0" applyFont="1" applyBorder="1" applyAlignment="1" applyProtection="1">
      <alignment vertical="top" textRotation="180" wrapText="1"/>
      <protection hidden="1"/>
    </xf>
    <xf numFmtId="9" fontId="6" fillId="0" borderId="8" xfId="0" applyNumberFormat="1" applyFont="1" applyBorder="1" applyAlignment="1" applyProtection="1">
      <alignment vertical="top" wrapText="1"/>
      <protection hidden="1"/>
    </xf>
    <xf numFmtId="9" fontId="6" fillId="0" borderId="8" xfId="0" applyNumberFormat="1" applyFont="1" applyBorder="1" applyAlignment="1" applyProtection="1">
      <alignment vertical="top" wrapText="1"/>
      <protection locked="0"/>
    </xf>
    <xf numFmtId="0" fontId="93" fillId="0" borderId="8" xfId="0" applyFont="1" applyBorder="1" applyAlignment="1" applyProtection="1">
      <alignment vertical="top" textRotation="180"/>
      <protection hidden="1"/>
    </xf>
    <xf numFmtId="0" fontId="6" fillId="0" borderId="5" xfId="0" applyFont="1" applyBorder="1" applyAlignment="1">
      <alignment vertical="top"/>
    </xf>
    <xf numFmtId="0" fontId="6" fillId="0" borderId="5" xfId="0" applyFont="1" applyBorder="1" applyAlignment="1" applyProtection="1">
      <alignment vertical="top" wrapText="1"/>
      <protection locked="0"/>
    </xf>
    <xf numFmtId="0" fontId="97" fillId="0" borderId="5"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40" fillId="0" borderId="98" xfId="0" applyFont="1" applyBorder="1" applyAlignment="1" applyProtection="1">
      <alignment vertical="top" textRotation="180" wrapText="1"/>
      <protection locked="0"/>
    </xf>
    <xf numFmtId="0" fontId="6" fillId="0" borderId="32" xfId="0" applyFont="1" applyBorder="1" applyAlignment="1" applyProtection="1">
      <alignment vertical="top" wrapText="1"/>
      <protection locked="0"/>
    </xf>
    <xf numFmtId="0" fontId="6" fillId="0" borderId="5" xfId="0" applyFont="1" applyBorder="1" applyAlignment="1" applyProtection="1">
      <alignment vertical="top"/>
      <protection locked="0"/>
    </xf>
    <xf numFmtId="0" fontId="93" fillId="0" borderId="5" xfId="0" applyFont="1" applyBorder="1" applyAlignment="1" applyProtection="1">
      <alignment vertical="top" textRotation="180" wrapText="1"/>
      <protection hidden="1"/>
    </xf>
    <xf numFmtId="9" fontId="6" fillId="0" borderId="5" xfId="0" applyNumberFormat="1" applyFont="1" applyBorder="1" applyAlignment="1" applyProtection="1">
      <alignment vertical="top" wrapText="1"/>
      <protection hidden="1"/>
    </xf>
    <xf numFmtId="9" fontId="6" fillId="0" borderId="5" xfId="0" applyNumberFormat="1" applyFont="1" applyBorder="1" applyAlignment="1" applyProtection="1">
      <alignment vertical="top" wrapText="1"/>
      <protection locked="0"/>
    </xf>
    <xf numFmtId="0" fontId="93" fillId="0" borderId="5" xfId="0" applyFont="1" applyBorder="1" applyAlignment="1" applyProtection="1">
      <alignment vertical="top" textRotation="180"/>
      <protection hidden="1"/>
    </xf>
    <xf numFmtId="0" fontId="93" fillId="15" borderId="75" xfId="0" applyFont="1" applyFill="1" applyBorder="1" applyAlignment="1" applyProtection="1">
      <alignment horizontal="justify" vertical="top" wrapText="1"/>
      <protection locked="0"/>
    </xf>
    <xf numFmtId="0" fontId="44" fillId="15" borderId="75" xfId="0" applyFont="1" applyFill="1" applyBorder="1" applyAlignment="1" applyProtection="1">
      <alignment horizontal="justify" vertical="top" wrapText="1"/>
      <protection locked="0"/>
    </xf>
    <xf numFmtId="0" fontId="6" fillId="0" borderId="4" xfId="0" applyFont="1" applyBorder="1" applyAlignment="1" applyProtection="1">
      <alignment horizontal="justify" vertical="top"/>
      <protection locked="0"/>
    </xf>
    <xf numFmtId="0" fontId="93" fillId="0" borderId="4" xfId="0" applyFont="1" applyBorder="1" applyAlignment="1" applyProtection="1">
      <alignment horizontal="justify" vertical="top" textRotation="180" wrapText="1"/>
      <protection hidden="1"/>
    </xf>
    <xf numFmtId="9" fontId="6" fillId="0" borderId="4" xfId="0" applyNumberFormat="1" applyFont="1" applyBorder="1" applyAlignment="1" applyProtection="1">
      <alignment horizontal="justify" vertical="top" wrapText="1"/>
      <protection hidden="1"/>
    </xf>
    <xf numFmtId="9" fontId="6" fillId="0" borderId="4" xfId="0" applyNumberFormat="1" applyFont="1" applyBorder="1" applyAlignment="1" applyProtection="1">
      <alignment horizontal="justify" vertical="top" wrapText="1"/>
      <protection locked="0"/>
    </xf>
    <xf numFmtId="0" fontId="93" fillId="0" borderId="4" xfId="0" applyFont="1" applyBorder="1" applyAlignment="1" applyProtection="1">
      <alignment horizontal="justify" vertical="top" textRotation="180"/>
      <protection hidden="1"/>
    </xf>
    <xf numFmtId="0" fontId="6" fillId="21" borderId="75" xfId="0" applyFont="1" applyFill="1" applyBorder="1" applyAlignment="1" applyProtection="1">
      <alignment horizontal="justify" vertical="top" wrapText="1"/>
      <protection locked="0"/>
    </xf>
    <xf numFmtId="0" fontId="40" fillId="21" borderId="75" xfId="0" applyFont="1" applyFill="1" applyBorder="1" applyAlignment="1" applyProtection="1">
      <alignment horizontal="justify" vertical="top" wrapText="1"/>
      <protection locked="0"/>
    </xf>
    <xf numFmtId="9" fontId="6" fillId="0" borderId="8" xfId="0" applyNumberFormat="1" applyFont="1" applyBorder="1" applyAlignment="1" applyProtection="1">
      <alignment horizontal="justify" vertical="top" wrapText="1"/>
      <protection locked="0"/>
    </xf>
    <xf numFmtId="0" fontId="6" fillId="21" borderId="2" xfId="0" applyFont="1" applyFill="1" applyBorder="1" applyAlignment="1" applyProtection="1">
      <alignment horizontal="justify" vertical="top"/>
      <protection locked="0"/>
    </xf>
    <xf numFmtId="0" fontId="6" fillId="0" borderId="8" xfId="0" applyFont="1" applyBorder="1" applyAlignment="1" applyProtection="1">
      <alignment horizontal="justify" vertical="top"/>
      <protection locked="0"/>
    </xf>
    <xf numFmtId="0" fontId="93" fillId="0" borderId="8" xfId="0" applyFont="1" applyBorder="1" applyAlignment="1" applyProtection="1">
      <alignment horizontal="justify" vertical="top" textRotation="180" wrapText="1"/>
      <protection hidden="1"/>
    </xf>
    <xf numFmtId="9" fontId="6" fillId="0" borderId="8" xfId="0" applyNumberFormat="1" applyFont="1" applyBorder="1" applyAlignment="1" applyProtection="1">
      <alignment horizontal="justify" vertical="top" wrapText="1"/>
      <protection hidden="1"/>
    </xf>
    <xf numFmtId="0" fontId="93" fillId="0" borderId="8" xfId="0" applyFont="1" applyBorder="1" applyAlignment="1" applyProtection="1">
      <alignment horizontal="justify" vertical="top" textRotation="180"/>
      <protection hidden="1"/>
    </xf>
    <xf numFmtId="0" fontId="6" fillId="0" borderId="5" xfId="0" applyFont="1" applyBorder="1" applyAlignment="1" applyProtection="1">
      <alignment horizontal="justify" vertical="top"/>
      <protection locked="0"/>
    </xf>
    <xf numFmtId="0" fontId="93" fillId="0" borderId="5" xfId="0" applyFont="1" applyBorder="1" applyAlignment="1" applyProtection="1">
      <alignment horizontal="justify" vertical="top" textRotation="180" wrapText="1"/>
      <protection hidden="1"/>
    </xf>
    <xf numFmtId="9" fontId="6" fillId="0" borderId="5"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locked="0"/>
    </xf>
    <xf numFmtId="0" fontId="93" fillId="0" borderId="5" xfId="0" applyFont="1" applyBorder="1" applyAlignment="1" applyProtection="1">
      <alignment horizontal="justify" vertical="top" textRotation="180"/>
      <protection hidden="1"/>
    </xf>
    <xf numFmtId="0" fontId="6" fillId="15" borderId="2" xfId="0" applyFont="1" applyFill="1" applyBorder="1" applyAlignment="1" applyProtection="1">
      <alignment horizontal="justify" vertical="top" wrapText="1"/>
      <protection locked="0"/>
    </xf>
    <xf numFmtId="0" fontId="6" fillId="21" borderId="2" xfId="0" applyFont="1" applyFill="1" applyBorder="1" applyAlignment="1" applyProtection="1">
      <alignment horizontal="justify" vertical="top"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58" fillId="14" borderId="33" xfId="0" applyFont="1" applyFill="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69" xfId="0" applyBorder="1" applyAlignment="1">
      <alignment horizontal="center"/>
    </xf>
    <xf numFmtId="0" fontId="61" fillId="0" borderId="107" xfId="0" applyFont="1" applyBorder="1" applyAlignment="1">
      <alignment horizontal="left" vertical="center" wrapText="1"/>
    </xf>
    <xf numFmtId="0" fontId="61" fillId="0" borderId="49" xfId="0" applyFont="1" applyBorder="1" applyAlignment="1">
      <alignment horizontal="left" vertical="center" wrapText="1"/>
    </xf>
    <xf numFmtId="0" fontId="61" fillId="0" borderId="50" xfId="0" applyFont="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82" xfId="0" applyFont="1" applyBorder="1" applyAlignment="1">
      <alignment horizontal="left"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73" fillId="3" borderId="94" xfId="0" applyFont="1" applyFill="1" applyBorder="1" applyAlignment="1" applyProtection="1">
      <alignment horizontal="justify" vertical="top" wrapText="1"/>
      <protection locked="0"/>
    </xf>
    <xf numFmtId="0" fontId="73" fillId="3" borderId="94" xfId="0" applyFont="1" applyFill="1" applyBorder="1" applyAlignment="1" applyProtection="1">
      <alignment horizontal="justify" vertical="top"/>
      <protection locked="0"/>
    </xf>
    <xf numFmtId="0" fontId="38" fillId="3" borderId="94"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61" fillId="0" borderId="0" xfId="0" applyFont="1" applyAlignment="1">
      <alignment horizontal="center"/>
    </xf>
    <xf numFmtId="0" fontId="38" fillId="3" borderId="0" xfId="0" applyFont="1" applyFill="1" applyAlignment="1">
      <alignment horizontal="left"/>
    </xf>
    <xf numFmtId="0" fontId="38" fillId="3" borderId="92"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top"/>
    </xf>
    <xf numFmtId="0" fontId="72" fillId="4" borderId="33" xfId="0" applyFont="1" applyFill="1" applyBorder="1" applyAlignment="1">
      <alignment horizontal="center" vertical="top" wrapText="1"/>
    </xf>
    <xf numFmtId="0" fontId="72" fillId="4" borderId="33" xfId="0" applyFont="1" applyFill="1" applyBorder="1" applyAlignment="1">
      <alignment horizontal="center" vertical="top"/>
    </xf>
    <xf numFmtId="0" fontId="72" fillId="27" borderId="92" xfId="0" applyFont="1" applyFill="1" applyBorder="1" applyAlignment="1">
      <alignment horizontal="center" vertical="top" wrapText="1"/>
    </xf>
    <xf numFmtId="0" fontId="72" fillId="27" borderId="81" xfId="0" applyFont="1" applyFill="1" applyBorder="1" applyAlignment="1">
      <alignment horizontal="center" vertical="top"/>
    </xf>
    <xf numFmtId="0" fontId="72" fillId="27" borderId="95"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justify" vertical="top" wrapText="1"/>
      <protection locked="0"/>
    </xf>
    <xf numFmtId="0" fontId="38" fillId="3" borderId="95" xfId="0" applyFont="1" applyFill="1" applyBorder="1" applyAlignment="1" applyProtection="1">
      <alignment horizontal="justify" vertical="top"/>
      <protection locked="0"/>
    </xf>
    <xf numFmtId="0" fontId="38" fillId="3" borderId="94" xfId="0" applyFont="1" applyFill="1" applyBorder="1" applyAlignment="1" applyProtection="1">
      <alignment horizontal="justify" vertical="top" wrapText="1"/>
      <protection locked="0"/>
    </xf>
    <xf numFmtId="0" fontId="38" fillId="3" borderId="94" xfId="0" applyFont="1" applyFill="1" applyBorder="1" applyAlignment="1" applyProtection="1">
      <alignment horizontal="justify" vertical="top"/>
      <protection locked="0"/>
    </xf>
    <xf numFmtId="0" fontId="38" fillId="0" borderId="92"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72" fillId="19" borderId="33" xfId="0" applyFont="1" applyFill="1" applyBorder="1" applyAlignment="1">
      <alignment horizontal="center" vertical="center"/>
    </xf>
    <xf numFmtId="0" fontId="72" fillId="27" borderId="33" xfId="0" applyFont="1" applyFill="1" applyBorder="1" applyAlignment="1">
      <alignment horizontal="center" vertical="center" wrapText="1"/>
    </xf>
    <xf numFmtId="0" fontId="72" fillId="27" borderId="33" xfId="0" applyFont="1" applyFill="1" applyBorder="1" applyAlignment="1">
      <alignment horizontal="center" vertical="center"/>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5" xfId="0" applyFont="1" applyFill="1" applyBorder="1" applyAlignment="1">
      <alignment horizontal="center" vertical="center"/>
    </xf>
    <xf numFmtId="0" fontId="73" fillId="3" borderId="92"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3" fillId="3" borderId="95"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60" fillId="29" borderId="80" xfId="0" applyFont="1" applyFill="1" applyBorder="1" applyAlignment="1">
      <alignment horizontal="center" vertical="center" wrapText="1"/>
    </xf>
    <xf numFmtId="0" fontId="60" fillId="29" borderId="81" xfId="0" applyFont="1" applyFill="1" applyBorder="1" applyAlignment="1">
      <alignment horizontal="center" vertical="center" wrapText="1"/>
    </xf>
    <xf numFmtId="0" fontId="60" fillId="29" borderId="82" xfId="0" applyFont="1" applyFill="1" applyBorder="1" applyAlignment="1">
      <alignment horizontal="center" vertical="center" wrapText="1"/>
    </xf>
    <xf numFmtId="0" fontId="61" fillId="0" borderId="108"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70" xfId="0" applyFont="1" applyBorder="1" applyAlignment="1">
      <alignment horizontal="center" vertical="center" wrapText="1"/>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5"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5" xfId="0" applyFont="1" applyFill="1" applyBorder="1" applyAlignment="1">
      <alignment horizontal="center"/>
    </xf>
    <xf numFmtId="0" fontId="61" fillId="0" borderId="0" xfId="0" applyFont="1" applyAlignment="1">
      <alignment horizontal="center" vertical="top" wrapText="1"/>
    </xf>
    <xf numFmtId="0" fontId="61" fillId="0" borderId="0" xfId="0" applyFont="1" applyAlignment="1">
      <alignment horizontal="left" vertical="top" wrapText="1"/>
    </xf>
    <xf numFmtId="0" fontId="27" fillId="3" borderId="75" xfId="0" applyFont="1" applyFill="1" applyBorder="1" applyAlignment="1" applyProtection="1">
      <alignment horizontal="center" vertical="center"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textRotation="180"/>
      <protection hidden="1"/>
    </xf>
    <xf numFmtId="0" fontId="4" fillId="0" borderId="8" xfId="0" applyFont="1" applyBorder="1" applyAlignment="1" applyProtection="1">
      <alignment horizontal="center" vertical="top" textRotation="180"/>
      <protection hidden="1"/>
    </xf>
    <xf numFmtId="0" fontId="4" fillId="0" borderId="5" xfId="0" applyFont="1" applyBorder="1" applyAlignment="1" applyProtection="1">
      <alignment horizontal="center" vertical="top" textRotation="180"/>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textRotation="180" wrapText="1"/>
      <protection hidden="1"/>
    </xf>
    <xf numFmtId="0" fontId="4" fillId="0" borderId="8" xfId="0" applyFont="1" applyBorder="1" applyAlignment="1" applyProtection="1">
      <alignment horizontal="center" vertical="top" textRotation="180" wrapText="1"/>
      <protection hidden="1"/>
    </xf>
    <xf numFmtId="0" fontId="4" fillId="0" borderId="5" xfId="0" applyFont="1" applyBorder="1" applyAlignment="1" applyProtection="1">
      <alignment horizontal="center" vertical="top" textRotation="180"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6" fillId="0" borderId="4" xfId="0" applyNumberFormat="1" applyFont="1" applyBorder="1" applyAlignment="1" applyProtection="1">
      <alignment horizontal="justify" vertical="top" wrapText="1"/>
      <protection hidden="1"/>
    </xf>
    <xf numFmtId="9" fontId="6" fillId="0" borderId="8"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hidden="1"/>
    </xf>
    <xf numFmtId="0" fontId="93" fillId="0" borderId="4" xfId="0" applyFont="1" applyBorder="1" applyAlignment="1" applyProtection="1">
      <alignment horizontal="justify" vertical="top" textRotation="180"/>
      <protection hidden="1"/>
    </xf>
    <xf numFmtId="0" fontId="93" fillId="0" borderId="8" xfId="0" applyFont="1" applyBorder="1" applyAlignment="1" applyProtection="1">
      <alignment horizontal="justify" vertical="top" textRotation="180"/>
      <protection hidden="1"/>
    </xf>
    <xf numFmtId="0" fontId="93" fillId="0" borderId="5" xfId="0" applyFont="1" applyBorder="1" applyAlignment="1" applyProtection="1">
      <alignment horizontal="justify" vertical="top" textRotation="180"/>
      <protection hidden="1"/>
    </xf>
    <xf numFmtId="0" fontId="6" fillId="0" borderId="4" xfId="0" applyFont="1" applyBorder="1" applyAlignment="1">
      <alignment horizontal="justify" vertical="top"/>
    </xf>
    <xf numFmtId="0" fontId="6" fillId="0" borderId="8" xfId="0" applyFont="1" applyBorder="1" applyAlignment="1">
      <alignment horizontal="justify" vertical="top"/>
    </xf>
    <xf numFmtId="0" fontId="6" fillId="0" borderId="5" xfId="0" applyFont="1" applyBorder="1" applyAlignment="1">
      <alignment horizontal="justify" vertical="top"/>
    </xf>
    <xf numFmtId="0" fontId="6" fillId="28" borderId="4" xfId="0" applyFont="1" applyFill="1" applyBorder="1" applyAlignment="1" applyProtection="1">
      <alignment horizontal="justify" vertical="top" wrapText="1"/>
      <protection locked="0"/>
    </xf>
    <xf numFmtId="0" fontId="6" fillId="28" borderId="8" xfId="0" applyFont="1" applyFill="1" applyBorder="1" applyAlignment="1" applyProtection="1">
      <alignment horizontal="justify" vertical="top" wrapText="1"/>
      <protection locked="0"/>
    </xf>
    <xf numFmtId="0" fontId="6" fillId="28" borderId="5" xfId="0" applyFont="1" applyFill="1" applyBorder="1" applyAlignment="1" applyProtection="1">
      <alignment horizontal="justify" vertical="top" wrapText="1"/>
      <protection locked="0"/>
    </xf>
    <xf numFmtId="0" fontId="97" fillId="28" borderId="4" xfId="0" applyFont="1" applyFill="1" applyBorder="1" applyAlignment="1" applyProtection="1">
      <alignment horizontal="justify" vertical="top" wrapText="1"/>
      <protection locked="0"/>
    </xf>
    <xf numFmtId="0" fontId="82" fillId="0" borderId="4" xfId="0" applyFont="1" applyBorder="1" applyAlignment="1" applyProtection="1">
      <alignment horizontal="left" vertical="top" wrapText="1"/>
      <protection locked="0"/>
    </xf>
    <xf numFmtId="0" fontId="82" fillId="0" borderId="8" xfId="0" applyFont="1" applyBorder="1" applyAlignment="1" applyProtection="1">
      <alignment horizontal="left" vertical="top" wrapText="1"/>
      <protection locked="0"/>
    </xf>
    <xf numFmtId="0" fontId="82" fillId="0" borderId="5" xfId="0" applyFont="1" applyBorder="1" applyAlignment="1" applyProtection="1">
      <alignment horizontal="left" vertical="top" wrapText="1"/>
      <protection locked="0"/>
    </xf>
    <xf numFmtId="0" fontId="83" fillId="0" borderId="28" xfId="0" applyFont="1" applyBorder="1" applyAlignment="1" applyProtection="1">
      <alignment horizontal="left" vertical="top" wrapText="1"/>
      <protection locked="0"/>
    </xf>
    <xf numFmtId="0" fontId="83" fillId="0" borderId="9" xfId="0" applyFont="1" applyBorder="1" applyAlignment="1" applyProtection="1">
      <alignment horizontal="left" vertical="top" wrapText="1"/>
      <protection locked="0"/>
    </xf>
    <xf numFmtId="0" fontId="83" fillId="0" borderId="3" xfId="0" applyFont="1" applyBorder="1" applyAlignment="1" applyProtection="1">
      <alignment horizontal="left" vertical="top" wrapText="1"/>
      <protection locked="0"/>
    </xf>
    <xf numFmtId="0" fontId="2" fillId="0" borderId="75" xfId="0" applyFont="1" applyBorder="1" applyAlignment="1" applyProtection="1">
      <alignment horizontal="left"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92" fillId="28" borderId="28" xfId="0" applyFont="1" applyFill="1" applyBorder="1" applyAlignment="1" applyProtection="1">
      <alignment horizontal="justify" vertical="top" wrapText="1"/>
      <protection locked="0"/>
    </xf>
    <xf numFmtId="0" fontId="6" fillId="28" borderId="9" xfId="0" applyFont="1" applyFill="1" applyBorder="1" applyAlignment="1" applyProtection="1">
      <alignment horizontal="justify" vertical="top" wrapText="1"/>
      <protection locked="0"/>
    </xf>
    <xf numFmtId="0" fontId="6" fillId="28" borderId="3" xfId="0" applyFont="1" applyFill="1" applyBorder="1" applyAlignment="1" applyProtection="1">
      <alignment horizontal="justify" vertical="top" wrapText="1"/>
      <protection locked="0"/>
    </xf>
    <xf numFmtId="0" fontId="44" fillId="28" borderId="75" xfId="0" applyFont="1" applyFill="1" applyBorder="1" applyAlignment="1" applyProtection="1">
      <alignment horizontal="justify" vertical="top" wrapText="1"/>
      <protection locked="0"/>
    </xf>
    <xf numFmtId="0" fontId="6" fillId="0" borderId="30" xfId="0" applyFont="1" applyBorder="1" applyAlignment="1" applyProtection="1">
      <alignment horizontal="justify" vertical="top" wrapText="1"/>
      <protection locked="0"/>
    </xf>
    <xf numFmtId="0" fontId="6" fillId="0" borderId="76" xfId="0" applyFont="1" applyBorder="1" applyAlignment="1" applyProtection="1">
      <alignment horizontal="justify" vertical="top" wrapText="1"/>
      <protection locked="0"/>
    </xf>
    <xf numFmtId="0" fontId="6" fillId="0" borderId="32" xfId="0" applyFont="1" applyBorder="1" applyAlignment="1" applyProtection="1">
      <alignment horizontal="justify" vertical="top" wrapText="1"/>
      <protection locked="0"/>
    </xf>
    <xf numFmtId="0" fontId="93" fillId="0" borderId="4" xfId="0" applyFont="1" applyBorder="1" applyAlignment="1" applyProtection="1">
      <alignment horizontal="justify" vertical="top" textRotation="180" wrapText="1"/>
      <protection hidden="1"/>
    </xf>
    <xf numFmtId="0" fontId="93" fillId="0" borderId="8" xfId="0" applyFont="1" applyBorder="1" applyAlignment="1" applyProtection="1">
      <alignment horizontal="justify" vertical="top" textRotation="180" wrapText="1"/>
      <protection hidden="1"/>
    </xf>
    <xf numFmtId="0" fontId="93" fillId="0" borderId="5" xfId="0" applyFont="1" applyBorder="1" applyAlignment="1" applyProtection="1">
      <alignment horizontal="justify" vertical="top" textRotation="180" wrapText="1"/>
      <protection hidden="1"/>
    </xf>
    <xf numFmtId="0" fontId="6" fillId="0" borderId="4"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97" fillId="0" borderId="4" xfId="0" applyFont="1" applyBorder="1" applyAlignment="1" applyProtection="1">
      <alignment horizontal="justify" vertical="top" wrapText="1"/>
      <protection locked="0"/>
    </xf>
    <xf numFmtId="0" fontId="97" fillId="0" borderId="8" xfId="0" applyFont="1" applyBorder="1" applyAlignment="1" applyProtection="1">
      <alignment horizontal="justify" vertical="top" wrapText="1"/>
      <protection locked="0"/>
    </xf>
    <xf numFmtId="0" fontId="97" fillId="0" borderId="5" xfId="0" applyFont="1" applyBorder="1" applyAlignment="1" applyProtection="1">
      <alignment horizontal="justify" vertical="top" wrapText="1"/>
      <protection locked="0"/>
    </xf>
    <xf numFmtId="0" fontId="92" fillId="0" borderId="28" xfId="0" applyFont="1" applyBorder="1" applyAlignment="1" applyProtection="1">
      <alignment horizontal="justify" vertical="top" wrapText="1"/>
      <protection locked="0"/>
    </xf>
    <xf numFmtId="0" fontId="92" fillId="0" borderId="9" xfId="0" applyFont="1" applyBorder="1" applyAlignment="1" applyProtection="1">
      <alignment horizontal="justify" vertical="top" wrapText="1"/>
      <protection locked="0"/>
    </xf>
    <xf numFmtId="0" fontId="92" fillId="0" borderId="3" xfId="0" applyFont="1" applyBorder="1" applyAlignment="1" applyProtection="1">
      <alignment horizontal="justify" vertical="top" wrapText="1"/>
      <protection locked="0"/>
    </xf>
    <xf numFmtId="0" fontId="44" fillId="0" borderId="75" xfId="0" applyFont="1" applyBorder="1" applyAlignment="1" applyProtection="1">
      <alignment horizontal="justify" vertical="top" wrapText="1"/>
      <protection locked="0"/>
    </xf>
    <xf numFmtId="0" fontId="6" fillId="0" borderId="4" xfId="0" applyFont="1" applyBorder="1" applyAlignment="1" applyProtection="1">
      <alignment horizontal="justify" vertical="top"/>
      <protection locked="0"/>
    </xf>
    <xf numFmtId="0" fontId="6" fillId="0" borderId="8"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9" fontId="6" fillId="0" borderId="4" xfId="0" applyNumberFormat="1" applyFont="1" applyBorder="1" applyAlignment="1" applyProtection="1">
      <alignment horizontal="justify" vertical="top" wrapText="1"/>
      <protection locked="0"/>
    </xf>
    <xf numFmtId="9" fontId="6" fillId="0" borderId="8" xfId="0" applyNumberFormat="1" applyFont="1" applyBorder="1" applyAlignment="1" applyProtection="1">
      <alignment horizontal="justify" vertical="top" wrapText="1"/>
      <protection locked="0"/>
    </xf>
    <xf numFmtId="9" fontId="6" fillId="0" borderId="5" xfId="0" applyNumberFormat="1" applyFont="1" applyBorder="1" applyAlignment="1" applyProtection="1">
      <alignment horizontal="justify" vertical="top" wrapText="1"/>
      <protection locked="0"/>
    </xf>
    <xf numFmtId="0" fontId="96" fillId="0" borderId="4" xfId="0" applyFont="1" applyBorder="1" applyAlignment="1" applyProtection="1">
      <alignment horizontal="justify" vertical="top" wrapText="1"/>
      <protection locked="0"/>
    </xf>
    <xf numFmtId="0" fontId="96" fillId="0" borderId="8" xfId="0" applyFont="1" applyBorder="1" applyAlignment="1" applyProtection="1">
      <alignment horizontal="justify" vertical="top" wrapText="1"/>
      <protection locked="0"/>
    </xf>
    <xf numFmtId="0" fontId="96" fillId="0" borderId="5" xfId="0" applyFont="1" applyBorder="1" applyAlignment="1" applyProtection="1">
      <alignment horizontal="justify" vertical="top" wrapText="1"/>
      <protection locked="0"/>
    </xf>
    <xf numFmtId="0" fontId="6" fillId="0" borderId="28"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3" xfId="0" applyFont="1" applyBorder="1" applyAlignment="1" applyProtection="1">
      <alignment horizontal="justify"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180"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180" wrapText="1"/>
    </xf>
    <xf numFmtId="0" fontId="4" fillId="2" borderId="5" xfId="0" applyFont="1" applyFill="1" applyBorder="1" applyAlignment="1">
      <alignment horizontal="center" vertical="center" textRotation="18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textRotation="180" wrapText="1"/>
    </xf>
    <xf numFmtId="0" fontId="4" fillId="2" borderId="3" xfId="0" applyFont="1" applyFill="1" applyBorder="1" applyAlignment="1">
      <alignment horizontal="center" vertical="center" textRotation="180"/>
    </xf>
    <xf numFmtId="0" fontId="4" fillId="2" borderId="2" xfId="0" applyFont="1" applyFill="1" applyBorder="1" applyAlignment="1">
      <alignment horizontal="center" vertical="center"/>
    </xf>
    <xf numFmtId="0" fontId="4"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0" fontId="91" fillId="0" borderId="4" xfId="0" applyFont="1" applyBorder="1" applyAlignment="1" applyProtection="1">
      <alignment horizontal="justify" vertical="top" wrapText="1"/>
      <protection locked="0"/>
    </xf>
    <xf numFmtId="0" fontId="91" fillId="0" borderId="8" xfId="0" applyFont="1" applyBorder="1" applyAlignment="1" applyProtection="1">
      <alignment horizontal="justify" vertical="top" wrapText="1"/>
      <protection locked="0"/>
    </xf>
    <xf numFmtId="0" fontId="91" fillId="0" borderId="5" xfId="0" applyFont="1" applyBorder="1" applyAlignment="1" applyProtection="1">
      <alignment horizontal="justify" vertical="top" wrapText="1"/>
      <protection locked="0"/>
    </xf>
    <xf numFmtId="0" fontId="92" fillId="0" borderId="102" xfId="0" applyFont="1" applyBorder="1" applyAlignment="1" applyProtection="1">
      <alignment horizontal="justify" vertical="top" wrapText="1"/>
      <protection locked="0"/>
    </xf>
    <xf numFmtId="0" fontId="92" fillId="0" borderId="103" xfId="0" applyFont="1" applyBorder="1" applyAlignment="1" applyProtection="1">
      <alignment horizontal="justify" vertical="top" wrapText="1"/>
      <protection locked="0"/>
    </xf>
    <xf numFmtId="0" fontId="92" fillId="0" borderId="104" xfId="0" applyFont="1" applyBorder="1" applyAlignment="1" applyProtection="1">
      <alignment horizontal="justify" vertical="top" wrapText="1"/>
      <protection locked="0"/>
    </xf>
    <xf numFmtId="0" fontId="44" fillId="0" borderId="96" xfId="0" applyFont="1" applyBorder="1" applyAlignment="1" applyProtection="1">
      <alignment horizontal="justify" vertical="top" wrapText="1"/>
      <protection locked="0"/>
    </xf>
    <xf numFmtId="0" fontId="44" fillId="0" borderId="97" xfId="0" applyFont="1" applyBorder="1" applyAlignment="1" applyProtection="1">
      <alignment horizontal="justify" vertical="top" wrapText="1"/>
      <protection locked="0"/>
    </xf>
    <xf numFmtId="0" fontId="44" fillId="0" borderId="98" xfId="0" applyFont="1" applyBorder="1" applyAlignment="1" applyProtection="1">
      <alignment horizontal="justify" vertical="top" wrapText="1"/>
      <protection locked="0"/>
    </xf>
    <xf numFmtId="0" fontId="40" fillId="0" borderId="96" xfId="0" applyFont="1" applyBorder="1" applyAlignment="1" applyProtection="1">
      <alignment horizontal="justify" vertical="top" wrapText="1"/>
      <protection locked="0"/>
    </xf>
    <xf numFmtId="0" fontId="40" fillId="0" borderId="97" xfId="0" applyFont="1" applyBorder="1" applyAlignment="1" applyProtection="1">
      <alignment horizontal="justify" vertical="top" wrapText="1"/>
      <protection locked="0"/>
    </xf>
    <xf numFmtId="0" fontId="40" fillId="0" borderId="98" xfId="0" applyFont="1" applyBorder="1" applyAlignment="1" applyProtection="1">
      <alignment horizontal="justify" vertical="top" wrapText="1"/>
      <protection locked="0"/>
    </xf>
    <xf numFmtId="0" fontId="40" fillId="0" borderId="96" xfId="0" applyFont="1" applyBorder="1" applyAlignment="1" applyProtection="1">
      <alignment horizontal="justify" vertical="top" textRotation="180" wrapText="1"/>
      <protection locked="0"/>
    </xf>
    <xf numFmtId="0" fontId="40" fillId="0" borderId="97" xfId="0" applyFont="1" applyBorder="1" applyAlignment="1" applyProtection="1">
      <alignment horizontal="justify" vertical="top" textRotation="180" wrapText="1"/>
      <protection locked="0"/>
    </xf>
    <xf numFmtId="0" fontId="40" fillId="0" borderId="98" xfId="0" applyFont="1" applyBorder="1" applyAlignment="1" applyProtection="1">
      <alignment horizontal="justify" vertical="top" textRotation="180" wrapText="1"/>
      <protection locked="0"/>
    </xf>
    <xf numFmtId="0" fontId="44" fillId="28" borderId="96" xfId="0" applyFont="1" applyFill="1" applyBorder="1" applyAlignment="1" applyProtection="1">
      <alignment horizontal="justify" vertical="top" textRotation="180" wrapText="1"/>
      <protection locked="0"/>
    </xf>
    <xf numFmtId="0" fontId="44" fillId="28" borderId="97" xfId="0" applyFont="1" applyFill="1" applyBorder="1" applyAlignment="1" applyProtection="1">
      <alignment horizontal="justify" vertical="top" textRotation="180" wrapText="1"/>
      <protection locked="0"/>
    </xf>
    <xf numFmtId="0" fontId="44" fillId="28" borderId="98" xfId="0" applyFont="1" applyFill="1" applyBorder="1" applyAlignment="1" applyProtection="1">
      <alignment horizontal="justify" vertical="top" textRotation="180" wrapText="1"/>
      <protection locked="0"/>
    </xf>
    <xf numFmtId="0" fontId="50" fillId="0" borderId="96" xfId="0" applyFont="1" applyBorder="1" applyAlignment="1" applyProtection="1">
      <alignment horizontal="center" vertical="top" textRotation="180" wrapText="1"/>
      <protection locked="0"/>
    </xf>
    <xf numFmtId="0" fontId="50" fillId="0" borderId="97" xfId="0" applyFont="1" applyBorder="1" applyAlignment="1" applyProtection="1">
      <alignment horizontal="center" vertical="top" textRotation="180" wrapText="1"/>
      <protection locked="0"/>
    </xf>
    <xf numFmtId="0" fontId="50" fillId="0" borderId="98" xfId="0" applyFont="1" applyBorder="1" applyAlignment="1" applyProtection="1">
      <alignment horizontal="center" vertical="top" textRotation="180" wrapText="1"/>
      <protection locked="0"/>
    </xf>
    <xf numFmtId="0" fontId="6" fillId="0" borderId="99" xfId="0" applyFont="1" applyBorder="1" applyAlignment="1" applyProtection="1">
      <alignment horizontal="justify" vertical="top" wrapText="1"/>
      <protection locked="0"/>
    </xf>
    <xf numFmtId="0" fontId="6" fillId="0" borderId="100" xfId="0" applyFont="1" applyBorder="1" applyAlignment="1" applyProtection="1">
      <alignment horizontal="justify" vertical="top" wrapText="1"/>
      <protection locked="0"/>
    </xf>
    <xf numFmtId="0" fontId="6" fillId="0" borderId="101" xfId="0" applyFont="1" applyBorder="1" applyAlignment="1" applyProtection="1">
      <alignment horizontal="justify"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0" fillId="0" borderId="33" xfId="0" applyBorder="1" applyAlignment="1">
      <alignment horizontal="center" vertical="center"/>
    </xf>
    <xf numFmtId="0" fontId="67" fillId="20" borderId="51" xfId="0" applyFont="1" applyFill="1" applyBorder="1" applyAlignment="1">
      <alignment horizontal="left" vertical="center" wrapText="1"/>
    </xf>
    <xf numFmtId="0" fontId="67" fillId="20" borderId="52" xfId="0" applyFont="1" applyFill="1" applyBorder="1" applyAlignment="1">
      <alignment horizontal="left" vertical="center" wrapText="1"/>
    </xf>
    <xf numFmtId="0" fontId="67" fillId="20" borderId="53" xfId="0" applyFont="1" applyFill="1" applyBorder="1" applyAlignment="1">
      <alignment horizontal="left" vertical="center" wrapText="1"/>
    </xf>
    <xf numFmtId="0" fontId="67" fillId="20" borderId="16" xfId="0" applyFont="1" applyFill="1" applyBorder="1" applyAlignment="1">
      <alignment horizontal="left" vertical="center" wrapText="1"/>
    </xf>
    <xf numFmtId="0" fontId="67" fillId="20" borderId="18" xfId="0" applyFont="1" applyFill="1" applyBorder="1" applyAlignment="1">
      <alignment horizontal="left" vertical="center" wrapText="1"/>
    </xf>
    <xf numFmtId="0" fontId="67" fillId="20" borderId="17" xfId="0" applyFont="1" applyFill="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9C8C5E"/>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179295</xdr:colOff>
      <xdr:row>0</xdr:row>
      <xdr:rowOff>0</xdr:rowOff>
    </xdr:from>
    <xdr:to>
      <xdr:col>0</xdr:col>
      <xdr:colOff>1855303</xdr:colOff>
      <xdr:row>3</xdr:row>
      <xdr:rowOff>101296</xdr:rowOff>
    </xdr:to>
    <xdr:pic>
      <xdr:nvPicPr>
        <xdr:cNvPr id="3" name="Imagen 2">
          <a:extLst>
            <a:ext uri="{FF2B5EF4-FFF2-40B4-BE49-F238E27FC236}">
              <a16:creationId xmlns:a16="http://schemas.microsoft.com/office/drawing/2014/main" id="{F2240D93-DC91-3F28-1193-A95FD8F42905}"/>
            </a:ext>
          </a:extLst>
        </xdr:cNvPr>
        <xdr:cNvPicPr>
          <a:picLocks noChangeAspect="1"/>
        </xdr:cNvPicPr>
      </xdr:nvPicPr>
      <xdr:blipFill>
        <a:blip xmlns:r="http://schemas.openxmlformats.org/officeDocument/2006/relationships" r:embed="rId2"/>
        <a:stretch>
          <a:fillRect/>
        </a:stretch>
      </xdr:blipFill>
      <xdr:spPr>
        <a:xfrm>
          <a:off x="179295" y="0"/>
          <a:ext cx="1676008" cy="666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130435</xdr:colOff>
      <xdr:row>0</xdr:row>
      <xdr:rowOff>106681</xdr:rowOff>
    </xdr:from>
    <xdr:to>
      <xdr:col>18</xdr:col>
      <xdr:colOff>757817</xdr:colOff>
      <xdr:row>3</xdr:row>
      <xdr:rowOff>83507</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40295" y="106681"/>
          <a:ext cx="627382" cy="875986"/>
        </a:xfrm>
        <a:prstGeom prst="rect">
          <a:avLst/>
        </a:prstGeom>
      </xdr:spPr>
    </xdr:pic>
    <xdr:clientData/>
  </xdr:twoCellAnchor>
  <xdr:twoCellAnchor>
    <xdr:from>
      <xdr:col>0</xdr:col>
      <xdr:colOff>0</xdr:colOff>
      <xdr:row>41</xdr:row>
      <xdr:rowOff>0</xdr:rowOff>
    </xdr:from>
    <xdr:to>
      <xdr:col>0</xdr:col>
      <xdr:colOff>2</xdr:colOff>
      <xdr:row>41</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487680</xdr:colOff>
          <xdr:row>10</xdr:row>
          <xdr:rowOff>160020</xdr:rowOff>
        </xdr:from>
        <xdr:to>
          <xdr:col>19</xdr:col>
          <xdr:colOff>876300</xdr:colOff>
          <xdr:row>10</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11</xdr:row>
          <xdr:rowOff>160020</xdr:rowOff>
        </xdr:from>
        <xdr:to>
          <xdr:col>19</xdr:col>
          <xdr:colOff>876300</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12</xdr:row>
          <xdr:rowOff>160020</xdr:rowOff>
        </xdr:from>
        <xdr:to>
          <xdr:col>19</xdr:col>
          <xdr:colOff>876300</xdr:colOff>
          <xdr:row>12</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13</xdr:row>
          <xdr:rowOff>160020</xdr:rowOff>
        </xdr:from>
        <xdr:to>
          <xdr:col>19</xdr:col>
          <xdr:colOff>876300</xdr:colOff>
          <xdr:row>13</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14</xdr:row>
          <xdr:rowOff>160020</xdr:rowOff>
        </xdr:from>
        <xdr:to>
          <xdr:col>19</xdr:col>
          <xdr:colOff>876300</xdr:colOff>
          <xdr:row>14</xdr:row>
          <xdr:rowOff>381000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15</xdr:row>
          <xdr:rowOff>160020</xdr:rowOff>
        </xdr:from>
        <xdr:to>
          <xdr:col>19</xdr:col>
          <xdr:colOff>876300</xdr:colOff>
          <xdr:row>15</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16</xdr:row>
          <xdr:rowOff>160020</xdr:rowOff>
        </xdr:from>
        <xdr:to>
          <xdr:col>19</xdr:col>
          <xdr:colOff>876300</xdr:colOff>
          <xdr:row>16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17</xdr:row>
          <xdr:rowOff>160020</xdr:rowOff>
        </xdr:from>
        <xdr:to>
          <xdr:col>19</xdr:col>
          <xdr:colOff>876300</xdr:colOff>
          <xdr:row>17</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18</xdr:row>
          <xdr:rowOff>160020</xdr:rowOff>
        </xdr:from>
        <xdr:to>
          <xdr:col>19</xdr:col>
          <xdr:colOff>876300</xdr:colOff>
          <xdr:row>18</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19</xdr:row>
          <xdr:rowOff>160020</xdr:rowOff>
        </xdr:from>
        <xdr:to>
          <xdr:col>19</xdr:col>
          <xdr:colOff>876300</xdr:colOff>
          <xdr:row>19</xdr:row>
          <xdr:rowOff>381000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20</xdr:row>
          <xdr:rowOff>160020</xdr:rowOff>
        </xdr:from>
        <xdr:to>
          <xdr:col>19</xdr:col>
          <xdr:colOff>876300</xdr:colOff>
          <xdr:row>20</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21</xdr:row>
          <xdr:rowOff>160020</xdr:rowOff>
        </xdr:from>
        <xdr:to>
          <xdr:col>19</xdr:col>
          <xdr:colOff>876300</xdr:colOff>
          <xdr:row>21</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22</xdr:row>
          <xdr:rowOff>160020</xdr:rowOff>
        </xdr:from>
        <xdr:to>
          <xdr:col>19</xdr:col>
          <xdr:colOff>876300</xdr:colOff>
          <xdr:row>22</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23</xdr:row>
          <xdr:rowOff>160020</xdr:rowOff>
        </xdr:from>
        <xdr:to>
          <xdr:col>19</xdr:col>
          <xdr:colOff>876300</xdr:colOff>
          <xdr:row>23</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24</xdr:row>
          <xdr:rowOff>160020</xdr:rowOff>
        </xdr:from>
        <xdr:to>
          <xdr:col>19</xdr:col>
          <xdr:colOff>876300</xdr:colOff>
          <xdr:row>24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25</xdr:row>
          <xdr:rowOff>160020</xdr:rowOff>
        </xdr:from>
        <xdr:to>
          <xdr:col>19</xdr:col>
          <xdr:colOff>876300</xdr:colOff>
          <xdr:row>25</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26</xdr:row>
          <xdr:rowOff>160020</xdr:rowOff>
        </xdr:from>
        <xdr:to>
          <xdr:col>19</xdr:col>
          <xdr:colOff>876300</xdr:colOff>
          <xdr:row>26</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27</xdr:row>
          <xdr:rowOff>160020</xdr:rowOff>
        </xdr:from>
        <xdr:to>
          <xdr:col>19</xdr:col>
          <xdr:colOff>876300</xdr:colOff>
          <xdr:row>27</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28</xdr:row>
          <xdr:rowOff>160020</xdr:rowOff>
        </xdr:from>
        <xdr:to>
          <xdr:col>19</xdr:col>
          <xdr:colOff>876300</xdr:colOff>
          <xdr:row>28</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29</xdr:row>
          <xdr:rowOff>160020</xdr:rowOff>
        </xdr:from>
        <xdr:to>
          <xdr:col>19</xdr:col>
          <xdr:colOff>876300</xdr:colOff>
          <xdr:row>29</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30</xdr:row>
          <xdr:rowOff>160020</xdr:rowOff>
        </xdr:from>
        <xdr:to>
          <xdr:col>19</xdr:col>
          <xdr:colOff>876300</xdr:colOff>
          <xdr:row>30</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31</xdr:row>
          <xdr:rowOff>160020</xdr:rowOff>
        </xdr:from>
        <xdr:to>
          <xdr:col>19</xdr:col>
          <xdr:colOff>876300</xdr:colOff>
          <xdr:row>31</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32</xdr:row>
          <xdr:rowOff>160020</xdr:rowOff>
        </xdr:from>
        <xdr:to>
          <xdr:col>19</xdr:col>
          <xdr:colOff>876300</xdr:colOff>
          <xdr:row>32</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34</xdr:row>
          <xdr:rowOff>160020</xdr:rowOff>
        </xdr:from>
        <xdr:to>
          <xdr:col>19</xdr:col>
          <xdr:colOff>876300</xdr:colOff>
          <xdr:row>34</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35</xdr:row>
          <xdr:rowOff>160020</xdr:rowOff>
        </xdr:from>
        <xdr:to>
          <xdr:col>19</xdr:col>
          <xdr:colOff>876300</xdr:colOff>
          <xdr:row>35</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36</xdr:row>
          <xdr:rowOff>160020</xdr:rowOff>
        </xdr:from>
        <xdr:to>
          <xdr:col>19</xdr:col>
          <xdr:colOff>876300</xdr:colOff>
          <xdr:row>36</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37</xdr:row>
          <xdr:rowOff>160020</xdr:rowOff>
        </xdr:from>
        <xdr:to>
          <xdr:col>19</xdr:col>
          <xdr:colOff>876300</xdr:colOff>
          <xdr:row>37</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38</xdr:row>
          <xdr:rowOff>160020</xdr:rowOff>
        </xdr:from>
        <xdr:to>
          <xdr:col>19</xdr:col>
          <xdr:colOff>876300</xdr:colOff>
          <xdr:row>38</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39</xdr:row>
          <xdr:rowOff>160020</xdr:rowOff>
        </xdr:from>
        <xdr:to>
          <xdr:col>19</xdr:col>
          <xdr:colOff>876300</xdr:colOff>
          <xdr:row>39</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40</xdr:row>
          <xdr:rowOff>160020</xdr:rowOff>
        </xdr:from>
        <xdr:to>
          <xdr:col>19</xdr:col>
          <xdr:colOff>876300</xdr:colOff>
          <xdr:row>40</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33</xdr:row>
          <xdr:rowOff>160020</xdr:rowOff>
        </xdr:from>
        <xdr:to>
          <xdr:col>19</xdr:col>
          <xdr:colOff>876300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twoCellAnchor editAs="oneCell">
    <xdr:from>
      <xdr:col>0</xdr:col>
      <xdr:colOff>243875</xdr:colOff>
      <xdr:row>0</xdr:row>
      <xdr:rowOff>119190</xdr:rowOff>
    </xdr:from>
    <xdr:to>
      <xdr:col>1</xdr:col>
      <xdr:colOff>1965533</xdr:colOff>
      <xdr:row>3</xdr:row>
      <xdr:rowOff>45720</xdr:rowOff>
    </xdr:to>
    <xdr:pic>
      <xdr:nvPicPr>
        <xdr:cNvPr id="2" name="Imagen 1">
          <a:extLst>
            <a:ext uri="{FF2B5EF4-FFF2-40B4-BE49-F238E27FC236}">
              <a16:creationId xmlns:a16="http://schemas.microsoft.com/office/drawing/2014/main" id="{F9BA72F8-ED26-4A37-9F8C-511067054BB4}"/>
            </a:ext>
          </a:extLst>
        </xdr:cNvPr>
        <xdr:cNvPicPr>
          <a:picLocks noChangeAspect="1"/>
        </xdr:cNvPicPr>
      </xdr:nvPicPr>
      <xdr:blipFill>
        <a:blip xmlns:r="http://schemas.openxmlformats.org/officeDocument/2006/relationships" r:embed="rId2"/>
        <a:stretch>
          <a:fillRect/>
        </a:stretch>
      </xdr:blipFill>
      <xdr:spPr>
        <a:xfrm>
          <a:off x="243875" y="119190"/>
          <a:ext cx="2072178" cy="825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2222499</xdr:colOff>
      <xdr:row>0</xdr:row>
      <xdr:rowOff>0</xdr:rowOff>
    </xdr:from>
    <xdr:to>
      <xdr:col>7</xdr:col>
      <xdr:colOff>3030680</xdr:colOff>
      <xdr:row>3</xdr:row>
      <xdr:rowOff>187614</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8</xdr:col>
      <xdr:colOff>694859</xdr:colOff>
      <xdr:row>0</xdr:row>
      <xdr:rowOff>48248</xdr:rowOff>
    </xdr:from>
    <xdr:to>
      <xdr:col>9</xdr:col>
      <xdr:colOff>98961</xdr:colOff>
      <xdr:row>3</xdr:row>
      <xdr:rowOff>240286</xdr:rowOff>
    </xdr:to>
    <xdr:pic>
      <xdr:nvPicPr>
        <xdr:cNvPr id="13" name="1 Imagen" descr="logocapitalmusical">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5924" y="48248"/>
          <a:ext cx="730180" cy="934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432460</xdr:colOff>
      <xdr:row>0</xdr:row>
      <xdr:rowOff>57397</xdr:rowOff>
    </xdr:from>
    <xdr:to>
      <xdr:col>1</xdr:col>
      <xdr:colOff>1049911</xdr:colOff>
      <xdr:row>3</xdr:row>
      <xdr:rowOff>140879</xdr:rowOff>
    </xdr:to>
    <xdr:pic>
      <xdr:nvPicPr>
        <xdr:cNvPr id="2" name="Imagen 1">
          <a:extLst>
            <a:ext uri="{FF2B5EF4-FFF2-40B4-BE49-F238E27FC236}">
              <a16:creationId xmlns:a16="http://schemas.microsoft.com/office/drawing/2014/main" id="{F696D5F0-B375-4A55-B953-85C57018471C}"/>
            </a:ext>
          </a:extLst>
        </xdr:cNvPr>
        <xdr:cNvPicPr>
          <a:picLocks noChangeAspect="1"/>
        </xdr:cNvPicPr>
      </xdr:nvPicPr>
      <xdr:blipFill>
        <a:blip xmlns:r="http://schemas.openxmlformats.org/officeDocument/2006/relationships" r:embed="rId2"/>
        <a:stretch>
          <a:fillRect/>
        </a:stretch>
      </xdr:blipFill>
      <xdr:spPr>
        <a:xfrm>
          <a:off x="432460" y="57397"/>
          <a:ext cx="2076137" cy="801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Desktop\DSH2024\C%20RIESGOS%202024\BIMESTRE%2001%202024%20A%20PLANEACION\MR%20PARA%20ACTUALIZACION%202024\ENTREGA%20ACTUALIZ%202024%20A%20PLANEACION%20MAPAS%20RIES\2.%20B2-2024%20MRV4%20CORRP%20SEC%20HCDA%20ACT%2029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MAPA DE RIESGO ADMON"/>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Normal="100" workbookViewId="0">
      <selection activeCell="B7" sqref="B7:H7"/>
    </sheetView>
  </sheetViews>
  <sheetFormatPr baseColWidth="10" defaultColWidth="11.44140625" defaultRowHeight="14.4" x14ac:dyDescent="0.3"/>
  <cols>
    <col min="1" max="1" width="2.88671875" style="65" customWidth="1"/>
    <col min="2" max="3" width="24.6640625" style="65" customWidth="1"/>
    <col min="4" max="4" width="16" style="65" customWidth="1"/>
    <col min="5" max="5" width="24.6640625" style="65" customWidth="1"/>
    <col min="6" max="6" width="27.6640625" style="65" customWidth="1"/>
    <col min="7" max="8" width="24.6640625" style="65" customWidth="1"/>
    <col min="9" max="16384" width="11.44140625" style="65"/>
  </cols>
  <sheetData>
    <row r="1" spans="2:8" ht="15" thickBot="1" x14ac:dyDescent="0.35"/>
    <row r="2" spans="2:8" ht="18" x14ac:dyDescent="0.3">
      <c r="B2" s="310" t="s">
        <v>155</v>
      </c>
      <c r="C2" s="311"/>
      <c r="D2" s="311"/>
      <c r="E2" s="311"/>
      <c r="F2" s="311"/>
      <c r="G2" s="311"/>
      <c r="H2" s="312"/>
    </row>
    <row r="3" spans="2:8" x14ac:dyDescent="0.3">
      <c r="B3" s="66"/>
      <c r="C3" s="67"/>
      <c r="D3" s="67"/>
      <c r="E3" s="67"/>
      <c r="F3" s="67"/>
      <c r="G3" s="67"/>
      <c r="H3" s="68"/>
    </row>
    <row r="4" spans="2:8" ht="63" customHeight="1" x14ac:dyDescent="0.3">
      <c r="B4" s="313" t="s">
        <v>198</v>
      </c>
      <c r="C4" s="314"/>
      <c r="D4" s="314"/>
      <c r="E4" s="314"/>
      <c r="F4" s="314"/>
      <c r="G4" s="314"/>
      <c r="H4" s="315"/>
    </row>
    <row r="5" spans="2:8" ht="124.5" customHeight="1" x14ac:dyDescent="0.3">
      <c r="B5" s="316"/>
      <c r="C5" s="317"/>
      <c r="D5" s="317"/>
      <c r="E5" s="317"/>
      <c r="F5" s="317"/>
      <c r="G5" s="317"/>
      <c r="H5" s="318"/>
    </row>
    <row r="6" spans="2:8" x14ac:dyDescent="0.3">
      <c r="B6" s="319" t="s">
        <v>153</v>
      </c>
      <c r="C6" s="320"/>
      <c r="D6" s="320"/>
      <c r="E6" s="320"/>
      <c r="F6" s="320"/>
      <c r="G6" s="320"/>
      <c r="H6" s="321"/>
    </row>
    <row r="7" spans="2:8" ht="95.25" customHeight="1" x14ac:dyDescent="0.3">
      <c r="B7" s="329" t="s">
        <v>158</v>
      </c>
      <c r="C7" s="330"/>
      <c r="D7" s="330"/>
      <c r="E7" s="330"/>
      <c r="F7" s="330"/>
      <c r="G7" s="330"/>
      <c r="H7" s="331"/>
    </row>
    <row r="8" spans="2:8" x14ac:dyDescent="0.3">
      <c r="B8" s="100"/>
      <c r="C8" s="101"/>
      <c r="D8" s="101"/>
      <c r="E8" s="101"/>
      <c r="F8" s="101"/>
      <c r="G8" s="101"/>
      <c r="H8" s="102"/>
    </row>
    <row r="9" spans="2:8" ht="16.5" customHeight="1" x14ac:dyDescent="0.3">
      <c r="B9" s="322" t="s">
        <v>191</v>
      </c>
      <c r="C9" s="323"/>
      <c r="D9" s="323"/>
      <c r="E9" s="323"/>
      <c r="F9" s="323"/>
      <c r="G9" s="323"/>
      <c r="H9" s="324"/>
    </row>
    <row r="10" spans="2:8" ht="44.25" customHeight="1" x14ac:dyDescent="0.3">
      <c r="B10" s="322"/>
      <c r="C10" s="323"/>
      <c r="D10" s="323"/>
      <c r="E10" s="323"/>
      <c r="F10" s="323"/>
      <c r="G10" s="323"/>
      <c r="H10" s="324"/>
    </row>
    <row r="11" spans="2:8" ht="15" thickBot="1" x14ac:dyDescent="0.35">
      <c r="B11" s="89"/>
      <c r="C11" s="92"/>
      <c r="D11" s="97"/>
      <c r="E11" s="98"/>
      <c r="F11" s="98"/>
      <c r="G11" s="99"/>
      <c r="H11" s="93"/>
    </row>
    <row r="12" spans="2:8" ht="15" thickTop="1" x14ac:dyDescent="0.3">
      <c r="B12" s="89"/>
      <c r="C12" s="325" t="s">
        <v>154</v>
      </c>
      <c r="D12" s="326"/>
      <c r="E12" s="327" t="s">
        <v>192</v>
      </c>
      <c r="F12" s="328"/>
      <c r="G12" s="92"/>
      <c r="H12" s="93"/>
    </row>
    <row r="13" spans="2:8" ht="35.25" customHeight="1" x14ac:dyDescent="0.3">
      <c r="B13" s="89"/>
      <c r="C13" s="297" t="s">
        <v>185</v>
      </c>
      <c r="D13" s="298"/>
      <c r="E13" s="299" t="s">
        <v>190</v>
      </c>
      <c r="F13" s="300"/>
      <c r="G13" s="92"/>
      <c r="H13" s="93"/>
    </row>
    <row r="14" spans="2:8" ht="17.25" customHeight="1" x14ac:dyDescent="0.3">
      <c r="B14" s="89"/>
      <c r="C14" s="297" t="s">
        <v>186</v>
      </c>
      <c r="D14" s="298"/>
      <c r="E14" s="299" t="s">
        <v>188</v>
      </c>
      <c r="F14" s="300"/>
      <c r="G14" s="92"/>
      <c r="H14" s="93"/>
    </row>
    <row r="15" spans="2:8" ht="19.5" customHeight="1" x14ac:dyDescent="0.3">
      <c r="B15" s="89"/>
      <c r="C15" s="297" t="s">
        <v>187</v>
      </c>
      <c r="D15" s="298"/>
      <c r="E15" s="299" t="s">
        <v>189</v>
      </c>
      <c r="F15" s="300"/>
      <c r="G15" s="92"/>
      <c r="H15" s="93"/>
    </row>
    <row r="16" spans="2:8" ht="69.75" customHeight="1" x14ac:dyDescent="0.3">
      <c r="B16" s="89"/>
      <c r="C16" s="297" t="s">
        <v>156</v>
      </c>
      <c r="D16" s="298"/>
      <c r="E16" s="299" t="s">
        <v>157</v>
      </c>
      <c r="F16" s="300"/>
      <c r="G16" s="92"/>
      <c r="H16" s="93"/>
    </row>
    <row r="17" spans="2:8" ht="34.5" customHeight="1" x14ac:dyDescent="0.3">
      <c r="B17" s="89"/>
      <c r="C17" s="301" t="s">
        <v>2</v>
      </c>
      <c r="D17" s="302"/>
      <c r="E17" s="293" t="s">
        <v>199</v>
      </c>
      <c r="F17" s="294"/>
      <c r="G17" s="92"/>
      <c r="H17" s="93"/>
    </row>
    <row r="18" spans="2:8" ht="27.75" customHeight="1" x14ac:dyDescent="0.3">
      <c r="B18" s="89"/>
      <c r="C18" s="301" t="s">
        <v>3</v>
      </c>
      <c r="D18" s="302"/>
      <c r="E18" s="293" t="s">
        <v>200</v>
      </c>
      <c r="F18" s="294"/>
      <c r="G18" s="92"/>
      <c r="H18" s="93"/>
    </row>
    <row r="19" spans="2:8" ht="28.5" customHeight="1" x14ac:dyDescent="0.3">
      <c r="B19" s="89"/>
      <c r="C19" s="301" t="s">
        <v>42</v>
      </c>
      <c r="D19" s="302"/>
      <c r="E19" s="293" t="s">
        <v>201</v>
      </c>
      <c r="F19" s="294"/>
      <c r="G19" s="92"/>
      <c r="H19" s="93"/>
    </row>
    <row r="20" spans="2:8" ht="72.75" customHeight="1" x14ac:dyDescent="0.3">
      <c r="B20" s="89"/>
      <c r="C20" s="301" t="s">
        <v>1</v>
      </c>
      <c r="D20" s="302"/>
      <c r="E20" s="293" t="s">
        <v>202</v>
      </c>
      <c r="F20" s="294"/>
      <c r="G20" s="92"/>
      <c r="H20" s="93"/>
    </row>
    <row r="21" spans="2:8" ht="64.5" customHeight="1" x14ac:dyDescent="0.3">
      <c r="B21" s="89"/>
      <c r="C21" s="301" t="s">
        <v>50</v>
      </c>
      <c r="D21" s="302"/>
      <c r="E21" s="293" t="s">
        <v>160</v>
      </c>
      <c r="F21" s="294"/>
      <c r="G21" s="92"/>
      <c r="H21" s="93"/>
    </row>
    <row r="22" spans="2:8" ht="71.25" customHeight="1" x14ac:dyDescent="0.3">
      <c r="B22" s="89"/>
      <c r="C22" s="301" t="s">
        <v>159</v>
      </c>
      <c r="D22" s="302"/>
      <c r="E22" s="293" t="s">
        <v>161</v>
      </c>
      <c r="F22" s="294"/>
      <c r="G22" s="92"/>
      <c r="H22" s="93"/>
    </row>
    <row r="23" spans="2:8" ht="55.5" customHeight="1" x14ac:dyDescent="0.3">
      <c r="B23" s="89"/>
      <c r="C23" s="295" t="s">
        <v>162</v>
      </c>
      <c r="D23" s="296"/>
      <c r="E23" s="293" t="s">
        <v>163</v>
      </c>
      <c r="F23" s="294"/>
      <c r="G23" s="92"/>
      <c r="H23" s="93"/>
    </row>
    <row r="24" spans="2:8" ht="42" customHeight="1" x14ac:dyDescent="0.3">
      <c r="B24" s="89"/>
      <c r="C24" s="295" t="s">
        <v>48</v>
      </c>
      <c r="D24" s="296"/>
      <c r="E24" s="293" t="s">
        <v>164</v>
      </c>
      <c r="F24" s="294"/>
      <c r="G24" s="92"/>
      <c r="H24" s="93"/>
    </row>
    <row r="25" spans="2:8" ht="59.25" customHeight="1" x14ac:dyDescent="0.3">
      <c r="B25" s="89"/>
      <c r="C25" s="295" t="s">
        <v>152</v>
      </c>
      <c r="D25" s="296"/>
      <c r="E25" s="293" t="s">
        <v>165</v>
      </c>
      <c r="F25" s="294"/>
      <c r="G25" s="92"/>
      <c r="H25" s="93"/>
    </row>
    <row r="26" spans="2:8" ht="23.25" customHeight="1" x14ac:dyDescent="0.3">
      <c r="B26" s="89"/>
      <c r="C26" s="295" t="s">
        <v>12</v>
      </c>
      <c r="D26" s="296"/>
      <c r="E26" s="293" t="s">
        <v>166</v>
      </c>
      <c r="F26" s="294"/>
      <c r="G26" s="92"/>
      <c r="H26" s="93"/>
    </row>
    <row r="27" spans="2:8" ht="30.75" customHeight="1" x14ac:dyDescent="0.3">
      <c r="B27" s="89"/>
      <c r="C27" s="295" t="s">
        <v>170</v>
      </c>
      <c r="D27" s="296"/>
      <c r="E27" s="293" t="s">
        <v>167</v>
      </c>
      <c r="F27" s="294"/>
      <c r="G27" s="92"/>
      <c r="H27" s="93"/>
    </row>
    <row r="28" spans="2:8" ht="35.25" customHeight="1" x14ac:dyDescent="0.3">
      <c r="B28" s="89"/>
      <c r="C28" s="295" t="s">
        <v>171</v>
      </c>
      <c r="D28" s="296"/>
      <c r="E28" s="293" t="s">
        <v>168</v>
      </c>
      <c r="F28" s="294"/>
      <c r="G28" s="92"/>
      <c r="H28" s="93"/>
    </row>
    <row r="29" spans="2:8" ht="33" customHeight="1" x14ac:dyDescent="0.3">
      <c r="B29" s="89"/>
      <c r="C29" s="295" t="s">
        <v>171</v>
      </c>
      <c r="D29" s="296"/>
      <c r="E29" s="293" t="s">
        <v>168</v>
      </c>
      <c r="F29" s="294"/>
      <c r="G29" s="92"/>
      <c r="H29" s="93"/>
    </row>
    <row r="30" spans="2:8" ht="30" customHeight="1" x14ac:dyDescent="0.3">
      <c r="B30" s="89"/>
      <c r="C30" s="295" t="s">
        <v>172</v>
      </c>
      <c r="D30" s="296"/>
      <c r="E30" s="293" t="s">
        <v>169</v>
      </c>
      <c r="F30" s="294"/>
      <c r="G30" s="92"/>
      <c r="H30" s="93"/>
    </row>
    <row r="31" spans="2:8" ht="35.25" customHeight="1" x14ac:dyDescent="0.3">
      <c r="B31" s="89"/>
      <c r="C31" s="295" t="s">
        <v>173</v>
      </c>
      <c r="D31" s="296"/>
      <c r="E31" s="293" t="s">
        <v>174</v>
      </c>
      <c r="F31" s="294"/>
      <c r="G31" s="92"/>
      <c r="H31" s="93"/>
    </row>
    <row r="32" spans="2:8" ht="31.5" customHeight="1" x14ac:dyDescent="0.3">
      <c r="B32" s="89"/>
      <c r="C32" s="295" t="s">
        <v>175</v>
      </c>
      <c r="D32" s="296"/>
      <c r="E32" s="293" t="s">
        <v>176</v>
      </c>
      <c r="F32" s="294"/>
      <c r="G32" s="92"/>
      <c r="H32" s="93"/>
    </row>
    <row r="33" spans="2:8" ht="35.25" customHeight="1" x14ac:dyDescent="0.3">
      <c r="B33" s="89"/>
      <c r="C33" s="295" t="s">
        <v>177</v>
      </c>
      <c r="D33" s="296"/>
      <c r="E33" s="293" t="s">
        <v>178</v>
      </c>
      <c r="F33" s="294"/>
      <c r="G33" s="92"/>
      <c r="H33" s="93"/>
    </row>
    <row r="34" spans="2:8" ht="59.25" customHeight="1" x14ac:dyDescent="0.3">
      <c r="B34" s="89"/>
      <c r="C34" s="295" t="s">
        <v>179</v>
      </c>
      <c r="D34" s="296"/>
      <c r="E34" s="293" t="s">
        <v>180</v>
      </c>
      <c r="F34" s="294"/>
      <c r="G34" s="92"/>
      <c r="H34" s="93"/>
    </row>
    <row r="35" spans="2:8" ht="29.25" customHeight="1" x14ac:dyDescent="0.3">
      <c r="B35" s="89"/>
      <c r="C35" s="295" t="s">
        <v>29</v>
      </c>
      <c r="D35" s="296"/>
      <c r="E35" s="293" t="s">
        <v>181</v>
      </c>
      <c r="F35" s="294"/>
      <c r="G35" s="92"/>
      <c r="H35" s="93"/>
    </row>
    <row r="36" spans="2:8" ht="82.5" customHeight="1" x14ac:dyDescent="0.3">
      <c r="B36" s="89"/>
      <c r="C36" s="295" t="s">
        <v>183</v>
      </c>
      <c r="D36" s="296"/>
      <c r="E36" s="293" t="s">
        <v>182</v>
      </c>
      <c r="F36" s="294"/>
      <c r="G36" s="92"/>
      <c r="H36" s="93"/>
    </row>
    <row r="37" spans="2:8" ht="46.5" customHeight="1" x14ac:dyDescent="0.3">
      <c r="B37" s="89"/>
      <c r="C37" s="295" t="s">
        <v>39</v>
      </c>
      <c r="D37" s="296"/>
      <c r="E37" s="293" t="s">
        <v>184</v>
      </c>
      <c r="F37" s="294"/>
      <c r="G37" s="92"/>
      <c r="H37" s="93"/>
    </row>
    <row r="38" spans="2:8" ht="6.75" customHeight="1" thickBot="1" x14ac:dyDescent="0.35">
      <c r="B38" s="89"/>
      <c r="C38" s="306"/>
      <c r="D38" s="307"/>
      <c r="E38" s="308"/>
      <c r="F38" s="309"/>
      <c r="G38" s="92"/>
      <c r="H38" s="93"/>
    </row>
    <row r="39" spans="2:8" ht="15" thickTop="1" x14ac:dyDescent="0.3">
      <c r="B39" s="89"/>
      <c r="C39" s="90"/>
      <c r="D39" s="90"/>
      <c r="E39" s="91"/>
      <c r="F39" s="91"/>
      <c r="G39" s="92"/>
      <c r="H39" s="93"/>
    </row>
    <row r="40" spans="2:8" ht="21" customHeight="1" x14ac:dyDescent="0.3">
      <c r="B40" s="303" t="s">
        <v>193</v>
      </c>
      <c r="C40" s="304"/>
      <c r="D40" s="304"/>
      <c r="E40" s="304"/>
      <c r="F40" s="304"/>
      <c r="G40" s="304"/>
      <c r="H40" s="305"/>
    </row>
    <row r="41" spans="2:8" ht="20.25" customHeight="1" x14ac:dyDescent="0.3">
      <c r="B41" s="303" t="s">
        <v>194</v>
      </c>
      <c r="C41" s="304"/>
      <c r="D41" s="304"/>
      <c r="E41" s="304"/>
      <c r="F41" s="304"/>
      <c r="G41" s="304"/>
      <c r="H41" s="305"/>
    </row>
    <row r="42" spans="2:8" ht="20.25" customHeight="1" x14ac:dyDescent="0.3">
      <c r="B42" s="303" t="s">
        <v>195</v>
      </c>
      <c r="C42" s="304"/>
      <c r="D42" s="304"/>
      <c r="E42" s="304"/>
      <c r="F42" s="304"/>
      <c r="G42" s="304"/>
      <c r="H42" s="305"/>
    </row>
    <row r="43" spans="2:8" ht="20.25" customHeight="1" x14ac:dyDescent="0.3">
      <c r="B43" s="303" t="s">
        <v>196</v>
      </c>
      <c r="C43" s="304"/>
      <c r="D43" s="304"/>
      <c r="E43" s="304"/>
      <c r="F43" s="304"/>
      <c r="G43" s="304"/>
      <c r="H43" s="305"/>
    </row>
    <row r="44" spans="2:8" x14ac:dyDescent="0.3">
      <c r="B44" s="303" t="s">
        <v>197</v>
      </c>
      <c r="C44" s="304"/>
      <c r="D44" s="304"/>
      <c r="E44" s="304"/>
      <c r="F44" s="304"/>
      <c r="G44" s="304"/>
      <c r="H44" s="305"/>
    </row>
    <row r="45" spans="2:8" ht="15" thickBot="1" x14ac:dyDescent="0.35">
      <c r="B45" s="94"/>
      <c r="C45" s="95"/>
      <c r="D45" s="95"/>
      <c r="E45" s="95"/>
      <c r="F45" s="95"/>
      <c r="G45" s="95"/>
      <c r="H45" s="9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53"/>
  <sheetViews>
    <sheetView zoomScale="85" zoomScaleNormal="85" workbookViewId="0">
      <selection activeCell="B12" sqref="B12"/>
    </sheetView>
  </sheetViews>
  <sheetFormatPr baseColWidth="10" defaultColWidth="11.44140625" defaultRowHeight="13.8" x14ac:dyDescent="0.25"/>
  <cols>
    <col min="1" max="1" width="29.44140625" style="141" customWidth="1"/>
    <col min="2" max="2" width="29.109375" style="141" customWidth="1"/>
    <col min="3" max="3" width="30.33203125" style="141" customWidth="1"/>
    <col min="4" max="4" width="31.88671875" style="141" customWidth="1"/>
    <col min="5" max="5" width="32.5546875" style="141" customWidth="1"/>
    <col min="6" max="6" width="32" style="141" customWidth="1"/>
    <col min="7" max="7" width="4" style="141" customWidth="1"/>
    <col min="8" max="8" width="18.33203125" style="141" customWidth="1"/>
    <col min="9" max="16384" width="11.44140625" style="141"/>
  </cols>
  <sheetData>
    <row r="1" spans="1:10" ht="15" customHeight="1" x14ac:dyDescent="0.25">
      <c r="A1" s="336"/>
      <c r="B1" s="338" t="s">
        <v>260</v>
      </c>
      <c r="C1" s="338"/>
      <c r="D1" s="338"/>
      <c r="E1" s="139" t="s">
        <v>261</v>
      </c>
      <c r="F1" s="340"/>
      <c r="G1" s="140"/>
      <c r="J1" s="342"/>
    </row>
    <row r="2" spans="1:10" ht="15" customHeight="1" x14ac:dyDescent="0.25">
      <c r="A2" s="337"/>
      <c r="B2" s="339"/>
      <c r="C2" s="339"/>
      <c r="D2" s="339"/>
      <c r="E2" s="143" t="s">
        <v>262</v>
      </c>
      <c r="F2" s="341"/>
      <c r="G2" s="140"/>
      <c r="J2" s="342"/>
    </row>
    <row r="3" spans="1:10" ht="15" customHeight="1" x14ac:dyDescent="0.25">
      <c r="A3" s="337"/>
      <c r="B3" s="339" t="s">
        <v>215</v>
      </c>
      <c r="C3" s="339"/>
      <c r="D3" s="339"/>
      <c r="E3" s="143" t="s">
        <v>263</v>
      </c>
      <c r="F3" s="341"/>
      <c r="G3" s="140"/>
      <c r="J3" s="342"/>
    </row>
    <row r="4" spans="1:10" ht="15.75" customHeight="1" x14ac:dyDescent="0.25">
      <c r="A4" s="337"/>
      <c r="B4" s="339"/>
      <c r="C4" s="339"/>
      <c r="D4" s="339"/>
      <c r="E4" s="143" t="s">
        <v>264</v>
      </c>
      <c r="F4" s="341"/>
      <c r="G4" s="140"/>
      <c r="J4" s="342"/>
    </row>
    <row r="5" spans="1:10" ht="15.75" customHeight="1" x14ac:dyDescent="0.25">
      <c r="A5" s="343"/>
      <c r="B5" s="344"/>
      <c r="C5" s="344"/>
      <c r="D5" s="344"/>
      <c r="E5" s="344"/>
      <c r="F5" s="345"/>
      <c r="G5" s="140"/>
      <c r="J5" s="142"/>
    </row>
    <row r="6" spans="1:10" ht="15" customHeight="1" x14ac:dyDescent="0.25">
      <c r="A6" s="346" t="s">
        <v>216</v>
      </c>
      <c r="B6" s="347"/>
      <c r="C6" s="347"/>
      <c r="D6" s="347"/>
      <c r="E6" s="347"/>
      <c r="F6" s="348"/>
    </row>
    <row r="7" spans="1:10" ht="15.75" customHeight="1" x14ac:dyDescent="0.25">
      <c r="A7" s="346"/>
      <c r="B7" s="347"/>
      <c r="C7" s="347"/>
      <c r="D7" s="347"/>
      <c r="E7" s="347"/>
      <c r="F7" s="348"/>
    </row>
    <row r="8" spans="1:10" ht="27" customHeight="1" x14ac:dyDescent="0.25">
      <c r="A8" s="349" t="s">
        <v>418</v>
      </c>
      <c r="B8" s="350"/>
      <c r="C8" s="350"/>
      <c r="D8" s="350"/>
      <c r="E8" s="350"/>
      <c r="F8" s="351"/>
    </row>
    <row r="9" spans="1:10" ht="77.25" customHeight="1" thickBot="1" x14ac:dyDescent="0.3">
      <c r="A9" s="332" t="s">
        <v>419</v>
      </c>
      <c r="B9" s="333"/>
      <c r="C9" s="333"/>
      <c r="D9" s="333"/>
      <c r="E9" s="333"/>
      <c r="F9" s="334"/>
    </row>
    <row r="10" spans="1:10" ht="18.75" customHeight="1" thickBot="1" x14ac:dyDescent="0.3">
      <c r="A10" s="335"/>
      <c r="B10" s="335"/>
      <c r="C10" s="335"/>
      <c r="D10" s="335"/>
      <c r="E10" s="335"/>
      <c r="F10" s="335"/>
      <c r="H10" s="141" t="s">
        <v>339</v>
      </c>
    </row>
    <row r="11" spans="1:10" ht="22.5" customHeight="1" thickBot="1" x14ac:dyDescent="0.3">
      <c r="A11" s="144" t="s">
        <v>217</v>
      </c>
      <c r="B11" s="145" t="s">
        <v>218</v>
      </c>
      <c r="C11" s="145" t="s">
        <v>219</v>
      </c>
      <c r="D11" s="145" t="s">
        <v>218</v>
      </c>
      <c r="E11" s="145" t="s">
        <v>220</v>
      </c>
      <c r="F11" s="146" t="s">
        <v>218</v>
      </c>
    </row>
    <row r="12" spans="1:10" ht="231" customHeight="1" x14ac:dyDescent="0.25">
      <c r="A12" s="147" t="s">
        <v>221</v>
      </c>
      <c r="B12" s="187" t="s">
        <v>310</v>
      </c>
      <c r="C12" s="148" t="s">
        <v>342</v>
      </c>
      <c r="D12" s="191" t="s">
        <v>345</v>
      </c>
      <c r="E12" s="148" t="s">
        <v>337</v>
      </c>
      <c r="F12" s="198" t="s">
        <v>338</v>
      </c>
      <c r="H12" s="197"/>
    </row>
    <row r="13" spans="1:10" ht="60" customHeight="1" thickBot="1" x14ac:dyDescent="0.3">
      <c r="A13" s="149" t="s">
        <v>347</v>
      </c>
      <c r="B13" s="188" t="s">
        <v>311</v>
      </c>
      <c r="C13" s="150" t="s">
        <v>342</v>
      </c>
      <c r="D13" s="192" t="s">
        <v>346</v>
      </c>
      <c r="E13" s="150" t="s">
        <v>340</v>
      </c>
      <c r="F13" s="199" t="s">
        <v>341</v>
      </c>
    </row>
    <row r="14" spans="1:10" ht="113.25" customHeight="1" x14ac:dyDescent="0.25">
      <c r="A14" s="149" t="s">
        <v>222</v>
      </c>
      <c r="B14" s="188" t="s">
        <v>312</v>
      </c>
      <c r="C14" s="148" t="s">
        <v>350</v>
      </c>
      <c r="D14" s="192" t="s">
        <v>317</v>
      </c>
      <c r="E14" s="150" t="s">
        <v>344</v>
      </c>
      <c r="F14" s="199" t="s">
        <v>343</v>
      </c>
    </row>
    <row r="15" spans="1:10" ht="73.5" customHeight="1" x14ac:dyDescent="0.25">
      <c r="A15" s="149" t="s">
        <v>222</v>
      </c>
      <c r="B15" s="189" t="s">
        <v>313</v>
      </c>
      <c r="C15" s="150" t="s">
        <v>350</v>
      </c>
      <c r="D15" s="192" t="s">
        <v>318</v>
      </c>
      <c r="E15" s="150" t="s">
        <v>357</v>
      </c>
      <c r="F15" s="195" t="s">
        <v>329</v>
      </c>
    </row>
    <row r="16" spans="1:10" ht="59.25" customHeight="1" x14ac:dyDescent="0.25">
      <c r="A16" s="149" t="s">
        <v>348</v>
      </c>
      <c r="B16" s="188" t="s">
        <v>314</v>
      </c>
      <c r="C16" s="150" t="s">
        <v>350</v>
      </c>
      <c r="D16" s="192" t="s">
        <v>319</v>
      </c>
      <c r="E16" s="150" t="s">
        <v>358</v>
      </c>
      <c r="F16" s="195" t="s">
        <v>330</v>
      </c>
    </row>
    <row r="17" spans="1:6" ht="94.2" customHeight="1" x14ac:dyDescent="0.25">
      <c r="A17" s="149" t="s">
        <v>223</v>
      </c>
      <c r="B17" s="188" t="s">
        <v>349</v>
      </c>
      <c r="C17" s="150" t="s">
        <v>351</v>
      </c>
      <c r="D17" s="192" t="s">
        <v>320</v>
      </c>
      <c r="E17" s="150" t="s">
        <v>359</v>
      </c>
      <c r="F17" s="195" t="s">
        <v>331</v>
      </c>
    </row>
    <row r="18" spans="1:6" ht="81.599999999999994" customHeight="1" x14ac:dyDescent="0.25">
      <c r="A18" s="149" t="s">
        <v>224</v>
      </c>
      <c r="B18" s="188" t="s">
        <v>315</v>
      </c>
      <c r="C18" s="150" t="s">
        <v>352</v>
      </c>
      <c r="D18" s="192" t="s">
        <v>321</v>
      </c>
      <c r="E18" s="150" t="s">
        <v>357</v>
      </c>
      <c r="F18" s="195" t="s">
        <v>332</v>
      </c>
    </row>
    <row r="19" spans="1:6" ht="73.5" customHeight="1" x14ac:dyDescent="0.25">
      <c r="A19" s="149" t="s">
        <v>224</v>
      </c>
      <c r="B19" s="188" t="s">
        <v>316</v>
      </c>
      <c r="C19" s="150" t="s">
        <v>352</v>
      </c>
      <c r="D19" s="192" t="s">
        <v>322</v>
      </c>
      <c r="E19" s="150"/>
      <c r="F19" s="195"/>
    </row>
    <row r="20" spans="1:6" ht="104.4" customHeight="1" x14ac:dyDescent="0.25">
      <c r="A20" s="149"/>
      <c r="B20" s="188"/>
      <c r="C20" s="150" t="s">
        <v>353</v>
      </c>
      <c r="D20" s="193" t="s">
        <v>323</v>
      </c>
      <c r="E20" s="150"/>
      <c r="F20" s="195"/>
    </row>
    <row r="21" spans="1:6" ht="93" customHeight="1" x14ac:dyDescent="0.25">
      <c r="A21" s="149"/>
      <c r="B21" s="188"/>
      <c r="C21" s="150" t="s">
        <v>353</v>
      </c>
      <c r="D21" s="193" t="s">
        <v>324</v>
      </c>
      <c r="E21" s="150"/>
      <c r="F21" s="195"/>
    </row>
    <row r="22" spans="1:6" ht="69" customHeight="1" x14ac:dyDescent="0.25">
      <c r="A22" s="149"/>
      <c r="B22" s="188"/>
      <c r="C22" s="150" t="s">
        <v>354</v>
      </c>
      <c r="D22" s="193" t="s">
        <v>325</v>
      </c>
      <c r="E22" s="150"/>
      <c r="F22" s="195"/>
    </row>
    <row r="23" spans="1:6" ht="61.5" customHeight="1" x14ac:dyDescent="0.25">
      <c r="A23" s="149"/>
      <c r="B23" s="188"/>
      <c r="C23" s="150" t="s">
        <v>355</v>
      </c>
      <c r="D23" s="193" t="s">
        <v>326</v>
      </c>
      <c r="E23" s="150"/>
      <c r="F23" s="195"/>
    </row>
    <row r="24" spans="1:6" ht="86.4" customHeight="1" x14ac:dyDescent="0.25">
      <c r="A24" s="149"/>
      <c r="B24" s="188"/>
      <c r="C24" s="150" t="s">
        <v>350</v>
      </c>
      <c r="D24" s="193" t="s">
        <v>327</v>
      </c>
      <c r="E24" s="150"/>
      <c r="F24" s="195"/>
    </row>
    <row r="25" spans="1:6" ht="80.400000000000006" customHeight="1" x14ac:dyDescent="0.25">
      <c r="A25" s="149"/>
      <c r="B25" s="188"/>
      <c r="C25" s="150" t="s">
        <v>350</v>
      </c>
      <c r="D25" s="193" t="s">
        <v>328</v>
      </c>
      <c r="E25" s="150"/>
      <c r="F25" s="195"/>
    </row>
    <row r="26" spans="1:6" ht="127.2" customHeight="1" thickBot="1" x14ac:dyDescent="0.3">
      <c r="A26" s="151"/>
      <c r="B26" s="190"/>
      <c r="C26" s="150" t="s">
        <v>351</v>
      </c>
      <c r="D26" s="194" t="s">
        <v>356</v>
      </c>
      <c r="E26" s="152"/>
      <c r="F26" s="196"/>
    </row>
    <row r="27" spans="1:6" ht="65.25" customHeight="1" thickBot="1" x14ac:dyDescent="0.3">
      <c r="A27" s="151"/>
      <c r="B27" s="190"/>
      <c r="C27" s="150" t="s">
        <v>350</v>
      </c>
      <c r="D27" s="194" t="s">
        <v>402</v>
      </c>
      <c r="E27" s="152"/>
      <c r="F27" s="196"/>
    </row>
    <row r="28" spans="1:6" ht="62.25" customHeight="1" x14ac:dyDescent="0.25">
      <c r="A28" s="153"/>
      <c r="B28" s="154"/>
      <c r="C28" s="153"/>
      <c r="D28" s="155"/>
      <c r="E28" s="153"/>
      <c r="F28" s="155"/>
    </row>
    <row r="29" spans="1:6" ht="63" customHeight="1" x14ac:dyDescent="0.25">
      <c r="A29" s="153"/>
      <c r="B29" s="154"/>
      <c r="C29" s="153"/>
      <c r="D29" s="155"/>
      <c r="E29" s="153"/>
      <c r="F29" s="154"/>
    </row>
    <row r="30" spans="1:6" ht="51.75" customHeight="1" x14ac:dyDescent="0.25">
      <c r="A30" s="153"/>
      <c r="B30" s="154"/>
      <c r="C30" s="153"/>
      <c r="D30" s="155"/>
      <c r="E30" s="153"/>
      <c r="F30" s="154"/>
    </row>
    <row r="31" spans="1:6" ht="52.5" customHeight="1" x14ac:dyDescent="0.25">
      <c r="A31" s="153"/>
      <c r="B31" s="155"/>
      <c r="C31" s="153"/>
      <c r="D31" s="155"/>
      <c r="E31" s="153"/>
      <c r="F31" s="155"/>
    </row>
    <row r="32" spans="1:6" ht="63.75" customHeight="1" x14ac:dyDescent="0.25">
      <c r="A32" s="153"/>
      <c r="B32" s="155"/>
      <c r="C32" s="153"/>
      <c r="D32" s="155"/>
      <c r="E32" s="153"/>
      <c r="F32" s="155"/>
    </row>
    <row r="33" spans="1:6" ht="66" customHeight="1" x14ac:dyDescent="0.25">
      <c r="A33" s="153"/>
      <c r="B33" s="156"/>
      <c r="C33" s="153"/>
      <c r="D33" s="157"/>
      <c r="E33" s="153"/>
      <c r="F33" s="156"/>
    </row>
    <row r="34" spans="1:6" ht="55.5" customHeight="1" x14ac:dyDescent="0.25">
      <c r="A34" s="153"/>
      <c r="B34" s="156"/>
      <c r="C34" s="153"/>
      <c r="D34" s="157"/>
      <c r="E34" s="153"/>
      <c r="F34" s="158"/>
    </row>
    <row r="35" spans="1:6" ht="51.75" customHeight="1" x14ac:dyDescent="0.25">
      <c r="A35" s="153"/>
      <c r="B35" s="158"/>
      <c r="C35" s="153"/>
      <c r="D35" s="159"/>
      <c r="E35" s="153"/>
      <c r="F35" s="158"/>
    </row>
    <row r="36" spans="1:6" ht="55.5" customHeight="1" x14ac:dyDescent="0.25">
      <c r="A36" s="153"/>
      <c r="B36" s="158"/>
      <c r="C36" s="153"/>
      <c r="D36" s="158"/>
      <c r="E36" s="153"/>
      <c r="F36" s="158"/>
    </row>
    <row r="37" spans="1:6" ht="55.5" customHeight="1" x14ac:dyDescent="0.25">
      <c r="A37" s="153"/>
      <c r="B37" s="158"/>
      <c r="C37" s="153"/>
      <c r="D37" s="158"/>
      <c r="E37" s="153"/>
      <c r="F37" s="158"/>
    </row>
    <row r="38" spans="1:6" ht="54.75" customHeight="1" x14ac:dyDescent="0.25">
      <c r="A38" s="153"/>
      <c r="B38" s="158"/>
      <c r="C38" s="153"/>
      <c r="D38" s="158"/>
      <c r="E38" s="153"/>
      <c r="F38" s="158"/>
    </row>
    <row r="39" spans="1:6" ht="56.25" customHeight="1" x14ac:dyDescent="0.25">
      <c r="A39" s="153"/>
      <c r="B39" s="158"/>
      <c r="C39" s="153"/>
      <c r="D39" s="158"/>
      <c r="E39" s="153"/>
      <c r="F39" s="158"/>
    </row>
    <row r="40" spans="1:6" ht="54.75" customHeight="1" x14ac:dyDescent="0.25">
      <c r="A40" s="153"/>
      <c r="B40" s="156"/>
      <c r="C40" s="153"/>
      <c r="D40" s="157"/>
      <c r="E40" s="153"/>
      <c r="F40" s="156"/>
    </row>
    <row r="41" spans="1:6" ht="55.5" customHeight="1" x14ac:dyDescent="0.25">
      <c r="A41" s="153"/>
      <c r="B41" s="156"/>
      <c r="C41" s="153"/>
      <c r="D41" s="157"/>
      <c r="E41" s="153"/>
      <c r="F41" s="158"/>
    </row>
    <row r="42" spans="1:6" ht="54.75" customHeight="1" x14ac:dyDescent="0.25">
      <c r="A42" s="153"/>
      <c r="B42" s="158"/>
      <c r="C42" s="153"/>
      <c r="D42" s="159"/>
      <c r="E42" s="153"/>
      <c r="F42" s="158"/>
    </row>
    <row r="43" spans="1:6" ht="55.5" customHeight="1" x14ac:dyDescent="0.25">
      <c r="A43" s="153"/>
      <c r="B43" s="158"/>
      <c r="C43" s="153"/>
      <c r="D43" s="158"/>
      <c r="E43" s="153"/>
      <c r="F43" s="158"/>
    </row>
    <row r="44" spans="1:6" ht="56.25" customHeight="1" x14ac:dyDescent="0.25">
      <c r="A44" s="153"/>
      <c r="B44" s="158"/>
      <c r="C44" s="153"/>
      <c r="D44" s="158"/>
      <c r="E44" s="153"/>
      <c r="F44" s="158"/>
    </row>
    <row r="45" spans="1:6" ht="59.25" customHeight="1" x14ac:dyDescent="0.25">
      <c r="A45" s="153"/>
      <c r="B45" s="158"/>
      <c r="C45" s="153"/>
      <c r="D45" s="158"/>
      <c r="E45" s="153"/>
      <c r="F45" s="158"/>
    </row>
    <row r="46" spans="1:6" ht="55.5" customHeight="1" x14ac:dyDescent="0.25">
      <c r="A46" s="153"/>
      <c r="B46" s="158"/>
      <c r="C46" s="153"/>
      <c r="D46" s="158"/>
      <c r="E46" s="153"/>
      <c r="F46" s="158"/>
    </row>
    <row r="47" spans="1:6" ht="55.5" customHeight="1" x14ac:dyDescent="0.25">
      <c r="A47" s="153"/>
      <c r="B47" s="156"/>
      <c r="C47" s="153"/>
      <c r="D47" s="157"/>
      <c r="E47" s="153"/>
      <c r="F47" s="156"/>
    </row>
    <row r="48" spans="1:6" ht="56.25" customHeight="1" x14ac:dyDescent="0.25">
      <c r="A48" s="153"/>
      <c r="B48" s="156"/>
      <c r="C48" s="153"/>
      <c r="D48" s="157"/>
      <c r="E48" s="153"/>
      <c r="F48" s="158"/>
    </row>
    <row r="49" spans="1:6" ht="54" customHeight="1" x14ac:dyDescent="0.25">
      <c r="A49" s="153"/>
      <c r="B49" s="158"/>
      <c r="C49" s="153"/>
      <c r="D49" s="159"/>
      <c r="E49" s="153"/>
      <c r="F49" s="158"/>
    </row>
    <row r="50" spans="1:6" ht="56.25" customHeight="1" x14ac:dyDescent="0.25">
      <c r="A50" s="153"/>
      <c r="B50" s="158"/>
      <c r="C50" s="153"/>
      <c r="D50" s="158"/>
      <c r="E50" s="153"/>
      <c r="F50" s="158"/>
    </row>
    <row r="51" spans="1:6" ht="59.25" customHeight="1" x14ac:dyDescent="0.25">
      <c r="A51" s="153"/>
      <c r="B51" s="158"/>
      <c r="C51" s="153"/>
      <c r="D51" s="158"/>
      <c r="E51" s="153"/>
      <c r="F51" s="158"/>
    </row>
    <row r="52" spans="1:6" ht="54.75" customHeight="1" x14ac:dyDescent="0.25">
      <c r="A52" s="153"/>
      <c r="B52" s="158"/>
      <c r="C52" s="153"/>
      <c r="D52" s="158"/>
      <c r="E52" s="153"/>
      <c r="F52" s="158"/>
    </row>
    <row r="53" spans="1:6" ht="55.5" customHeight="1" x14ac:dyDescent="0.25">
      <c r="A53" s="153"/>
      <c r="B53" s="158"/>
      <c r="C53" s="153"/>
      <c r="D53" s="158"/>
      <c r="E53" s="153"/>
      <c r="F53" s="158"/>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'C:\Users\HACIENDA\Desktop\DSH2024\C RIESGOS 2024\BIMESTRE 01 2024 A PLANEACION\MR PARA ACTUALIZACION 2024\ENTREGA ACTUALIZ 2024 A PLANEACION MAPAS RIES\[2. B2-2024 MRV4 CORRP SEC HCDA ACT 29022024.xlsx]LISTAS CONTEXTO'!#REF!</xm:f>
          </x14:formula1>
          <xm:sqref>A12:A19</xm:sqref>
        </x14:dataValidation>
        <x14:dataValidation type="list" allowBlank="1" showInputMessage="1" showErrorMessage="1" xr:uid="{00000000-0002-0000-0100-000001000000}">
          <x14:formula1>
            <xm:f>'C:\Users\HACIENDA\Desktop\DSH2024\C RIESGOS 2024\BIMESTRE 01 2024 A PLANEACION\MR PARA ACTUALIZACION 2024\ENTREGA ACTUALIZ 2024 A PLANEACION MAPAS RIES\[2. B2-2024 MRV4 CORRP SEC HCDA ACT 29022024.xlsx]LISTAS CONTEXTO'!#REF!</xm:f>
          </x14:formula1>
          <xm:sqref>C14:C27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A43"/>
  <sheetViews>
    <sheetView tabSelected="1" topLeftCell="A9" zoomScaleNormal="100" workbookViewId="0">
      <selection activeCell="B17" sqref="B17"/>
    </sheetView>
  </sheetViews>
  <sheetFormatPr baseColWidth="10" defaultColWidth="11.44140625" defaultRowHeight="14.4" x14ac:dyDescent="0.3"/>
  <cols>
    <col min="1" max="1" width="5.109375" style="180" customWidth="1"/>
    <col min="2" max="2" width="33.21875" style="181" customWidth="1"/>
    <col min="3" max="17" width="6.44140625" style="181" customWidth="1"/>
    <col min="18" max="18" width="8.109375" style="181" customWidth="1"/>
    <col min="19" max="19" width="13" style="182" customWidth="1"/>
    <col min="20" max="20" width="29.109375" customWidth="1"/>
    <col min="21" max="23" width="11.44140625" hidden="1" customWidth="1"/>
  </cols>
  <sheetData>
    <row r="1" spans="1:27" ht="30.75" customHeight="1" x14ac:dyDescent="0.3">
      <c r="A1" s="730"/>
      <c r="B1" s="730"/>
      <c r="C1" s="339" t="str">
        <f>+Contexto!$B$1</f>
        <v xml:space="preserve">PROCESO: SISTEMA INTEGRADO DE GESTIÓN </v>
      </c>
      <c r="D1" s="339"/>
      <c r="E1" s="339"/>
      <c r="F1" s="339"/>
      <c r="G1" s="339"/>
      <c r="H1" s="339"/>
      <c r="I1" s="339"/>
      <c r="J1" s="339"/>
      <c r="K1" s="339"/>
      <c r="L1" s="339"/>
      <c r="M1" s="339"/>
      <c r="N1" s="339"/>
      <c r="O1" s="339"/>
      <c r="P1" s="339"/>
      <c r="Q1" s="339"/>
      <c r="R1" s="339"/>
      <c r="S1" s="339"/>
      <c r="T1" s="356" t="s">
        <v>261</v>
      </c>
      <c r="U1" s="357"/>
      <c r="V1" s="357"/>
      <c r="W1" s="358"/>
    </row>
    <row r="2" spans="1:27" ht="25.5" customHeight="1" x14ac:dyDescent="0.3">
      <c r="A2" s="730"/>
      <c r="B2" s="730"/>
      <c r="C2" s="339"/>
      <c r="D2" s="339"/>
      <c r="E2" s="339"/>
      <c r="F2" s="339"/>
      <c r="G2" s="339"/>
      <c r="H2" s="339"/>
      <c r="I2" s="339"/>
      <c r="J2" s="339"/>
      <c r="K2" s="339"/>
      <c r="L2" s="339"/>
      <c r="M2" s="339"/>
      <c r="N2" s="339"/>
      <c r="O2" s="339"/>
      <c r="P2" s="339"/>
      <c r="Q2" s="339"/>
      <c r="R2" s="339"/>
      <c r="S2" s="339"/>
      <c r="T2" s="359" t="s">
        <v>262</v>
      </c>
      <c r="U2" s="360"/>
      <c r="V2" s="360"/>
      <c r="W2" s="361"/>
    </row>
    <row r="3" spans="1:27" ht="15" customHeight="1" x14ac:dyDescent="0.3">
      <c r="A3" s="730"/>
      <c r="B3" s="730"/>
      <c r="C3" s="339" t="s">
        <v>225</v>
      </c>
      <c r="D3" s="339"/>
      <c r="E3" s="339"/>
      <c r="F3" s="339"/>
      <c r="G3" s="339"/>
      <c r="H3" s="339"/>
      <c r="I3" s="339"/>
      <c r="J3" s="339"/>
      <c r="K3" s="339"/>
      <c r="L3" s="339"/>
      <c r="M3" s="339"/>
      <c r="N3" s="339"/>
      <c r="O3" s="339"/>
      <c r="P3" s="339"/>
      <c r="Q3" s="339"/>
      <c r="R3" s="339"/>
      <c r="S3" s="339"/>
      <c r="T3" s="359" t="s">
        <v>265</v>
      </c>
      <c r="U3" s="360"/>
      <c r="V3" s="360"/>
      <c r="W3" s="361"/>
    </row>
    <row r="4" spans="1:27" ht="15.75" customHeight="1" x14ac:dyDescent="0.3">
      <c r="A4" s="730"/>
      <c r="B4" s="730"/>
      <c r="C4" s="339"/>
      <c r="D4" s="339"/>
      <c r="E4" s="339"/>
      <c r="F4" s="339"/>
      <c r="G4" s="339"/>
      <c r="H4" s="339"/>
      <c r="I4" s="339"/>
      <c r="J4" s="339"/>
      <c r="K4" s="339"/>
      <c r="L4" s="339"/>
      <c r="M4" s="339"/>
      <c r="N4" s="339"/>
      <c r="O4" s="339"/>
      <c r="P4" s="339"/>
      <c r="Q4" s="339"/>
      <c r="R4" s="339"/>
      <c r="S4" s="339"/>
      <c r="T4" s="359" t="s">
        <v>264</v>
      </c>
      <c r="U4" s="360"/>
      <c r="V4" s="360"/>
      <c r="W4" s="361"/>
    </row>
    <row r="5" spans="1:27" ht="15.75" customHeight="1" x14ac:dyDescent="0.3">
      <c r="A5" s="355"/>
      <c r="B5" s="355"/>
      <c r="C5" s="355"/>
      <c r="D5" s="355"/>
      <c r="E5" s="355"/>
      <c r="F5" s="355"/>
      <c r="G5" s="355"/>
      <c r="H5" s="355"/>
      <c r="I5" s="355"/>
      <c r="J5" s="355"/>
      <c r="K5" s="355"/>
      <c r="L5" s="355"/>
      <c r="M5" s="355"/>
      <c r="N5" s="355"/>
      <c r="O5" s="355"/>
      <c r="P5" s="355"/>
      <c r="Q5" s="355"/>
      <c r="R5" s="355"/>
      <c r="S5" s="355"/>
      <c r="T5" s="362"/>
      <c r="U5" s="154"/>
      <c r="V5" s="154"/>
      <c r="W5" s="160"/>
    </row>
    <row r="6" spans="1:27" s="141" customFormat="1" ht="27" customHeight="1" x14ac:dyDescent="0.25">
      <c r="A6" s="363" t="str">
        <f>Contexto!A8</f>
        <v>PROCESO:  SECRETARIA DE HACIENDA PUBLICA MUNICIPAL</v>
      </c>
      <c r="B6" s="363"/>
      <c r="C6" s="363"/>
      <c r="D6" s="363"/>
      <c r="E6" s="363"/>
      <c r="F6" s="363"/>
      <c r="G6" s="363"/>
      <c r="H6" s="363"/>
      <c r="I6" s="363"/>
      <c r="J6" s="363"/>
      <c r="K6" s="363"/>
      <c r="L6" s="363"/>
      <c r="M6" s="363"/>
      <c r="N6" s="363"/>
      <c r="O6" s="363"/>
      <c r="P6" s="363"/>
      <c r="Q6" s="363"/>
      <c r="R6" s="363"/>
      <c r="S6" s="363"/>
      <c r="T6" s="363"/>
      <c r="W6" s="161"/>
    </row>
    <row r="7" spans="1:27" s="141" customFormat="1" ht="81" customHeight="1" thickBot="1" x14ac:dyDescent="0.3">
      <c r="A7" s="364"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7" s="364"/>
      <c r="C7" s="364"/>
      <c r="D7" s="364"/>
      <c r="E7" s="364"/>
      <c r="F7" s="364"/>
      <c r="G7" s="364"/>
      <c r="H7" s="364"/>
      <c r="I7" s="364"/>
      <c r="J7" s="364"/>
      <c r="K7" s="364"/>
      <c r="L7" s="364"/>
      <c r="M7" s="364"/>
      <c r="N7" s="364"/>
      <c r="O7" s="364"/>
      <c r="P7" s="364"/>
      <c r="Q7" s="364"/>
      <c r="R7" s="364"/>
      <c r="S7" s="364"/>
      <c r="T7" s="364"/>
      <c r="U7" s="162"/>
      <c r="V7" s="162"/>
      <c r="W7" s="163"/>
    </row>
    <row r="8" spans="1:27" s="141" customFormat="1" ht="26.25" customHeight="1" thickBot="1" x14ac:dyDescent="0.3">
      <c r="A8" s="164"/>
      <c r="B8" s="164"/>
      <c r="C8" s="164"/>
      <c r="D8" s="164"/>
      <c r="E8" s="164"/>
      <c r="F8" s="164"/>
      <c r="G8" s="164"/>
      <c r="H8" s="164"/>
      <c r="I8" s="164"/>
      <c r="J8" s="164"/>
      <c r="K8" s="164"/>
      <c r="L8" s="164"/>
      <c r="M8" s="164"/>
      <c r="N8" s="164"/>
      <c r="O8" s="164"/>
      <c r="P8" s="164"/>
      <c r="Q8" s="164"/>
      <c r="R8" s="164"/>
      <c r="S8" s="164"/>
      <c r="T8" s="165"/>
      <c r="X8" s="166"/>
    </row>
    <row r="9" spans="1:27" s="141" customFormat="1" ht="39.75" customHeight="1" thickBot="1" x14ac:dyDescent="0.3">
      <c r="A9" s="365"/>
      <c r="B9" s="365"/>
      <c r="C9" s="365" t="b">
        <v>0</v>
      </c>
      <c r="D9" s="365"/>
      <c r="E9" s="365"/>
      <c r="F9" s="365"/>
      <c r="G9" s="365"/>
      <c r="H9" s="365"/>
      <c r="I9" s="365"/>
      <c r="J9" s="365"/>
      <c r="K9" s="365"/>
      <c r="L9" s="365"/>
      <c r="M9" s="365"/>
      <c r="N9" s="365"/>
      <c r="O9" s="365"/>
      <c r="P9" s="365"/>
      <c r="Q9" s="365"/>
      <c r="R9" s="365"/>
      <c r="S9" s="365"/>
      <c r="T9" s="366"/>
    </row>
    <row r="10" spans="1:27" s="172" customFormat="1" ht="32.25" customHeight="1" thickBot="1" x14ac:dyDescent="0.35">
      <c r="A10" s="167" t="s">
        <v>226</v>
      </c>
      <c r="B10" s="168" t="s">
        <v>227</v>
      </c>
      <c r="C10" s="168" t="s">
        <v>228</v>
      </c>
      <c r="D10" s="168" t="s">
        <v>229</v>
      </c>
      <c r="E10" s="168" t="s">
        <v>230</v>
      </c>
      <c r="F10" s="168" t="s">
        <v>231</v>
      </c>
      <c r="G10" s="168" t="s">
        <v>232</v>
      </c>
      <c r="H10" s="168" t="s">
        <v>233</v>
      </c>
      <c r="I10" s="168" t="s">
        <v>234</v>
      </c>
      <c r="J10" s="168" t="s">
        <v>235</v>
      </c>
      <c r="K10" s="168" t="s">
        <v>236</v>
      </c>
      <c r="L10" s="168" t="s">
        <v>237</v>
      </c>
      <c r="M10" s="168" t="s">
        <v>238</v>
      </c>
      <c r="N10" s="168" t="s">
        <v>239</v>
      </c>
      <c r="O10" s="168" t="s">
        <v>240</v>
      </c>
      <c r="P10" s="168" t="s">
        <v>241</v>
      </c>
      <c r="Q10" s="168" t="s">
        <v>242</v>
      </c>
      <c r="R10" s="169" t="s">
        <v>243</v>
      </c>
      <c r="S10" s="170" t="s">
        <v>244</v>
      </c>
      <c r="T10" s="171" t="s">
        <v>245</v>
      </c>
      <c r="Y10" s="352" t="s">
        <v>333</v>
      </c>
      <c r="Z10" s="352"/>
      <c r="AA10" s="352"/>
    </row>
    <row r="11" spans="1:27" ht="39.75" customHeight="1" thickBot="1" x14ac:dyDescent="0.35">
      <c r="A11" s="173">
        <v>1</v>
      </c>
      <c r="B11" s="187" t="s">
        <v>310</v>
      </c>
      <c r="C11" s="174">
        <v>4</v>
      </c>
      <c r="D11" s="174">
        <v>4</v>
      </c>
      <c r="E11" s="174">
        <v>4</v>
      </c>
      <c r="F11" s="174">
        <v>3</v>
      </c>
      <c r="G11" s="174">
        <v>4</v>
      </c>
      <c r="H11" s="174"/>
      <c r="I11" s="174"/>
      <c r="J11" s="174"/>
      <c r="K11" s="174"/>
      <c r="L11" s="174"/>
      <c r="M11" s="174"/>
      <c r="N11" s="174"/>
      <c r="O11" s="174"/>
      <c r="P11" s="174"/>
      <c r="Q11" s="174"/>
      <c r="R11" s="173">
        <f>SUM(C11:Q11)</f>
        <v>19</v>
      </c>
      <c r="S11" s="175">
        <f>IF(ISERROR(AVERAGE(C11:Q11)),0,AVERAGE(C11:Q11))</f>
        <v>3.8</v>
      </c>
      <c r="T11" s="176"/>
      <c r="Y11" s="184" t="s">
        <v>334</v>
      </c>
      <c r="Z11" s="185" t="s">
        <v>335</v>
      </c>
      <c r="AA11" s="186" t="s">
        <v>336</v>
      </c>
    </row>
    <row r="12" spans="1:27" ht="45.75" customHeight="1" thickBot="1" x14ac:dyDescent="0.35">
      <c r="A12" s="173">
        <v>2</v>
      </c>
      <c r="B12" s="188" t="s">
        <v>311</v>
      </c>
      <c r="C12" s="174">
        <v>3</v>
      </c>
      <c r="D12" s="174">
        <v>4</v>
      </c>
      <c r="E12" s="174">
        <v>5</v>
      </c>
      <c r="F12" s="174">
        <v>4</v>
      </c>
      <c r="G12" s="174">
        <v>4</v>
      </c>
      <c r="H12" s="174"/>
      <c r="I12" s="174"/>
      <c r="J12" s="174"/>
      <c r="K12" s="174"/>
      <c r="L12" s="174"/>
      <c r="M12" s="174"/>
      <c r="N12" s="174"/>
      <c r="O12" s="174"/>
      <c r="P12" s="174"/>
      <c r="Q12" s="174"/>
      <c r="R12" s="173">
        <f t="shared" ref="R12:R41" si="0">SUM(C12:Q12)</f>
        <v>20</v>
      </c>
      <c r="S12" s="175">
        <f t="shared" ref="S12:S40" si="1">IF(ISERROR(AVERAGE(C12:Q12)),0,AVERAGE(C12:Q12))</f>
        <v>4</v>
      </c>
      <c r="T12" s="176"/>
    </row>
    <row r="13" spans="1:27" ht="65.25" customHeight="1" thickBot="1" x14ac:dyDescent="0.35">
      <c r="A13" s="173">
        <v>3</v>
      </c>
      <c r="B13" s="188" t="s">
        <v>312</v>
      </c>
      <c r="C13" s="174">
        <v>4</v>
      </c>
      <c r="D13" s="174">
        <v>4</v>
      </c>
      <c r="E13" s="174">
        <v>3</v>
      </c>
      <c r="F13" s="174">
        <v>3</v>
      </c>
      <c r="G13" s="174">
        <v>4</v>
      </c>
      <c r="H13" s="174"/>
      <c r="I13" s="174"/>
      <c r="J13" s="174"/>
      <c r="K13" s="174"/>
      <c r="L13" s="174"/>
      <c r="M13" s="174"/>
      <c r="N13" s="174"/>
      <c r="O13" s="174"/>
      <c r="P13" s="174"/>
      <c r="Q13" s="174"/>
      <c r="R13" s="173">
        <f t="shared" si="0"/>
        <v>18</v>
      </c>
      <c r="S13" s="175">
        <f t="shared" si="1"/>
        <v>3.6</v>
      </c>
      <c r="T13" s="176"/>
    </row>
    <row r="14" spans="1:27" ht="39.75" customHeight="1" thickBot="1" x14ac:dyDescent="0.35">
      <c r="A14" s="173">
        <v>4</v>
      </c>
      <c r="B14" s="189" t="s">
        <v>313</v>
      </c>
      <c r="C14" s="174">
        <v>3</v>
      </c>
      <c r="D14" s="174">
        <v>4</v>
      </c>
      <c r="E14" s="174">
        <v>4</v>
      </c>
      <c r="F14" s="174">
        <v>5</v>
      </c>
      <c r="G14" s="174">
        <v>4</v>
      </c>
      <c r="H14" s="174"/>
      <c r="I14" s="174"/>
      <c r="J14" s="174"/>
      <c r="K14" s="174"/>
      <c r="L14" s="174"/>
      <c r="M14" s="174"/>
      <c r="N14" s="174"/>
      <c r="O14" s="174"/>
      <c r="P14" s="174"/>
      <c r="Q14" s="174"/>
      <c r="R14" s="173">
        <f t="shared" si="0"/>
        <v>20</v>
      </c>
      <c r="S14" s="175">
        <f t="shared" si="1"/>
        <v>4</v>
      </c>
      <c r="T14" s="176"/>
    </row>
    <row r="15" spans="1:27" ht="41.4" customHeight="1" thickBot="1" x14ac:dyDescent="0.35">
      <c r="A15" s="173">
        <v>5</v>
      </c>
      <c r="B15" s="188" t="s">
        <v>314</v>
      </c>
      <c r="C15" s="174">
        <v>4</v>
      </c>
      <c r="D15" s="174">
        <v>2</v>
      </c>
      <c r="E15" s="174">
        <v>5</v>
      </c>
      <c r="F15" s="174">
        <v>3</v>
      </c>
      <c r="G15" s="174">
        <v>3</v>
      </c>
      <c r="H15" s="174"/>
      <c r="I15" s="174"/>
      <c r="J15" s="174"/>
      <c r="K15" s="174"/>
      <c r="L15" s="174"/>
      <c r="M15" s="174"/>
      <c r="N15" s="174"/>
      <c r="O15" s="174"/>
      <c r="P15" s="174"/>
      <c r="Q15" s="174"/>
      <c r="R15" s="173">
        <f t="shared" si="0"/>
        <v>17</v>
      </c>
      <c r="S15" s="175">
        <f t="shared" si="1"/>
        <v>3.4</v>
      </c>
      <c r="T15" s="176"/>
    </row>
    <row r="16" spans="1:27" ht="66" customHeight="1" thickBot="1" x14ac:dyDescent="0.35">
      <c r="A16" s="173">
        <v>6</v>
      </c>
      <c r="B16" s="188" t="s">
        <v>349</v>
      </c>
      <c r="C16" s="174">
        <v>4</v>
      </c>
      <c r="D16" s="174">
        <v>4</v>
      </c>
      <c r="E16" s="174">
        <v>4</v>
      </c>
      <c r="F16" s="174">
        <v>5</v>
      </c>
      <c r="G16" s="174">
        <v>3</v>
      </c>
      <c r="H16" s="174"/>
      <c r="I16" s="174"/>
      <c r="J16" s="174"/>
      <c r="K16" s="174"/>
      <c r="L16" s="174"/>
      <c r="M16" s="174"/>
      <c r="N16" s="174"/>
      <c r="O16" s="174"/>
      <c r="P16" s="174"/>
      <c r="Q16" s="174"/>
      <c r="R16" s="173">
        <f t="shared" si="0"/>
        <v>20</v>
      </c>
      <c r="S16" s="175">
        <f t="shared" si="1"/>
        <v>4</v>
      </c>
      <c r="T16" s="176"/>
    </row>
    <row r="17" spans="1:20" ht="63.6" customHeight="1" thickBot="1" x14ac:dyDescent="0.35">
      <c r="A17" s="173">
        <v>7</v>
      </c>
      <c r="B17" s="188" t="s">
        <v>315</v>
      </c>
      <c r="C17" s="174">
        <v>4</v>
      </c>
      <c r="D17" s="174">
        <v>4</v>
      </c>
      <c r="E17" s="174">
        <v>4</v>
      </c>
      <c r="F17" s="174">
        <v>4</v>
      </c>
      <c r="G17" s="174">
        <v>5</v>
      </c>
      <c r="H17" s="174"/>
      <c r="I17" s="174"/>
      <c r="J17" s="174"/>
      <c r="K17" s="174"/>
      <c r="L17" s="174"/>
      <c r="M17" s="174"/>
      <c r="N17" s="174"/>
      <c r="O17" s="174"/>
      <c r="P17" s="174"/>
      <c r="Q17" s="174"/>
      <c r="R17" s="173">
        <f t="shared" si="0"/>
        <v>21</v>
      </c>
      <c r="S17" s="175">
        <f t="shared" si="1"/>
        <v>4.2</v>
      </c>
      <c r="T17" s="176"/>
    </row>
    <row r="18" spans="1:20" ht="46.5" customHeight="1" thickBot="1" x14ac:dyDescent="0.35">
      <c r="A18" s="173">
        <v>8</v>
      </c>
      <c r="B18" s="188" t="s">
        <v>316</v>
      </c>
      <c r="C18" s="174">
        <v>4</v>
      </c>
      <c r="D18" s="174">
        <v>4</v>
      </c>
      <c r="E18" s="174">
        <v>4</v>
      </c>
      <c r="F18" s="174">
        <v>4</v>
      </c>
      <c r="G18" s="174">
        <v>5</v>
      </c>
      <c r="H18" s="174"/>
      <c r="I18" s="174"/>
      <c r="J18" s="174"/>
      <c r="K18" s="174"/>
      <c r="L18" s="174"/>
      <c r="M18" s="174"/>
      <c r="N18" s="174"/>
      <c r="O18" s="174"/>
      <c r="P18" s="174"/>
      <c r="Q18" s="174"/>
      <c r="R18" s="173">
        <f t="shared" si="0"/>
        <v>21</v>
      </c>
      <c r="S18" s="175">
        <f t="shared" si="1"/>
        <v>4.2</v>
      </c>
      <c r="T18" s="176"/>
    </row>
    <row r="19" spans="1:20" ht="64.2" customHeight="1" thickBot="1" x14ac:dyDescent="0.35">
      <c r="A19" s="173">
        <v>9</v>
      </c>
      <c r="B19" s="191" t="s">
        <v>345</v>
      </c>
      <c r="C19" s="174">
        <v>4</v>
      </c>
      <c r="D19" s="174">
        <v>5</v>
      </c>
      <c r="E19" s="174">
        <v>5</v>
      </c>
      <c r="F19" s="174">
        <v>5</v>
      </c>
      <c r="G19" s="174">
        <v>5</v>
      </c>
      <c r="H19" s="174"/>
      <c r="I19" s="174"/>
      <c r="J19" s="174"/>
      <c r="K19" s="174"/>
      <c r="L19" s="174"/>
      <c r="M19" s="174"/>
      <c r="N19" s="174"/>
      <c r="O19" s="174"/>
      <c r="P19" s="174"/>
      <c r="Q19" s="174"/>
      <c r="R19" s="173">
        <f t="shared" si="0"/>
        <v>24</v>
      </c>
      <c r="S19" s="175">
        <f t="shared" si="1"/>
        <v>4.8</v>
      </c>
      <c r="T19" s="176"/>
    </row>
    <row r="20" spans="1:20" ht="40.799999999999997" customHeight="1" thickBot="1" x14ac:dyDescent="0.35">
      <c r="A20" s="173">
        <v>10</v>
      </c>
      <c r="B20" s="192" t="s">
        <v>411</v>
      </c>
      <c r="C20" s="174">
        <v>4</v>
      </c>
      <c r="D20" s="174">
        <v>5</v>
      </c>
      <c r="E20" s="174">
        <v>5</v>
      </c>
      <c r="F20" s="174">
        <v>5</v>
      </c>
      <c r="G20" s="174">
        <v>5</v>
      </c>
      <c r="H20" s="174"/>
      <c r="I20" s="174"/>
      <c r="J20" s="174"/>
      <c r="K20" s="174"/>
      <c r="L20" s="174"/>
      <c r="M20" s="174"/>
      <c r="N20" s="174"/>
      <c r="O20" s="174"/>
      <c r="P20" s="174"/>
      <c r="Q20" s="174"/>
      <c r="R20" s="173">
        <f t="shared" si="0"/>
        <v>24</v>
      </c>
      <c r="S20" s="175">
        <f t="shared" si="1"/>
        <v>4.8</v>
      </c>
      <c r="T20" s="176"/>
    </row>
    <row r="21" spans="1:20" ht="43.2" customHeight="1" thickBot="1" x14ac:dyDescent="0.35">
      <c r="A21" s="173">
        <v>11</v>
      </c>
      <c r="B21" s="192" t="s">
        <v>317</v>
      </c>
      <c r="C21" s="174">
        <v>5</v>
      </c>
      <c r="D21" s="174">
        <v>5</v>
      </c>
      <c r="E21" s="174">
        <v>4</v>
      </c>
      <c r="F21" s="174">
        <v>5</v>
      </c>
      <c r="G21" s="174">
        <v>4</v>
      </c>
      <c r="H21" s="174"/>
      <c r="I21" s="174"/>
      <c r="J21" s="174"/>
      <c r="K21" s="174"/>
      <c r="L21" s="174"/>
      <c r="M21" s="174"/>
      <c r="N21" s="174"/>
      <c r="O21" s="174"/>
      <c r="P21" s="174"/>
      <c r="Q21" s="174"/>
      <c r="R21" s="173">
        <f t="shared" si="0"/>
        <v>23</v>
      </c>
      <c r="S21" s="175">
        <f t="shared" si="1"/>
        <v>4.5999999999999996</v>
      </c>
      <c r="T21" s="176"/>
    </row>
    <row r="22" spans="1:20" ht="58.2" customHeight="1" thickBot="1" x14ac:dyDescent="0.35">
      <c r="A22" s="173">
        <v>12</v>
      </c>
      <c r="B22" s="192" t="s">
        <v>318</v>
      </c>
      <c r="C22" s="174">
        <v>3</v>
      </c>
      <c r="D22" s="174">
        <v>5</v>
      </c>
      <c r="E22" s="174">
        <v>5</v>
      </c>
      <c r="F22" s="174">
        <v>4</v>
      </c>
      <c r="G22" s="174">
        <v>4</v>
      </c>
      <c r="H22" s="174"/>
      <c r="I22" s="174"/>
      <c r="J22" s="174"/>
      <c r="K22" s="174"/>
      <c r="L22" s="174"/>
      <c r="M22" s="174"/>
      <c r="N22" s="174"/>
      <c r="O22" s="174"/>
      <c r="P22" s="174"/>
      <c r="Q22" s="174"/>
      <c r="R22" s="173">
        <f t="shared" si="0"/>
        <v>21</v>
      </c>
      <c r="S22" s="175">
        <f t="shared" si="1"/>
        <v>4.2</v>
      </c>
      <c r="T22" s="176"/>
    </row>
    <row r="23" spans="1:20" ht="57" customHeight="1" thickBot="1" x14ac:dyDescent="0.35">
      <c r="A23" s="173">
        <v>13</v>
      </c>
      <c r="B23" s="192" t="s">
        <v>319</v>
      </c>
      <c r="C23" s="174">
        <v>5</v>
      </c>
      <c r="D23" s="174">
        <v>4</v>
      </c>
      <c r="E23" s="174">
        <v>5</v>
      </c>
      <c r="F23" s="174">
        <v>5</v>
      </c>
      <c r="G23" s="174">
        <v>4</v>
      </c>
      <c r="H23" s="174"/>
      <c r="I23" s="174"/>
      <c r="J23" s="174"/>
      <c r="K23" s="174"/>
      <c r="L23" s="174"/>
      <c r="M23" s="174"/>
      <c r="N23" s="174"/>
      <c r="O23" s="174"/>
      <c r="P23" s="174"/>
      <c r="Q23" s="174"/>
      <c r="R23" s="173">
        <f t="shared" si="0"/>
        <v>23</v>
      </c>
      <c r="S23" s="175">
        <f t="shared" si="1"/>
        <v>4.5999999999999996</v>
      </c>
      <c r="T23" s="176"/>
    </row>
    <row r="24" spans="1:20" ht="51.6" customHeight="1" thickBot="1" x14ac:dyDescent="0.35">
      <c r="A24" s="173">
        <v>14</v>
      </c>
      <c r="B24" s="192" t="s">
        <v>320</v>
      </c>
      <c r="C24" s="174">
        <v>4</v>
      </c>
      <c r="D24" s="174">
        <v>4</v>
      </c>
      <c r="E24" s="174">
        <v>4</v>
      </c>
      <c r="F24" s="174">
        <v>4</v>
      </c>
      <c r="G24" s="174">
        <v>4</v>
      </c>
      <c r="H24" s="174"/>
      <c r="I24" s="174"/>
      <c r="J24" s="174"/>
      <c r="K24" s="174"/>
      <c r="L24" s="174"/>
      <c r="M24" s="174"/>
      <c r="N24" s="174"/>
      <c r="O24" s="174"/>
      <c r="P24" s="174"/>
      <c r="Q24" s="174"/>
      <c r="R24" s="173">
        <f t="shared" si="0"/>
        <v>20</v>
      </c>
      <c r="S24" s="175">
        <f t="shared" si="1"/>
        <v>4</v>
      </c>
      <c r="T24" s="176"/>
    </row>
    <row r="25" spans="1:20" ht="39.75" customHeight="1" thickBot="1" x14ac:dyDescent="0.35">
      <c r="A25" s="173">
        <v>15</v>
      </c>
      <c r="B25" s="192" t="s">
        <v>321</v>
      </c>
      <c r="C25" s="174">
        <v>3</v>
      </c>
      <c r="D25" s="174">
        <v>3</v>
      </c>
      <c r="E25" s="174">
        <v>5</v>
      </c>
      <c r="F25" s="174">
        <v>2</v>
      </c>
      <c r="G25" s="174">
        <v>4</v>
      </c>
      <c r="H25" s="174"/>
      <c r="I25" s="174"/>
      <c r="J25" s="174"/>
      <c r="K25" s="174"/>
      <c r="L25" s="174"/>
      <c r="M25" s="174"/>
      <c r="N25" s="174"/>
      <c r="O25" s="174"/>
      <c r="P25" s="174"/>
      <c r="Q25" s="174"/>
      <c r="R25" s="173">
        <f t="shared" si="0"/>
        <v>17</v>
      </c>
      <c r="S25" s="175">
        <f t="shared" si="1"/>
        <v>3.4</v>
      </c>
      <c r="T25" s="176"/>
    </row>
    <row r="26" spans="1:20" ht="48.75" customHeight="1" thickBot="1" x14ac:dyDescent="0.35">
      <c r="A26" s="173">
        <v>16</v>
      </c>
      <c r="B26" s="192" t="s">
        <v>322</v>
      </c>
      <c r="C26" s="174">
        <v>4</v>
      </c>
      <c r="D26" s="174">
        <v>5</v>
      </c>
      <c r="E26" s="174">
        <v>3</v>
      </c>
      <c r="F26" s="174">
        <v>5</v>
      </c>
      <c r="G26" s="174">
        <v>5</v>
      </c>
      <c r="H26" s="174"/>
      <c r="I26" s="174"/>
      <c r="J26" s="174"/>
      <c r="K26" s="174"/>
      <c r="L26" s="174"/>
      <c r="M26" s="174"/>
      <c r="N26" s="174"/>
      <c r="O26" s="174"/>
      <c r="P26" s="174"/>
      <c r="Q26" s="174"/>
      <c r="R26" s="173">
        <f t="shared" si="0"/>
        <v>22</v>
      </c>
      <c r="S26" s="175">
        <f t="shared" si="1"/>
        <v>4.4000000000000004</v>
      </c>
      <c r="T26" s="176"/>
    </row>
    <row r="27" spans="1:20" ht="64.8" customHeight="1" thickBot="1" x14ac:dyDescent="0.35">
      <c r="A27" s="173">
        <v>17</v>
      </c>
      <c r="B27" s="193" t="s">
        <v>323</v>
      </c>
      <c r="C27" s="174">
        <v>4</v>
      </c>
      <c r="D27" s="174">
        <v>4</v>
      </c>
      <c r="E27" s="174">
        <v>4</v>
      </c>
      <c r="F27" s="174">
        <v>3</v>
      </c>
      <c r="G27" s="174">
        <v>4</v>
      </c>
      <c r="H27" s="174"/>
      <c r="I27" s="174"/>
      <c r="J27" s="174"/>
      <c r="K27" s="174"/>
      <c r="L27" s="174"/>
      <c r="M27" s="174"/>
      <c r="N27" s="174"/>
      <c r="O27" s="174"/>
      <c r="P27" s="174"/>
      <c r="Q27" s="174"/>
      <c r="R27" s="173">
        <f t="shared" si="0"/>
        <v>19</v>
      </c>
      <c r="S27" s="175">
        <f t="shared" si="1"/>
        <v>3.8</v>
      </c>
      <c r="T27" s="176"/>
    </row>
    <row r="28" spans="1:20" ht="39.75" customHeight="1" thickBot="1" x14ac:dyDescent="0.35">
      <c r="A28" s="173">
        <v>18</v>
      </c>
      <c r="B28" s="193" t="s">
        <v>324</v>
      </c>
      <c r="C28" s="174">
        <v>4</v>
      </c>
      <c r="D28" s="174">
        <v>5</v>
      </c>
      <c r="E28" s="174">
        <v>5</v>
      </c>
      <c r="F28" s="174">
        <v>4</v>
      </c>
      <c r="G28" s="174">
        <v>4</v>
      </c>
      <c r="H28" s="174"/>
      <c r="I28" s="174"/>
      <c r="J28" s="174"/>
      <c r="K28" s="174"/>
      <c r="L28" s="174"/>
      <c r="M28" s="174"/>
      <c r="N28" s="174"/>
      <c r="O28" s="174"/>
      <c r="P28" s="174"/>
      <c r="Q28" s="174"/>
      <c r="R28" s="173">
        <f t="shared" si="0"/>
        <v>22</v>
      </c>
      <c r="S28" s="175">
        <f t="shared" si="1"/>
        <v>4.4000000000000004</v>
      </c>
      <c r="T28" s="176"/>
    </row>
    <row r="29" spans="1:20" ht="48" customHeight="1" thickBot="1" x14ac:dyDescent="0.35">
      <c r="A29" s="173">
        <v>19</v>
      </c>
      <c r="B29" s="193" t="s">
        <v>325</v>
      </c>
      <c r="C29" s="174">
        <v>4</v>
      </c>
      <c r="D29" s="174">
        <v>4</v>
      </c>
      <c r="E29" s="174">
        <v>5</v>
      </c>
      <c r="F29" s="174">
        <v>5</v>
      </c>
      <c r="G29" s="174">
        <v>5</v>
      </c>
      <c r="H29" s="174"/>
      <c r="I29" s="174"/>
      <c r="J29" s="174"/>
      <c r="K29" s="174"/>
      <c r="L29" s="174"/>
      <c r="M29" s="174"/>
      <c r="N29" s="174"/>
      <c r="O29" s="174"/>
      <c r="P29" s="174"/>
      <c r="Q29" s="174"/>
      <c r="R29" s="173">
        <f t="shared" si="0"/>
        <v>23</v>
      </c>
      <c r="S29" s="175">
        <f t="shared" si="1"/>
        <v>4.5999999999999996</v>
      </c>
      <c r="T29" s="176"/>
    </row>
    <row r="30" spans="1:20" ht="62.4" customHeight="1" thickBot="1" x14ac:dyDescent="0.35">
      <c r="A30" s="173">
        <v>20</v>
      </c>
      <c r="B30" s="193" t="s">
        <v>326</v>
      </c>
      <c r="C30" s="174">
        <v>4</v>
      </c>
      <c r="D30" s="174">
        <v>4</v>
      </c>
      <c r="E30" s="174">
        <v>5</v>
      </c>
      <c r="F30" s="174">
        <v>5</v>
      </c>
      <c r="G30" s="174">
        <v>5</v>
      </c>
      <c r="H30" s="174"/>
      <c r="I30" s="174"/>
      <c r="J30" s="174"/>
      <c r="K30" s="174"/>
      <c r="L30" s="174"/>
      <c r="M30" s="174"/>
      <c r="N30" s="174"/>
      <c r="O30" s="174"/>
      <c r="P30" s="174"/>
      <c r="Q30" s="174"/>
      <c r="R30" s="173">
        <f t="shared" si="0"/>
        <v>23</v>
      </c>
      <c r="S30" s="175">
        <f t="shared" si="1"/>
        <v>4.5999999999999996</v>
      </c>
      <c r="T30" s="176"/>
    </row>
    <row r="31" spans="1:20" ht="86.4" customHeight="1" thickBot="1" x14ac:dyDescent="0.35">
      <c r="A31" s="173">
        <v>21</v>
      </c>
      <c r="B31" s="193" t="s">
        <v>327</v>
      </c>
      <c r="C31" s="174">
        <v>4</v>
      </c>
      <c r="D31" s="174">
        <v>4</v>
      </c>
      <c r="E31" s="174">
        <v>5</v>
      </c>
      <c r="F31" s="174">
        <v>5</v>
      </c>
      <c r="G31" s="174">
        <v>5</v>
      </c>
      <c r="H31" s="174"/>
      <c r="I31" s="174"/>
      <c r="J31" s="174"/>
      <c r="K31" s="174"/>
      <c r="L31" s="174"/>
      <c r="M31" s="174"/>
      <c r="N31" s="174"/>
      <c r="O31" s="174"/>
      <c r="P31" s="174"/>
      <c r="Q31" s="174"/>
      <c r="R31" s="173">
        <f t="shared" si="0"/>
        <v>23</v>
      </c>
      <c r="S31" s="175">
        <f t="shared" si="1"/>
        <v>4.5999999999999996</v>
      </c>
      <c r="T31" s="176"/>
    </row>
    <row r="32" spans="1:20" ht="72" customHeight="1" thickBot="1" x14ac:dyDescent="0.35">
      <c r="A32" s="173">
        <v>22</v>
      </c>
      <c r="B32" s="193" t="s">
        <v>328</v>
      </c>
      <c r="C32" s="174">
        <v>4</v>
      </c>
      <c r="D32" s="174">
        <v>3</v>
      </c>
      <c r="E32" s="174">
        <v>3</v>
      </c>
      <c r="F32" s="174">
        <v>3</v>
      </c>
      <c r="G32" s="174">
        <v>4</v>
      </c>
      <c r="H32" s="174"/>
      <c r="I32" s="174"/>
      <c r="J32" s="174"/>
      <c r="K32" s="174"/>
      <c r="L32" s="174"/>
      <c r="M32" s="174"/>
      <c r="N32" s="174"/>
      <c r="O32" s="174"/>
      <c r="P32" s="174"/>
      <c r="Q32" s="174"/>
      <c r="R32" s="173">
        <f t="shared" si="0"/>
        <v>17</v>
      </c>
      <c r="S32" s="175">
        <f t="shared" si="1"/>
        <v>3.4</v>
      </c>
      <c r="T32" s="176"/>
    </row>
    <row r="33" spans="1:20" ht="115.2" customHeight="1" thickBot="1" x14ac:dyDescent="0.35">
      <c r="A33" s="173">
        <v>23</v>
      </c>
      <c r="B33" s="194" t="s">
        <v>356</v>
      </c>
      <c r="C33" s="174">
        <v>4</v>
      </c>
      <c r="D33" s="174">
        <v>3</v>
      </c>
      <c r="E33" s="174">
        <v>5</v>
      </c>
      <c r="F33" s="174">
        <v>5</v>
      </c>
      <c r="G33" s="174">
        <v>5</v>
      </c>
      <c r="H33" s="174"/>
      <c r="I33" s="174"/>
      <c r="J33" s="174"/>
      <c r="K33" s="174"/>
      <c r="L33" s="174"/>
      <c r="M33" s="174"/>
      <c r="N33" s="174"/>
      <c r="O33" s="174"/>
      <c r="P33" s="174"/>
      <c r="Q33" s="174"/>
      <c r="R33" s="173">
        <f t="shared" si="0"/>
        <v>22</v>
      </c>
      <c r="S33" s="175">
        <f t="shared" si="1"/>
        <v>4.4000000000000004</v>
      </c>
      <c r="T33" s="176"/>
    </row>
    <row r="34" spans="1:20" ht="48" customHeight="1" thickBot="1" x14ac:dyDescent="0.35">
      <c r="A34" s="173">
        <v>24</v>
      </c>
      <c r="B34" s="208" t="s">
        <v>402</v>
      </c>
      <c r="C34" s="174">
        <v>4</v>
      </c>
      <c r="D34" s="174">
        <v>5</v>
      </c>
      <c r="E34" s="174">
        <v>5</v>
      </c>
      <c r="F34" s="174">
        <v>5</v>
      </c>
      <c r="G34" s="174">
        <v>5</v>
      </c>
      <c r="H34" s="174"/>
      <c r="I34" s="174"/>
      <c r="J34" s="174"/>
      <c r="K34" s="174"/>
      <c r="L34" s="174"/>
      <c r="M34" s="174"/>
      <c r="N34" s="174"/>
      <c r="O34" s="174"/>
      <c r="P34" s="174"/>
      <c r="Q34" s="174"/>
      <c r="R34" s="173">
        <f>SUM(C34:Q34)</f>
        <v>24</v>
      </c>
      <c r="S34" s="175">
        <f>IF(ISERROR(AVERAGE(C34:Q34)),0,AVERAGE(C34:Q34))</f>
        <v>4.8</v>
      </c>
      <c r="T34" s="176"/>
    </row>
    <row r="35" spans="1:20" ht="57" customHeight="1" thickBot="1" x14ac:dyDescent="0.35">
      <c r="A35" s="173">
        <v>25</v>
      </c>
      <c r="B35" s="198" t="s">
        <v>338</v>
      </c>
      <c r="C35" s="174">
        <v>4</v>
      </c>
      <c r="D35" s="174">
        <v>5</v>
      </c>
      <c r="E35" s="174">
        <v>5</v>
      </c>
      <c r="F35" s="174">
        <v>5</v>
      </c>
      <c r="G35" s="174">
        <v>5</v>
      </c>
      <c r="H35" s="174"/>
      <c r="I35" s="174"/>
      <c r="J35" s="174"/>
      <c r="K35" s="174"/>
      <c r="L35" s="174"/>
      <c r="M35" s="174"/>
      <c r="N35" s="174"/>
      <c r="O35" s="174"/>
      <c r="P35" s="174"/>
      <c r="Q35" s="174"/>
      <c r="R35" s="173">
        <f t="shared" si="0"/>
        <v>24</v>
      </c>
      <c r="S35" s="175">
        <f t="shared" si="1"/>
        <v>4.8</v>
      </c>
      <c r="T35" s="176"/>
    </row>
    <row r="36" spans="1:20" ht="65.400000000000006" customHeight="1" thickBot="1" x14ac:dyDescent="0.35">
      <c r="A36" s="173">
        <v>26</v>
      </c>
      <c r="B36" s="199" t="s">
        <v>341</v>
      </c>
      <c r="C36" s="174">
        <v>4</v>
      </c>
      <c r="D36" s="174">
        <v>5</v>
      </c>
      <c r="E36" s="174">
        <v>5</v>
      </c>
      <c r="F36" s="174">
        <v>5</v>
      </c>
      <c r="G36" s="174">
        <v>5</v>
      </c>
      <c r="H36" s="174"/>
      <c r="I36" s="174"/>
      <c r="J36" s="174"/>
      <c r="K36" s="174"/>
      <c r="L36" s="174"/>
      <c r="M36" s="174"/>
      <c r="N36" s="174"/>
      <c r="O36" s="174"/>
      <c r="P36" s="174"/>
      <c r="Q36" s="174"/>
      <c r="R36" s="173">
        <f t="shared" si="0"/>
        <v>24</v>
      </c>
      <c r="S36" s="175">
        <f t="shared" si="1"/>
        <v>4.8</v>
      </c>
      <c r="T36" s="176"/>
    </row>
    <row r="37" spans="1:20" ht="94.2" customHeight="1" thickBot="1" x14ac:dyDescent="0.35">
      <c r="A37" s="173">
        <v>27</v>
      </c>
      <c r="B37" s="199" t="s">
        <v>343</v>
      </c>
      <c r="C37" s="174">
        <v>4</v>
      </c>
      <c r="D37" s="174">
        <v>5</v>
      </c>
      <c r="E37" s="174">
        <v>5</v>
      </c>
      <c r="F37" s="174">
        <v>5</v>
      </c>
      <c r="G37" s="174">
        <v>5</v>
      </c>
      <c r="H37" s="174"/>
      <c r="I37" s="174"/>
      <c r="J37" s="174"/>
      <c r="K37" s="174"/>
      <c r="L37" s="174"/>
      <c r="M37" s="174"/>
      <c r="N37" s="174"/>
      <c r="O37" s="174"/>
      <c r="P37" s="174"/>
      <c r="Q37" s="174"/>
      <c r="R37" s="173">
        <f t="shared" si="0"/>
        <v>24</v>
      </c>
      <c r="S37" s="175">
        <f t="shared" si="1"/>
        <v>4.8</v>
      </c>
      <c r="T37" s="176"/>
    </row>
    <row r="38" spans="1:20" ht="54" customHeight="1" thickBot="1" x14ac:dyDescent="0.35">
      <c r="A38" s="173">
        <v>28</v>
      </c>
      <c r="B38" s="195" t="s">
        <v>329</v>
      </c>
      <c r="C38" s="174">
        <v>3</v>
      </c>
      <c r="D38" s="174">
        <v>5</v>
      </c>
      <c r="E38" s="174">
        <v>3</v>
      </c>
      <c r="F38" s="174">
        <v>2</v>
      </c>
      <c r="G38" s="174">
        <v>4</v>
      </c>
      <c r="H38" s="174"/>
      <c r="I38" s="174"/>
      <c r="J38" s="174"/>
      <c r="K38" s="174"/>
      <c r="L38" s="174"/>
      <c r="M38" s="174"/>
      <c r="N38" s="174"/>
      <c r="O38" s="174"/>
      <c r="P38" s="174"/>
      <c r="Q38" s="174"/>
      <c r="R38" s="173">
        <f t="shared" si="0"/>
        <v>17</v>
      </c>
      <c r="S38" s="175">
        <f t="shared" si="1"/>
        <v>3.4</v>
      </c>
      <c r="T38" s="176"/>
    </row>
    <row r="39" spans="1:20" ht="57.6" customHeight="1" thickBot="1" x14ac:dyDescent="0.35">
      <c r="A39" s="173">
        <v>29</v>
      </c>
      <c r="B39" s="195" t="s">
        <v>330</v>
      </c>
      <c r="C39" s="174">
        <v>3</v>
      </c>
      <c r="D39" s="174">
        <v>5</v>
      </c>
      <c r="E39" s="174">
        <v>3</v>
      </c>
      <c r="F39" s="174">
        <v>2</v>
      </c>
      <c r="G39" s="174">
        <v>4</v>
      </c>
      <c r="H39" s="174"/>
      <c r="I39" s="174"/>
      <c r="J39" s="174"/>
      <c r="K39" s="174"/>
      <c r="L39" s="174"/>
      <c r="M39" s="174"/>
      <c r="N39" s="174"/>
      <c r="O39" s="174"/>
      <c r="P39" s="174"/>
      <c r="Q39" s="174"/>
      <c r="R39" s="173">
        <f t="shared" si="0"/>
        <v>17</v>
      </c>
      <c r="S39" s="175">
        <f t="shared" si="1"/>
        <v>3.4</v>
      </c>
      <c r="T39" s="176"/>
    </row>
    <row r="40" spans="1:20" ht="67.8" customHeight="1" thickBot="1" x14ac:dyDescent="0.35">
      <c r="A40" s="173">
        <v>30</v>
      </c>
      <c r="B40" s="195" t="s">
        <v>331</v>
      </c>
      <c r="C40" s="174">
        <v>3</v>
      </c>
      <c r="D40" s="174">
        <v>5</v>
      </c>
      <c r="E40" s="174">
        <v>3</v>
      </c>
      <c r="F40" s="174">
        <v>2</v>
      </c>
      <c r="G40" s="174">
        <v>4</v>
      </c>
      <c r="H40" s="174"/>
      <c r="I40" s="174"/>
      <c r="J40" s="174"/>
      <c r="K40" s="174"/>
      <c r="L40" s="174"/>
      <c r="M40" s="174"/>
      <c r="N40" s="174"/>
      <c r="O40" s="174"/>
      <c r="P40" s="174"/>
      <c r="Q40" s="174"/>
      <c r="R40" s="173">
        <f t="shared" si="0"/>
        <v>17</v>
      </c>
      <c r="S40" s="175">
        <f t="shared" si="1"/>
        <v>3.4</v>
      </c>
      <c r="T40" s="176"/>
    </row>
    <row r="41" spans="1:20" ht="50.25" customHeight="1" thickBot="1" x14ac:dyDescent="0.35">
      <c r="A41" s="173">
        <v>31</v>
      </c>
      <c r="B41" s="195" t="s">
        <v>332</v>
      </c>
      <c r="C41" s="174">
        <v>3</v>
      </c>
      <c r="D41" s="174">
        <v>5</v>
      </c>
      <c r="E41" s="174">
        <v>3</v>
      </c>
      <c r="F41" s="174">
        <v>2</v>
      </c>
      <c r="G41" s="174">
        <v>4</v>
      </c>
      <c r="H41" s="177"/>
      <c r="I41" s="177"/>
      <c r="J41" s="177"/>
      <c r="K41" s="177"/>
      <c r="L41" s="177"/>
      <c r="M41" s="177"/>
      <c r="N41" s="177"/>
      <c r="O41" s="177"/>
      <c r="P41" s="177"/>
      <c r="Q41" s="177"/>
      <c r="R41" s="173">
        <f t="shared" si="0"/>
        <v>17</v>
      </c>
      <c r="S41" s="175">
        <f>IF(ISERROR(AVERAGE(C41:Q41)),0,AVERAGE(C41:Q41))</f>
        <v>3.4</v>
      </c>
      <c r="T41" s="176"/>
    </row>
    <row r="42" spans="1:20" ht="24" customHeight="1" x14ac:dyDescent="0.3">
      <c r="A42" s="367" t="s">
        <v>246</v>
      </c>
      <c r="B42" s="368"/>
      <c r="C42" s="368"/>
      <c r="D42" s="368"/>
      <c r="E42" s="368"/>
      <c r="F42" s="368"/>
      <c r="G42" s="368"/>
      <c r="H42" s="368"/>
      <c r="I42" s="368"/>
      <c r="J42" s="368"/>
      <c r="K42" s="368"/>
      <c r="L42" s="368"/>
      <c r="M42" s="368"/>
      <c r="N42" s="368"/>
      <c r="O42" s="368"/>
      <c r="P42" s="368"/>
      <c r="Q42" s="368"/>
      <c r="R42" s="369"/>
      <c r="S42" s="178">
        <f>SUM(S11:S41)</f>
        <v>128.6</v>
      </c>
    </row>
    <row r="43" spans="1:20" ht="28.5" customHeight="1" thickBot="1" x14ac:dyDescent="0.35">
      <c r="A43" s="353" t="s">
        <v>244</v>
      </c>
      <c r="B43" s="354"/>
      <c r="C43" s="354"/>
      <c r="D43" s="354"/>
      <c r="E43" s="354"/>
      <c r="F43" s="354"/>
      <c r="G43" s="354"/>
      <c r="H43" s="354"/>
      <c r="I43" s="354"/>
      <c r="J43" s="354"/>
      <c r="K43" s="354"/>
      <c r="L43" s="354"/>
      <c r="M43" s="354"/>
      <c r="N43" s="354"/>
      <c r="O43" s="354"/>
      <c r="P43" s="354"/>
      <c r="Q43" s="354"/>
      <c r="R43" s="354"/>
      <c r="S43" s="179">
        <f>S42/A41</f>
        <v>4.1483870967741936</v>
      </c>
    </row>
  </sheetData>
  <mergeCells count="15">
    <mergeCell ref="S1:S4"/>
    <mergeCell ref="A1:B4"/>
    <mergeCell ref="Y10:AA10"/>
    <mergeCell ref="A43:R43"/>
    <mergeCell ref="T1:W1"/>
    <mergeCell ref="T2:W2"/>
    <mergeCell ref="T3:W3"/>
    <mergeCell ref="T4:W4"/>
    <mergeCell ref="A5:T5"/>
    <mergeCell ref="A6:T6"/>
    <mergeCell ref="A7:T7"/>
    <mergeCell ref="A9:T9"/>
    <mergeCell ref="A42:R42"/>
    <mergeCell ref="C1:R2"/>
    <mergeCell ref="C3:R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1" xr:uid="{00000000-0002-0000-0200-000000000000}">
      <formula1>1</formula1>
      <formula2>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19</xdr:col>
                    <xdr:colOff>487680</xdr:colOff>
                    <xdr:row>10</xdr:row>
                    <xdr:rowOff>160020</xdr:rowOff>
                  </from>
                  <to>
                    <xdr:col>19</xdr:col>
                    <xdr:colOff>876300</xdr:colOff>
                    <xdr:row>10</xdr:row>
                    <xdr:rowOff>381000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487680</xdr:colOff>
                    <xdr:row>11</xdr:row>
                    <xdr:rowOff>160020</xdr:rowOff>
                  </from>
                  <to>
                    <xdr:col>19</xdr:col>
                    <xdr:colOff>876300</xdr:colOff>
                    <xdr:row>11</xdr:row>
                    <xdr:rowOff>381000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487680</xdr:colOff>
                    <xdr:row>12</xdr:row>
                    <xdr:rowOff>160020</xdr:rowOff>
                  </from>
                  <to>
                    <xdr:col>19</xdr:col>
                    <xdr:colOff>876300</xdr:colOff>
                    <xdr:row>12</xdr:row>
                    <xdr:rowOff>381000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19</xdr:col>
                    <xdr:colOff>487680</xdr:colOff>
                    <xdr:row>13</xdr:row>
                    <xdr:rowOff>160020</xdr:rowOff>
                  </from>
                  <to>
                    <xdr:col>19</xdr:col>
                    <xdr:colOff>876300</xdr:colOff>
                    <xdr:row>13</xdr:row>
                    <xdr:rowOff>381000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19</xdr:col>
                    <xdr:colOff>487680</xdr:colOff>
                    <xdr:row>14</xdr:row>
                    <xdr:rowOff>160020</xdr:rowOff>
                  </from>
                  <to>
                    <xdr:col>19</xdr:col>
                    <xdr:colOff>876300</xdr:colOff>
                    <xdr:row>14</xdr:row>
                    <xdr:rowOff>381000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19</xdr:col>
                    <xdr:colOff>487680</xdr:colOff>
                    <xdr:row>15</xdr:row>
                    <xdr:rowOff>160020</xdr:rowOff>
                  </from>
                  <to>
                    <xdr:col>19</xdr:col>
                    <xdr:colOff>876300</xdr:colOff>
                    <xdr:row>15</xdr:row>
                    <xdr:rowOff>381000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19</xdr:col>
                    <xdr:colOff>487680</xdr:colOff>
                    <xdr:row>16</xdr:row>
                    <xdr:rowOff>160020</xdr:rowOff>
                  </from>
                  <to>
                    <xdr:col>19</xdr:col>
                    <xdr:colOff>876300</xdr:colOff>
                    <xdr:row>16</xdr:row>
                    <xdr:rowOff>381000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19</xdr:col>
                    <xdr:colOff>487680</xdr:colOff>
                    <xdr:row>17</xdr:row>
                    <xdr:rowOff>160020</xdr:rowOff>
                  </from>
                  <to>
                    <xdr:col>19</xdr:col>
                    <xdr:colOff>876300</xdr:colOff>
                    <xdr:row>17</xdr:row>
                    <xdr:rowOff>381000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19</xdr:col>
                    <xdr:colOff>487680</xdr:colOff>
                    <xdr:row>18</xdr:row>
                    <xdr:rowOff>160020</xdr:rowOff>
                  </from>
                  <to>
                    <xdr:col>19</xdr:col>
                    <xdr:colOff>876300</xdr:colOff>
                    <xdr:row>18</xdr:row>
                    <xdr:rowOff>381000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487680</xdr:colOff>
                    <xdr:row>19</xdr:row>
                    <xdr:rowOff>160020</xdr:rowOff>
                  </from>
                  <to>
                    <xdr:col>19</xdr:col>
                    <xdr:colOff>876300</xdr:colOff>
                    <xdr:row>19</xdr:row>
                    <xdr:rowOff>381000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487680</xdr:colOff>
                    <xdr:row>20</xdr:row>
                    <xdr:rowOff>160020</xdr:rowOff>
                  </from>
                  <to>
                    <xdr:col>19</xdr:col>
                    <xdr:colOff>876300</xdr:colOff>
                    <xdr:row>20</xdr:row>
                    <xdr:rowOff>381000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19</xdr:col>
                    <xdr:colOff>487680</xdr:colOff>
                    <xdr:row>21</xdr:row>
                    <xdr:rowOff>160020</xdr:rowOff>
                  </from>
                  <to>
                    <xdr:col>19</xdr:col>
                    <xdr:colOff>876300</xdr:colOff>
                    <xdr:row>21</xdr:row>
                    <xdr:rowOff>381000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19</xdr:col>
                    <xdr:colOff>487680</xdr:colOff>
                    <xdr:row>22</xdr:row>
                    <xdr:rowOff>160020</xdr:rowOff>
                  </from>
                  <to>
                    <xdr:col>19</xdr:col>
                    <xdr:colOff>876300</xdr:colOff>
                    <xdr:row>22</xdr:row>
                    <xdr:rowOff>381000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19</xdr:col>
                    <xdr:colOff>487680</xdr:colOff>
                    <xdr:row>23</xdr:row>
                    <xdr:rowOff>160020</xdr:rowOff>
                  </from>
                  <to>
                    <xdr:col>19</xdr:col>
                    <xdr:colOff>876300</xdr:colOff>
                    <xdr:row>23</xdr:row>
                    <xdr:rowOff>381000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19</xdr:col>
                    <xdr:colOff>487680</xdr:colOff>
                    <xdr:row>24</xdr:row>
                    <xdr:rowOff>160020</xdr:rowOff>
                  </from>
                  <to>
                    <xdr:col>19</xdr:col>
                    <xdr:colOff>876300</xdr:colOff>
                    <xdr:row>24</xdr:row>
                    <xdr:rowOff>381000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19</xdr:col>
                    <xdr:colOff>487680</xdr:colOff>
                    <xdr:row>25</xdr:row>
                    <xdr:rowOff>160020</xdr:rowOff>
                  </from>
                  <to>
                    <xdr:col>19</xdr:col>
                    <xdr:colOff>876300</xdr:colOff>
                    <xdr:row>25</xdr:row>
                    <xdr:rowOff>381000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19</xdr:col>
                    <xdr:colOff>487680</xdr:colOff>
                    <xdr:row>26</xdr:row>
                    <xdr:rowOff>160020</xdr:rowOff>
                  </from>
                  <to>
                    <xdr:col>19</xdr:col>
                    <xdr:colOff>876300</xdr:colOff>
                    <xdr:row>26</xdr:row>
                    <xdr:rowOff>381000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19</xdr:col>
                    <xdr:colOff>487680</xdr:colOff>
                    <xdr:row>27</xdr:row>
                    <xdr:rowOff>160020</xdr:rowOff>
                  </from>
                  <to>
                    <xdr:col>19</xdr:col>
                    <xdr:colOff>876300</xdr:colOff>
                    <xdr:row>27</xdr:row>
                    <xdr:rowOff>381000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19</xdr:col>
                    <xdr:colOff>487680</xdr:colOff>
                    <xdr:row>28</xdr:row>
                    <xdr:rowOff>160020</xdr:rowOff>
                  </from>
                  <to>
                    <xdr:col>19</xdr:col>
                    <xdr:colOff>876300</xdr:colOff>
                    <xdr:row>28</xdr:row>
                    <xdr:rowOff>381000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19</xdr:col>
                    <xdr:colOff>487680</xdr:colOff>
                    <xdr:row>29</xdr:row>
                    <xdr:rowOff>160020</xdr:rowOff>
                  </from>
                  <to>
                    <xdr:col>19</xdr:col>
                    <xdr:colOff>876300</xdr:colOff>
                    <xdr:row>29</xdr:row>
                    <xdr:rowOff>381000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19</xdr:col>
                    <xdr:colOff>487680</xdr:colOff>
                    <xdr:row>30</xdr:row>
                    <xdr:rowOff>160020</xdr:rowOff>
                  </from>
                  <to>
                    <xdr:col>19</xdr:col>
                    <xdr:colOff>876300</xdr:colOff>
                    <xdr:row>30</xdr:row>
                    <xdr:rowOff>381000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19</xdr:col>
                    <xdr:colOff>487680</xdr:colOff>
                    <xdr:row>31</xdr:row>
                    <xdr:rowOff>160020</xdr:rowOff>
                  </from>
                  <to>
                    <xdr:col>19</xdr:col>
                    <xdr:colOff>876300</xdr:colOff>
                    <xdr:row>31</xdr:row>
                    <xdr:rowOff>381000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19</xdr:col>
                    <xdr:colOff>487680</xdr:colOff>
                    <xdr:row>32</xdr:row>
                    <xdr:rowOff>160020</xdr:rowOff>
                  </from>
                  <to>
                    <xdr:col>19</xdr:col>
                    <xdr:colOff>876300</xdr:colOff>
                    <xdr:row>32</xdr:row>
                    <xdr:rowOff>381000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19</xdr:col>
                    <xdr:colOff>487680</xdr:colOff>
                    <xdr:row>34</xdr:row>
                    <xdr:rowOff>160020</xdr:rowOff>
                  </from>
                  <to>
                    <xdr:col>19</xdr:col>
                    <xdr:colOff>876300</xdr:colOff>
                    <xdr:row>34</xdr:row>
                    <xdr:rowOff>381000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19</xdr:col>
                    <xdr:colOff>487680</xdr:colOff>
                    <xdr:row>35</xdr:row>
                    <xdr:rowOff>160020</xdr:rowOff>
                  </from>
                  <to>
                    <xdr:col>19</xdr:col>
                    <xdr:colOff>876300</xdr:colOff>
                    <xdr:row>35</xdr:row>
                    <xdr:rowOff>381000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19</xdr:col>
                    <xdr:colOff>487680</xdr:colOff>
                    <xdr:row>36</xdr:row>
                    <xdr:rowOff>160020</xdr:rowOff>
                  </from>
                  <to>
                    <xdr:col>19</xdr:col>
                    <xdr:colOff>876300</xdr:colOff>
                    <xdr:row>36</xdr:row>
                    <xdr:rowOff>381000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19</xdr:col>
                    <xdr:colOff>487680</xdr:colOff>
                    <xdr:row>37</xdr:row>
                    <xdr:rowOff>160020</xdr:rowOff>
                  </from>
                  <to>
                    <xdr:col>19</xdr:col>
                    <xdr:colOff>876300</xdr:colOff>
                    <xdr:row>37</xdr:row>
                    <xdr:rowOff>381000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19</xdr:col>
                    <xdr:colOff>487680</xdr:colOff>
                    <xdr:row>38</xdr:row>
                    <xdr:rowOff>160020</xdr:rowOff>
                  </from>
                  <to>
                    <xdr:col>19</xdr:col>
                    <xdr:colOff>876300</xdr:colOff>
                    <xdr:row>38</xdr:row>
                    <xdr:rowOff>381000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19</xdr:col>
                    <xdr:colOff>487680</xdr:colOff>
                    <xdr:row>39</xdr:row>
                    <xdr:rowOff>160020</xdr:rowOff>
                  </from>
                  <to>
                    <xdr:col>19</xdr:col>
                    <xdr:colOff>876300</xdr:colOff>
                    <xdr:row>39</xdr:row>
                    <xdr:rowOff>381000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19</xdr:col>
                    <xdr:colOff>487680</xdr:colOff>
                    <xdr:row>40</xdr:row>
                    <xdr:rowOff>160020</xdr:rowOff>
                  </from>
                  <to>
                    <xdr:col>19</xdr:col>
                    <xdr:colOff>876300</xdr:colOff>
                    <xdr:row>40</xdr:row>
                    <xdr:rowOff>381000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19</xdr:col>
                    <xdr:colOff>487680</xdr:colOff>
                    <xdr:row>33</xdr:row>
                    <xdr:rowOff>160020</xdr:rowOff>
                  </from>
                  <to>
                    <xdr:col>19</xdr:col>
                    <xdr:colOff>876300</xdr:colOff>
                    <xdr:row>33</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143"/>
  <sheetViews>
    <sheetView topLeftCell="A45" zoomScale="70" zoomScaleNormal="70" workbookViewId="0">
      <selection activeCell="C51" sqref="C51:D51"/>
    </sheetView>
  </sheetViews>
  <sheetFormatPr baseColWidth="10" defaultColWidth="11.44140625" defaultRowHeight="44.25" customHeight="1" x14ac:dyDescent="0.25"/>
  <cols>
    <col min="1" max="1" width="21.21875" style="141" customWidth="1"/>
    <col min="2" max="2" width="21.6640625" style="141" customWidth="1"/>
    <col min="3" max="3" width="32.6640625" style="141" customWidth="1"/>
    <col min="4" max="4" width="27.5546875" style="141" customWidth="1"/>
    <col min="5" max="5" width="38" style="141" customWidth="1"/>
    <col min="6" max="6" width="45.44140625" style="141" customWidth="1"/>
    <col min="7" max="7" width="18.33203125" style="141" customWidth="1"/>
    <col min="8" max="8" width="29.88671875" style="141" customWidth="1"/>
    <col min="9" max="9" width="19.33203125" style="141" customWidth="1"/>
    <col min="10" max="10" width="14.5546875" style="141" customWidth="1"/>
    <col min="11" max="11" width="11.44140625" style="141" hidden="1" customWidth="1"/>
    <col min="12" max="12" width="43.5546875" style="141" customWidth="1"/>
    <col min="13" max="13" width="11.44140625" style="141"/>
    <col min="14" max="14" width="42.6640625" style="141" customWidth="1"/>
    <col min="15" max="15" width="11.44140625" style="141"/>
    <col min="16" max="16" width="36.88671875" style="141" customWidth="1"/>
    <col min="17" max="16384" width="11.44140625" style="141"/>
  </cols>
  <sheetData>
    <row r="1" spans="1:11" ht="19.2" customHeight="1" thickBot="1" x14ac:dyDescent="0.3">
      <c r="A1" s="339"/>
      <c r="B1" s="339"/>
      <c r="C1" s="339" t="str">
        <f>+Contexto!$B$1</f>
        <v xml:space="preserve">PROCESO: SISTEMA INTEGRADO DE GESTIÓN </v>
      </c>
      <c r="D1" s="339"/>
      <c r="E1" s="339"/>
      <c r="F1" s="339"/>
      <c r="G1" s="339"/>
      <c r="H1" s="139" t="str">
        <f>Contexto!E1</f>
        <v>Codigo:FOR-029-PRO-SIG-01</v>
      </c>
      <c r="I1" s="420"/>
      <c r="J1" s="421"/>
      <c r="K1" s="140"/>
    </row>
    <row r="2" spans="1:11" ht="19.2" customHeight="1" thickBot="1" x14ac:dyDescent="0.3">
      <c r="A2" s="339"/>
      <c r="B2" s="339"/>
      <c r="C2" s="339"/>
      <c r="D2" s="339"/>
      <c r="E2" s="339"/>
      <c r="F2" s="339"/>
      <c r="G2" s="339"/>
      <c r="H2" s="139" t="str">
        <f>Contexto!E2</f>
        <v>Versión: 01</v>
      </c>
      <c r="I2" s="422"/>
      <c r="J2" s="423"/>
      <c r="K2" s="140"/>
    </row>
    <row r="3" spans="1:11" ht="19.2" customHeight="1" thickBot="1" x14ac:dyDescent="0.3">
      <c r="A3" s="339"/>
      <c r="B3" s="339"/>
      <c r="C3" s="339" t="s">
        <v>247</v>
      </c>
      <c r="D3" s="339"/>
      <c r="E3" s="339"/>
      <c r="F3" s="339"/>
      <c r="G3" s="339"/>
      <c r="H3" s="139" t="str">
        <f>Contexto!E3</f>
        <v>Fecha: 21/02/2024</v>
      </c>
      <c r="I3" s="422"/>
      <c r="J3" s="423"/>
      <c r="K3" s="140"/>
    </row>
    <row r="4" spans="1:11" ht="22.8" customHeight="1" x14ac:dyDescent="0.25">
      <c r="A4" s="339"/>
      <c r="B4" s="339"/>
      <c r="C4" s="339"/>
      <c r="D4" s="339"/>
      <c r="E4" s="339"/>
      <c r="F4" s="339"/>
      <c r="G4" s="339"/>
      <c r="H4" s="139" t="str">
        <f>Contexto!E4</f>
        <v>Pagina:  1 de 1</v>
      </c>
      <c r="I4" s="424"/>
      <c r="J4" s="425"/>
      <c r="K4" s="140"/>
    </row>
    <row r="5" spans="1:11" ht="44.25" customHeight="1" x14ac:dyDescent="0.25">
      <c r="A5" s="417" t="str">
        <f>Contexto!A8</f>
        <v>PROCESO:  SECRETARIA DE HACIENDA PUBLICA MUNICIPAL</v>
      </c>
      <c r="B5" s="418"/>
      <c r="C5" s="418"/>
      <c r="D5" s="418"/>
      <c r="E5" s="418"/>
      <c r="F5" s="418"/>
      <c r="G5" s="418"/>
      <c r="H5" s="418"/>
      <c r="I5" s="418"/>
      <c r="J5" s="419"/>
      <c r="K5" s="140"/>
    </row>
    <row r="6" spans="1:11" ht="44.25" customHeight="1" x14ac:dyDescent="0.25">
      <c r="A6" s="731"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6" s="732"/>
      <c r="C6" s="732"/>
      <c r="D6" s="732"/>
      <c r="E6" s="732"/>
      <c r="F6" s="732"/>
      <c r="G6" s="732"/>
      <c r="H6" s="732"/>
      <c r="I6" s="732"/>
      <c r="J6" s="733"/>
    </row>
    <row r="7" spans="1:11" ht="44.25" customHeight="1" thickBot="1" x14ac:dyDescent="0.3">
      <c r="A7" s="734"/>
      <c r="B7" s="735"/>
      <c r="C7" s="735"/>
      <c r="D7" s="735"/>
      <c r="E7" s="735"/>
      <c r="F7" s="735"/>
      <c r="G7" s="735"/>
      <c r="H7" s="735"/>
      <c r="I7" s="735"/>
      <c r="J7" s="736"/>
    </row>
    <row r="8" spans="1:11" ht="44.25" customHeight="1" x14ac:dyDescent="0.25">
      <c r="A8" s="426" t="s">
        <v>248</v>
      </c>
      <c r="B8" s="426"/>
      <c r="C8" s="426"/>
      <c r="D8" s="426"/>
      <c r="E8" s="408" t="s">
        <v>219</v>
      </c>
      <c r="F8" s="427"/>
      <c r="G8" s="427"/>
      <c r="H8" s="427"/>
      <c r="I8" s="427"/>
      <c r="J8" s="428"/>
    </row>
    <row r="9" spans="1:11" ht="44.25" customHeight="1" x14ac:dyDescent="0.25">
      <c r="A9" s="426"/>
      <c r="B9" s="426"/>
      <c r="C9" s="426"/>
      <c r="D9" s="426"/>
      <c r="E9" s="429" t="s">
        <v>249</v>
      </c>
      <c r="F9" s="429"/>
      <c r="G9" s="429" t="s">
        <v>250</v>
      </c>
      <c r="H9" s="429"/>
      <c r="I9" s="429"/>
      <c r="J9" s="429"/>
    </row>
    <row r="10" spans="1:11" ht="44.25" customHeight="1" x14ac:dyDescent="0.3">
      <c r="A10" s="426"/>
      <c r="B10" s="426"/>
      <c r="C10" s="426"/>
      <c r="D10" s="426"/>
      <c r="E10" s="405" t="s">
        <v>251</v>
      </c>
      <c r="F10" s="405"/>
      <c r="G10" s="430" t="s">
        <v>252</v>
      </c>
      <c r="H10" s="431"/>
      <c r="I10" s="431"/>
      <c r="J10" s="432"/>
    </row>
    <row r="11" spans="1:11" ht="44.25" customHeight="1" x14ac:dyDescent="0.25">
      <c r="A11" s="426"/>
      <c r="B11" s="426"/>
      <c r="C11" s="426"/>
      <c r="D11" s="426"/>
      <c r="E11" s="397" t="s">
        <v>266</v>
      </c>
      <c r="F11" s="398"/>
      <c r="G11" s="414" t="s">
        <v>277</v>
      </c>
      <c r="H11" s="414"/>
      <c r="I11" s="414"/>
      <c r="J11" s="414"/>
    </row>
    <row r="12" spans="1:11" ht="44.25" customHeight="1" x14ac:dyDescent="0.25">
      <c r="A12" s="426"/>
      <c r="B12" s="426"/>
      <c r="C12" s="426"/>
      <c r="D12" s="426"/>
      <c r="E12" s="397" t="s">
        <v>267</v>
      </c>
      <c r="F12" s="398"/>
      <c r="G12" s="414" t="s">
        <v>278</v>
      </c>
      <c r="H12" s="414"/>
      <c r="I12" s="414"/>
      <c r="J12" s="414"/>
    </row>
    <row r="13" spans="1:11" ht="44.25" customHeight="1" x14ac:dyDescent="0.25">
      <c r="A13" s="426"/>
      <c r="B13" s="426"/>
      <c r="C13" s="426"/>
      <c r="D13" s="426"/>
      <c r="E13" s="397" t="s">
        <v>268</v>
      </c>
      <c r="F13" s="398"/>
      <c r="G13" s="382" t="s">
        <v>279</v>
      </c>
      <c r="H13" s="382"/>
      <c r="I13" s="382"/>
      <c r="J13" s="382"/>
    </row>
    <row r="14" spans="1:11" ht="44.25" customHeight="1" x14ac:dyDescent="0.25">
      <c r="A14" s="426"/>
      <c r="B14" s="426"/>
      <c r="C14" s="426"/>
      <c r="D14" s="426"/>
      <c r="E14" s="390" t="s">
        <v>269</v>
      </c>
      <c r="F14" s="391"/>
      <c r="G14" s="414" t="s">
        <v>280</v>
      </c>
      <c r="H14" s="414"/>
      <c r="I14" s="414"/>
      <c r="J14" s="414"/>
    </row>
    <row r="15" spans="1:11" ht="44.25" customHeight="1" x14ac:dyDescent="0.25">
      <c r="A15" s="426"/>
      <c r="B15" s="426"/>
      <c r="C15" s="426"/>
      <c r="D15" s="426"/>
      <c r="E15" s="397" t="s">
        <v>270</v>
      </c>
      <c r="F15" s="398"/>
      <c r="G15" s="414" t="s">
        <v>281</v>
      </c>
      <c r="H15" s="414"/>
      <c r="I15" s="414"/>
      <c r="J15" s="414"/>
    </row>
    <row r="16" spans="1:11" ht="44.25" customHeight="1" x14ac:dyDescent="0.25">
      <c r="A16" s="426"/>
      <c r="B16" s="426"/>
      <c r="C16" s="426"/>
      <c r="D16" s="426"/>
      <c r="E16" s="397" t="s">
        <v>271</v>
      </c>
      <c r="F16" s="398"/>
      <c r="G16" s="414" t="s">
        <v>282</v>
      </c>
      <c r="H16" s="414"/>
      <c r="I16" s="414"/>
      <c r="J16" s="414"/>
    </row>
    <row r="17" spans="1:16" ht="44.25" customHeight="1" x14ac:dyDescent="0.25">
      <c r="A17" s="426"/>
      <c r="B17" s="426"/>
      <c r="C17" s="426"/>
      <c r="D17" s="426"/>
      <c r="E17" s="397" t="s">
        <v>272</v>
      </c>
      <c r="F17" s="398"/>
      <c r="G17" s="416" t="s">
        <v>283</v>
      </c>
      <c r="H17" s="416"/>
      <c r="I17" s="416"/>
      <c r="J17" s="416"/>
    </row>
    <row r="18" spans="1:16" ht="44.25" customHeight="1" x14ac:dyDescent="0.25">
      <c r="A18" s="426"/>
      <c r="B18" s="426"/>
      <c r="C18" s="426"/>
      <c r="D18" s="426"/>
      <c r="E18" s="397" t="s">
        <v>273</v>
      </c>
      <c r="F18" s="398"/>
      <c r="G18" s="416" t="s">
        <v>284</v>
      </c>
      <c r="H18" s="416"/>
      <c r="I18" s="416"/>
      <c r="J18" s="416"/>
    </row>
    <row r="19" spans="1:16" ht="44.25" customHeight="1" x14ac:dyDescent="0.25">
      <c r="A19" s="426"/>
      <c r="B19" s="426"/>
      <c r="C19" s="426"/>
      <c r="D19" s="426"/>
      <c r="E19" s="397" t="s">
        <v>274</v>
      </c>
      <c r="F19" s="398"/>
      <c r="G19" s="416" t="s">
        <v>285</v>
      </c>
      <c r="H19" s="416"/>
      <c r="I19" s="416"/>
      <c r="J19" s="416"/>
    </row>
    <row r="20" spans="1:16" ht="44.25" customHeight="1" x14ac:dyDescent="0.25">
      <c r="A20" s="426"/>
      <c r="B20" s="426"/>
      <c r="C20" s="426"/>
      <c r="D20" s="426"/>
      <c r="E20" s="397" t="s">
        <v>275</v>
      </c>
      <c r="F20" s="398"/>
      <c r="G20" s="416" t="s">
        <v>392</v>
      </c>
      <c r="H20" s="416"/>
      <c r="I20" s="416"/>
      <c r="J20" s="416"/>
    </row>
    <row r="21" spans="1:16" ht="44.25" customHeight="1" x14ac:dyDescent="0.25">
      <c r="A21" s="426"/>
      <c r="B21" s="426"/>
      <c r="C21" s="426"/>
      <c r="D21" s="426"/>
      <c r="E21" s="397" t="s">
        <v>276</v>
      </c>
      <c r="F21" s="398"/>
      <c r="G21" s="397" t="s">
        <v>393</v>
      </c>
      <c r="H21" s="415"/>
      <c r="I21" s="415"/>
      <c r="J21" s="398"/>
    </row>
    <row r="22" spans="1:16" ht="44.25" customHeight="1" x14ac:dyDescent="0.25">
      <c r="A22" s="426"/>
      <c r="B22" s="426"/>
      <c r="C22" s="426"/>
      <c r="D22" s="426"/>
      <c r="E22" s="397" t="s">
        <v>371</v>
      </c>
      <c r="F22" s="398"/>
      <c r="G22" s="399"/>
      <c r="H22" s="400"/>
      <c r="I22" s="400"/>
      <c r="J22" s="401"/>
    </row>
    <row r="23" spans="1:16" ht="44.25" customHeight="1" x14ac:dyDescent="0.25">
      <c r="A23" s="426"/>
      <c r="B23" s="426"/>
      <c r="C23" s="426"/>
      <c r="D23" s="426"/>
      <c r="E23" s="397" t="s">
        <v>390</v>
      </c>
      <c r="F23" s="398"/>
      <c r="G23" s="399"/>
      <c r="H23" s="400"/>
      <c r="I23" s="400"/>
      <c r="J23" s="401"/>
    </row>
    <row r="24" spans="1:16" ht="44.25" customHeight="1" x14ac:dyDescent="0.25">
      <c r="A24" s="426"/>
      <c r="B24" s="426"/>
      <c r="C24" s="426"/>
      <c r="D24" s="426"/>
      <c r="E24" s="397" t="s">
        <v>391</v>
      </c>
      <c r="F24" s="398"/>
      <c r="G24" s="399"/>
      <c r="H24" s="400"/>
      <c r="I24" s="400"/>
      <c r="J24" s="401"/>
    </row>
    <row r="25" spans="1:16" ht="44.25" customHeight="1" thickBot="1" x14ac:dyDescent="0.3">
      <c r="A25" s="426"/>
      <c r="B25" s="426"/>
      <c r="C25" s="426"/>
      <c r="D25" s="426"/>
      <c r="E25" s="397"/>
      <c r="F25" s="398"/>
      <c r="G25" s="402"/>
      <c r="H25" s="403"/>
      <c r="I25" s="403"/>
      <c r="J25" s="404"/>
    </row>
    <row r="26" spans="1:16" ht="44.25" customHeight="1" thickBot="1" x14ac:dyDescent="0.3">
      <c r="A26" s="383" t="s">
        <v>217</v>
      </c>
      <c r="B26" s="383" t="s">
        <v>250</v>
      </c>
      <c r="C26" s="405" t="s">
        <v>253</v>
      </c>
      <c r="D26" s="405"/>
      <c r="E26" s="406" t="s">
        <v>254</v>
      </c>
      <c r="F26" s="407"/>
      <c r="G26" s="408" t="s">
        <v>255</v>
      </c>
      <c r="H26" s="409"/>
      <c r="I26" s="409"/>
      <c r="J26" s="410"/>
      <c r="L26" s="202" t="s">
        <v>366</v>
      </c>
      <c r="M26" s="433"/>
      <c r="N26" s="433"/>
      <c r="O26" s="433"/>
      <c r="P26" s="433"/>
    </row>
    <row r="27" spans="1:16" ht="44.25" customHeight="1" thickBot="1" x14ac:dyDescent="0.3">
      <c r="A27" s="383"/>
      <c r="B27" s="383"/>
      <c r="C27" s="390" t="s">
        <v>286</v>
      </c>
      <c r="D27" s="391"/>
      <c r="E27" s="390" t="s">
        <v>294</v>
      </c>
      <c r="F27" s="391"/>
      <c r="G27" s="411" t="s">
        <v>306</v>
      </c>
      <c r="H27" s="412"/>
      <c r="I27" s="412"/>
      <c r="J27" s="413"/>
      <c r="L27" s="201" t="s">
        <v>367</v>
      </c>
      <c r="M27" s="433"/>
      <c r="N27" s="433"/>
      <c r="O27" s="433"/>
      <c r="P27" s="433"/>
    </row>
    <row r="28" spans="1:16" ht="86.25" customHeight="1" x14ac:dyDescent="0.25">
      <c r="A28" s="383"/>
      <c r="B28" s="383"/>
      <c r="C28" s="390" t="s">
        <v>287</v>
      </c>
      <c r="D28" s="391"/>
      <c r="E28" s="390" t="s">
        <v>295</v>
      </c>
      <c r="F28" s="391"/>
      <c r="G28" s="390" t="s">
        <v>307</v>
      </c>
      <c r="H28" s="392"/>
      <c r="I28" s="392"/>
      <c r="J28" s="391"/>
      <c r="M28" s="433"/>
      <c r="N28" s="433"/>
      <c r="O28" s="433"/>
      <c r="P28" s="433"/>
    </row>
    <row r="29" spans="1:16" ht="81" customHeight="1" x14ac:dyDescent="0.25">
      <c r="A29" s="383"/>
      <c r="B29" s="383"/>
      <c r="C29" s="390" t="s">
        <v>288</v>
      </c>
      <c r="D29" s="391"/>
      <c r="E29" s="390" t="s">
        <v>296</v>
      </c>
      <c r="F29" s="391"/>
      <c r="G29" s="390" t="s">
        <v>308</v>
      </c>
      <c r="H29" s="392"/>
      <c r="I29" s="392"/>
      <c r="J29" s="391"/>
      <c r="M29" s="433"/>
      <c r="N29" s="433"/>
      <c r="O29" s="433"/>
      <c r="P29" s="433"/>
    </row>
    <row r="30" spans="1:16" ht="44.25" customHeight="1" x14ac:dyDescent="0.25">
      <c r="A30" s="383"/>
      <c r="B30" s="383"/>
      <c r="C30" s="382" t="s">
        <v>289</v>
      </c>
      <c r="D30" s="373"/>
      <c r="E30" s="390" t="s">
        <v>297</v>
      </c>
      <c r="F30" s="391"/>
      <c r="G30" s="390" t="s">
        <v>309</v>
      </c>
      <c r="H30" s="392"/>
      <c r="I30" s="392"/>
      <c r="J30" s="391"/>
    </row>
    <row r="31" spans="1:16" ht="44.25" customHeight="1" x14ac:dyDescent="0.25">
      <c r="A31" s="383"/>
      <c r="B31" s="383"/>
      <c r="C31" s="390" t="s">
        <v>290</v>
      </c>
      <c r="D31" s="377"/>
      <c r="E31" s="390" t="s">
        <v>298</v>
      </c>
      <c r="F31" s="391"/>
      <c r="G31" s="373"/>
      <c r="H31" s="378"/>
      <c r="I31" s="378"/>
      <c r="J31" s="377"/>
    </row>
    <row r="32" spans="1:16" ht="44.25" customHeight="1" x14ac:dyDescent="0.25">
      <c r="A32" s="383"/>
      <c r="B32" s="383"/>
      <c r="C32" s="373" t="s">
        <v>291</v>
      </c>
      <c r="D32" s="373"/>
      <c r="E32" s="390" t="s">
        <v>299</v>
      </c>
      <c r="F32" s="391"/>
      <c r="G32" s="373"/>
      <c r="H32" s="373"/>
      <c r="I32" s="373"/>
      <c r="J32" s="373"/>
    </row>
    <row r="33" spans="1:14" ht="44.25" customHeight="1" x14ac:dyDescent="0.25">
      <c r="A33" s="383"/>
      <c r="B33" s="383"/>
      <c r="C33" s="373" t="s">
        <v>292</v>
      </c>
      <c r="D33" s="373"/>
      <c r="E33" s="411" t="s">
        <v>300</v>
      </c>
      <c r="F33" s="413"/>
      <c r="G33" s="376"/>
      <c r="H33" s="378"/>
      <c r="I33" s="378"/>
      <c r="J33" s="377"/>
    </row>
    <row r="34" spans="1:14" ht="44.25" customHeight="1" x14ac:dyDescent="0.25">
      <c r="A34" s="383"/>
      <c r="B34" s="383"/>
      <c r="C34" s="373" t="s">
        <v>293</v>
      </c>
      <c r="D34" s="373"/>
      <c r="E34" s="382" t="s">
        <v>301</v>
      </c>
      <c r="F34" s="382"/>
      <c r="G34" s="373"/>
      <c r="H34" s="373"/>
      <c r="I34" s="373"/>
      <c r="J34" s="373"/>
    </row>
    <row r="35" spans="1:14" ht="44.25" customHeight="1" x14ac:dyDescent="0.25">
      <c r="A35" s="383"/>
      <c r="B35" s="383"/>
      <c r="C35" s="382" t="s">
        <v>389</v>
      </c>
      <c r="D35" s="382"/>
      <c r="E35" s="382" t="s">
        <v>302</v>
      </c>
      <c r="F35" s="373"/>
      <c r="G35" s="373"/>
      <c r="H35" s="373"/>
      <c r="I35" s="373"/>
      <c r="J35" s="373"/>
    </row>
    <row r="36" spans="1:14" ht="44.25" customHeight="1" x14ac:dyDescent="0.25">
      <c r="A36" s="383"/>
      <c r="B36" s="383"/>
      <c r="C36" s="390" t="s">
        <v>399</v>
      </c>
      <c r="D36" s="391"/>
      <c r="E36" s="393" t="s">
        <v>303</v>
      </c>
      <c r="F36" s="394"/>
      <c r="G36" s="376"/>
      <c r="H36" s="378"/>
      <c r="I36" s="378"/>
      <c r="J36" s="377"/>
    </row>
    <row r="37" spans="1:14" ht="44.25" customHeight="1" x14ac:dyDescent="0.25">
      <c r="A37" s="383"/>
      <c r="B37" s="383"/>
      <c r="C37" s="390"/>
      <c r="D37" s="391"/>
      <c r="E37" s="393" t="s">
        <v>304</v>
      </c>
      <c r="F37" s="394"/>
      <c r="G37" s="376"/>
      <c r="H37" s="378"/>
      <c r="I37" s="378"/>
      <c r="J37" s="377"/>
    </row>
    <row r="38" spans="1:14" ht="44.25" customHeight="1" x14ac:dyDescent="0.25">
      <c r="A38" s="383"/>
      <c r="B38" s="383"/>
      <c r="C38" s="373"/>
      <c r="D38" s="373"/>
      <c r="E38" s="395" t="s">
        <v>305</v>
      </c>
      <c r="F38" s="396"/>
      <c r="G38" s="372"/>
      <c r="H38" s="372"/>
      <c r="I38" s="372"/>
      <c r="J38" s="372"/>
    </row>
    <row r="39" spans="1:14" ht="149.25" customHeight="1" x14ac:dyDescent="0.25">
      <c r="A39" s="383"/>
      <c r="B39" s="200"/>
      <c r="C39" s="373"/>
      <c r="D39" s="373"/>
      <c r="E39" s="370" t="s">
        <v>433</v>
      </c>
      <c r="F39" s="396"/>
      <c r="G39" s="372"/>
      <c r="H39" s="372"/>
      <c r="I39" s="372"/>
      <c r="J39" s="372"/>
      <c r="L39" s="434" t="s">
        <v>405</v>
      </c>
      <c r="M39" s="434"/>
      <c r="N39" s="434"/>
    </row>
    <row r="40" spans="1:14" ht="85.5" customHeight="1" x14ac:dyDescent="0.25">
      <c r="A40" s="383"/>
      <c r="B40" s="200"/>
      <c r="C40" s="373"/>
      <c r="D40" s="373"/>
      <c r="E40" s="370" t="s">
        <v>384</v>
      </c>
      <c r="F40" s="371"/>
      <c r="G40" s="372"/>
      <c r="H40" s="372"/>
      <c r="I40" s="372"/>
      <c r="J40" s="372"/>
      <c r="L40" s="434"/>
      <c r="M40" s="434"/>
      <c r="N40" s="434"/>
    </row>
    <row r="41" spans="1:14" ht="122.25" customHeight="1" x14ac:dyDescent="0.25">
      <c r="A41" s="383"/>
      <c r="B41" s="200"/>
      <c r="C41" s="373"/>
      <c r="D41" s="373"/>
      <c r="E41" s="370" t="s">
        <v>435</v>
      </c>
      <c r="F41" s="371"/>
      <c r="G41" s="372"/>
      <c r="H41" s="372"/>
      <c r="I41" s="372"/>
      <c r="J41" s="372"/>
      <c r="L41" s="434"/>
      <c r="M41" s="434"/>
      <c r="N41" s="434"/>
    </row>
    <row r="42" spans="1:14" ht="75.75" customHeight="1" x14ac:dyDescent="0.25">
      <c r="A42" s="383"/>
      <c r="B42" s="200"/>
      <c r="C42" s="373"/>
      <c r="D42" s="373"/>
      <c r="E42" s="370" t="s">
        <v>395</v>
      </c>
      <c r="F42" s="371"/>
      <c r="G42" s="372"/>
      <c r="H42" s="372"/>
      <c r="I42" s="372"/>
      <c r="J42" s="372"/>
      <c r="L42" s="434"/>
      <c r="M42" s="434"/>
      <c r="N42" s="434"/>
    </row>
    <row r="43" spans="1:14" ht="280.5" customHeight="1" x14ac:dyDescent="0.25">
      <c r="A43" s="383"/>
      <c r="B43" s="200"/>
      <c r="C43" s="373"/>
      <c r="D43" s="373"/>
      <c r="E43" s="370" t="s">
        <v>414</v>
      </c>
      <c r="F43" s="371"/>
      <c r="G43" s="372"/>
      <c r="H43" s="372"/>
      <c r="I43" s="372"/>
      <c r="J43" s="372"/>
      <c r="L43" s="434"/>
      <c r="M43" s="434"/>
      <c r="N43" s="434"/>
    </row>
    <row r="44" spans="1:14" ht="158.25" customHeight="1" x14ac:dyDescent="0.25">
      <c r="A44" s="383"/>
      <c r="B44" s="200"/>
      <c r="C44" s="373"/>
      <c r="D44" s="373"/>
      <c r="E44" s="370" t="s">
        <v>434</v>
      </c>
      <c r="F44" s="371"/>
      <c r="G44" s="372"/>
      <c r="H44" s="372"/>
      <c r="I44" s="372"/>
      <c r="J44" s="372"/>
      <c r="L44" s="434"/>
      <c r="M44" s="434"/>
      <c r="N44" s="434"/>
    </row>
    <row r="45" spans="1:14" ht="162" customHeight="1" x14ac:dyDescent="0.25">
      <c r="A45" s="383"/>
      <c r="B45" s="200"/>
      <c r="C45" s="373"/>
      <c r="D45" s="373"/>
      <c r="E45" s="395" t="s">
        <v>406</v>
      </c>
      <c r="F45" s="396"/>
      <c r="G45" s="372"/>
      <c r="H45" s="372"/>
      <c r="I45" s="372"/>
      <c r="J45" s="372"/>
      <c r="L45" s="434"/>
      <c r="M45" s="434"/>
      <c r="N45" s="434"/>
    </row>
    <row r="46" spans="1:14" ht="15" customHeight="1" x14ac:dyDescent="0.25">
      <c r="A46" s="383"/>
      <c r="B46" s="200"/>
      <c r="C46" s="373"/>
      <c r="D46" s="373"/>
      <c r="E46" s="370"/>
      <c r="F46" s="371"/>
      <c r="G46" s="372"/>
      <c r="H46" s="372"/>
      <c r="I46" s="372"/>
      <c r="J46" s="372"/>
      <c r="L46" s="434"/>
      <c r="M46" s="434"/>
      <c r="N46" s="434"/>
    </row>
    <row r="47" spans="1:14" ht="15" customHeight="1" x14ac:dyDescent="0.25">
      <c r="A47" s="383"/>
      <c r="B47" s="200"/>
      <c r="C47" s="373"/>
      <c r="D47" s="373"/>
      <c r="E47" s="370"/>
      <c r="F47" s="371"/>
      <c r="G47" s="372"/>
      <c r="H47" s="372"/>
      <c r="I47" s="372"/>
      <c r="J47" s="372"/>
      <c r="L47" s="434"/>
      <c r="M47" s="434"/>
      <c r="N47" s="434"/>
    </row>
    <row r="48" spans="1:14" ht="15" customHeight="1" x14ac:dyDescent="0.25">
      <c r="A48" s="383"/>
      <c r="B48" s="200"/>
      <c r="C48" s="373"/>
      <c r="D48" s="373"/>
      <c r="E48" s="370"/>
      <c r="F48" s="371"/>
      <c r="G48" s="372"/>
      <c r="H48" s="372"/>
      <c r="I48" s="372"/>
      <c r="J48" s="372"/>
      <c r="L48" s="434"/>
      <c r="M48" s="434"/>
      <c r="N48" s="434"/>
    </row>
    <row r="49" spans="1:14" ht="15" customHeight="1" x14ac:dyDescent="0.25">
      <c r="A49" s="383"/>
      <c r="B49" s="200"/>
      <c r="C49" s="373"/>
      <c r="D49" s="373"/>
      <c r="E49" s="370"/>
      <c r="F49" s="371"/>
      <c r="G49" s="372"/>
      <c r="H49" s="372"/>
      <c r="I49" s="372"/>
      <c r="J49" s="372"/>
      <c r="L49" s="434"/>
      <c r="M49" s="434"/>
      <c r="N49" s="434"/>
    </row>
    <row r="50" spans="1:14" s="203" customFormat="1" ht="44.25" customHeight="1" x14ac:dyDescent="0.3">
      <c r="A50" s="383"/>
      <c r="B50" s="383" t="s">
        <v>249</v>
      </c>
      <c r="C50" s="384" t="s">
        <v>256</v>
      </c>
      <c r="D50" s="384"/>
      <c r="E50" s="385" t="s">
        <v>257</v>
      </c>
      <c r="F50" s="386"/>
      <c r="G50" s="387" t="s">
        <v>258</v>
      </c>
      <c r="H50" s="388"/>
      <c r="I50" s="388"/>
      <c r="J50" s="389"/>
    </row>
    <row r="51" spans="1:14" ht="68.25" customHeight="1" x14ac:dyDescent="0.25">
      <c r="A51" s="383"/>
      <c r="B51" s="383"/>
      <c r="C51" s="390" t="s">
        <v>376</v>
      </c>
      <c r="D51" s="391"/>
      <c r="E51" s="390" t="s">
        <v>377</v>
      </c>
      <c r="F51" s="391"/>
      <c r="G51" s="390" t="s">
        <v>378</v>
      </c>
      <c r="H51" s="392"/>
      <c r="I51" s="392"/>
      <c r="J51" s="391"/>
    </row>
    <row r="52" spans="1:14" ht="80.25" customHeight="1" x14ac:dyDescent="0.25">
      <c r="A52" s="383"/>
      <c r="B52" s="383"/>
      <c r="C52" s="390" t="s">
        <v>379</v>
      </c>
      <c r="D52" s="391"/>
      <c r="E52" s="390" t="s">
        <v>380</v>
      </c>
      <c r="F52" s="391"/>
      <c r="G52" s="390" t="s">
        <v>381</v>
      </c>
      <c r="H52" s="392"/>
      <c r="I52" s="392"/>
      <c r="J52" s="391"/>
    </row>
    <row r="53" spans="1:14" ht="93.75" customHeight="1" x14ac:dyDescent="0.25">
      <c r="A53" s="383"/>
      <c r="B53" s="383"/>
      <c r="C53" s="390" t="s">
        <v>382</v>
      </c>
      <c r="D53" s="391"/>
      <c r="E53" s="382" t="s">
        <v>383</v>
      </c>
      <c r="F53" s="382"/>
      <c r="G53" s="390"/>
      <c r="H53" s="392"/>
      <c r="I53" s="392"/>
      <c r="J53" s="391"/>
    </row>
    <row r="54" spans="1:14" ht="44.25" customHeight="1" x14ac:dyDescent="0.25">
      <c r="A54" s="383"/>
      <c r="B54" s="383"/>
      <c r="C54" s="373" t="s">
        <v>394</v>
      </c>
      <c r="D54" s="373"/>
      <c r="E54" s="382"/>
      <c r="F54" s="382"/>
      <c r="G54" s="373"/>
      <c r="H54" s="373"/>
      <c r="I54" s="373"/>
      <c r="J54" s="373"/>
    </row>
    <row r="55" spans="1:14" ht="44.25" customHeight="1" x14ac:dyDescent="0.25">
      <c r="A55" s="383"/>
      <c r="B55" s="383"/>
      <c r="C55" s="373"/>
      <c r="D55" s="373"/>
      <c r="E55" s="373"/>
      <c r="F55" s="373"/>
      <c r="G55" s="373"/>
      <c r="H55" s="373"/>
      <c r="I55" s="373"/>
      <c r="J55" s="373"/>
    </row>
    <row r="56" spans="1:14" ht="44.25" customHeight="1" x14ac:dyDescent="0.25">
      <c r="A56" s="383"/>
      <c r="B56" s="383"/>
      <c r="C56" s="373"/>
      <c r="D56" s="373"/>
      <c r="E56" s="373"/>
      <c r="F56" s="373"/>
      <c r="G56" s="373"/>
      <c r="H56" s="373"/>
      <c r="I56" s="373"/>
      <c r="J56" s="373"/>
    </row>
    <row r="57" spans="1:14" ht="44.25" customHeight="1" x14ac:dyDescent="0.25">
      <c r="A57" s="383"/>
      <c r="B57" s="383"/>
      <c r="C57" s="376"/>
      <c r="D57" s="377"/>
      <c r="E57" s="376"/>
      <c r="F57" s="377"/>
      <c r="G57" s="376"/>
      <c r="H57" s="378"/>
      <c r="I57" s="378"/>
      <c r="J57" s="377"/>
    </row>
    <row r="58" spans="1:14" ht="44.25" customHeight="1" x14ac:dyDescent="0.25">
      <c r="A58" s="383"/>
      <c r="B58" s="383"/>
      <c r="C58" s="376"/>
      <c r="D58" s="377"/>
      <c r="E58" s="376"/>
      <c r="F58" s="377"/>
      <c r="G58" s="376"/>
      <c r="H58" s="378"/>
      <c r="I58" s="378"/>
      <c r="J58" s="377"/>
    </row>
    <row r="59" spans="1:14" ht="44.25" customHeight="1" x14ac:dyDescent="0.25">
      <c r="A59" s="383"/>
      <c r="B59" s="383"/>
      <c r="C59" s="376"/>
      <c r="D59" s="377"/>
      <c r="E59" s="379"/>
      <c r="F59" s="380"/>
      <c r="G59" s="379"/>
      <c r="H59" s="381"/>
      <c r="I59" s="381"/>
      <c r="J59" s="380"/>
    </row>
    <row r="60" spans="1:14" ht="44.25" customHeight="1" x14ac:dyDescent="0.25">
      <c r="A60" s="383"/>
      <c r="B60" s="383"/>
      <c r="C60" s="376"/>
      <c r="D60" s="377"/>
      <c r="E60" s="376"/>
      <c r="F60" s="377"/>
      <c r="G60" s="376"/>
      <c r="H60" s="378"/>
      <c r="I60" s="378"/>
      <c r="J60" s="377"/>
    </row>
    <row r="61" spans="1:14" ht="44.25" customHeight="1" x14ac:dyDescent="0.25">
      <c r="A61" s="383"/>
      <c r="B61" s="383"/>
      <c r="C61" s="376"/>
      <c r="D61" s="377"/>
      <c r="E61" s="379"/>
      <c r="F61" s="380"/>
      <c r="G61" s="379"/>
      <c r="H61" s="381"/>
      <c r="I61" s="381"/>
      <c r="J61" s="380"/>
    </row>
    <row r="62" spans="1:14" ht="44.25" customHeight="1" x14ac:dyDescent="0.25">
      <c r="A62" s="383"/>
      <c r="B62" s="383"/>
      <c r="C62" s="376"/>
      <c r="D62" s="377"/>
      <c r="E62" s="376"/>
      <c r="F62" s="377"/>
      <c r="G62" s="376"/>
      <c r="H62" s="378"/>
      <c r="I62" s="378"/>
      <c r="J62" s="377"/>
    </row>
    <row r="63" spans="1:14" ht="44.25" customHeight="1" x14ac:dyDescent="0.25">
      <c r="A63" s="383"/>
      <c r="B63" s="383"/>
      <c r="C63" s="376"/>
      <c r="D63" s="377"/>
      <c r="E63" s="376"/>
      <c r="F63" s="377"/>
      <c r="G63" s="376"/>
      <c r="H63" s="378"/>
      <c r="I63" s="378"/>
      <c r="J63" s="377"/>
    </row>
    <row r="64" spans="1:14" ht="44.25" customHeight="1" x14ac:dyDescent="0.25">
      <c r="A64" s="383"/>
      <c r="B64" s="383"/>
      <c r="C64" s="373"/>
      <c r="D64" s="373"/>
      <c r="E64" s="373"/>
      <c r="F64" s="373"/>
      <c r="G64" s="373"/>
      <c r="H64" s="373"/>
      <c r="I64" s="373"/>
      <c r="J64" s="373"/>
    </row>
    <row r="65" spans="1:10" ht="44.25" customHeight="1" x14ac:dyDescent="0.25">
      <c r="A65" s="383"/>
      <c r="B65" s="383"/>
      <c r="C65" s="373"/>
      <c r="D65" s="373"/>
      <c r="E65" s="373"/>
      <c r="F65" s="373"/>
      <c r="G65" s="373"/>
      <c r="H65" s="373"/>
      <c r="I65" s="373"/>
      <c r="J65" s="373"/>
    </row>
    <row r="66" spans="1:10" ht="44.25" customHeight="1" x14ac:dyDescent="0.25">
      <c r="C66" s="183"/>
      <c r="D66" s="183"/>
      <c r="E66" s="375"/>
      <c r="F66" s="375"/>
      <c r="G66" s="375"/>
      <c r="H66" s="375"/>
      <c r="I66" s="375"/>
      <c r="J66" s="375"/>
    </row>
    <row r="67" spans="1:10" ht="44.25" customHeight="1" x14ac:dyDescent="0.25">
      <c r="C67" s="183"/>
      <c r="D67" s="183"/>
      <c r="E67" s="375"/>
      <c r="F67" s="375"/>
      <c r="G67" s="375"/>
      <c r="H67" s="375"/>
      <c r="I67" s="375"/>
      <c r="J67" s="375"/>
    </row>
    <row r="68" spans="1:10" ht="44.25" customHeight="1" x14ac:dyDescent="0.25">
      <c r="E68" s="374"/>
      <c r="F68" s="374"/>
      <c r="G68" s="374"/>
      <c r="H68" s="374"/>
      <c r="I68" s="374"/>
      <c r="J68" s="374"/>
    </row>
    <row r="69" spans="1:10" ht="44.25" customHeight="1" x14ac:dyDescent="0.25">
      <c r="E69" s="374"/>
      <c r="F69" s="374"/>
      <c r="G69" s="374"/>
      <c r="H69" s="374"/>
      <c r="I69" s="374"/>
      <c r="J69" s="374"/>
    </row>
    <row r="70" spans="1:10" ht="44.25" customHeight="1" x14ac:dyDescent="0.25">
      <c r="E70" s="374"/>
      <c r="F70" s="374"/>
      <c r="G70" s="374"/>
      <c r="H70" s="374"/>
      <c r="I70" s="374"/>
      <c r="J70" s="374"/>
    </row>
    <row r="71" spans="1:10" ht="44.25" customHeight="1" x14ac:dyDescent="0.25">
      <c r="E71" s="374"/>
      <c r="F71" s="374"/>
      <c r="G71" s="374"/>
      <c r="H71" s="374"/>
      <c r="I71" s="374"/>
      <c r="J71" s="374"/>
    </row>
    <row r="72" spans="1:10" ht="44.25" customHeight="1" x14ac:dyDescent="0.25">
      <c r="E72" s="374"/>
      <c r="F72" s="374"/>
      <c r="G72" s="374"/>
      <c r="H72" s="374"/>
      <c r="I72" s="374"/>
      <c r="J72" s="374"/>
    </row>
    <row r="73" spans="1:10" ht="44.25" customHeight="1" x14ac:dyDescent="0.25">
      <c r="E73" s="374"/>
      <c r="F73" s="374"/>
      <c r="G73" s="374"/>
      <c r="H73" s="374"/>
      <c r="I73" s="374"/>
      <c r="J73" s="374"/>
    </row>
    <row r="74" spans="1:10" ht="44.25" customHeight="1" x14ac:dyDescent="0.25">
      <c r="E74" s="374"/>
      <c r="F74" s="374"/>
      <c r="G74" s="374"/>
      <c r="H74" s="374"/>
      <c r="I74" s="374"/>
      <c r="J74" s="374"/>
    </row>
    <row r="75" spans="1:10" ht="44.25" customHeight="1" x14ac:dyDescent="0.25">
      <c r="E75" s="374"/>
      <c r="F75" s="374"/>
      <c r="G75" s="374"/>
      <c r="H75" s="374"/>
      <c r="I75" s="374"/>
      <c r="J75" s="374"/>
    </row>
    <row r="76" spans="1:10" ht="44.25" customHeight="1" x14ac:dyDescent="0.25">
      <c r="E76" s="374"/>
      <c r="F76" s="374"/>
      <c r="G76" s="374"/>
      <c r="H76" s="374"/>
      <c r="I76" s="374"/>
      <c r="J76" s="374"/>
    </row>
    <row r="77" spans="1:10" ht="44.25" customHeight="1" x14ac:dyDescent="0.25">
      <c r="E77" s="374"/>
      <c r="F77" s="374"/>
      <c r="G77" s="374"/>
      <c r="H77" s="374"/>
      <c r="I77" s="374"/>
      <c r="J77" s="374"/>
    </row>
    <row r="78" spans="1:10" ht="44.25" customHeight="1" x14ac:dyDescent="0.25">
      <c r="E78" s="374"/>
      <c r="F78" s="374"/>
      <c r="G78" s="374"/>
      <c r="H78" s="374"/>
      <c r="I78" s="374"/>
      <c r="J78" s="374"/>
    </row>
    <row r="79" spans="1:10" ht="44.25" customHeight="1" x14ac:dyDescent="0.25">
      <c r="E79" s="374"/>
      <c r="F79" s="374"/>
      <c r="G79" s="374"/>
      <c r="H79" s="374"/>
      <c r="I79" s="374"/>
      <c r="J79" s="374"/>
    </row>
    <row r="80" spans="1:10" ht="44.25" customHeight="1" x14ac:dyDescent="0.25">
      <c r="E80" s="374"/>
      <c r="F80" s="374"/>
      <c r="G80" s="374"/>
      <c r="H80" s="374"/>
      <c r="I80" s="374"/>
      <c r="J80" s="374"/>
    </row>
    <row r="81" spans="5:10" ht="44.25" customHeight="1" x14ac:dyDescent="0.25">
      <c r="E81" s="374"/>
      <c r="F81" s="374"/>
      <c r="G81" s="374"/>
      <c r="H81" s="374"/>
      <c r="I81" s="374"/>
      <c r="J81" s="374"/>
    </row>
    <row r="82" spans="5:10" ht="44.25" customHeight="1" x14ac:dyDescent="0.25">
      <c r="E82" s="374"/>
      <c r="F82" s="374"/>
      <c r="G82" s="374"/>
      <c r="H82" s="374"/>
      <c r="I82" s="374"/>
      <c r="J82" s="374"/>
    </row>
    <row r="83" spans="5:10" ht="44.25" customHeight="1" x14ac:dyDescent="0.25">
      <c r="E83" s="374"/>
      <c r="F83" s="374"/>
      <c r="G83" s="374"/>
      <c r="H83" s="374"/>
      <c r="I83" s="374"/>
      <c r="J83" s="374"/>
    </row>
    <row r="84" spans="5:10" ht="44.25" customHeight="1" x14ac:dyDescent="0.25">
      <c r="E84" s="374"/>
      <c r="F84" s="374"/>
      <c r="G84" s="374"/>
      <c r="H84" s="374"/>
      <c r="I84" s="374"/>
      <c r="J84" s="374"/>
    </row>
    <row r="85" spans="5:10" ht="44.25" customHeight="1" x14ac:dyDescent="0.25">
      <c r="E85" s="374"/>
      <c r="F85" s="374"/>
      <c r="G85" s="374"/>
      <c r="H85" s="374"/>
      <c r="I85" s="374"/>
      <c r="J85" s="374"/>
    </row>
    <row r="86" spans="5:10" ht="44.25" customHeight="1" x14ac:dyDescent="0.25">
      <c r="E86" s="374"/>
      <c r="F86" s="374"/>
      <c r="G86" s="374"/>
      <c r="H86" s="374"/>
      <c r="I86" s="374"/>
      <c r="J86" s="374"/>
    </row>
    <row r="87" spans="5:10" ht="44.25" customHeight="1" x14ac:dyDescent="0.25">
      <c r="E87" s="374"/>
      <c r="F87" s="374"/>
      <c r="G87" s="374"/>
      <c r="H87" s="374"/>
      <c r="I87" s="374"/>
      <c r="J87" s="374"/>
    </row>
    <row r="88" spans="5:10" ht="44.25" customHeight="1" x14ac:dyDescent="0.25">
      <c r="E88" s="374"/>
      <c r="F88" s="374"/>
      <c r="G88" s="374"/>
      <c r="H88" s="374"/>
      <c r="I88" s="374"/>
      <c r="J88" s="374"/>
    </row>
    <row r="89" spans="5:10" ht="44.25" customHeight="1" x14ac:dyDescent="0.25">
      <c r="E89" s="374"/>
      <c r="F89" s="374"/>
      <c r="G89" s="374"/>
      <c r="H89" s="374"/>
      <c r="I89" s="374"/>
      <c r="J89" s="374"/>
    </row>
    <row r="90" spans="5:10" ht="44.25" customHeight="1" x14ac:dyDescent="0.25">
      <c r="E90" s="374"/>
      <c r="F90" s="374"/>
      <c r="G90" s="374"/>
      <c r="H90" s="374"/>
      <c r="I90" s="374"/>
      <c r="J90" s="374"/>
    </row>
    <row r="91" spans="5:10" ht="44.25" customHeight="1" x14ac:dyDescent="0.25">
      <c r="E91" s="374"/>
      <c r="F91" s="374"/>
      <c r="G91" s="374"/>
      <c r="H91" s="374"/>
      <c r="I91" s="374"/>
      <c r="J91" s="374"/>
    </row>
    <row r="92" spans="5:10" ht="44.25" customHeight="1" x14ac:dyDescent="0.25">
      <c r="E92" s="374"/>
      <c r="F92" s="374"/>
      <c r="G92" s="374"/>
      <c r="H92" s="374"/>
      <c r="I92" s="374"/>
      <c r="J92" s="374"/>
    </row>
    <row r="93" spans="5:10" ht="44.25" customHeight="1" x14ac:dyDescent="0.25">
      <c r="E93" s="374"/>
      <c r="F93" s="374"/>
      <c r="G93" s="374"/>
      <c r="H93" s="374"/>
      <c r="I93" s="374"/>
      <c r="J93" s="374"/>
    </row>
    <row r="94" spans="5:10" ht="44.25" customHeight="1" x14ac:dyDescent="0.25">
      <c r="E94" s="374"/>
      <c r="F94" s="374"/>
      <c r="G94" s="374"/>
      <c r="H94" s="374"/>
      <c r="I94" s="374"/>
      <c r="J94" s="374"/>
    </row>
    <row r="95" spans="5:10" ht="44.25" customHeight="1" x14ac:dyDescent="0.25">
      <c r="E95" s="374"/>
      <c r="F95" s="374"/>
      <c r="G95" s="374"/>
      <c r="H95" s="374"/>
      <c r="I95" s="374"/>
      <c r="J95" s="374"/>
    </row>
    <row r="96" spans="5:10" ht="44.25" customHeight="1" x14ac:dyDescent="0.25">
      <c r="E96" s="374"/>
      <c r="F96" s="374"/>
      <c r="G96" s="374"/>
      <c r="H96" s="374"/>
      <c r="I96" s="374"/>
      <c r="J96" s="374"/>
    </row>
    <row r="97" spans="5:10" ht="44.25" customHeight="1" x14ac:dyDescent="0.25">
      <c r="E97" s="374"/>
      <c r="F97" s="374"/>
      <c r="G97" s="374"/>
      <c r="H97" s="374"/>
      <c r="I97" s="374"/>
      <c r="J97" s="374"/>
    </row>
    <row r="98" spans="5:10" ht="44.25" customHeight="1" x14ac:dyDescent="0.25">
      <c r="E98" s="374"/>
      <c r="F98" s="374"/>
      <c r="G98" s="374"/>
      <c r="H98" s="374"/>
      <c r="I98" s="374"/>
      <c r="J98" s="374"/>
    </row>
    <row r="99" spans="5:10" ht="44.25" customHeight="1" x14ac:dyDescent="0.25">
      <c r="E99" s="374"/>
      <c r="F99" s="374"/>
      <c r="G99" s="374"/>
      <c r="H99" s="374"/>
      <c r="I99" s="374"/>
      <c r="J99" s="374"/>
    </row>
    <row r="100" spans="5:10" ht="44.25" customHeight="1" x14ac:dyDescent="0.25">
      <c r="E100" s="374"/>
      <c r="F100" s="374"/>
      <c r="G100" s="374"/>
      <c r="H100" s="374"/>
      <c r="I100" s="374"/>
      <c r="J100" s="374"/>
    </row>
    <row r="101" spans="5:10" ht="44.25" customHeight="1" x14ac:dyDescent="0.25">
      <c r="E101" s="374"/>
      <c r="F101" s="374"/>
      <c r="G101" s="374"/>
      <c r="H101" s="374"/>
      <c r="I101" s="374"/>
      <c r="J101" s="374"/>
    </row>
    <row r="102" spans="5:10" ht="44.25" customHeight="1" x14ac:dyDescent="0.25">
      <c r="E102" s="374"/>
      <c r="F102" s="374"/>
      <c r="G102" s="374"/>
      <c r="H102" s="374"/>
      <c r="I102" s="374"/>
      <c r="J102" s="374"/>
    </row>
    <row r="103" spans="5:10" ht="44.25" customHeight="1" x14ac:dyDescent="0.25">
      <c r="E103" s="374"/>
      <c r="F103" s="374"/>
      <c r="G103" s="374"/>
      <c r="H103" s="374"/>
      <c r="I103" s="374"/>
      <c r="J103" s="374"/>
    </row>
    <row r="104" spans="5:10" ht="44.25" customHeight="1" x14ac:dyDescent="0.25">
      <c r="E104" s="374"/>
      <c r="F104" s="374"/>
      <c r="G104" s="374"/>
      <c r="H104" s="374"/>
      <c r="I104" s="374"/>
      <c r="J104" s="374"/>
    </row>
    <row r="105" spans="5:10" ht="44.25" customHeight="1" x14ac:dyDescent="0.25">
      <c r="E105" s="374"/>
      <c r="F105" s="374"/>
      <c r="G105" s="374"/>
      <c r="H105" s="374"/>
      <c r="I105" s="374"/>
      <c r="J105" s="374"/>
    </row>
    <row r="106" spans="5:10" ht="44.25" customHeight="1" x14ac:dyDescent="0.25">
      <c r="E106" s="374"/>
      <c r="F106" s="374"/>
      <c r="G106" s="374"/>
      <c r="H106" s="374"/>
      <c r="I106" s="374"/>
      <c r="J106" s="374"/>
    </row>
    <row r="107" spans="5:10" ht="44.25" customHeight="1" x14ac:dyDescent="0.25">
      <c r="E107" s="374"/>
      <c r="F107" s="374"/>
      <c r="G107" s="374"/>
      <c r="H107" s="374"/>
      <c r="I107" s="374"/>
      <c r="J107" s="374"/>
    </row>
    <row r="108" spans="5:10" ht="44.25" customHeight="1" x14ac:dyDescent="0.25">
      <c r="E108" s="374"/>
      <c r="F108" s="374"/>
      <c r="G108" s="374"/>
      <c r="H108" s="374"/>
      <c r="I108" s="374"/>
      <c r="J108" s="374"/>
    </row>
    <row r="109" spans="5:10" ht="44.25" customHeight="1" x14ac:dyDescent="0.25">
      <c r="E109" s="374"/>
      <c r="F109" s="374"/>
      <c r="G109" s="374"/>
      <c r="H109" s="374"/>
      <c r="I109" s="374"/>
      <c r="J109" s="374"/>
    </row>
    <row r="110" spans="5:10" ht="44.25" customHeight="1" x14ac:dyDescent="0.25">
      <c r="E110" s="374"/>
      <c r="F110" s="374"/>
      <c r="G110" s="374"/>
      <c r="H110" s="374"/>
      <c r="I110" s="374"/>
      <c r="J110" s="374"/>
    </row>
    <row r="111" spans="5:10" ht="44.25" customHeight="1" x14ac:dyDescent="0.25">
      <c r="E111" s="374"/>
      <c r="F111" s="374"/>
      <c r="G111" s="374"/>
      <c r="H111" s="374"/>
      <c r="I111" s="374"/>
      <c r="J111" s="374"/>
    </row>
    <row r="112" spans="5:10" ht="44.25" customHeight="1" x14ac:dyDescent="0.25">
      <c r="E112" s="374"/>
      <c r="F112" s="374"/>
      <c r="G112" s="374"/>
      <c r="H112" s="374"/>
      <c r="I112" s="374"/>
      <c r="J112" s="374"/>
    </row>
    <row r="113" spans="5:10" ht="44.25" customHeight="1" x14ac:dyDescent="0.25">
      <c r="E113" s="374"/>
      <c r="F113" s="374"/>
      <c r="G113" s="374"/>
      <c r="H113" s="374"/>
      <c r="I113" s="374"/>
      <c r="J113" s="374"/>
    </row>
    <row r="114" spans="5:10" ht="44.25" customHeight="1" x14ac:dyDescent="0.25">
      <c r="E114" s="374"/>
      <c r="F114" s="374"/>
      <c r="G114" s="374"/>
      <c r="H114" s="374"/>
      <c r="I114" s="374"/>
      <c r="J114" s="374"/>
    </row>
    <row r="115" spans="5:10" ht="44.25" customHeight="1" x14ac:dyDescent="0.25">
      <c r="E115" s="374"/>
      <c r="F115" s="374"/>
      <c r="G115" s="374"/>
      <c r="H115" s="374"/>
      <c r="I115" s="374"/>
      <c r="J115" s="374"/>
    </row>
    <row r="116" spans="5:10" ht="44.25" customHeight="1" x14ac:dyDescent="0.25">
      <c r="E116" s="374"/>
      <c r="F116" s="374"/>
      <c r="G116" s="374"/>
      <c r="H116" s="374"/>
      <c r="I116" s="374"/>
      <c r="J116" s="374"/>
    </row>
    <row r="117" spans="5:10" ht="44.25" customHeight="1" x14ac:dyDescent="0.25">
      <c r="E117" s="374"/>
      <c r="F117" s="374"/>
      <c r="G117" s="374"/>
      <c r="H117" s="374"/>
      <c r="I117" s="374"/>
      <c r="J117" s="374"/>
    </row>
    <row r="118" spans="5:10" ht="44.25" customHeight="1" x14ac:dyDescent="0.25">
      <c r="E118" s="374"/>
      <c r="F118" s="374"/>
      <c r="G118" s="374"/>
      <c r="H118" s="374"/>
      <c r="I118" s="374"/>
      <c r="J118" s="374"/>
    </row>
    <row r="119" spans="5:10" ht="44.25" customHeight="1" x14ac:dyDescent="0.25">
      <c r="E119" s="374"/>
      <c r="F119" s="374"/>
      <c r="G119" s="374"/>
      <c r="H119" s="374"/>
      <c r="I119" s="374"/>
      <c r="J119" s="374"/>
    </row>
    <row r="120" spans="5:10" ht="44.25" customHeight="1" x14ac:dyDescent="0.25">
      <c r="E120" s="374"/>
      <c r="F120" s="374"/>
      <c r="G120" s="374"/>
      <c r="H120" s="374"/>
      <c r="I120" s="374"/>
      <c r="J120" s="374"/>
    </row>
    <row r="121" spans="5:10" ht="44.25" customHeight="1" x14ac:dyDescent="0.25">
      <c r="E121" s="374"/>
      <c r="F121" s="374"/>
      <c r="G121" s="374"/>
      <c r="H121" s="374"/>
      <c r="I121" s="374"/>
      <c r="J121" s="374"/>
    </row>
    <row r="122" spans="5:10" ht="44.25" customHeight="1" x14ac:dyDescent="0.25">
      <c r="E122" s="374"/>
      <c r="F122" s="374"/>
      <c r="G122" s="374"/>
      <c r="H122" s="374"/>
      <c r="I122" s="374"/>
      <c r="J122" s="374"/>
    </row>
    <row r="123" spans="5:10" ht="44.25" customHeight="1" x14ac:dyDescent="0.25">
      <c r="E123" s="374"/>
      <c r="F123" s="374"/>
      <c r="G123" s="374"/>
      <c r="H123" s="374"/>
      <c r="I123" s="374"/>
      <c r="J123" s="374"/>
    </row>
    <row r="124" spans="5:10" ht="44.25" customHeight="1" x14ac:dyDescent="0.25">
      <c r="E124" s="374"/>
      <c r="F124" s="374"/>
      <c r="G124" s="374"/>
      <c r="H124" s="374"/>
      <c r="I124" s="374"/>
      <c r="J124" s="374"/>
    </row>
    <row r="125" spans="5:10" ht="44.25" customHeight="1" x14ac:dyDescent="0.25">
      <c r="E125" s="374"/>
      <c r="F125" s="374"/>
      <c r="G125" s="374"/>
      <c r="H125" s="374"/>
      <c r="I125" s="374"/>
      <c r="J125" s="374"/>
    </row>
    <row r="126" spans="5:10" ht="44.25" customHeight="1" x14ac:dyDescent="0.25">
      <c r="E126" s="374"/>
      <c r="F126" s="374"/>
      <c r="G126" s="374"/>
      <c r="H126" s="374"/>
      <c r="I126" s="374"/>
      <c r="J126" s="374"/>
    </row>
    <row r="127" spans="5:10" ht="44.25" customHeight="1" x14ac:dyDescent="0.25">
      <c r="E127" s="374"/>
      <c r="F127" s="374"/>
      <c r="G127" s="374"/>
      <c r="H127" s="374"/>
      <c r="I127" s="374"/>
      <c r="J127" s="374"/>
    </row>
    <row r="128" spans="5:10" ht="44.25" customHeight="1" x14ac:dyDescent="0.25">
      <c r="E128" s="374"/>
      <c r="F128" s="374"/>
      <c r="G128" s="374"/>
      <c r="H128" s="374"/>
      <c r="I128" s="374"/>
      <c r="J128" s="374"/>
    </row>
    <row r="129" spans="5:10" ht="44.25" customHeight="1" x14ac:dyDescent="0.25">
      <c r="E129" s="374"/>
      <c r="F129" s="374"/>
      <c r="G129" s="374"/>
      <c r="H129" s="374"/>
      <c r="I129" s="374"/>
      <c r="J129" s="374"/>
    </row>
    <row r="130" spans="5:10" ht="44.25" customHeight="1" x14ac:dyDescent="0.25">
      <c r="E130" s="374"/>
      <c r="F130" s="374"/>
      <c r="G130" s="374"/>
      <c r="H130" s="374"/>
      <c r="I130" s="374"/>
      <c r="J130" s="374"/>
    </row>
    <row r="131" spans="5:10" ht="44.25" customHeight="1" x14ac:dyDescent="0.25">
      <c r="E131" s="374"/>
      <c r="F131" s="374"/>
      <c r="G131" s="374"/>
      <c r="H131" s="374"/>
      <c r="I131" s="374"/>
      <c r="J131" s="374"/>
    </row>
    <row r="132" spans="5:10" ht="44.25" customHeight="1" x14ac:dyDescent="0.25">
      <c r="E132" s="374"/>
      <c r="F132" s="374"/>
      <c r="G132" s="374"/>
      <c r="H132" s="374"/>
      <c r="I132" s="374"/>
      <c r="J132" s="374"/>
    </row>
    <row r="133" spans="5:10" ht="44.25" customHeight="1" x14ac:dyDescent="0.25">
      <c r="E133" s="374"/>
      <c r="F133" s="374"/>
      <c r="G133" s="374"/>
      <c r="H133" s="374"/>
      <c r="I133" s="374"/>
      <c r="J133" s="374"/>
    </row>
    <row r="134" spans="5:10" ht="44.25" customHeight="1" x14ac:dyDescent="0.25">
      <c r="E134" s="374"/>
      <c r="F134" s="374"/>
      <c r="G134" s="374"/>
      <c r="H134" s="374"/>
      <c r="I134" s="374"/>
      <c r="J134" s="374"/>
    </row>
    <row r="135" spans="5:10" ht="44.25" customHeight="1" x14ac:dyDescent="0.25">
      <c r="E135" s="374"/>
      <c r="F135" s="374"/>
      <c r="G135" s="374"/>
      <c r="H135" s="374"/>
      <c r="I135" s="374"/>
      <c r="J135" s="374"/>
    </row>
    <row r="136" spans="5:10" ht="44.25" customHeight="1" x14ac:dyDescent="0.25">
      <c r="E136" s="374"/>
      <c r="F136" s="374"/>
      <c r="G136" s="374"/>
      <c r="H136" s="374"/>
      <c r="I136" s="374"/>
      <c r="J136" s="374"/>
    </row>
    <row r="137" spans="5:10" ht="44.25" customHeight="1" x14ac:dyDescent="0.25">
      <c r="E137" s="374"/>
      <c r="F137" s="374"/>
      <c r="G137" s="374"/>
      <c r="H137" s="374"/>
      <c r="I137" s="374"/>
      <c r="J137" s="374"/>
    </row>
    <row r="138" spans="5:10" ht="44.25" customHeight="1" x14ac:dyDescent="0.25">
      <c r="E138" s="374"/>
      <c r="F138" s="374"/>
      <c r="G138" s="374"/>
      <c r="H138" s="374"/>
      <c r="I138" s="374"/>
      <c r="J138" s="374"/>
    </row>
    <row r="139" spans="5:10" ht="44.25" customHeight="1" x14ac:dyDescent="0.25">
      <c r="E139" s="374"/>
      <c r="F139" s="374"/>
      <c r="G139" s="374"/>
      <c r="H139" s="374"/>
      <c r="I139" s="374"/>
      <c r="J139" s="374"/>
    </row>
    <row r="140" spans="5:10" ht="44.25" customHeight="1" x14ac:dyDescent="0.25">
      <c r="E140" s="374"/>
      <c r="F140" s="374"/>
      <c r="G140" s="374"/>
      <c r="H140" s="374"/>
      <c r="I140" s="374"/>
      <c r="J140" s="374"/>
    </row>
    <row r="141" spans="5:10" ht="44.25" customHeight="1" x14ac:dyDescent="0.25">
      <c r="E141" s="374"/>
      <c r="F141" s="374"/>
      <c r="G141" s="374"/>
      <c r="H141" s="374"/>
      <c r="I141" s="374"/>
      <c r="J141" s="374"/>
    </row>
    <row r="142" spans="5:10" ht="44.25" customHeight="1" x14ac:dyDescent="0.25">
      <c r="E142" s="374"/>
      <c r="F142" s="374"/>
      <c r="G142" s="374"/>
      <c r="H142" s="374"/>
      <c r="I142" s="374"/>
      <c r="J142" s="374"/>
    </row>
    <row r="143" spans="5:10" ht="44.25" customHeight="1" x14ac:dyDescent="0.25">
      <c r="E143" s="374"/>
      <c r="F143" s="374"/>
      <c r="G143" s="374"/>
      <c r="H143" s="374"/>
      <c r="I143" s="374"/>
      <c r="J143" s="374"/>
    </row>
  </sheetData>
  <mergeCells count="323">
    <mergeCell ref="C1:G2"/>
    <mergeCell ref="C3:G4"/>
    <mergeCell ref="A1:B4"/>
    <mergeCell ref="M26:P29"/>
    <mergeCell ref="C39:D39"/>
    <mergeCell ref="E39:F39"/>
    <mergeCell ref="G39:J39"/>
    <mergeCell ref="C40:D40"/>
    <mergeCell ref="E40:F40"/>
    <mergeCell ref="G40:J40"/>
    <mergeCell ref="G34:J34"/>
    <mergeCell ref="C35:D35"/>
    <mergeCell ref="E35:F35"/>
    <mergeCell ref="G35:J35"/>
    <mergeCell ref="C32:D32"/>
    <mergeCell ref="E32:F32"/>
    <mergeCell ref="G32:J32"/>
    <mergeCell ref="C33:D33"/>
    <mergeCell ref="E33:F33"/>
    <mergeCell ref="G33:J33"/>
    <mergeCell ref="L39:N49"/>
    <mergeCell ref="C48:D48"/>
    <mergeCell ref="E48:F48"/>
    <mergeCell ref="G48:J48"/>
    <mergeCell ref="C45:D45"/>
    <mergeCell ref="E45:F45"/>
    <mergeCell ref="C41:D41"/>
    <mergeCell ref="A5:J5"/>
    <mergeCell ref="A6:J7"/>
    <mergeCell ref="I1:J4"/>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65"/>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B50:B65"/>
    <mergeCell ref="C50:D50"/>
    <mergeCell ref="E50:F50"/>
    <mergeCell ref="G50:J50"/>
    <mergeCell ref="C51:D51"/>
    <mergeCell ref="E51:F51"/>
    <mergeCell ref="G51:J51"/>
    <mergeCell ref="C36:D36"/>
    <mergeCell ref="E36:F36"/>
    <mergeCell ref="G36:J36"/>
    <mergeCell ref="C37:D37"/>
    <mergeCell ref="E37:F37"/>
    <mergeCell ref="G37:J37"/>
    <mergeCell ref="C52:D52"/>
    <mergeCell ref="E52:F52"/>
    <mergeCell ref="G52:J52"/>
    <mergeCell ref="C53:D53"/>
    <mergeCell ref="E53:F53"/>
    <mergeCell ref="G53:J53"/>
    <mergeCell ref="C38:D38"/>
    <mergeCell ref="E38:F38"/>
    <mergeCell ref="G38:J38"/>
    <mergeCell ref="C56:D56"/>
    <mergeCell ref="E56:F56"/>
    <mergeCell ref="G56:J56"/>
    <mergeCell ref="C57:D57"/>
    <mergeCell ref="E57:F57"/>
    <mergeCell ref="G57:J57"/>
    <mergeCell ref="C54:D54"/>
    <mergeCell ref="E54:F54"/>
    <mergeCell ref="G54:J54"/>
    <mergeCell ref="C55:D55"/>
    <mergeCell ref="E55:F55"/>
    <mergeCell ref="G55:J55"/>
    <mergeCell ref="C60:D60"/>
    <mergeCell ref="E60:F60"/>
    <mergeCell ref="G60:J60"/>
    <mergeCell ref="C61:D61"/>
    <mergeCell ref="E61:F61"/>
    <mergeCell ref="G61:J61"/>
    <mergeCell ref="C58:D58"/>
    <mergeCell ref="E58:F58"/>
    <mergeCell ref="G58:J58"/>
    <mergeCell ref="C59:D59"/>
    <mergeCell ref="E59:F59"/>
    <mergeCell ref="G59:J59"/>
    <mergeCell ref="C64:D64"/>
    <mergeCell ref="E64:F64"/>
    <mergeCell ref="G64:J64"/>
    <mergeCell ref="C65:D65"/>
    <mergeCell ref="E65:F65"/>
    <mergeCell ref="G65:J65"/>
    <mergeCell ref="C62:D62"/>
    <mergeCell ref="E62:F62"/>
    <mergeCell ref="G62:J62"/>
    <mergeCell ref="C63:D63"/>
    <mergeCell ref="E63:F63"/>
    <mergeCell ref="G63:J63"/>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35:F135"/>
    <mergeCell ref="G135:J135"/>
    <mergeCell ref="E136:F136"/>
    <mergeCell ref="G136:J136"/>
    <mergeCell ref="E137:F137"/>
    <mergeCell ref="G137:J137"/>
    <mergeCell ref="E132:F132"/>
    <mergeCell ref="G132:J132"/>
    <mergeCell ref="E133:F133"/>
    <mergeCell ref="G133:J133"/>
    <mergeCell ref="E134:F134"/>
    <mergeCell ref="G134:J134"/>
    <mergeCell ref="E141:F141"/>
    <mergeCell ref="G141:J141"/>
    <mergeCell ref="E142:F142"/>
    <mergeCell ref="G142:J142"/>
    <mergeCell ref="E143:F143"/>
    <mergeCell ref="G143:J143"/>
    <mergeCell ref="E138:F138"/>
    <mergeCell ref="G138:J138"/>
    <mergeCell ref="E139:F139"/>
    <mergeCell ref="G139:J139"/>
    <mergeCell ref="E140:F140"/>
    <mergeCell ref="G140:J140"/>
    <mergeCell ref="E41:F41"/>
    <mergeCell ref="G41:J41"/>
    <mergeCell ref="C42:D42"/>
    <mergeCell ref="E42:F42"/>
    <mergeCell ref="G45:J45"/>
    <mergeCell ref="C49:D49"/>
    <mergeCell ref="E49:F49"/>
    <mergeCell ref="G49:J49"/>
    <mergeCell ref="C43:D43"/>
    <mergeCell ref="E43:F43"/>
    <mergeCell ref="G43:J43"/>
    <mergeCell ref="C46:D46"/>
    <mergeCell ref="E46:F46"/>
    <mergeCell ref="G46:J46"/>
    <mergeCell ref="C47:D47"/>
    <mergeCell ref="E47:F47"/>
    <mergeCell ref="G47:J47"/>
    <mergeCell ref="G42:J42"/>
    <mergeCell ref="E44:F44"/>
    <mergeCell ref="G44:J44"/>
    <mergeCell ref="C44:D4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S71"/>
  <sheetViews>
    <sheetView zoomScale="85" zoomScaleNormal="85" zoomScaleSheetLayoutView="30" workbookViewId="0">
      <pane ySplit="1" topLeftCell="A34" activePane="bottomLeft" state="frozen"/>
      <selection pane="bottomLeft" activeCell="H10" sqref="H10:H15"/>
    </sheetView>
  </sheetViews>
  <sheetFormatPr baseColWidth="10" defaultColWidth="11.44140625" defaultRowHeight="13.8" x14ac:dyDescent="0.25"/>
  <cols>
    <col min="1" max="1" width="4" style="2" bestFit="1" customWidth="1"/>
    <col min="2" max="2" width="7.44140625" style="2" customWidth="1"/>
    <col min="3" max="3" width="15.5546875" style="207" customWidth="1"/>
    <col min="4" max="4" width="9.6640625" style="207" customWidth="1"/>
    <col min="5" max="5" width="19.6640625" style="213" customWidth="1"/>
    <col min="6" max="6" width="28.5546875" style="205" customWidth="1"/>
    <col min="7" max="7" width="5.6640625" style="215" customWidth="1"/>
    <col min="8" max="8" width="15.5546875" style="1" customWidth="1"/>
    <col min="9" max="9" width="7.6640625" style="4" customWidth="1"/>
    <col min="10" max="10" width="9.109375" style="1" customWidth="1"/>
    <col min="11" max="11" width="7.33203125" style="215" customWidth="1"/>
    <col min="12" max="12" width="6.6640625" style="1" customWidth="1"/>
    <col min="13" max="13" width="9" style="1" customWidth="1"/>
    <col min="14" max="14" width="28.33203125" style="1" hidden="1" customWidth="1"/>
    <col min="15" max="15" width="6" style="215" customWidth="1"/>
    <col min="16" max="16" width="7.6640625" style="1" customWidth="1"/>
    <col min="17" max="17" width="7" style="215" customWidth="1"/>
    <col min="18" max="18" width="5.88671875" style="1" customWidth="1"/>
    <col min="19" max="19" width="51.5546875" style="1" customWidth="1"/>
    <col min="20" max="20" width="5.88671875" style="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6.6640625" style="1" customWidth="1"/>
    <col min="28" max="28" width="5.88671875" style="1" customWidth="1"/>
    <col min="29" max="29" width="7.44140625" style="1" customWidth="1"/>
    <col min="30" max="30" width="4.33203125" style="1" customWidth="1"/>
    <col min="31" max="31" width="9.109375" style="1" customWidth="1"/>
    <col min="32" max="32" width="3.88671875" style="1" customWidth="1"/>
    <col min="33" max="33" width="7.33203125" style="1" customWidth="1"/>
    <col min="34" max="34" width="44.33203125" style="1" customWidth="1"/>
    <col min="35" max="35" width="12.109375" style="1" customWidth="1"/>
    <col min="36" max="36" width="9.109375" style="215" customWidth="1"/>
    <col min="37" max="37" width="8.109375" style="1" customWidth="1"/>
    <col min="38" max="38" width="5.109375" style="1" customWidth="1"/>
    <col min="39" max="39" width="10.33203125" style="1" customWidth="1"/>
    <col min="40" max="16384" width="11.44140625" style="1"/>
  </cols>
  <sheetData>
    <row r="1" spans="1:71" ht="16.5" customHeight="1" x14ac:dyDescent="0.25">
      <c r="A1" s="438" t="s">
        <v>139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40"/>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4" customHeight="1" x14ac:dyDescent="0.25">
      <c r="A2" s="44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3"/>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25">
      <c r="A3" s="26"/>
      <c r="B3" s="27"/>
      <c r="C3" s="27"/>
      <c r="D3" s="27"/>
      <c r="E3" s="212"/>
      <c r="F3" s="204"/>
      <c r="G3" s="214"/>
      <c r="H3" s="7"/>
      <c r="I3" s="25"/>
      <c r="J3" s="7"/>
      <c r="K3" s="214"/>
      <c r="L3" s="7"/>
      <c r="M3" s="7"/>
      <c r="N3" s="7"/>
      <c r="O3" s="214"/>
      <c r="P3" s="7"/>
      <c r="Q3" s="214"/>
      <c r="R3" s="7"/>
      <c r="S3" s="7"/>
      <c r="T3" s="7"/>
      <c r="U3" s="7"/>
      <c r="V3" s="7"/>
      <c r="W3" s="7"/>
      <c r="X3" s="7"/>
      <c r="Y3" s="7"/>
      <c r="Z3" s="7"/>
      <c r="AA3" s="7"/>
      <c r="AB3" s="7"/>
      <c r="AC3" s="7"/>
      <c r="AD3" s="7"/>
      <c r="AE3" s="7"/>
      <c r="AF3" s="7"/>
      <c r="AG3" s="7"/>
      <c r="AH3" s="7"/>
      <c r="AI3" s="7"/>
      <c r="AJ3" s="214"/>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25" customHeight="1" x14ac:dyDescent="0.25">
      <c r="A4" s="536" t="s">
        <v>43</v>
      </c>
      <c r="B4" s="537"/>
      <c r="C4" s="435" t="s">
        <v>360</v>
      </c>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30" customHeight="1" x14ac:dyDescent="0.25">
      <c r="A5" s="536" t="s">
        <v>125</v>
      </c>
      <c r="B5" s="537"/>
      <c r="C5" s="436" t="s">
        <v>361</v>
      </c>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49.5" customHeight="1" x14ac:dyDescent="0.25">
      <c r="A6" s="536" t="s">
        <v>44</v>
      </c>
      <c r="B6" s="537"/>
      <c r="C6" s="437" t="s">
        <v>362</v>
      </c>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x14ac:dyDescent="0.25">
      <c r="A7" s="444" t="s">
        <v>134</v>
      </c>
      <c r="B7" s="445"/>
      <c r="C7" s="446"/>
      <c r="D7" s="446"/>
      <c r="E7" s="446"/>
      <c r="F7" s="446"/>
      <c r="G7" s="446"/>
      <c r="H7" s="446"/>
      <c r="I7" s="446"/>
      <c r="J7" s="447"/>
      <c r="K7" s="448" t="s">
        <v>135</v>
      </c>
      <c r="L7" s="446"/>
      <c r="M7" s="446"/>
      <c r="N7" s="446"/>
      <c r="O7" s="446"/>
      <c r="P7" s="446"/>
      <c r="Q7" s="447"/>
      <c r="R7" s="448" t="s">
        <v>136</v>
      </c>
      <c r="S7" s="446"/>
      <c r="T7" s="446"/>
      <c r="U7" s="446"/>
      <c r="V7" s="446"/>
      <c r="W7" s="446"/>
      <c r="X7" s="446"/>
      <c r="Y7" s="446"/>
      <c r="Z7" s="447"/>
      <c r="AA7" s="448" t="s">
        <v>137</v>
      </c>
      <c r="AB7" s="446"/>
      <c r="AC7" s="446"/>
      <c r="AD7" s="446"/>
      <c r="AE7" s="446"/>
      <c r="AF7" s="446"/>
      <c r="AG7" s="447"/>
      <c r="AH7" s="448" t="s">
        <v>34</v>
      </c>
      <c r="AI7" s="446"/>
      <c r="AJ7" s="446"/>
      <c r="AK7" s="446"/>
      <c r="AL7" s="446"/>
      <c r="AM7" s="44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6.5" customHeight="1" x14ac:dyDescent="0.25">
      <c r="A8" s="538" t="s">
        <v>0</v>
      </c>
      <c r="B8" s="554" t="s">
        <v>2</v>
      </c>
      <c r="C8" s="544" t="s">
        <v>3</v>
      </c>
      <c r="D8" s="544" t="s">
        <v>42</v>
      </c>
      <c r="E8" s="555" t="s">
        <v>203</v>
      </c>
      <c r="F8" s="542" t="s">
        <v>1</v>
      </c>
      <c r="G8" s="216"/>
      <c r="H8" s="130"/>
      <c r="I8" s="540" t="s">
        <v>50</v>
      </c>
      <c r="J8" s="541" t="s">
        <v>130</v>
      </c>
      <c r="K8" s="549" t="s">
        <v>33</v>
      </c>
      <c r="L8" s="551" t="s">
        <v>5</v>
      </c>
      <c r="M8" s="540" t="s">
        <v>86</v>
      </c>
      <c r="N8" s="540" t="s">
        <v>91</v>
      </c>
      <c r="O8" s="552" t="s">
        <v>45</v>
      </c>
      <c r="P8" s="551" t="s">
        <v>5</v>
      </c>
      <c r="Q8" s="550" t="s">
        <v>48</v>
      </c>
      <c r="R8" s="546" t="s">
        <v>11</v>
      </c>
      <c r="S8" s="534" t="s">
        <v>152</v>
      </c>
      <c r="T8" s="540" t="s">
        <v>12</v>
      </c>
      <c r="U8" s="534" t="s">
        <v>8</v>
      </c>
      <c r="V8" s="534"/>
      <c r="W8" s="534"/>
      <c r="X8" s="534"/>
      <c r="Y8" s="534"/>
      <c r="Z8" s="534"/>
      <c r="AA8" s="548" t="s">
        <v>133</v>
      </c>
      <c r="AB8" s="548" t="s">
        <v>46</v>
      </c>
      <c r="AC8" s="548" t="s">
        <v>5</v>
      </c>
      <c r="AD8" s="548" t="s">
        <v>47</v>
      </c>
      <c r="AE8" s="548" t="s">
        <v>5</v>
      </c>
      <c r="AF8" s="548" t="s">
        <v>49</v>
      </c>
      <c r="AG8" s="546" t="s">
        <v>29</v>
      </c>
      <c r="AH8" s="534" t="s">
        <v>34</v>
      </c>
      <c r="AI8" s="534" t="s">
        <v>35</v>
      </c>
      <c r="AJ8" s="535" t="s">
        <v>36</v>
      </c>
      <c r="AK8" s="534" t="s">
        <v>38</v>
      </c>
      <c r="AL8" s="534" t="s">
        <v>37</v>
      </c>
      <c r="AM8" s="534" t="s">
        <v>39</v>
      </c>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s="3" customFormat="1" ht="94.5" customHeight="1" x14ac:dyDescent="0.3">
      <c r="A9" s="539"/>
      <c r="B9" s="554"/>
      <c r="C9" s="545"/>
      <c r="D9" s="545"/>
      <c r="E9" s="556"/>
      <c r="F9" s="543"/>
      <c r="G9" s="216" t="s">
        <v>259</v>
      </c>
      <c r="H9" s="130" t="s">
        <v>204</v>
      </c>
      <c r="I9" s="541"/>
      <c r="J9" s="534"/>
      <c r="K9" s="550"/>
      <c r="L9" s="448"/>
      <c r="M9" s="541"/>
      <c r="N9" s="541"/>
      <c r="O9" s="553"/>
      <c r="P9" s="448"/>
      <c r="Q9" s="535"/>
      <c r="R9" s="547"/>
      <c r="S9" s="534"/>
      <c r="T9" s="541"/>
      <c r="U9" s="6" t="s">
        <v>13</v>
      </c>
      <c r="V9" s="6" t="s">
        <v>17</v>
      </c>
      <c r="W9" s="6" t="s">
        <v>28</v>
      </c>
      <c r="X9" s="6" t="s">
        <v>18</v>
      </c>
      <c r="Y9" s="6" t="s">
        <v>21</v>
      </c>
      <c r="Z9" s="6" t="s">
        <v>24</v>
      </c>
      <c r="AA9" s="548"/>
      <c r="AB9" s="548"/>
      <c r="AC9" s="548"/>
      <c r="AD9" s="548"/>
      <c r="AE9" s="548"/>
      <c r="AF9" s="548"/>
      <c r="AG9" s="547"/>
      <c r="AH9" s="534"/>
      <c r="AI9" s="534"/>
      <c r="AJ9" s="535"/>
      <c r="AK9" s="534"/>
      <c r="AL9" s="534"/>
      <c r="AM9" s="53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s="232" customFormat="1" ht="375.75" customHeight="1" x14ac:dyDescent="0.3">
      <c r="A10" s="485">
        <v>1</v>
      </c>
      <c r="B10" s="512" t="s">
        <v>129</v>
      </c>
      <c r="C10" s="557" t="s">
        <v>417</v>
      </c>
      <c r="D10" s="560" t="s">
        <v>363</v>
      </c>
      <c r="E10" s="218" t="str">
        <f>'Priorizacion de Causas'!B35</f>
        <v>Deficiente seguimiento por parte de los ordenadores del gasto  en la ejecución presupuestal</v>
      </c>
      <c r="F10" s="563" t="s">
        <v>420</v>
      </c>
      <c r="G10" s="569" t="s">
        <v>364</v>
      </c>
      <c r="H10" s="566" t="s">
        <v>365</v>
      </c>
      <c r="I10" s="578" t="s">
        <v>118</v>
      </c>
      <c r="J10" s="522">
        <f>11+3</f>
        <v>14</v>
      </c>
      <c r="K10" s="509" t="str">
        <f>IF(J10&lt;=0,"",IF(J10&lt;=2,"Muy Baja",IF(J10&lt;=24,"Baja",IF(J10&lt;=500,"Media",IF(J10&lt;=5000,"Alta","Muy Alta")))))</f>
        <v>Baja</v>
      </c>
      <c r="L10" s="479">
        <f>IF(K10="","",IF(K10="Muy Baja",0.2,IF(K10="Baja",0.4,IF(K10="Media",0.6,IF(K10="Alta",0.8,IF(K10="Muy Alta",1,))))))</f>
        <v>0.4</v>
      </c>
      <c r="M10" s="525" t="s">
        <v>213</v>
      </c>
      <c r="N10" s="479" t="str">
        <f>IF(NOT(ISERROR(MATCH(M10,'Tabla Impacto'!$B$221:$B$223,0))),'Tabla Impacto'!$F$223&amp;"Por favor no seleccionar los criterios de impacto(Afectación Económica o presupuestal y Pérdida Reputacional)",M10)</f>
        <v xml:space="preserve">     Mayor a 10000 SMLMV</v>
      </c>
      <c r="O10" s="509"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479">
        <f>IF(O10="","",IF(O10="Leve",0.2,IF(O10="Menor",0.4,IF(O10="Moderado",0.6,IF(O10="Mayor",0.8,IF(O10="Catastrófico",1,))))))</f>
        <v>1</v>
      </c>
      <c r="Q10" s="48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219">
        <v>1</v>
      </c>
      <c r="S10" s="104" t="str">
        <f>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220" t="str">
        <f t="shared" ref="T10:T40" si="0">IF(OR(U10="Preventivo",U10="Detectivo"),"Probabilidad",IF(U10="Correctivo","Impacto",""))</f>
        <v>Probabilidad</v>
      </c>
      <c r="U10" s="221" t="s">
        <v>14</v>
      </c>
      <c r="V10" s="221" t="s">
        <v>9</v>
      </c>
      <c r="W10" s="222" t="str">
        <f t="shared" ref="W10:W40" si="1">IF(AND(U10="Preventivo",V10="Automático"),"50%",IF(AND(U10="Preventivo",V10="Manual"),"40%",IF(AND(U10="Detectivo",V10="Automático"),"40%",IF(AND(U10="Detectivo",V10="Manual"),"30%",IF(AND(U10="Correctivo",V10="Automático"),"35%",IF(AND(U10="Correctivo",V10="Manual"),"25%",""))))))</f>
        <v>40%</v>
      </c>
      <c r="X10" s="221" t="s">
        <v>19</v>
      </c>
      <c r="Y10" s="221" t="s">
        <v>22</v>
      </c>
      <c r="Z10" s="221" t="s">
        <v>114</v>
      </c>
      <c r="AA10" s="223">
        <f>IFERROR(IF(T10="Probabilidad",(L10-(+L10*W10)),IF(T10="Impacto",L10,"")),"")</f>
        <v>0.24</v>
      </c>
      <c r="AB10" s="224" t="str">
        <f t="shared" ref="AB10:AB40" si="2">IFERROR(IF(AA10="","",IF(AA10&lt;=0.2,"Muy Baja",IF(AA10&lt;=0.4,"Baja",IF(AA10&lt;=0.6,"Media",IF(AA10&lt;=0.8,"Alta","Muy Alta"))))),"")</f>
        <v>Baja</v>
      </c>
      <c r="AC10" s="225">
        <f t="shared" ref="AC10:AC40" si="3">+AA10</f>
        <v>0.24</v>
      </c>
      <c r="AD10" s="224" t="str">
        <f t="shared" ref="AD10:AD40" si="4">IFERROR(IF(AE10="","",IF(AE10&lt;=0.2,"Leve",IF(AE10&lt;=0.4,"Menor",IF(AE10&lt;=0.6,"Moderado",IF(AE10&lt;=0.8,"Mayor","Catastrófico"))))),"")</f>
        <v>Catastrófico</v>
      </c>
      <c r="AE10" s="225">
        <f>IFERROR(IF(T10="Impacto",(P10-(+P10*W10)),IF(T10="Probabilidad",P10,"")),"")</f>
        <v>1</v>
      </c>
      <c r="AF10" s="226" t="str">
        <f t="shared" ref="AF10:AF40"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227" t="s">
        <v>131</v>
      </c>
      <c r="AH10" s="104" t="s">
        <v>421</v>
      </c>
      <c r="AI10" s="104" t="s">
        <v>410</v>
      </c>
      <c r="AJ10" s="228">
        <v>45352</v>
      </c>
      <c r="AK10" s="229"/>
      <c r="AL10" s="104"/>
      <c r="AM10" s="230" t="s">
        <v>41</v>
      </c>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row>
    <row r="11" spans="1:71" s="232" customFormat="1" hidden="1" x14ac:dyDescent="0.3">
      <c r="A11" s="486"/>
      <c r="B11" s="513"/>
      <c r="C11" s="558"/>
      <c r="D11" s="561"/>
      <c r="E11" s="218"/>
      <c r="F11" s="564"/>
      <c r="G11" s="570"/>
      <c r="H11" s="567"/>
      <c r="I11" s="579"/>
      <c r="J11" s="523"/>
      <c r="K11" s="510"/>
      <c r="L11" s="480"/>
      <c r="M11" s="526"/>
      <c r="N11" s="480">
        <f>IF(NOT(ISERROR(MATCH(M11,_xlfn.ANCHORARRAY(F22),0))),L24&amp;"Por favor no seleccionar los criterios de impacto",M11)</f>
        <v>0</v>
      </c>
      <c r="O11" s="510"/>
      <c r="P11" s="480"/>
      <c r="Q11" s="483"/>
      <c r="R11" s="219">
        <v>2</v>
      </c>
      <c r="S11" s="104"/>
      <c r="T11" s="220" t="str">
        <f t="shared" si="0"/>
        <v/>
      </c>
      <c r="U11" s="221"/>
      <c r="V11" s="221"/>
      <c r="W11" s="222" t="str">
        <f t="shared" si="1"/>
        <v/>
      </c>
      <c r="X11" s="221"/>
      <c r="Y11" s="221"/>
      <c r="Z11" s="221"/>
      <c r="AA11" s="223" t="str">
        <f>IFERROR(IF(AND(T10="Probabilidad",T11="Probabilidad"),(AC10-(+AC10*W11)),IF(AND(T10="Impacto",T11="Probabilidad"),(L10-(+L10*W11)),IF(T11="Impacto",AC10,""))),"")</f>
        <v/>
      </c>
      <c r="AB11" s="224" t="str">
        <f t="shared" si="2"/>
        <v/>
      </c>
      <c r="AC11" s="225" t="str">
        <f t="shared" si="3"/>
        <v/>
      </c>
      <c r="AD11" s="224" t="str">
        <f t="shared" si="4"/>
        <v/>
      </c>
      <c r="AE11" s="225" t="str">
        <f>IFERROR(IF(AND(T10="Impacto",T11="Impacto"),(AE10-(+AE10*W11)),IF(AND(T10="Probabilidad",T11="Impacto"),(P10-(+P10*W11)),IF(T11="Probabilidad",AE10,""))),"")</f>
        <v/>
      </c>
      <c r="AF11" s="226" t="str">
        <f t="shared" si="5"/>
        <v/>
      </c>
      <c r="AG11" s="227"/>
      <c r="AH11" s="104"/>
      <c r="AI11" s="230"/>
      <c r="AJ11" s="228"/>
      <c r="AK11" s="229"/>
      <c r="AL11" s="104"/>
      <c r="AM11" s="230"/>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row>
    <row r="12" spans="1:71" s="232" customFormat="1" ht="16.5" hidden="1" customHeight="1" x14ac:dyDescent="0.3">
      <c r="A12" s="486"/>
      <c r="B12" s="513"/>
      <c r="C12" s="558"/>
      <c r="D12" s="561"/>
      <c r="E12" s="233"/>
      <c r="F12" s="564"/>
      <c r="G12" s="570"/>
      <c r="H12" s="567"/>
      <c r="I12" s="579"/>
      <c r="J12" s="523"/>
      <c r="K12" s="510"/>
      <c r="L12" s="480"/>
      <c r="M12" s="526"/>
      <c r="N12" s="480">
        <f>IF(NOT(ISERROR(MATCH(M12,_xlfn.ANCHORARRAY(F23),0))),L25&amp;"Por favor no seleccionar los criterios de impacto",M12)</f>
        <v>0</v>
      </c>
      <c r="O12" s="510"/>
      <c r="P12" s="480"/>
      <c r="Q12" s="483"/>
      <c r="R12" s="219">
        <v>3</v>
      </c>
      <c r="S12" s="230"/>
      <c r="T12" s="220" t="str">
        <f t="shared" si="0"/>
        <v/>
      </c>
      <c r="U12" s="221"/>
      <c r="V12" s="221"/>
      <c r="W12" s="222" t="str">
        <f t="shared" si="1"/>
        <v/>
      </c>
      <c r="X12" s="221"/>
      <c r="Y12" s="221"/>
      <c r="Z12" s="221"/>
      <c r="AA12" s="223" t="str">
        <f>IFERROR(IF(AND(T11="Probabilidad",T12="Probabilidad"),(AC11-(+AC11*W12)),IF(AND(T11="Impacto",T12="Probabilidad"),(AC10-(+AC10*W12)),IF(T12="Impacto",AC11,""))),"")</f>
        <v/>
      </c>
      <c r="AB12" s="224" t="str">
        <f t="shared" si="2"/>
        <v/>
      </c>
      <c r="AC12" s="225" t="str">
        <f t="shared" si="3"/>
        <v/>
      </c>
      <c r="AD12" s="224" t="str">
        <f t="shared" si="4"/>
        <v/>
      </c>
      <c r="AE12" s="225" t="str">
        <f>IFERROR(IF(AND(T11="Impacto",T12="Impacto"),(AE11-(+AE11*W12)),IF(AND(T11="Probabilidad",T12="Impacto"),(AE10-(+AE10*W12)),IF(T12="Probabilidad",AE11,""))),"")</f>
        <v/>
      </c>
      <c r="AF12" s="226" t="str">
        <f t="shared" si="5"/>
        <v/>
      </c>
      <c r="AG12" s="227"/>
      <c r="AH12" s="104"/>
      <c r="AI12" s="230"/>
      <c r="AJ12" s="228"/>
      <c r="AK12" s="229"/>
      <c r="AL12" s="104"/>
      <c r="AM12" s="230"/>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row>
    <row r="13" spans="1:71" s="232" customFormat="1" ht="16.5" hidden="1" customHeight="1" x14ac:dyDescent="0.3">
      <c r="A13" s="486"/>
      <c r="B13" s="513"/>
      <c r="C13" s="558"/>
      <c r="D13" s="561"/>
      <c r="E13" s="233"/>
      <c r="F13" s="564"/>
      <c r="G13" s="570"/>
      <c r="H13" s="567"/>
      <c r="I13" s="579"/>
      <c r="J13" s="523"/>
      <c r="K13" s="510"/>
      <c r="L13" s="480"/>
      <c r="M13" s="526"/>
      <c r="N13" s="480">
        <f>IF(NOT(ISERROR(MATCH(M13,_xlfn.ANCHORARRAY(F24),0))),L26&amp;"Por favor no seleccionar los criterios de impacto",M13)</f>
        <v>0</v>
      </c>
      <c r="O13" s="510"/>
      <c r="P13" s="480"/>
      <c r="Q13" s="483"/>
      <c r="R13" s="219">
        <v>4</v>
      </c>
      <c r="S13" s="104"/>
      <c r="T13" s="220" t="str">
        <f t="shared" si="0"/>
        <v/>
      </c>
      <c r="U13" s="221"/>
      <c r="V13" s="221"/>
      <c r="W13" s="222" t="str">
        <f t="shared" si="1"/>
        <v/>
      </c>
      <c r="X13" s="221"/>
      <c r="Y13" s="221"/>
      <c r="Z13" s="221"/>
      <c r="AA13" s="223" t="str">
        <f>IFERROR(IF(AND(T12="Probabilidad",T13="Probabilidad"),(AC12-(+AC12*W13)),IF(AND(T12="Impacto",T13="Probabilidad"),(AC11-(+AC11*W13)),IF(T13="Impacto",AC12,""))),"")</f>
        <v/>
      </c>
      <c r="AB13" s="224" t="str">
        <f t="shared" si="2"/>
        <v/>
      </c>
      <c r="AC13" s="225" t="str">
        <f t="shared" si="3"/>
        <v/>
      </c>
      <c r="AD13" s="224" t="str">
        <f t="shared" si="4"/>
        <v/>
      </c>
      <c r="AE13" s="225" t="str">
        <f>IFERROR(IF(AND(T12="Impacto",T13="Impacto"),(AE12-(+AE12*W13)),IF(AND(T12="Probabilidad",T13="Impacto"),(AE11-(+AE11*W13)),IF(T13="Probabilidad",AE12,""))),"")</f>
        <v/>
      </c>
      <c r="AF13" s="226" t="str">
        <f t="shared" si="5"/>
        <v/>
      </c>
      <c r="AG13" s="227"/>
      <c r="AH13" s="104"/>
      <c r="AI13" s="230"/>
      <c r="AJ13" s="228"/>
      <c r="AK13" s="229"/>
      <c r="AL13" s="104"/>
      <c r="AM13" s="230"/>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row>
    <row r="14" spans="1:71" s="232" customFormat="1" ht="16.5" hidden="1" customHeight="1" x14ac:dyDescent="0.3">
      <c r="A14" s="486"/>
      <c r="B14" s="513"/>
      <c r="C14" s="558"/>
      <c r="D14" s="561"/>
      <c r="E14" s="233"/>
      <c r="F14" s="564"/>
      <c r="G14" s="570"/>
      <c r="H14" s="567"/>
      <c r="I14" s="579"/>
      <c r="J14" s="523"/>
      <c r="K14" s="510"/>
      <c r="L14" s="480"/>
      <c r="M14" s="526"/>
      <c r="N14" s="480">
        <f>IF(NOT(ISERROR(MATCH(M14,_xlfn.ANCHORARRAY(F25),0))),L27&amp;"Por favor no seleccionar los criterios de impacto",M14)</f>
        <v>0</v>
      </c>
      <c r="O14" s="510"/>
      <c r="P14" s="480"/>
      <c r="Q14" s="483"/>
      <c r="R14" s="219">
        <v>5</v>
      </c>
      <c r="S14" s="104"/>
      <c r="T14" s="220" t="str">
        <f t="shared" si="0"/>
        <v/>
      </c>
      <c r="U14" s="221"/>
      <c r="V14" s="221"/>
      <c r="W14" s="222" t="str">
        <f t="shared" si="1"/>
        <v/>
      </c>
      <c r="X14" s="221"/>
      <c r="Y14" s="221"/>
      <c r="Z14" s="221"/>
      <c r="AA14" s="223" t="str">
        <f>IFERROR(IF(AND(T13="Probabilidad",T14="Probabilidad"),(AC13-(+AC13*W14)),IF(AND(T13="Impacto",T14="Probabilidad"),(AC12-(+AC12*W14)),IF(T14="Impacto",AC13,""))),"")</f>
        <v/>
      </c>
      <c r="AB14" s="224" t="str">
        <f t="shared" si="2"/>
        <v/>
      </c>
      <c r="AC14" s="225" t="str">
        <f t="shared" si="3"/>
        <v/>
      </c>
      <c r="AD14" s="224" t="str">
        <f t="shared" si="4"/>
        <v/>
      </c>
      <c r="AE14" s="225" t="str">
        <f>IFERROR(IF(AND(T13="Impacto",T14="Impacto"),(AE13-(+AE13*W14)),IF(AND(T13="Probabilidad",T14="Impacto"),(AE12-(+AE12*W14)),IF(T14="Probabilidad",AE13,""))),"")</f>
        <v/>
      </c>
      <c r="AF14" s="226" t="str">
        <f t="shared" si="5"/>
        <v/>
      </c>
      <c r="AG14" s="227"/>
      <c r="AH14" s="104"/>
      <c r="AI14" s="230"/>
      <c r="AJ14" s="228"/>
      <c r="AK14" s="229"/>
      <c r="AL14" s="104"/>
      <c r="AM14" s="230"/>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row>
    <row r="15" spans="1:71" s="232" customFormat="1" ht="16.5" hidden="1" customHeight="1" x14ac:dyDescent="0.3">
      <c r="A15" s="487"/>
      <c r="B15" s="514"/>
      <c r="C15" s="559"/>
      <c r="D15" s="562"/>
      <c r="E15" s="233"/>
      <c r="F15" s="565"/>
      <c r="G15" s="571"/>
      <c r="H15" s="568"/>
      <c r="I15" s="580"/>
      <c r="J15" s="524"/>
      <c r="K15" s="511"/>
      <c r="L15" s="481"/>
      <c r="M15" s="527"/>
      <c r="N15" s="481">
        <f>IF(NOT(ISERROR(MATCH(M15,_xlfn.ANCHORARRAY(F26),0))),L28&amp;"Por favor no seleccionar los criterios de impacto",M15)</f>
        <v>0</v>
      </c>
      <c r="O15" s="511"/>
      <c r="P15" s="481"/>
      <c r="Q15" s="484"/>
      <c r="R15" s="219">
        <v>6</v>
      </c>
      <c r="S15" s="104"/>
      <c r="T15" s="220" t="str">
        <f t="shared" si="0"/>
        <v/>
      </c>
      <c r="U15" s="221"/>
      <c r="V15" s="221"/>
      <c r="W15" s="222" t="str">
        <f t="shared" si="1"/>
        <v/>
      </c>
      <c r="X15" s="221"/>
      <c r="Y15" s="221"/>
      <c r="Z15" s="221"/>
      <c r="AA15" s="223" t="str">
        <f>IFERROR(IF(AND(T14="Probabilidad",T15="Probabilidad"),(AC14-(+AC14*W15)),IF(AND(T14="Impacto",T15="Probabilidad"),(AC13-(+AC13*W15)),IF(T15="Impacto",AC14,""))),"")</f>
        <v/>
      </c>
      <c r="AB15" s="224" t="str">
        <f t="shared" si="2"/>
        <v/>
      </c>
      <c r="AC15" s="225" t="str">
        <f t="shared" si="3"/>
        <v/>
      </c>
      <c r="AD15" s="224" t="str">
        <f t="shared" si="4"/>
        <v/>
      </c>
      <c r="AE15" s="225" t="str">
        <f>IFERROR(IF(AND(T14="Impacto",T15="Impacto"),(AE14-(+AE14*W15)),IF(AND(T14="Probabilidad",T15="Impacto"),(AE13-(+AE13*W15)),IF(T15="Probabilidad",AE14,""))),"")</f>
        <v/>
      </c>
      <c r="AF15" s="226" t="str">
        <f t="shared" si="5"/>
        <v/>
      </c>
      <c r="AG15" s="227"/>
      <c r="AH15" s="104"/>
      <c r="AI15" s="230"/>
      <c r="AJ15" s="228"/>
      <c r="AK15" s="229"/>
      <c r="AL15" s="104"/>
      <c r="AM15" s="230"/>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row>
    <row r="16" spans="1:71" s="232" customFormat="1" ht="238.5" customHeight="1" x14ac:dyDescent="0.3">
      <c r="A16" s="485">
        <v>2</v>
      </c>
      <c r="B16" s="512" t="s">
        <v>129</v>
      </c>
      <c r="C16" s="528" t="s">
        <v>368</v>
      </c>
      <c r="D16" s="531" t="s">
        <v>422</v>
      </c>
      <c r="E16" s="234" t="s">
        <v>370</v>
      </c>
      <c r="F16" s="521" t="s">
        <v>423</v>
      </c>
      <c r="G16" s="569" t="s">
        <v>364</v>
      </c>
      <c r="H16" s="235" t="s">
        <v>369</v>
      </c>
      <c r="I16" s="506" t="s">
        <v>118</v>
      </c>
      <c r="J16" s="522">
        <v>120000</v>
      </c>
      <c r="K16" s="509" t="str">
        <f>IF(J16&lt;=0,"",IF(J16&lt;=2,"Muy Baja",IF(J16&lt;=24,"Baja",IF(J16&lt;=500,"Media",IF(J16&lt;=5000,"Alta","Muy Alta")))))</f>
        <v>Muy Alta</v>
      </c>
      <c r="L16" s="479">
        <f>IF(K16="","",IF(K16="Muy Baja",0.2,IF(K16="Baja",0.4,IF(K16="Media",0.6,IF(K16="Alta",0.8,IF(K16="Muy Alta",1,))))))</f>
        <v>1</v>
      </c>
      <c r="M16" s="525" t="s">
        <v>145</v>
      </c>
      <c r="N16" s="479"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509" t="str">
        <f>IF(OR(N16='Tabla Impacto'!$C$11,N16='Tabla Impacto'!$D$11),"Leve",IF(OR(N16='Tabla Impacto'!$C$12,N16='Tabla Impacto'!$D$12),"Menor",IF(OR(N16='Tabla Impacto'!$C$13,N16='Tabla Impacto'!$D$13),"Moderado",IF(OR(N16='Tabla Impacto'!$C$14,N16='Tabla Impacto'!$D$14),"Mayor",IF(OR(N16='Tabla Impacto'!$C$15,N16='Tabla Impacto'!$D$15),"Catastrófico","")))))</f>
        <v>Moderado</v>
      </c>
      <c r="P16" s="479">
        <f>IF(O16="","",IF(O16="Leve",0.2,IF(O16="Menor",0.4,IF(O16="Moderado",0.6,IF(O16="Mayor",0.8,IF(O16="Catastrófico",1,))))))</f>
        <v>0.6</v>
      </c>
      <c r="Q16" s="48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219">
        <v>1</v>
      </c>
      <c r="S16" s="104" t="str">
        <f>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6" s="220" t="str">
        <f t="shared" si="0"/>
        <v>Probabilidad</v>
      </c>
      <c r="U16" s="221" t="s">
        <v>14</v>
      </c>
      <c r="V16" s="221" t="s">
        <v>9</v>
      </c>
      <c r="W16" s="222" t="str">
        <f t="shared" si="1"/>
        <v>40%</v>
      </c>
      <c r="X16" s="221" t="s">
        <v>19</v>
      </c>
      <c r="Y16" s="221" t="s">
        <v>22</v>
      </c>
      <c r="Z16" s="221" t="s">
        <v>114</v>
      </c>
      <c r="AA16" s="223">
        <f>IFERROR(IF(T16="Probabilidad",(L16-(+L16*W16)),IF(T16="Impacto",L16,"")),"")</f>
        <v>0.6</v>
      </c>
      <c r="AB16" s="224" t="str">
        <f t="shared" si="2"/>
        <v>Media</v>
      </c>
      <c r="AC16" s="225">
        <f t="shared" si="3"/>
        <v>0.6</v>
      </c>
      <c r="AD16" s="224" t="str">
        <f t="shared" si="4"/>
        <v>Moderado</v>
      </c>
      <c r="AE16" s="225">
        <f>IFERROR(IF(T16="Impacto",(P16-(+P16*W16)),IF(T16="Probabilidad",P16,"")),"")</f>
        <v>0.6</v>
      </c>
      <c r="AF16" s="226" t="str">
        <f t="shared" si="5"/>
        <v>Moderado</v>
      </c>
      <c r="AG16" s="227" t="s">
        <v>131</v>
      </c>
      <c r="AH16" s="104" t="s">
        <v>424</v>
      </c>
      <c r="AI16" s="104" t="s">
        <v>396</v>
      </c>
      <c r="AJ16" s="228">
        <v>45352</v>
      </c>
      <c r="AK16" s="229"/>
      <c r="AL16" s="104"/>
      <c r="AM16" s="230" t="s">
        <v>41</v>
      </c>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row>
    <row r="17" spans="1:71" s="232" customFormat="1" ht="16.5" hidden="1" customHeight="1" x14ac:dyDescent="0.3">
      <c r="A17" s="486"/>
      <c r="B17" s="513"/>
      <c r="C17" s="529"/>
      <c r="D17" s="532"/>
      <c r="E17" s="233"/>
      <c r="F17" s="521"/>
      <c r="G17" s="570"/>
      <c r="H17" s="236"/>
      <c r="I17" s="507"/>
      <c r="J17" s="523"/>
      <c r="K17" s="510"/>
      <c r="L17" s="480"/>
      <c r="M17" s="526"/>
      <c r="N17" s="480">
        <f>IF(NOT(ISERROR(MATCH(M17,_xlfn.ANCHORARRAY(F28),0))),L29&amp;"Por favor no seleccionar los criterios de impacto",M17)</f>
        <v>0</v>
      </c>
      <c r="O17" s="510"/>
      <c r="P17" s="480"/>
      <c r="Q17" s="483"/>
      <c r="R17" s="219">
        <v>2</v>
      </c>
      <c r="S17" s="104"/>
      <c r="T17" s="220" t="str">
        <f t="shared" si="0"/>
        <v/>
      </c>
      <c r="U17" s="221"/>
      <c r="V17" s="221"/>
      <c r="W17" s="222" t="str">
        <f t="shared" si="1"/>
        <v/>
      </c>
      <c r="X17" s="221"/>
      <c r="Y17" s="221"/>
      <c r="Z17" s="221"/>
      <c r="AA17" s="223" t="str">
        <f>IFERROR(IF(AND(T16="Probabilidad",T17="Probabilidad"),(AC16-(+AC16*W17)),IF(AND(T16="Impacto",T17="Probabilidad"),(L16-(+L16*W17)),IF(T17="Impacto",AC16,""))),"")</f>
        <v/>
      </c>
      <c r="AB17" s="224" t="str">
        <f t="shared" si="2"/>
        <v/>
      </c>
      <c r="AC17" s="225" t="str">
        <f t="shared" si="3"/>
        <v/>
      </c>
      <c r="AD17" s="224" t="str">
        <f t="shared" si="4"/>
        <v/>
      </c>
      <c r="AE17" s="225" t="str">
        <f>IFERROR(IF(AND(T16="Impacto",T17="Impacto"),(AE16-(+AE16*W17)),IF(AND(T16="Probabilidad",T17="Impacto"),(P16-(+P16*W17)),IF(T17="Probabilidad",AE16,""))),"")</f>
        <v/>
      </c>
      <c r="AF17" s="226" t="str">
        <f t="shared" si="5"/>
        <v/>
      </c>
      <c r="AG17" s="227"/>
      <c r="AH17" s="104"/>
      <c r="AI17" s="230"/>
      <c r="AJ17" s="228"/>
      <c r="AK17" s="229"/>
      <c r="AL17" s="104"/>
      <c r="AM17" s="230"/>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row>
    <row r="18" spans="1:71" s="232" customFormat="1" ht="16.5" hidden="1" customHeight="1" x14ac:dyDescent="0.3">
      <c r="A18" s="486"/>
      <c r="B18" s="513"/>
      <c r="C18" s="529"/>
      <c r="D18" s="532"/>
      <c r="E18" s="233"/>
      <c r="F18" s="521"/>
      <c r="G18" s="570"/>
      <c r="H18" s="236"/>
      <c r="I18" s="507"/>
      <c r="J18" s="523"/>
      <c r="K18" s="510"/>
      <c r="L18" s="480"/>
      <c r="M18" s="526"/>
      <c r="N18" s="480">
        <f>IF(NOT(ISERROR(MATCH(M18,_xlfn.ANCHORARRAY(#REF!),0))),L30&amp;"Por favor no seleccionar los criterios de impacto",M18)</f>
        <v>0</v>
      </c>
      <c r="O18" s="510"/>
      <c r="P18" s="480"/>
      <c r="Q18" s="483"/>
      <c r="R18" s="219">
        <v>3</v>
      </c>
      <c r="S18" s="230"/>
      <c r="T18" s="220" t="str">
        <f t="shared" si="0"/>
        <v/>
      </c>
      <c r="U18" s="221"/>
      <c r="V18" s="221"/>
      <c r="W18" s="222" t="str">
        <f t="shared" si="1"/>
        <v/>
      </c>
      <c r="X18" s="221"/>
      <c r="Y18" s="221"/>
      <c r="Z18" s="221"/>
      <c r="AA18" s="223" t="str">
        <f>IFERROR(IF(AND(T17="Probabilidad",T18="Probabilidad"),(AC17-(+AC17*W18)),IF(AND(T17="Impacto",T18="Probabilidad"),(AC16-(+AC16*W18)),IF(T18="Impacto",AC17,""))),"")</f>
        <v/>
      </c>
      <c r="AB18" s="224" t="str">
        <f t="shared" si="2"/>
        <v/>
      </c>
      <c r="AC18" s="225" t="str">
        <f t="shared" si="3"/>
        <v/>
      </c>
      <c r="AD18" s="224" t="str">
        <f t="shared" si="4"/>
        <v/>
      </c>
      <c r="AE18" s="225" t="str">
        <f>IFERROR(IF(AND(T17="Impacto",T18="Impacto"),(AE17-(+AE17*W18)),IF(AND(T17="Probabilidad",T18="Impacto"),(AE16-(+AE16*W18)),IF(T18="Probabilidad",AE17,""))),"")</f>
        <v/>
      </c>
      <c r="AF18" s="226" t="str">
        <f t="shared" si="5"/>
        <v/>
      </c>
      <c r="AG18" s="227"/>
      <c r="AH18" s="104"/>
      <c r="AI18" s="230"/>
      <c r="AJ18" s="228"/>
      <c r="AK18" s="229"/>
      <c r="AL18" s="104"/>
      <c r="AM18" s="230"/>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row>
    <row r="19" spans="1:71" s="232" customFormat="1" ht="16.5" hidden="1" customHeight="1" x14ac:dyDescent="0.3">
      <c r="A19" s="486"/>
      <c r="B19" s="513"/>
      <c r="C19" s="529"/>
      <c r="D19" s="532"/>
      <c r="E19" s="233"/>
      <c r="F19" s="521"/>
      <c r="G19" s="570"/>
      <c r="H19" s="236"/>
      <c r="I19" s="507"/>
      <c r="J19" s="523"/>
      <c r="K19" s="510"/>
      <c r="L19" s="480"/>
      <c r="M19" s="526"/>
      <c r="N19" s="480">
        <f>IF(NOT(ISERROR(MATCH(M19,_xlfn.ANCHORARRAY(F29),0))),L31&amp;"Por favor no seleccionar los criterios de impacto",M19)</f>
        <v>0</v>
      </c>
      <c r="O19" s="510"/>
      <c r="P19" s="480"/>
      <c r="Q19" s="483"/>
      <c r="R19" s="219">
        <v>4</v>
      </c>
      <c r="S19" s="104"/>
      <c r="T19" s="220" t="str">
        <f t="shared" si="0"/>
        <v/>
      </c>
      <c r="U19" s="221"/>
      <c r="V19" s="221"/>
      <c r="W19" s="222" t="str">
        <f t="shared" si="1"/>
        <v/>
      </c>
      <c r="X19" s="221"/>
      <c r="Y19" s="221"/>
      <c r="Z19" s="221"/>
      <c r="AA19" s="223" t="str">
        <f>IFERROR(IF(AND(T18="Probabilidad",T19="Probabilidad"),(AC18-(+AC18*W19)),IF(AND(T18="Impacto",T19="Probabilidad"),(AC17-(+AC17*W19)),IF(T19="Impacto",AC18,""))),"")</f>
        <v/>
      </c>
      <c r="AB19" s="224" t="str">
        <f t="shared" si="2"/>
        <v/>
      </c>
      <c r="AC19" s="225" t="str">
        <f t="shared" si="3"/>
        <v/>
      </c>
      <c r="AD19" s="224" t="str">
        <f t="shared" si="4"/>
        <v/>
      </c>
      <c r="AE19" s="225" t="str">
        <f>IFERROR(IF(AND(T18="Impacto",T19="Impacto"),(AE18-(+AE18*W19)),IF(AND(T18="Probabilidad",T19="Impacto"),(AE17-(+AE17*W19)),IF(T19="Probabilidad",AE18,""))),"")</f>
        <v/>
      </c>
      <c r="AF19" s="226" t="str">
        <f t="shared" si="5"/>
        <v/>
      </c>
      <c r="AG19" s="227"/>
      <c r="AH19" s="104"/>
      <c r="AI19" s="230"/>
      <c r="AJ19" s="228"/>
      <c r="AK19" s="229"/>
      <c r="AL19" s="104"/>
      <c r="AM19" s="230"/>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row>
    <row r="20" spans="1:71" s="232" customFormat="1" ht="16.5" hidden="1" customHeight="1" x14ac:dyDescent="0.3">
      <c r="A20" s="486"/>
      <c r="B20" s="513"/>
      <c r="C20" s="529"/>
      <c r="D20" s="532"/>
      <c r="E20" s="233"/>
      <c r="F20" s="521"/>
      <c r="G20" s="570"/>
      <c r="H20" s="236"/>
      <c r="I20" s="507"/>
      <c r="J20" s="523"/>
      <c r="K20" s="510"/>
      <c r="L20" s="480"/>
      <c r="M20" s="526"/>
      <c r="N20" s="480">
        <f>IF(NOT(ISERROR(MATCH(M20,_xlfn.ANCHORARRAY(F30),0))),L32&amp;"Por favor no seleccionar los criterios de impacto",M20)</f>
        <v>0</v>
      </c>
      <c r="O20" s="510"/>
      <c r="P20" s="480"/>
      <c r="Q20" s="483"/>
      <c r="R20" s="219">
        <v>5</v>
      </c>
      <c r="S20" s="104"/>
      <c r="T20" s="220" t="str">
        <f t="shared" si="0"/>
        <v/>
      </c>
      <c r="U20" s="221"/>
      <c r="V20" s="221"/>
      <c r="W20" s="222" t="str">
        <f t="shared" si="1"/>
        <v/>
      </c>
      <c r="X20" s="221"/>
      <c r="Y20" s="221"/>
      <c r="Z20" s="221"/>
      <c r="AA20" s="223" t="str">
        <f>IFERROR(IF(AND(T19="Probabilidad",T20="Probabilidad"),(AC19-(+AC19*W20)),IF(AND(T19="Impacto",T20="Probabilidad"),(AC18-(+AC18*W20)),IF(T20="Impacto",AC19,""))),"")</f>
        <v/>
      </c>
      <c r="AB20" s="224" t="str">
        <f t="shared" si="2"/>
        <v/>
      </c>
      <c r="AC20" s="225" t="str">
        <f t="shared" si="3"/>
        <v/>
      </c>
      <c r="AD20" s="224" t="str">
        <f t="shared" si="4"/>
        <v/>
      </c>
      <c r="AE20" s="225" t="str">
        <f>IFERROR(IF(AND(T19="Impacto",T20="Impacto"),(AE19-(+AE19*W20)),IF(AND(T19="Probabilidad",T20="Impacto"),(AE18-(+AE18*W20)),IF(T20="Probabilidad",AE19,""))),"")</f>
        <v/>
      </c>
      <c r="AF20" s="226" t="str">
        <f t="shared" si="5"/>
        <v/>
      </c>
      <c r="AG20" s="227"/>
      <c r="AH20" s="104"/>
      <c r="AI20" s="230"/>
      <c r="AJ20" s="228"/>
      <c r="AK20" s="229"/>
      <c r="AL20" s="104"/>
      <c r="AM20" s="230"/>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row>
    <row r="21" spans="1:71" s="232" customFormat="1" ht="66.75" hidden="1" customHeight="1" x14ac:dyDescent="0.3">
      <c r="A21" s="487"/>
      <c r="B21" s="514"/>
      <c r="C21" s="530"/>
      <c r="D21" s="533"/>
      <c r="E21" s="233"/>
      <c r="F21" s="521"/>
      <c r="G21" s="571"/>
      <c r="H21" s="236"/>
      <c r="I21" s="508"/>
      <c r="J21" s="524"/>
      <c r="K21" s="511"/>
      <c r="L21" s="481"/>
      <c r="M21" s="527"/>
      <c r="N21" s="481">
        <f>IF(NOT(ISERROR(MATCH(M21,_xlfn.ANCHORARRAY(F31),0))),L33&amp;"Por favor no seleccionar los criterios de impacto",M21)</f>
        <v>0</v>
      </c>
      <c r="O21" s="511"/>
      <c r="P21" s="481"/>
      <c r="Q21" s="484"/>
      <c r="R21" s="219">
        <v>6</v>
      </c>
      <c r="S21" s="104"/>
      <c r="T21" s="220" t="str">
        <f t="shared" si="0"/>
        <v/>
      </c>
      <c r="U21" s="221"/>
      <c r="V21" s="221"/>
      <c r="W21" s="222" t="str">
        <f t="shared" si="1"/>
        <v/>
      </c>
      <c r="X21" s="221"/>
      <c r="Y21" s="221"/>
      <c r="Z21" s="221"/>
      <c r="AA21" s="223" t="str">
        <f>IFERROR(IF(AND(T20="Probabilidad",T21="Probabilidad"),(AC20-(+AC20*W21)),IF(AND(T20="Impacto",T21="Probabilidad"),(AC19-(+AC19*W21)),IF(T21="Impacto",AC20,""))),"")</f>
        <v/>
      </c>
      <c r="AB21" s="224" t="str">
        <f t="shared" si="2"/>
        <v/>
      </c>
      <c r="AC21" s="225" t="str">
        <f t="shared" si="3"/>
        <v/>
      </c>
      <c r="AD21" s="224" t="str">
        <f t="shared" si="4"/>
        <v/>
      </c>
      <c r="AE21" s="225" t="str">
        <f>IFERROR(IF(AND(T20="Impacto",T21="Impacto"),(AE20-(+AE20*W21)),IF(AND(T20="Probabilidad",T21="Impacto"),(AE19-(+AE19*W21)),IF(T21="Probabilidad",AE20,""))),"")</f>
        <v/>
      </c>
      <c r="AF21" s="226" t="str">
        <f t="shared" si="5"/>
        <v/>
      </c>
      <c r="AG21" s="227"/>
      <c r="AH21" s="104"/>
      <c r="AI21" s="230"/>
      <c r="AJ21" s="228"/>
      <c r="AK21" s="229"/>
      <c r="AL21" s="104"/>
      <c r="AM21" s="230"/>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row>
    <row r="22" spans="1:71" s="232" customFormat="1" ht="188.25" customHeight="1" x14ac:dyDescent="0.3">
      <c r="A22" s="485">
        <v>3</v>
      </c>
      <c r="B22" s="512" t="s">
        <v>127</v>
      </c>
      <c r="C22" s="515" t="s">
        <v>372</v>
      </c>
      <c r="D22" s="518" t="s">
        <v>373</v>
      </c>
      <c r="E22" s="234" t="s">
        <v>374</v>
      </c>
      <c r="F22" s="521" t="s">
        <v>425</v>
      </c>
      <c r="G22" s="569" t="s">
        <v>364</v>
      </c>
      <c r="H22" s="235" t="s">
        <v>375</v>
      </c>
      <c r="I22" s="506" t="s">
        <v>118</v>
      </c>
      <c r="J22" s="522">
        <v>5</v>
      </c>
      <c r="K22" s="509" t="str">
        <f>IF(J22&lt;=0,"",IF(J22&lt;=2,"Muy Baja",IF(J22&lt;=24,"Baja",IF(J22&lt;=500,"Media",IF(J22&lt;=5000,"Alta","Muy Alta")))))</f>
        <v>Baja</v>
      </c>
      <c r="L22" s="479">
        <f>IF(K22="","",IF(K22="Muy Baja",0.2,IF(K22="Baja",0.4,IF(K22="Media",0.6,IF(K22="Alta",0.8,IF(K22="Muy Alta",1,))))))</f>
        <v>0.4</v>
      </c>
      <c r="M22" s="525" t="s">
        <v>145</v>
      </c>
      <c r="N22" s="479"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509" t="str">
        <f>IF(OR(N22='Tabla Impacto'!$C$11,N22='Tabla Impacto'!$D$11),"Leve",IF(OR(N22='Tabla Impacto'!$C$12,N22='Tabla Impacto'!$D$12),"Menor",IF(OR(N22='Tabla Impacto'!$C$13,N22='Tabla Impacto'!$D$13),"Moderado",IF(OR(N22='Tabla Impacto'!$C$14,N22='Tabla Impacto'!$D$14),"Mayor",IF(OR(N22='Tabla Impacto'!$C$15,N22='Tabla Impacto'!$D$15),"Catastrófico","")))))</f>
        <v>Moderado</v>
      </c>
      <c r="P22" s="479">
        <f>IF(O22="","",IF(O22="Leve",0.2,IF(O22="Menor",0.4,IF(O22="Moderado",0.6,IF(O22="Mayor",0.8,IF(O22="Catastrófico",1,))))))</f>
        <v>0.6</v>
      </c>
      <c r="Q22" s="482"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219">
        <v>1</v>
      </c>
      <c r="S22" s="104" t="str">
        <f>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22" s="220" t="str">
        <f t="shared" si="0"/>
        <v>Probabilidad</v>
      </c>
      <c r="U22" s="221" t="s">
        <v>14</v>
      </c>
      <c r="V22" s="221" t="s">
        <v>9</v>
      </c>
      <c r="W22" s="222" t="str">
        <f t="shared" si="1"/>
        <v>40%</v>
      </c>
      <c r="X22" s="221" t="s">
        <v>19</v>
      </c>
      <c r="Y22" s="221" t="s">
        <v>22</v>
      </c>
      <c r="Z22" s="221" t="s">
        <v>114</v>
      </c>
      <c r="AA22" s="223">
        <f>IFERROR(IF(T22="Probabilidad",(L22-(+L22*W22)),IF(T22="Impacto",L22,"")),"")</f>
        <v>0.24</v>
      </c>
      <c r="AB22" s="224" t="str">
        <f t="shared" si="2"/>
        <v>Baja</v>
      </c>
      <c r="AC22" s="225">
        <f t="shared" si="3"/>
        <v>0.24</v>
      </c>
      <c r="AD22" s="224" t="str">
        <f t="shared" si="4"/>
        <v>Moderado</v>
      </c>
      <c r="AE22" s="225">
        <f>IFERROR(IF(T22="Impacto",(P22-(+P22*W22)),IF(T22="Probabilidad",P22,"")),"")</f>
        <v>0.6</v>
      </c>
      <c r="AF22" s="226" t="str">
        <f t="shared" si="5"/>
        <v>Moderado</v>
      </c>
      <c r="AG22" s="227" t="s">
        <v>131</v>
      </c>
      <c r="AH22" s="104" t="s">
        <v>426</v>
      </c>
      <c r="AI22" s="104" t="s">
        <v>385</v>
      </c>
      <c r="AJ22" s="228">
        <v>45352</v>
      </c>
      <c r="AK22" s="229"/>
      <c r="AL22" s="104"/>
      <c r="AM22" s="230" t="s">
        <v>41</v>
      </c>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row>
    <row r="23" spans="1:71" s="232" customFormat="1" ht="26.25" hidden="1" customHeight="1" x14ac:dyDescent="0.3">
      <c r="A23" s="486"/>
      <c r="B23" s="513"/>
      <c r="C23" s="516"/>
      <c r="D23" s="519"/>
      <c r="E23" s="233"/>
      <c r="F23" s="521"/>
      <c r="G23" s="570"/>
      <c r="H23" s="236"/>
      <c r="I23" s="507"/>
      <c r="J23" s="523"/>
      <c r="K23" s="510"/>
      <c r="L23" s="480"/>
      <c r="M23" s="526"/>
      <c r="N23" s="480">
        <f>IF(NOT(ISERROR(MATCH(M23,_xlfn.ANCHORARRAY(F33),0))),L35&amp;"Por favor no seleccionar los criterios de impacto",M23)</f>
        <v>0</v>
      </c>
      <c r="O23" s="510"/>
      <c r="P23" s="480"/>
      <c r="Q23" s="483"/>
      <c r="R23" s="219">
        <v>2</v>
      </c>
      <c r="S23" s="104"/>
      <c r="T23" s="220" t="str">
        <f t="shared" si="0"/>
        <v/>
      </c>
      <c r="U23" s="221"/>
      <c r="V23" s="221"/>
      <c r="W23" s="222" t="str">
        <f t="shared" si="1"/>
        <v/>
      </c>
      <c r="X23" s="221"/>
      <c r="Y23" s="221"/>
      <c r="Z23" s="221"/>
      <c r="AA23" s="223" t="str">
        <f>IFERROR(IF(AND(T22="Probabilidad",T23="Probabilidad"),(AC22-(+AC22*W23)),IF(AND(T22="Impacto",T23="Probabilidad"),(L22-(+L22*W23)),IF(T23="Impacto",AC22,""))),"")</f>
        <v/>
      </c>
      <c r="AB23" s="224" t="str">
        <f t="shared" si="2"/>
        <v/>
      </c>
      <c r="AC23" s="225" t="str">
        <f t="shared" si="3"/>
        <v/>
      </c>
      <c r="AD23" s="224" t="str">
        <f t="shared" si="4"/>
        <v/>
      </c>
      <c r="AE23" s="225" t="str">
        <f>IFERROR(IF(AND(T22="Impacto",T23="Impacto"),(AE22-(+AE22*W23)),IF(AND(T22="Probabilidad",T23="Impacto"),(P22-(+P22*W23)),IF(T23="Probabilidad",AE22,""))),"")</f>
        <v/>
      </c>
      <c r="AF23" s="226" t="str">
        <f t="shared" si="5"/>
        <v/>
      </c>
      <c r="AG23" s="227"/>
      <c r="AH23" s="104"/>
      <c r="AI23" s="230"/>
      <c r="AJ23" s="228"/>
      <c r="AK23" s="229"/>
      <c r="AL23" s="104"/>
      <c r="AM23" s="230"/>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row>
    <row r="24" spans="1:71" s="232" customFormat="1" ht="26.25" hidden="1" customHeight="1" x14ac:dyDescent="0.3">
      <c r="A24" s="486"/>
      <c r="B24" s="513"/>
      <c r="C24" s="516"/>
      <c r="D24" s="519"/>
      <c r="E24" s="233"/>
      <c r="F24" s="521"/>
      <c r="G24" s="570"/>
      <c r="H24" s="236"/>
      <c r="I24" s="507"/>
      <c r="J24" s="523"/>
      <c r="K24" s="510"/>
      <c r="L24" s="480"/>
      <c r="M24" s="526"/>
      <c r="N24" s="480">
        <f>IF(NOT(ISERROR(MATCH(M24,_xlfn.ANCHORARRAY(F34),0))),L36&amp;"Por favor no seleccionar los criterios de impacto",M24)</f>
        <v>0</v>
      </c>
      <c r="O24" s="510"/>
      <c r="P24" s="480"/>
      <c r="Q24" s="483"/>
      <c r="R24" s="219">
        <v>3</v>
      </c>
      <c r="S24" s="230"/>
      <c r="T24" s="220" t="str">
        <f t="shared" si="0"/>
        <v/>
      </c>
      <c r="U24" s="221"/>
      <c r="V24" s="221"/>
      <c r="W24" s="222" t="str">
        <f t="shared" si="1"/>
        <v/>
      </c>
      <c r="X24" s="221"/>
      <c r="Y24" s="221"/>
      <c r="Z24" s="221"/>
      <c r="AA24" s="223" t="str">
        <f>IFERROR(IF(AND(T23="Probabilidad",T24="Probabilidad"),(AC23-(+AC23*W24)),IF(AND(T23="Impacto",T24="Probabilidad"),(AC22-(+AC22*W24)),IF(T24="Impacto",AC23,""))),"")</f>
        <v/>
      </c>
      <c r="AB24" s="224" t="str">
        <f t="shared" si="2"/>
        <v/>
      </c>
      <c r="AC24" s="225" t="str">
        <f t="shared" si="3"/>
        <v/>
      </c>
      <c r="AD24" s="224" t="str">
        <f t="shared" si="4"/>
        <v/>
      </c>
      <c r="AE24" s="225" t="str">
        <f>IFERROR(IF(AND(T23="Impacto",T24="Impacto"),(AE23-(+AE23*W24)),IF(AND(T23="Probabilidad",T24="Impacto"),(AE22-(+AE22*W24)),IF(T24="Probabilidad",AE23,""))),"")</f>
        <v/>
      </c>
      <c r="AF24" s="226" t="str">
        <f t="shared" si="5"/>
        <v/>
      </c>
      <c r="AG24" s="227"/>
      <c r="AH24" s="104"/>
      <c r="AI24" s="230"/>
      <c r="AJ24" s="228"/>
      <c r="AK24" s="229"/>
      <c r="AL24" s="104"/>
      <c r="AM24" s="230"/>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row>
    <row r="25" spans="1:71" s="232" customFormat="1" ht="26.25" hidden="1" customHeight="1" x14ac:dyDescent="0.3">
      <c r="A25" s="486"/>
      <c r="B25" s="513"/>
      <c r="C25" s="516"/>
      <c r="D25" s="519"/>
      <c r="E25" s="233"/>
      <c r="F25" s="521"/>
      <c r="G25" s="570"/>
      <c r="H25" s="236"/>
      <c r="I25" s="507"/>
      <c r="J25" s="523"/>
      <c r="K25" s="510"/>
      <c r="L25" s="480"/>
      <c r="M25" s="526"/>
      <c r="N25" s="480">
        <f>IF(NOT(ISERROR(MATCH(M25,_xlfn.ANCHORARRAY(F35),0))),L37&amp;"Por favor no seleccionar los criterios de impacto",M25)</f>
        <v>0</v>
      </c>
      <c r="O25" s="510"/>
      <c r="P25" s="480"/>
      <c r="Q25" s="483"/>
      <c r="R25" s="219">
        <v>4</v>
      </c>
      <c r="S25" s="104"/>
      <c r="T25" s="220" t="str">
        <f t="shared" si="0"/>
        <v/>
      </c>
      <c r="U25" s="221"/>
      <c r="V25" s="221"/>
      <c r="W25" s="222" t="str">
        <f t="shared" si="1"/>
        <v/>
      </c>
      <c r="X25" s="221"/>
      <c r="Y25" s="221"/>
      <c r="Z25" s="221"/>
      <c r="AA25" s="223" t="str">
        <f>IFERROR(IF(AND(T24="Probabilidad",T25="Probabilidad"),(AC24-(+AC24*W25)),IF(AND(T24="Impacto",T25="Probabilidad"),(AC23-(+AC23*W25)),IF(T25="Impacto",AC24,""))),"")</f>
        <v/>
      </c>
      <c r="AB25" s="224" t="str">
        <f t="shared" si="2"/>
        <v/>
      </c>
      <c r="AC25" s="225" t="str">
        <f t="shared" si="3"/>
        <v/>
      </c>
      <c r="AD25" s="224" t="str">
        <f t="shared" si="4"/>
        <v/>
      </c>
      <c r="AE25" s="225" t="str">
        <f>IFERROR(IF(AND(T24="Impacto",T25="Impacto"),(AE24-(+AE24*W25)),IF(AND(T24="Probabilidad",T25="Impacto"),(AE23-(+AE23*W25)),IF(T25="Probabilidad",AE24,""))),"")</f>
        <v/>
      </c>
      <c r="AF25" s="226" t="str">
        <f t="shared" si="5"/>
        <v/>
      </c>
      <c r="AG25" s="227"/>
      <c r="AH25" s="104"/>
      <c r="AI25" s="230"/>
      <c r="AJ25" s="228"/>
      <c r="AK25" s="229"/>
      <c r="AL25" s="104"/>
      <c r="AM25" s="230"/>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row>
    <row r="26" spans="1:71" s="232" customFormat="1" ht="26.25" hidden="1" customHeight="1" x14ac:dyDescent="0.3">
      <c r="A26" s="486"/>
      <c r="B26" s="513"/>
      <c r="C26" s="516"/>
      <c r="D26" s="519"/>
      <c r="E26" s="233"/>
      <c r="F26" s="521"/>
      <c r="G26" s="570"/>
      <c r="H26" s="236"/>
      <c r="I26" s="507"/>
      <c r="J26" s="523"/>
      <c r="K26" s="510"/>
      <c r="L26" s="480"/>
      <c r="M26" s="526"/>
      <c r="N26" s="480">
        <f>IF(NOT(ISERROR(MATCH(M26,_xlfn.ANCHORARRAY(F36),0))),L38&amp;"Por favor no seleccionar los criterios de impacto",M26)</f>
        <v>0</v>
      </c>
      <c r="O26" s="510"/>
      <c r="P26" s="480"/>
      <c r="Q26" s="483"/>
      <c r="R26" s="219">
        <v>5</v>
      </c>
      <c r="S26" s="104"/>
      <c r="T26" s="220" t="str">
        <f t="shared" si="0"/>
        <v/>
      </c>
      <c r="U26" s="221"/>
      <c r="V26" s="221"/>
      <c r="W26" s="222" t="str">
        <f t="shared" si="1"/>
        <v/>
      </c>
      <c r="X26" s="221"/>
      <c r="Y26" s="221"/>
      <c r="Z26" s="221"/>
      <c r="AA26" s="223" t="str">
        <f>IFERROR(IF(AND(T25="Probabilidad",T26="Probabilidad"),(AC25-(+AC25*W26)),IF(AND(T25="Impacto",T26="Probabilidad"),(AC24-(+AC24*W26)),IF(T26="Impacto",AC25,""))),"")</f>
        <v/>
      </c>
      <c r="AB26" s="224" t="str">
        <f t="shared" si="2"/>
        <v/>
      </c>
      <c r="AC26" s="225" t="str">
        <f t="shared" si="3"/>
        <v/>
      </c>
      <c r="AD26" s="224" t="str">
        <f t="shared" si="4"/>
        <v/>
      </c>
      <c r="AE26" s="225" t="str">
        <f>IFERROR(IF(AND(T25="Impacto",T26="Impacto"),(AE25-(+AE25*W26)),IF(AND(T25="Probabilidad",T26="Impacto"),(AE24-(+AE24*W26)),IF(T26="Probabilidad",AE25,""))),"")</f>
        <v/>
      </c>
      <c r="AF26" s="226" t="str">
        <f t="shared" si="5"/>
        <v/>
      </c>
      <c r="AG26" s="227"/>
      <c r="AH26" s="104"/>
      <c r="AI26" s="230"/>
      <c r="AJ26" s="228"/>
      <c r="AK26" s="229"/>
      <c r="AL26" s="104"/>
      <c r="AM26" s="230"/>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row>
    <row r="27" spans="1:71" s="232" customFormat="1" ht="60.75" hidden="1" customHeight="1" x14ac:dyDescent="0.3">
      <c r="A27" s="487"/>
      <c r="B27" s="514"/>
      <c r="C27" s="517"/>
      <c r="D27" s="520"/>
      <c r="E27" s="233"/>
      <c r="F27" s="521"/>
      <c r="G27" s="571"/>
      <c r="H27" s="236"/>
      <c r="I27" s="508"/>
      <c r="J27" s="524"/>
      <c r="K27" s="511"/>
      <c r="L27" s="481"/>
      <c r="M27" s="527"/>
      <c r="N27" s="481">
        <f>IF(NOT(ISERROR(MATCH(M27,_xlfn.ANCHORARRAY(F37),0))),L39&amp;"Por favor no seleccionar los criterios de impacto",M27)</f>
        <v>0</v>
      </c>
      <c r="O27" s="511"/>
      <c r="P27" s="481"/>
      <c r="Q27" s="484"/>
      <c r="R27" s="219">
        <v>6</v>
      </c>
      <c r="S27" s="104"/>
      <c r="T27" s="220" t="str">
        <f t="shared" si="0"/>
        <v/>
      </c>
      <c r="U27" s="221"/>
      <c r="V27" s="221"/>
      <c r="W27" s="222" t="str">
        <f t="shared" si="1"/>
        <v/>
      </c>
      <c r="X27" s="221"/>
      <c r="Y27" s="221"/>
      <c r="Z27" s="221"/>
      <c r="AA27" s="223" t="str">
        <f>IFERROR(IF(AND(T26="Probabilidad",T27="Probabilidad"),(AC26-(+AC26*W27)),IF(AND(T26="Impacto",T27="Probabilidad"),(AC25-(+AC25*W27)),IF(T27="Impacto",AC26,""))),"")</f>
        <v/>
      </c>
      <c r="AB27" s="224" t="str">
        <f t="shared" si="2"/>
        <v/>
      </c>
      <c r="AC27" s="225" t="str">
        <f t="shared" si="3"/>
        <v/>
      </c>
      <c r="AD27" s="224" t="str">
        <f t="shared" si="4"/>
        <v/>
      </c>
      <c r="AE27" s="225" t="str">
        <f>IFERROR(IF(AND(T26="Impacto",T27="Impacto"),(AE26-(+AE26*W27)),IF(AND(T26="Probabilidad",T27="Impacto"),(AE25-(+AE25*W27)),IF(T27="Probabilidad",AE26,""))),"")</f>
        <v/>
      </c>
      <c r="AF27" s="226" t="str">
        <f t="shared" si="5"/>
        <v/>
      </c>
      <c r="AG27" s="227"/>
      <c r="AH27" s="104"/>
      <c r="AI27" s="230"/>
      <c r="AJ27" s="228"/>
      <c r="AK27" s="229"/>
      <c r="AL27" s="104"/>
      <c r="AM27" s="230"/>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row>
    <row r="28" spans="1:71" s="232" customFormat="1" ht="134.25" customHeight="1" x14ac:dyDescent="0.3">
      <c r="A28" s="237">
        <v>4</v>
      </c>
      <c r="B28" s="238" t="s">
        <v>127</v>
      </c>
      <c r="C28" s="239" t="s">
        <v>386</v>
      </c>
      <c r="D28" s="240" t="s">
        <v>427</v>
      </c>
      <c r="E28" s="234" t="s">
        <v>387</v>
      </c>
      <c r="F28" s="241" t="s">
        <v>428</v>
      </c>
      <c r="G28" s="242" t="s">
        <v>364</v>
      </c>
      <c r="H28" s="235" t="s">
        <v>388</v>
      </c>
      <c r="I28" s="243" t="s">
        <v>118</v>
      </c>
      <c r="J28" s="244">
        <v>1</v>
      </c>
      <c r="K28" s="245" t="str">
        <f>IF(J28&lt;=0,"",IF(J28&lt;=2,"Muy Baja",IF(J28&lt;=24,"Baja",IF(J28&lt;=500,"Media",IF(J28&lt;=5000,"Alta","Muy Alta")))))</f>
        <v>Muy Baja</v>
      </c>
      <c r="L28" s="246">
        <f>IF(K28="","",IF(K28="Muy Baja",0.2,IF(K28="Baja",0.4,IF(K28="Media",0.6,IF(K28="Alta",0.8,IF(K28="Muy Alta",1,))))))</f>
        <v>0.2</v>
      </c>
      <c r="M28" s="247" t="s">
        <v>143</v>
      </c>
      <c r="N28" s="246" t="str">
        <f>IF(NOT(ISERROR(MATCH(M28,'Tabla Impacto'!$B$221:$B$223,0))),'Tabla Impacto'!$F$223&amp;"Por favor no seleccionar los criterios de impacto(Afectación Económica o presupuestal y Pérdida Reputacional)",M28)</f>
        <v xml:space="preserve">     El riesgo afecta la imagen de alguna área de la organización</v>
      </c>
      <c r="O28" s="245" t="str">
        <f>IF(OR(N28='Tabla Impacto'!$C$11,N28='Tabla Impacto'!$D$11),"Leve",IF(OR(N28='Tabla Impacto'!$C$12,N28='Tabla Impacto'!$D$12),"Menor",IF(OR(N28='Tabla Impacto'!$C$13,N28='Tabla Impacto'!$D$13),"Moderado",IF(OR(N28='Tabla Impacto'!$C$14,N28='Tabla Impacto'!$D$14),"Mayor",IF(OR(N28='Tabla Impacto'!$C$15,N28='Tabla Impacto'!$D$15),"Catastrófico","")))))</f>
        <v>Leve</v>
      </c>
      <c r="P28" s="246">
        <f>IF(O28="","",IF(O28="Leve",0.2,IF(O28="Menor",0.4,IF(O28="Moderado",0.6,IF(O28="Mayor",0.8,IF(O28="Catastrófico",1,))))))</f>
        <v>0.2</v>
      </c>
      <c r="Q28" s="248"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Bajo</v>
      </c>
      <c r="R28" s="219">
        <v>1</v>
      </c>
      <c r="S28" s="104" t="str">
        <f>DOFA!E42</f>
        <v>D 13, D14. O10, F11 , A4. El Director de Tesoreria , anualmente, emitirá Certificado de superávit o déficit fiscal, dejando como evidencia dicha certificación. 
(PRO-GHP-010: PROCEDIMIENTO: CIERRE DEL EJERCICIO FISCAL)</v>
      </c>
      <c r="T28" s="220" t="str">
        <f t="shared" si="0"/>
        <v>Probabilidad</v>
      </c>
      <c r="U28" s="221" t="s">
        <v>14</v>
      </c>
      <c r="V28" s="221" t="s">
        <v>9</v>
      </c>
      <c r="W28" s="222" t="str">
        <f t="shared" si="1"/>
        <v>40%</v>
      </c>
      <c r="X28" s="221" t="s">
        <v>20</v>
      </c>
      <c r="Y28" s="221" t="s">
        <v>22</v>
      </c>
      <c r="Z28" s="221" t="s">
        <v>114</v>
      </c>
      <c r="AA28" s="223">
        <f>IFERROR(IF(T28="Probabilidad",(L28-(+L28*W28)),IF(T28="Impacto",L28,"")),"")</f>
        <v>0.12</v>
      </c>
      <c r="AB28" s="224" t="str">
        <f t="shared" si="2"/>
        <v>Muy Baja</v>
      </c>
      <c r="AC28" s="225">
        <f t="shared" si="3"/>
        <v>0.12</v>
      </c>
      <c r="AD28" s="224" t="str">
        <f t="shared" si="4"/>
        <v>Leve</v>
      </c>
      <c r="AE28" s="225">
        <f>IFERROR(IF(T28="Impacto",(P28-(+P28*W28)),IF(T28="Probabilidad",P28,"")),"")</f>
        <v>0.2</v>
      </c>
      <c r="AF28" s="226" t="str">
        <f t="shared" si="5"/>
        <v>Bajo</v>
      </c>
      <c r="AG28" s="227" t="s">
        <v>131</v>
      </c>
      <c r="AH28" s="104" t="s">
        <v>429</v>
      </c>
      <c r="AI28" s="230" t="s">
        <v>396</v>
      </c>
      <c r="AJ28" s="228">
        <v>45352</v>
      </c>
      <c r="AK28" s="229"/>
      <c r="AL28" s="104"/>
      <c r="AM28" s="230" t="s">
        <v>41</v>
      </c>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row>
    <row r="29" spans="1:71" s="232" customFormat="1" ht="18.75" hidden="1" customHeight="1" x14ac:dyDescent="0.3">
      <c r="A29" s="249"/>
      <c r="B29" s="250"/>
      <c r="C29" s="251"/>
      <c r="D29" s="252"/>
      <c r="E29" s="233"/>
      <c r="F29" s="241"/>
      <c r="G29" s="253"/>
      <c r="H29" s="236"/>
      <c r="I29" s="254"/>
      <c r="J29" s="255"/>
      <c r="K29" s="256"/>
      <c r="L29" s="257"/>
      <c r="M29" s="258"/>
      <c r="N29" s="257">
        <f>IF(NOT(ISERROR(MATCH(M29,_xlfn.ANCHORARRAY(F40),0))),L42&amp;"Por favor no seleccionar los criterios de impacto",M29)</f>
        <v>0</v>
      </c>
      <c r="O29" s="256"/>
      <c r="P29" s="257"/>
      <c r="Q29" s="259"/>
      <c r="R29" s="219">
        <v>3</v>
      </c>
      <c r="S29" s="104"/>
      <c r="T29" s="220" t="str">
        <f t="shared" si="0"/>
        <v/>
      </c>
      <c r="U29" s="221"/>
      <c r="V29" s="221"/>
      <c r="W29" s="222" t="str">
        <f t="shared" si="1"/>
        <v/>
      </c>
      <c r="X29" s="221"/>
      <c r="Y29" s="221"/>
      <c r="Z29" s="221"/>
      <c r="AA29" s="223" t="str">
        <f>IFERROR(IF(AND(#REF!="Probabilidad",T29="Probabilidad"),(#REF!-(+#REF!*W29)),IF(AND(#REF!="Impacto",T29="Probabilidad"),(AC28-(+AC28*W29)),IF(T29="Impacto",#REF!,""))),"")</f>
        <v/>
      </c>
      <c r="AB29" s="224" t="str">
        <f t="shared" si="2"/>
        <v/>
      </c>
      <c r="AC29" s="225" t="str">
        <f t="shared" si="3"/>
        <v/>
      </c>
      <c r="AD29" s="224" t="str">
        <f t="shared" si="4"/>
        <v/>
      </c>
      <c r="AE29" s="225" t="str">
        <f>IFERROR(IF(AND(#REF!="Impacto",T29="Impacto"),(#REF!-(+#REF!*W29)),IF(AND(#REF!="Probabilidad",T29="Impacto"),(AE28-(+AE28*W29)),IF(T29="Probabilidad",#REF!,""))),"")</f>
        <v/>
      </c>
      <c r="AF29" s="226" t="str">
        <f t="shared" si="5"/>
        <v/>
      </c>
      <c r="AG29" s="227"/>
      <c r="AH29" s="104"/>
      <c r="AI29" s="230"/>
      <c r="AJ29" s="228"/>
      <c r="AK29" s="229"/>
      <c r="AL29" s="104"/>
      <c r="AM29" s="230"/>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row>
    <row r="30" spans="1:71" s="232" customFormat="1" ht="30" hidden="1" customHeight="1" x14ac:dyDescent="0.3">
      <c r="A30" s="249"/>
      <c r="B30" s="250"/>
      <c r="C30" s="251"/>
      <c r="D30" s="252"/>
      <c r="E30" s="233"/>
      <c r="F30" s="241"/>
      <c r="G30" s="253"/>
      <c r="H30" s="236"/>
      <c r="I30" s="254"/>
      <c r="J30" s="255"/>
      <c r="K30" s="256"/>
      <c r="L30" s="257"/>
      <c r="M30" s="258"/>
      <c r="N30" s="257">
        <f>IF(NOT(ISERROR(MATCH(M30,_xlfn.ANCHORARRAY(F41),0))),L43&amp;"Por favor no seleccionar los criterios de impacto",M30)</f>
        <v>0</v>
      </c>
      <c r="O30" s="256"/>
      <c r="P30" s="257"/>
      <c r="Q30" s="259"/>
      <c r="R30" s="219">
        <v>4</v>
      </c>
      <c r="S30" s="104">
        <f>DOFA!E46</f>
        <v>0</v>
      </c>
      <c r="T30" s="220" t="str">
        <f t="shared" si="0"/>
        <v/>
      </c>
      <c r="U30" s="221"/>
      <c r="V30" s="221"/>
      <c r="W30" s="222" t="str">
        <f t="shared" si="1"/>
        <v/>
      </c>
      <c r="X30" s="221"/>
      <c r="Y30" s="221"/>
      <c r="Z30" s="221"/>
      <c r="AA30" s="223" t="str">
        <f>IFERROR(IF(AND(T29="Probabilidad",T30="Probabilidad"),(AC29-(+AC29*W30)),IF(AND(T29="Impacto",T30="Probabilidad"),(#REF!-(+#REF!*W30)),IF(T30="Impacto",AC29,""))),"")</f>
        <v/>
      </c>
      <c r="AB30" s="224" t="str">
        <f t="shared" si="2"/>
        <v/>
      </c>
      <c r="AC30" s="225" t="str">
        <f t="shared" si="3"/>
        <v/>
      </c>
      <c r="AD30" s="224" t="str">
        <f t="shared" si="4"/>
        <v/>
      </c>
      <c r="AE30" s="225" t="str">
        <f>IFERROR(IF(AND(T29="Impacto",T30="Impacto"),(AE29-(+AE29*W30)),IF(AND(T29="Probabilidad",T30="Impacto"),(#REF!-(+#REF!*W30)),IF(T30="Probabilidad",AE29,""))),"")</f>
        <v/>
      </c>
      <c r="AF30" s="226" t="str">
        <f t="shared" si="5"/>
        <v/>
      </c>
      <c r="AG30" s="227"/>
      <c r="AH30" s="104"/>
      <c r="AI30" s="230"/>
      <c r="AJ30" s="228"/>
      <c r="AK30" s="229"/>
      <c r="AL30" s="104"/>
      <c r="AM30" s="230"/>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row>
    <row r="31" spans="1:71" s="232" customFormat="1" ht="26.25" hidden="1" customHeight="1" x14ac:dyDescent="0.3">
      <c r="A31" s="249"/>
      <c r="B31" s="250"/>
      <c r="C31" s="251"/>
      <c r="D31" s="252"/>
      <c r="E31" s="233"/>
      <c r="F31" s="241"/>
      <c r="G31" s="253"/>
      <c r="H31" s="236"/>
      <c r="I31" s="254"/>
      <c r="J31" s="255"/>
      <c r="K31" s="256"/>
      <c r="L31" s="257"/>
      <c r="M31" s="258"/>
      <c r="N31" s="257">
        <f>IF(NOT(ISERROR(MATCH(M31,_xlfn.ANCHORARRAY(F42),0))),L44&amp;"Por favor no seleccionar los criterios de impacto",M31)</f>
        <v>0</v>
      </c>
      <c r="O31" s="256"/>
      <c r="P31" s="257"/>
      <c r="Q31" s="259"/>
      <c r="R31" s="219">
        <v>5</v>
      </c>
      <c r="S31" s="104">
        <f>DOFA!E47</f>
        <v>0</v>
      </c>
      <c r="T31" s="220" t="str">
        <f t="shared" si="0"/>
        <v/>
      </c>
      <c r="U31" s="221"/>
      <c r="V31" s="221"/>
      <c r="W31" s="222" t="str">
        <f t="shared" si="1"/>
        <v/>
      </c>
      <c r="X31" s="221"/>
      <c r="Y31" s="221"/>
      <c r="Z31" s="221"/>
      <c r="AA31" s="223" t="str">
        <f>IFERROR(IF(AND(T30="Probabilidad",T31="Probabilidad"),(AC30-(+AC30*W31)),IF(AND(T30="Impacto",T31="Probabilidad"),(AC29-(+AC29*W31)),IF(T31="Impacto",AC30,""))),"")</f>
        <v/>
      </c>
      <c r="AB31" s="224" t="str">
        <f t="shared" si="2"/>
        <v/>
      </c>
      <c r="AC31" s="225" t="str">
        <f t="shared" si="3"/>
        <v/>
      </c>
      <c r="AD31" s="224" t="str">
        <f t="shared" si="4"/>
        <v/>
      </c>
      <c r="AE31" s="225" t="str">
        <f>IFERROR(IF(AND(T30="Impacto",T31="Impacto"),(AE30-(+AE30*W31)),IF(AND(T30="Probabilidad",T31="Impacto"),(AE29-(+AE29*W31)),IF(T31="Probabilidad",AE30,""))),"")</f>
        <v/>
      </c>
      <c r="AF31" s="226" t="str">
        <f t="shared" si="5"/>
        <v/>
      </c>
      <c r="AG31" s="227"/>
      <c r="AH31" s="104"/>
      <c r="AI31" s="230"/>
      <c r="AJ31" s="228"/>
      <c r="AK31" s="229"/>
      <c r="AL31" s="104"/>
      <c r="AM31" s="230"/>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row>
    <row r="32" spans="1:71" s="232" customFormat="1" ht="23.25" hidden="1" customHeight="1" x14ac:dyDescent="0.3">
      <c r="A32" s="260"/>
      <c r="B32" s="261"/>
      <c r="C32" s="262"/>
      <c r="D32" s="263"/>
      <c r="E32" s="233"/>
      <c r="F32" s="241"/>
      <c r="G32" s="264"/>
      <c r="H32" s="236"/>
      <c r="I32" s="265"/>
      <c r="J32" s="266"/>
      <c r="K32" s="267"/>
      <c r="L32" s="268"/>
      <c r="M32" s="269"/>
      <c r="N32" s="268">
        <f>IF(NOT(ISERROR(MATCH(M32,_xlfn.ANCHORARRAY(F43),0))),L45&amp;"Por favor no seleccionar los criterios de impacto",M32)</f>
        <v>0</v>
      </c>
      <c r="O32" s="267"/>
      <c r="P32" s="268"/>
      <c r="Q32" s="270"/>
      <c r="R32" s="219">
        <v>6</v>
      </c>
      <c r="S32" s="104">
        <f>DOFA!E48</f>
        <v>0</v>
      </c>
      <c r="T32" s="220" t="str">
        <f t="shared" si="0"/>
        <v/>
      </c>
      <c r="U32" s="221"/>
      <c r="V32" s="221"/>
      <c r="W32" s="222" t="str">
        <f t="shared" si="1"/>
        <v/>
      </c>
      <c r="X32" s="221"/>
      <c r="Y32" s="221"/>
      <c r="Z32" s="221"/>
      <c r="AA32" s="223" t="str">
        <f>IFERROR(IF(AND(T31="Probabilidad",T32="Probabilidad"),(AC31-(+AC31*W32)),IF(AND(T31="Impacto",T32="Probabilidad"),(AC30-(+AC30*W32)),IF(T32="Impacto",AC31,""))),"")</f>
        <v/>
      </c>
      <c r="AB32" s="224" t="str">
        <f t="shared" si="2"/>
        <v/>
      </c>
      <c r="AC32" s="225" t="str">
        <f t="shared" si="3"/>
        <v/>
      </c>
      <c r="AD32" s="224" t="str">
        <f t="shared" si="4"/>
        <v/>
      </c>
      <c r="AE32" s="225" t="str">
        <f>IFERROR(IF(AND(T31="Impacto",T32="Impacto"),(AE31-(+AE31*W32)),IF(AND(T31="Probabilidad",T32="Impacto"),(AE30-(+AE30*W32)),IF(T32="Probabilidad",AE31,""))),"")</f>
        <v/>
      </c>
      <c r="AF32" s="226" t="str">
        <f t="shared" si="5"/>
        <v/>
      </c>
      <c r="AG32" s="227"/>
      <c r="AH32" s="104"/>
      <c r="AI32" s="230"/>
      <c r="AJ32" s="228"/>
      <c r="AK32" s="229"/>
      <c r="AL32" s="104"/>
      <c r="AM32" s="230"/>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row>
    <row r="33" spans="1:71" s="232" customFormat="1" ht="306" customHeight="1" x14ac:dyDescent="0.3">
      <c r="A33" s="485">
        <v>5</v>
      </c>
      <c r="B33" s="488" t="s">
        <v>129</v>
      </c>
      <c r="C33" s="491" t="s">
        <v>408</v>
      </c>
      <c r="D33" s="502" t="s">
        <v>409</v>
      </c>
      <c r="E33" s="271" t="s">
        <v>412</v>
      </c>
      <c r="F33" s="505" t="s">
        <v>430</v>
      </c>
      <c r="G33" s="572" t="s">
        <v>403</v>
      </c>
      <c r="H33" s="272" t="s">
        <v>407</v>
      </c>
      <c r="I33" s="506" t="s">
        <v>118</v>
      </c>
      <c r="J33" s="273">
        <v>100</v>
      </c>
      <c r="K33" s="274" t="str">
        <f>IF(J33&lt;=0,"",IF(J33&lt;=2,"Muy Baja",IF(J33&lt;=24,"Baja",IF(J33&lt;=500,"Media",IF(J33&lt;=5000,"Alta","Muy Alta")))))</f>
        <v>Media</v>
      </c>
      <c r="L33" s="275">
        <f>IF(K33="","",IF(K33="Muy Baja",0.2,IF(K33="Baja",0.4,IF(K33="Media",0.6,IF(K33="Alta",0.8,IF(K33="Muy Alta",1,))))))</f>
        <v>0.6</v>
      </c>
      <c r="M33" s="276" t="s">
        <v>208</v>
      </c>
      <c r="N33" s="479" t="str">
        <f>IF(NOT(ISERROR(MATCH(M33,'Tabla Impacto'!$B$221:$B$223,0))),'Tabla Impacto'!$F$223&amp;"Por favor no seleccionar los criterios de impacto(Afectación Económica o presupuestal y Pérdida Reputacional)",M33)</f>
        <v xml:space="preserve">     Entre 200 y 1000 SMLMV</v>
      </c>
      <c r="O33" s="274" t="str">
        <f>IF(OR(N33='Tabla Impacto'!$C$11,N33='Tabla Impacto'!$D$11),"Leve",IF(OR(N33='Tabla Impacto'!$C$12,N33='Tabla Impacto'!$D$12),"Menor",IF(OR(N33='Tabla Impacto'!$C$13,N33='Tabla Impacto'!$D$13),"Moderado",IF(OR(N33='Tabla Impacto'!$C$14,N33='Tabla Impacto'!$D$14),"Mayor",IF(OR(N33='Tabla Impacto'!$C$15,N33='Tabla Impacto'!$D$15),"Catastrófico","")))))</f>
        <v>Menor</v>
      </c>
      <c r="P33" s="275">
        <f>IF(O33="","",IF(O33="Leve",0.2,IF(O33="Menor",0.4,IF(O33="Moderado",0.6,IF(O33="Mayor",0.8,IF(O33="Catastrófico",1,))))))</f>
        <v>0.4</v>
      </c>
      <c r="Q33" s="277"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Moderado</v>
      </c>
      <c r="R33" s="219">
        <v>1</v>
      </c>
      <c r="S33" s="291" t="str">
        <f>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33" s="220" t="str">
        <f>IF(OR(U33="Preventivo",U33="Detectivo"),"Probabilidad",IF(U33="Correctivo","Impacto",""))</f>
        <v>Probabilidad</v>
      </c>
      <c r="U33" s="221" t="s">
        <v>14</v>
      </c>
      <c r="V33" s="221" t="s">
        <v>9</v>
      </c>
      <c r="W33" s="222" t="str">
        <f t="shared" si="1"/>
        <v>40%</v>
      </c>
      <c r="X33" s="221" t="s">
        <v>19</v>
      </c>
      <c r="Y33" s="221" t="s">
        <v>22</v>
      </c>
      <c r="Z33" s="221" t="s">
        <v>114</v>
      </c>
      <c r="AA33" s="223">
        <f>IFERROR(IF(T33="Probabilidad",(L33-(+L33*W33)),IF(T33="Impacto",L33,"")),"")</f>
        <v>0.36</v>
      </c>
      <c r="AB33" s="224" t="str">
        <f t="shared" si="2"/>
        <v>Baja</v>
      </c>
      <c r="AC33" s="225">
        <f t="shared" si="3"/>
        <v>0.36</v>
      </c>
      <c r="AD33" s="224" t="str">
        <f t="shared" si="4"/>
        <v>Menor</v>
      </c>
      <c r="AE33" s="225">
        <f>IFERROR(IF(T33="Impacto",(P33-(+P33*W33)),IF(T33="Probabilidad",P33,"")),"")</f>
        <v>0.4</v>
      </c>
      <c r="AF33" s="226" t="str">
        <f t="shared" si="5"/>
        <v>Moderado</v>
      </c>
      <c r="AG33" s="227" t="s">
        <v>131</v>
      </c>
      <c r="AH33" s="291" t="s">
        <v>397</v>
      </c>
      <c r="AI33" s="230" t="s">
        <v>398</v>
      </c>
      <c r="AJ33" s="228">
        <v>45352</v>
      </c>
      <c r="AK33" s="229"/>
      <c r="AL33" s="104"/>
      <c r="AM33" s="230" t="s">
        <v>41</v>
      </c>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row>
    <row r="34" spans="1:71" s="232" customFormat="1" ht="222" customHeight="1" x14ac:dyDescent="0.3">
      <c r="A34" s="486"/>
      <c r="B34" s="489"/>
      <c r="C34" s="489"/>
      <c r="D34" s="503"/>
      <c r="E34" s="278" t="s">
        <v>431</v>
      </c>
      <c r="F34" s="505"/>
      <c r="G34" s="573"/>
      <c r="H34" s="279" t="s">
        <v>413</v>
      </c>
      <c r="I34" s="507"/>
      <c r="J34" s="273">
        <v>300000000</v>
      </c>
      <c r="K34" s="274" t="str">
        <f>IF(J34&lt;=0,"",IF(J34&lt;=2,"Muy Baja",IF(J34&lt;=24,"Baja",IF(J34&lt;=500,"Media",IF(J34&lt;=5000,"Alta","Muy Alta")))))</f>
        <v>Muy Alta</v>
      </c>
      <c r="L34" s="275">
        <f>IF(K34="","",IF(K34="Muy Baja",0.2,IF(K34="Baja",0.4,IF(K34="Media",0.6,IF(K34="Alta",0.8,IF(K34="Muy Alta",1,))))))</f>
        <v>1</v>
      </c>
      <c r="M34" s="280" t="s">
        <v>214</v>
      </c>
      <c r="N34" s="480" t="str">
        <f>IF(NOT(ISERROR(MATCH(M34,_xlfn.ANCHORARRAY(F45),0))),L47&amp;"Por favor no seleccionar los criterios de impacto",M34)</f>
        <v xml:space="preserve">     Entre 5000 y 10000 SMLMV</v>
      </c>
      <c r="O34" s="274" t="str">
        <f>IF(OR(N34='Tabla Impacto'!$C$11,N34='Tabla Impacto'!$D$11),"Leve",IF(OR(N34='Tabla Impacto'!$C$12,N34='Tabla Impacto'!$D$12),"Menor",IF(OR(N34='Tabla Impacto'!$C$13,N34='Tabla Impacto'!$D$13),"Moderado",IF(OR(N34='Tabla Impacto'!$C$14,N34='Tabla Impacto'!$D$14),"Mayor",IF(OR(N34='Tabla Impacto'!$C$15,N34='Tabla Impacto'!$D$15),"Catastrófico","")))))</f>
        <v>Mayor</v>
      </c>
      <c r="P34" s="275">
        <f>IF(O34="","",IF(O34="Leve",0.2,IF(O34="Menor",0.4,IF(O34="Moderado",0.6,IF(O34="Mayor",0.8,IF(O34="Catastrófico",1,))))))</f>
        <v>0.8</v>
      </c>
      <c r="Q34" s="277"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219">
        <v>2</v>
      </c>
      <c r="S34" s="292" t="str">
        <f>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34" s="220" t="str">
        <f>IF(OR(U34="Preventivo",U34="Detectivo"),"Probabilidad",IF(U34="Correctivo","Impacto",""))</f>
        <v>Probabilidad</v>
      </c>
      <c r="U34" s="221" t="s">
        <v>14</v>
      </c>
      <c r="V34" s="221" t="s">
        <v>9</v>
      </c>
      <c r="W34" s="222" t="str">
        <f t="shared" si="1"/>
        <v>40%</v>
      </c>
      <c r="X34" s="221" t="s">
        <v>19</v>
      </c>
      <c r="Y34" s="221" t="s">
        <v>22</v>
      </c>
      <c r="Z34" s="221" t="s">
        <v>114</v>
      </c>
      <c r="AA34" s="223">
        <f>IFERROR(IF(AND(T33="Probabilidad",T34="Probabilidad"),(AC33-(+AC33*W34)),IF(AND(T33="Impacto",T34="Probabilidad"),(L33-(+L33*W34)),IF(T34="Impacto",AC33,""))),"")</f>
        <v>0.216</v>
      </c>
      <c r="AB34" s="224" t="str">
        <f t="shared" si="2"/>
        <v>Baja</v>
      </c>
      <c r="AC34" s="225">
        <f t="shared" si="3"/>
        <v>0.216</v>
      </c>
      <c r="AD34" s="224" t="str">
        <f t="shared" si="4"/>
        <v>Menor</v>
      </c>
      <c r="AE34" s="225">
        <f>IFERROR(IF(AND(T33="Impacto",T34="Impacto"),(AE33-(+AE33*W34)),IF(AND(T33="Probabilidad",T34="Impacto"),(P33-(+P33*W34)),IF(T34="Probabilidad",AE33,""))),"")</f>
        <v>0.4</v>
      </c>
      <c r="AF34" s="226" t="str">
        <f t="shared" si="5"/>
        <v>Moderado</v>
      </c>
      <c r="AG34" s="227" t="s">
        <v>131</v>
      </c>
      <c r="AH34" s="281" t="s">
        <v>415</v>
      </c>
      <c r="AI34" s="230" t="s">
        <v>396</v>
      </c>
      <c r="AJ34" s="228">
        <v>45597</v>
      </c>
      <c r="AK34" s="229"/>
      <c r="AL34" s="104"/>
      <c r="AM34" s="230" t="s">
        <v>41</v>
      </c>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row>
    <row r="35" spans="1:71" s="232" customFormat="1" ht="21" hidden="1" customHeight="1" x14ac:dyDescent="0.3">
      <c r="A35" s="486"/>
      <c r="B35" s="489"/>
      <c r="C35" s="489"/>
      <c r="D35" s="503"/>
      <c r="E35" s="233"/>
      <c r="F35" s="505"/>
      <c r="G35" s="573"/>
      <c r="H35" s="236"/>
      <c r="I35" s="507"/>
      <c r="J35" s="282"/>
      <c r="K35" s="283"/>
      <c r="L35" s="284"/>
      <c r="M35" s="280"/>
      <c r="N35" s="480">
        <f>IF(NOT(ISERROR(MATCH(M35,_xlfn.ANCHORARRAY(F46),0))),L48&amp;"Por favor no seleccionar los criterios de impacto",M35)</f>
        <v>0</v>
      </c>
      <c r="O35" s="283"/>
      <c r="P35" s="284"/>
      <c r="Q35" s="285"/>
      <c r="R35" s="219">
        <v>3</v>
      </c>
      <c r="S35" s="230"/>
      <c r="T35" s="220" t="str">
        <f t="shared" si="0"/>
        <v/>
      </c>
      <c r="U35" s="221"/>
      <c r="V35" s="221"/>
      <c r="W35" s="222" t="str">
        <f t="shared" si="1"/>
        <v/>
      </c>
      <c r="X35" s="221"/>
      <c r="Y35" s="221"/>
      <c r="Z35" s="221"/>
      <c r="AA35" s="223" t="str">
        <f>IFERROR(IF(AND(T34="Probabilidad",T35="Probabilidad"),(AC34-(+AC34*W35)),IF(AND(T34="Impacto",T35="Probabilidad"),(AC33-(+AC33*W35)),IF(T35="Impacto",AC34,""))),"")</f>
        <v/>
      </c>
      <c r="AB35" s="224" t="str">
        <f t="shared" si="2"/>
        <v/>
      </c>
      <c r="AC35" s="225" t="str">
        <f t="shared" si="3"/>
        <v/>
      </c>
      <c r="AD35" s="224" t="str">
        <f t="shared" si="4"/>
        <v/>
      </c>
      <c r="AE35" s="225" t="str">
        <f>IFERROR(IF(AND(T34="Impacto",T35="Impacto"),(AE34-(+AE34*W35)),IF(AND(T34="Probabilidad",T35="Impacto"),(AE33-(+AE33*W35)),IF(T35="Probabilidad",AE34,""))),"")</f>
        <v/>
      </c>
      <c r="AF35" s="226" t="str">
        <f t="shared" si="5"/>
        <v/>
      </c>
      <c r="AG35" s="227" t="s">
        <v>131</v>
      </c>
      <c r="AH35" s="104"/>
      <c r="AI35" s="230"/>
      <c r="AJ35" s="228"/>
      <c r="AK35" s="229"/>
      <c r="AL35" s="104"/>
      <c r="AM35" s="230"/>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row>
    <row r="36" spans="1:71" s="232" customFormat="1" ht="21.75" hidden="1" customHeight="1" x14ac:dyDescent="0.3">
      <c r="A36" s="486"/>
      <c r="B36" s="489"/>
      <c r="C36" s="489"/>
      <c r="D36" s="503"/>
      <c r="E36" s="233"/>
      <c r="F36" s="505"/>
      <c r="G36" s="573"/>
      <c r="H36" s="236"/>
      <c r="I36" s="507"/>
      <c r="J36" s="282"/>
      <c r="K36" s="283"/>
      <c r="L36" s="284"/>
      <c r="M36" s="280"/>
      <c r="N36" s="480">
        <f>IF(NOT(ISERROR(MATCH(M36,_xlfn.ANCHORARRAY(F47),0))),L49&amp;"Por favor no seleccionar los criterios de impacto",M36)</f>
        <v>0</v>
      </c>
      <c r="O36" s="283"/>
      <c r="P36" s="284"/>
      <c r="Q36" s="285"/>
      <c r="R36" s="219">
        <v>4</v>
      </c>
      <c r="S36" s="104"/>
      <c r="T36" s="220" t="str">
        <f t="shared" si="0"/>
        <v/>
      </c>
      <c r="U36" s="221"/>
      <c r="V36" s="221"/>
      <c r="W36" s="222" t="str">
        <f t="shared" si="1"/>
        <v/>
      </c>
      <c r="X36" s="221"/>
      <c r="Y36" s="221"/>
      <c r="Z36" s="221"/>
      <c r="AA36" s="223" t="str">
        <f>IFERROR(IF(AND(T35="Probabilidad",T36="Probabilidad"),(AC35-(+AC35*W36)),IF(AND(T35="Impacto",T36="Probabilidad"),(AC34-(+AC34*W36)),IF(T36="Impacto",AC35,""))),"")</f>
        <v/>
      </c>
      <c r="AB36" s="224" t="str">
        <f t="shared" si="2"/>
        <v/>
      </c>
      <c r="AC36" s="225" t="str">
        <f t="shared" si="3"/>
        <v/>
      </c>
      <c r="AD36" s="224" t="str">
        <f t="shared" si="4"/>
        <v/>
      </c>
      <c r="AE36" s="225" t="str">
        <f>IFERROR(IF(AND(T35="Impacto",T36="Impacto"),(AE35-(+AE35*W36)),IF(AND(T35="Probabilidad",T36="Impacto"),(AE34-(+AE34*W36)),IF(T36="Probabilidad",AE35,""))),"")</f>
        <v/>
      </c>
      <c r="AF36" s="226" t="str">
        <f t="shared" si="5"/>
        <v/>
      </c>
      <c r="AG36" s="227" t="s">
        <v>131</v>
      </c>
      <c r="AH36" s="104"/>
      <c r="AI36" s="230"/>
      <c r="AJ36" s="228"/>
      <c r="AK36" s="229"/>
      <c r="AL36" s="104"/>
      <c r="AM36" s="230"/>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row>
    <row r="37" spans="1:71" s="232" customFormat="1" ht="21.75" hidden="1" customHeight="1" x14ac:dyDescent="0.3">
      <c r="A37" s="486"/>
      <c r="B37" s="489"/>
      <c r="C37" s="489"/>
      <c r="D37" s="503"/>
      <c r="E37" s="233"/>
      <c r="F37" s="505"/>
      <c r="G37" s="573"/>
      <c r="H37" s="236"/>
      <c r="I37" s="507"/>
      <c r="J37" s="282"/>
      <c r="K37" s="283"/>
      <c r="L37" s="284"/>
      <c r="M37" s="280"/>
      <c r="N37" s="480">
        <f>IF(NOT(ISERROR(MATCH(M37,_xlfn.ANCHORARRAY(F48),0))),L50&amp;"Por favor no seleccionar los criterios de impacto",M37)</f>
        <v>0</v>
      </c>
      <c r="O37" s="283"/>
      <c r="P37" s="284"/>
      <c r="Q37" s="285"/>
      <c r="R37" s="219">
        <v>5</v>
      </c>
      <c r="S37" s="104"/>
      <c r="T37" s="220" t="str">
        <f t="shared" si="0"/>
        <v/>
      </c>
      <c r="U37" s="221"/>
      <c r="V37" s="221"/>
      <c r="W37" s="222" t="str">
        <f t="shared" si="1"/>
        <v/>
      </c>
      <c r="X37" s="221"/>
      <c r="Y37" s="221"/>
      <c r="Z37" s="221"/>
      <c r="AA37" s="223" t="str">
        <f>IFERROR(IF(AND(T36="Probabilidad",T37="Probabilidad"),(AC36-(+AC36*W37)),IF(AND(T36="Impacto",T37="Probabilidad"),(AC35-(+AC35*W37)),IF(T37="Impacto",AC36,""))),"")</f>
        <v/>
      </c>
      <c r="AB37" s="224" t="str">
        <f t="shared" si="2"/>
        <v/>
      </c>
      <c r="AC37" s="225" t="str">
        <f t="shared" si="3"/>
        <v/>
      </c>
      <c r="AD37" s="224" t="str">
        <f t="shared" si="4"/>
        <v/>
      </c>
      <c r="AE37" s="225" t="str">
        <f>IFERROR(IF(AND(T36="Impacto",T37="Impacto"),(AE36-(+AE36*W37)),IF(AND(T36="Probabilidad",T37="Impacto"),(AE35-(+AE35*W37)),IF(T37="Probabilidad",AE36,""))),"")</f>
        <v/>
      </c>
      <c r="AF37" s="226" t="str">
        <f t="shared" si="5"/>
        <v/>
      </c>
      <c r="AG37" s="227" t="s">
        <v>131</v>
      </c>
      <c r="AH37" s="104"/>
      <c r="AI37" s="230"/>
      <c r="AJ37" s="228"/>
      <c r="AK37" s="229"/>
      <c r="AL37" s="104"/>
      <c r="AM37" s="230"/>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row>
    <row r="38" spans="1:71" s="232" customFormat="1" ht="17.25" hidden="1" customHeight="1" x14ac:dyDescent="0.3">
      <c r="A38" s="487"/>
      <c r="B38" s="490"/>
      <c r="C38" s="490"/>
      <c r="D38" s="504"/>
      <c r="E38" s="233"/>
      <c r="F38" s="505"/>
      <c r="G38" s="574"/>
      <c r="H38" s="236"/>
      <c r="I38" s="508"/>
      <c r="J38" s="286"/>
      <c r="K38" s="287"/>
      <c r="L38" s="288"/>
      <c r="M38" s="289"/>
      <c r="N38" s="481">
        <f>IF(NOT(ISERROR(MATCH(M38,_xlfn.ANCHORARRAY(F49),0))),L51&amp;"Por favor no seleccionar los criterios de impacto",M38)</f>
        <v>0</v>
      </c>
      <c r="O38" s="287"/>
      <c r="P38" s="288"/>
      <c r="Q38" s="290"/>
      <c r="R38" s="219">
        <v>6</v>
      </c>
      <c r="S38" s="104"/>
      <c r="T38" s="220" t="str">
        <f t="shared" si="0"/>
        <v/>
      </c>
      <c r="U38" s="221"/>
      <c r="V38" s="221"/>
      <c r="W38" s="222" t="str">
        <f t="shared" si="1"/>
        <v/>
      </c>
      <c r="X38" s="221"/>
      <c r="Y38" s="221"/>
      <c r="Z38" s="221"/>
      <c r="AA38" s="223" t="str">
        <f>IFERROR(IF(AND(T37="Probabilidad",T38="Probabilidad"),(AC37-(+AC37*W38)),IF(AND(T37="Impacto",T38="Probabilidad"),(AC36-(+AC36*W38)),IF(T38="Impacto",AC37,""))),"")</f>
        <v/>
      </c>
      <c r="AB38" s="224" t="str">
        <f t="shared" si="2"/>
        <v/>
      </c>
      <c r="AC38" s="225" t="str">
        <f t="shared" si="3"/>
        <v/>
      </c>
      <c r="AD38" s="224" t="str">
        <f t="shared" si="4"/>
        <v/>
      </c>
      <c r="AE38" s="225" t="str">
        <f>IFERROR(IF(AND(T37="Impacto",T38="Impacto"),(AE37-(+AE37*W38)),IF(AND(T37="Probabilidad",T38="Impacto"),(AE36-(+AE36*W38)),IF(T38="Probabilidad",AE37,""))),"")</f>
        <v/>
      </c>
      <c r="AF38" s="226" t="str">
        <f t="shared" si="5"/>
        <v/>
      </c>
      <c r="AG38" s="227" t="s">
        <v>131</v>
      </c>
      <c r="AH38" s="104"/>
      <c r="AI38" s="230"/>
      <c r="AJ38" s="228"/>
      <c r="AK38" s="229"/>
      <c r="AL38" s="104"/>
      <c r="AM38" s="230"/>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row>
    <row r="39" spans="1:71" s="232" customFormat="1" ht="273.75" customHeight="1" x14ac:dyDescent="0.3">
      <c r="A39" s="458">
        <v>6</v>
      </c>
      <c r="B39" s="461" t="s">
        <v>129</v>
      </c>
      <c r="C39" s="492" t="s">
        <v>400</v>
      </c>
      <c r="D39" s="495" t="s">
        <v>401</v>
      </c>
      <c r="E39" s="234" t="str">
        <f>'Priorizacion de Causas'!B34</f>
        <v>Inadecuada deducción de impuestos, tasas o contribuciones al contratista</v>
      </c>
      <c r="F39" s="498" t="s">
        <v>404</v>
      </c>
      <c r="G39" s="575" t="s">
        <v>403</v>
      </c>
      <c r="H39" s="236" t="s">
        <v>432</v>
      </c>
      <c r="I39" s="499" t="s">
        <v>118</v>
      </c>
      <c r="J39" s="470">
        <v>6000</v>
      </c>
      <c r="K39" s="473" t="str">
        <f>IF(J39&lt;=0,"",IF(J39&lt;=2,"Muy Baja",IF(J39&lt;=24,"Baja",IF(J39&lt;=500,"Media",IF(J39&lt;=5000,"Alta","Muy Alta")))))</f>
        <v>Muy Alta</v>
      </c>
      <c r="L39" s="452">
        <f>IF(K39="","",IF(K39="Muy Baja",0.2,IF(K39="Baja",0.4,IF(K39="Media",0.6,IF(K39="Alta",0.8,IF(K39="Muy Alta",1,))))))</f>
        <v>1</v>
      </c>
      <c r="M39" s="476" t="s">
        <v>214</v>
      </c>
      <c r="N39" s="452" t="str">
        <f>IF(NOT(ISERROR(MATCH(M39,'Tabla Impacto'!$B$221:$B$223,0))),'Tabla Impacto'!$F$223&amp;"Por favor no seleccionar los criterios de impacto(Afectación Económica o presupuestal y Pérdida Reputacional)",M39)</f>
        <v xml:space="preserve">     Entre 5000 y 10000 SMLMV</v>
      </c>
      <c r="O39" s="473" t="str">
        <f>IF(OR(N39='Tabla Impacto'!$C$11,N39='Tabla Impacto'!$D$11),"Leve",IF(OR(N39='Tabla Impacto'!$C$12,N39='Tabla Impacto'!$D$12),"Menor",IF(OR(N39='Tabla Impacto'!$C$13,N39='Tabla Impacto'!$D$13),"Moderado",IF(OR(N39='Tabla Impacto'!$C$14,N39='Tabla Impacto'!$D$14),"Mayor",IF(OR(N39='Tabla Impacto'!$C$15,N39='Tabla Impacto'!$D$15),"Catastrófico","")))))</f>
        <v>Mayor</v>
      </c>
      <c r="P39" s="452">
        <f>IF(O39="","",IF(O39="Leve",0.2,IF(O39="Menor",0.4,IF(O39="Moderado",0.6,IF(O39="Mayor",0.8,IF(O39="Catastrófico",1,))))))</f>
        <v>0.8</v>
      </c>
      <c r="Q39" s="455"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219">
        <v>1</v>
      </c>
      <c r="S39" s="104" t="str">
        <f>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39" s="220" t="str">
        <f t="shared" si="0"/>
        <v>Probabilidad</v>
      </c>
      <c r="U39" s="221" t="s">
        <v>14</v>
      </c>
      <c r="V39" s="221" t="s">
        <v>9</v>
      </c>
      <c r="W39" s="222" t="str">
        <f t="shared" si="1"/>
        <v>40%</v>
      </c>
      <c r="X39" s="221" t="s">
        <v>19</v>
      </c>
      <c r="Y39" s="221" t="s">
        <v>22</v>
      </c>
      <c r="Z39" s="221" t="s">
        <v>114</v>
      </c>
      <c r="AA39" s="223">
        <f>IFERROR(IF(T39="Probabilidad",(L39-(+L39*W39)),IF(T39="Impacto",L39,"")),"")</f>
        <v>0.6</v>
      </c>
      <c r="AB39" s="224" t="str">
        <f t="shared" si="2"/>
        <v>Media</v>
      </c>
      <c r="AC39" s="225">
        <f t="shared" si="3"/>
        <v>0.6</v>
      </c>
      <c r="AD39" s="224" t="str">
        <f t="shared" si="4"/>
        <v>Mayor</v>
      </c>
      <c r="AE39" s="225">
        <f>IFERROR(IF(T39="Impacto",(P39-(+P39*W39)),IF(T39="Probabilidad",P39,"")),"")</f>
        <v>0.8</v>
      </c>
      <c r="AF39" s="226" t="str">
        <f t="shared" si="5"/>
        <v>Alto</v>
      </c>
      <c r="AG39" s="227" t="s">
        <v>131</v>
      </c>
      <c r="AH39" s="104" t="s">
        <v>416</v>
      </c>
      <c r="AI39" s="230" t="s">
        <v>410</v>
      </c>
      <c r="AJ39" s="228">
        <v>45597</v>
      </c>
      <c r="AK39" s="229"/>
      <c r="AL39" s="104"/>
      <c r="AM39" s="230" t="s">
        <v>41</v>
      </c>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row>
    <row r="40" spans="1:71" ht="26.25" hidden="1" customHeight="1" x14ac:dyDescent="0.25">
      <c r="A40" s="459"/>
      <c r="B40" s="462"/>
      <c r="C40" s="493"/>
      <c r="D40" s="496"/>
      <c r="E40" s="206"/>
      <c r="F40" s="498"/>
      <c r="G40" s="576"/>
      <c r="H40" s="131"/>
      <c r="I40" s="500"/>
      <c r="J40" s="471"/>
      <c r="K40" s="474"/>
      <c r="L40" s="453"/>
      <c r="M40" s="477"/>
      <c r="N40" s="453">
        <f>IF(NOT(ISERROR(MATCH(M40,_xlfn.ANCHORARRAY(F51),0))),L53&amp;"Por favor no seleccionar los criterios de impacto",M40)</f>
        <v>0</v>
      </c>
      <c r="O40" s="474"/>
      <c r="P40" s="453"/>
      <c r="Q40" s="456"/>
      <c r="R40" s="103">
        <v>2</v>
      </c>
      <c r="S40" s="104"/>
      <c r="T40" s="105" t="str">
        <f t="shared" si="0"/>
        <v/>
      </c>
      <c r="U40" s="111"/>
      <c r="V40" s="111"/>
      <c r="W40" s="112" t="str">
        <f t="shared" si="1"/>
        <v/>
      </c>
      <c r="X40" s="111"/>
      <c r="Y40" s="111"/>
      <c r="Z40" s="111"/>
      <c r="AA40" s="106" t="str">
        <f>IFERROR(IF(AND(T39="Probabilidad",T40="Probabilidad"),(AC39-(+AC39*W40)),IF(AND(T39="Impacto",T40="Probabilidad"),(L39-(+L39*W40)),IF(T40="Impacto",AC39,""))),"")</f>
        <v/>
      </c>
      <c r="AB40" s="113" t="str">
        <f t="shared" si="2"/>
        <v/>
      </c>
      <c r="AC40" s="114" t="str">
        <f t="shared" si="3"/>
        <v/>
      </c>
      <c r="AD40" s="113" t="str">
        <f t="shared" si="4"/>
        <v/>
      </c>
      <c r="AE40" s="114" t="str">
        <f>IFERROR(IF(AND(T39="Impacto",T40="Impacto"),(AE39-(+AE39*W40)),IF(AND(T39="Probabilidad",T40="Impacto"),(P39-(+P39*W40)),IF(T40="Probabilidad",AE39,""))),"")</f>
        <v/>
      </c>
      <c r="AF40" s="115" t="str">
        <f t="shared" si="5"/>
        <v/>
      </c>
      <c r="AG40" s="116"/>
      <c r="AH40" s="107"/>
      <c r="AI40" s="108"/>
      <c r="AJ40" s="217"/>
      <c r="AK40" s="109"/>
      <c r="AL40" s="107"/>
      <c r="AM40" s="108"/>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26.25" hidden="1" customHeight="1" x14ac:dyDescent="0.25">
      <c r="A41" s="459"/>
      <c r="B41" s="462"/>
      <c r="C41" s="493"/>
      <c r="D41" s="496"/>
      <c r="E41" s="206"/>
      <c r="F41" s="498"/>
      <c r="G41" s="576"/>
      <c r="H41" s="131"/>
      <c r="I41" s="500"/>
      <c r="J41" s="471"/>
      <c r="K41" s="474"/>
      <c r="L41" s="453"/>
      <c r="M41" s="477"/>
      <c r="N41" s="453">
        <f>IF(NOT(ISERROR(MATCH(M41,_xlfn.ANCHORARRAY(F52),0))),L54&amp;"Por favor no seleccionar los criterios de impacto",M41)</f>
        <v>0</v>
      </c>
      <c r="O41" s="474"/>
      <c r="P41" s="453"/>
      <c r="Q41" s="456"/>
      <c r="R41" s="103">
        <v>3</v>
      </c>
      <c r="S41" s="110"/>
      <c r="T41" s="105" t="str">
        <f t="shared" ref="T41:T68" si="6">IF(OR(U41="Preventivo",U41="Detectivo"),"Probabilidad",IF(U41="Correctivo","Impacto",""))</f>
        <v/>
      </c>
      <c r="U41" s="111"/>
      <c r="V41" s="111"/>
      <c r="W41" s="112" t="str">
        <f t="shared" ref="W41:W68" si="7">IF(AND(U41="Preventivo",V41="Automático"),"50%",IF(AND(U41="Preventivo",V41="Manual"),"40%",IF(AND(U41="Detectivo",V41="Automático"),"40%",IF(AND(U41="Detectivo",V41="Manual"),"30%",IF(AND(U41="Correctivo",V41="Automático"),"35%",IF(AND(U41="Correctivo",V41="Manual"),"25%",""))))))</f>
        <v/>
      </c>
      <c r="X41" s="111"/>
      <c r="Y41" s="111"/>
      <c r="Z41" s="111"/>
      <c r="AA41" s="106" t="str">
        <f>IFERROR(IF(AND(T40="Probabilidad",T41="Probabilidad"),(AC40-(+AC40*W41)),IF(AND(T40="Impacto",T41="Probabilidad"),(AC39-(+AC39*W41)),IF(T41="Impacto",AC40,""))),"")</f>
        <v/>
      </c>
      <c r="AB41" s="113" t="str">
        <f t="shared" ref="AB41:AB68" si="8">IFERROR(IF(AA41="","",IF(AA41&lt;=0.2,"Muy Baja",IF(AA41&lt;=0.4,"Baja",IF(AA41&lt;=0.6,"Media",IF(AA41&lt;=0.8,"Alta","Muy Alta"))))),"")</f>
        <v/>
      </c>
      <c r="AC41" s="114" t="str">
        <f t="shared" ref="AC41:AC68" si="9">+AA41</f>
        <v/>
      </c>
      <c r="AD41" s="113" t="str">
        <f t="shared" ref="AD41:AD68" si="10">IFERROR(IF(AE41="","",IF(AE41&lt;=0.2,"Leve",IF(AE41&lt;=0.4,"Menor",IF(AE41&lt;=0.6,"Moderado",IF(AE41&lt;=0.8,"Mayor","Catastrófico"))))),"")</f>
        <v/>
      </c>
      <c r="AE41" s="114" t="str">
        <f>IFERROR(IF(AND(T40="Impacto",T41="Impacto"),(AE40-(+AE40*W41)),IF(AND(T40="Probabilidad",T41="Impacto"),(AE39-(+AE39*W41)),IF(T41="Probabilidad",AE40,""))),"")</f>
        <v/>
      </c>
      <c r="AF41" s="115" t="str">
        <f t="shared" ref="AF41:AF68" si="11">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6"/>
      <c r="AH41" s="107"/>
      <c r="AI41" s="108"/>
      <c r="AJ41" s="217"/>
      <c r="AK41" s="109"/>
      <c r="AL41" s="107"/>
      <c r="AM41" s="108"/>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26.25" hidden="1" customHeight="1" x14ac:dyDescent="0.25">
      <c r="A42" s="459"/>
      <c r="B42" s="462"/>
      <c r="C42" s="493"/>
      <c r="D42" s="496"/>
      <c r="E42" s="206"/>
      <c r="F42" s="498"/>
      <c r="G42" s="576"/>
      <c r="H42" s="131"/>
      <c r="I42" s="500"/>
      <c r="J42" s="471"/>
      <c r="K42" s="474"/>
      <c r="L42" s="453"/>
      <c r="M42" s="477"/>
      <c r="N42" s="453">
        <f>IF(NOT(ISERROR(MATCH(M42,_xlfn.ANCHORARRAY(F53),0))),L55&amp;"Por favor no seleccionar los criterios de impacto",M42)</f>
        <v>0</v>
      </c>
      <c r="O42" s="474"/>
      <c r="P42" s="453"/>
      <c r="Q42" s="456"/>
      <c r="R42" s="103">
        <v>4</v>
      </c>
      <c r="S42" s="104"/>
      <c r="T42" s="105" t="str">
        <f t="shared" si="6"/>
        <v/>
      </c>
      <c r="U42" s="111"/>
      <c r="V42" s="111"/>
      <c r="W42" s="112" t="str">
        <f t="shared" si="7"/>
        <v/>
      </c>
      <c r="X42" s="111"/>
      <c r="Y42" s="111"/>
      <c r="Z42" s="111"/>
      <c r="AA42" s="106" t="str">
        <f>IFERROR(IF(AND(T41="Probabilidad",T42="Probabilidad"),(AC41-(+AC41*W42)),IF(AND(T41="Impacto",T42="Probabilidad"),(AC40-(+AC40*W42)),IF(T42="Impacto",AC41,""))),"")</f>
        <v/>
      </c>
      <c r="AB42" s="113" t="str">
        <f t="shared" si="8"/>
        <v/>
      </c>
      <c r="AC42" s="114" t="str">
        <f t="shared" si="9"/>
        <v/>
      </c>
      <c r="AD42" s="113" t="str">
        <f t="shared" si="10"/>
        <v/>
      </c>
      <c r="AE42" s="114" t="str">
        <f>IFERROR(IF(AND(T41="Impacto",T42="Impacto"),(AE41-(+AE41*W42)),IF(AND(T41="Probabilidad",T42="Impacto"),(AE40-(+AE40*W42)),IF(T42="Probabilidad",AE41,""))),"")</f>
        <v/>
      </c>
      <c r="AF42" s="115" t="str">
        <f t="shared" si="11"/>
        <v/>
      </c>
      <c r="AG42" s="116"/>
      <c r="AH42" s="107"/>
      <c r="AI42" s="108"/>
      <c r="AJ42" s="217"/>
      <c r="AK42" s="109"/>
      <c r="AL42" s="107"/>
      <c r="AM42" s="108"/>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26.25" hidden="1" customHeight="1" x14ac:dyDescent="0.25">
      <c r="A43" s="459"/>
      <c r="B43" s="462"/>
      <c r="C43" s="493"/>
      <c r="D43" s="496"/>
      <c r="E43" s="206"/>
      <c r="F43" s="498"/>
      <c r="G43" s="576"/>
      <c r="H43" s="131"/>
      <c r="I43" s="500"/>
      <c r="J43" s="471"/>
      <c r="K43" s="474"/>
      <c r="L43" s="453"/>
      <c r="M43" s="477"/>
      <c r="N43" s="453">
        <f>IF(NOT(ISERROR(MATCH(M43,_xlfn.ANCHORARRAY(F54),0))),L56&amp;"Por favor no seleccionar los criterios de impacto",M43)</f>
        <v>0</v>
      </c>
      <c r="O43" s="474"/>
      <c r="P43" s="453"/>
      <c r="Q43" s="456"/>
      <c r="R43" s="103">
        <v>5</v>
      </c>
      <c r="S43" s="104"/>
      <c r="T43" s="105" t="str">
        <f t="shared" si="6"/>
        <v/>
      </c>
      <c r="U43" s="111"/>
      <c r="V43" s="111"/>
      <c r="W43" s="112" t="str">
        <f t="shared" si="7"/>
        <v/>
      </c>
      <c r="X43" s="111"/>
      <c r="Y43" s="111"/>
      <c r="Z43" s="111"/>
      <c r="AA43" s="106" t="str">
        <f>IFERROR(IF(AND(T42="Probabilidad",T43="Probabilidad"),(AC42-(+AC42*W43)),IF(AND(T42="Impacto",T43="Probabilidad"),(AC41-(+AC41*W43)),IF(T43="Impacto",AC42,""))),"")</f>
        <v/>
      </c>
      <c r="AB43" s="113" t="str">
        <f t="shared" si="8"/>
        <v/>
      </c>
      <c r="AC43" s="114" t="str">
        <f t="shared" si="9"/>
        <v/>
      </c>
      <c r="AD43" s="113" t="str">
        <f t="shared" si="10"/>
        <v/>
      </c>
      <c r="AE43" s="114" t="str">
        <f>IFERROR(IF(AND(T42="Impacto",T43="Impacto"),(AE42-(+AE42*W43)),IF(AND(T42="Probabilidad",T43="Impacto"),(AE41-(+AE41*W43)),IF(T43="Probabilidad",AE42,""))),"")</f>
        <v/>
      </c>
      <c r="AF43" s="115" t="str">
        <f t="shared" si="11"/>
        <v/>
      </c>
      <c r="AG43" s="116"/>
      <c r="AH43" s="107"/>
      <c r="AI43" s="108"/>
      <c r="AJ43" s="217"/>
      <c r="AK43" s="109"/>
      <c r="AL43" s="107"/>
      <c r="AM43" s="108"/>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47.25" hidden="1" customHeight="1" x14ac:dyDescent="0.25">
      <c r="A44" s="460"/>
      <c r="B44" s="463"/>
      <c r="C44" s="494"/>
      <c r="D44" s="497"/>
      <c r="E44" s="206"/>
      <c r="F44" s="498"/>
      <c r="G44" s="577"/>
      <c r="H44" s="131"/>
      <c r="I44" s="501"/>
      <c r="J44" s="472"/>
      <c r="K44" s="475"/>
      <c r="L44" s="454"/>
      <c r="M44" s="478"/>
      <c r="N44" s="454">
        <f>IF(NOT(ISERROR(MATCH(M44,_xlfn.ANCHORARRAY(F55),0))),L57&amp;"Por favor no seleccionar los criterios de impacto",M44)</f>
        <v>0</v>
      </c>
      <c r="O44" s="475"/>
      <c r="P44" s="454"/>
      <c r="Q44" s="457"/>
      <c r="R44" s="103">
        <v>6</v>
      </c>
      <c r="S44" s="104"/>
      <c r="T44" s="105" t="str">
        <f t="shared" si="6"/>
        <v/>
      </c>
      <c r="U44" s="111"/>
      <c r="V44" s="111"/>
      <c r="W44" s="112" t="str">
        <f t="shared" si="7"/>
        <v/>
      </c>
      <c r="X44" s="111"/>
      <c r="Y44" s="111"/>
      <c r="Z44" s="111"/>
      <c r="AA44" s="106" t="str">
        <f>IFERROR(IF(AND(T43="Probabilidad",T44="Probabilidad"),(AC43-(+AC43*W44)),IF(AND(T43="Impacto",T44="Probabilidad"),(AC42-(+AC42*W44)),IF(T44="Impacto",AC43,""))),"")</f>
        <v/>
      </c>
      <c r="AB44" s="113" t="str">
        <f t="shared" si="8"/>
        <v/>
      </c>
      <c r="AC44" s="114" t="str">
        <f t="shared" si="9"/>
        <v/>
      </c>
      <c r="AD44" s="113" t="str">
        <f t="shared" si="10"/>
        <v/>
      </c>
      <c r="AE44" s="114" t="str">
        <f>IFERROR(IF(AND(T43="Impacto",T44="Impacto"),(AE43-(+AE43*W44)),IF(AND(T43="Probabilidad",T44="Impacto"),(AE42-(+AE42*W44)),IF(T44="Probabilidad",AE43,""))),"")</f>
        <v/>
      </c>
      <c r="AF44" s="115" t="str">
        <f t="shared" si="11"/>
        <v/>
      </c>
      <c r="AG44" s="116"/>
      <c r="AH44" s="107"/>
      <c r="AI44" s="108"/>
      <c r="AJ44" s="217"/>
      <c r="AK44" s="109"/>
      <c r="AL44" s="107"/>
      <c r="AM44" s="108"/>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26.25" hidden="1" customHeight="1" x14ac:dyDescent="0.25">
      <c r="A45" s="458">
        <v>7</v>
      </c>
      <c r="B45" s="461"/>
      <c r="C45" s="464"/>
      <c r="D45" s="464"/>
      <c r="E45" s="210"/>
      <c r="F45" s="468"/>
      <c r="G45" s="575"/>
      <c r="H45" s="118"/>
      <c r="I45" s="461"/>
      <c r="J45" s="470"/>
      <c r="K45" s="473" t="str">
        <f>IF(J45&lt;=0,"",IF(J45&lt;=2,"Muy Baja",IF(J45&lt;=24,"Baja",IF(J45&lt;=500,"Media",IF(J45&lt;=5000,"Alta","Muy Alta")))))</f>
        <v/>
      </c>
      <c r="L45" s="452" t="str">
        <f>IF(K45="","",IF(K45="Muy Baja",0.2,IF(K45="Baja",0.4,IF(K45="Media",0.6,IF(K45="Alta",0.8,IF(K45="Muy Alta",1,))))))</f>
        <v/>
      </c>
      <c r="M45" s="476"/>
      <c r="N45" s="452">
        <f>IF(NOT(ISERROR(MATCH(M45,'Tabla Impacto'!$B$221:$B$223,0))),'Tabla Impacto'!$F$223&amp;"Por favor no seleccionar los criterios de impacto(Afectación Económica o presupuestal y Pérdida Reputacional)",M45)</f>
        <v>0</v>
      </c>
      <c r="O45" s="473" t="str">
        <f>IF(OR(N45='Tabla Impacto'!$C$11,N45='Tabla Impacto'!$D$11),"Leve",IF(OR(N45='Tabla Impacto'!$C$12,N45='Tabla Impacto'!$D$12),"Menor",IF(OR(N45='Tabla Impacto'!$C$13,N45='Tabla Impacto'!$D$13),"Moderado",IF(OR(N45='Tabla Impacto'!$C$14,N45='Tabla Impacto'!$D$14),"Mayor",IF(OR(N45='Tabla Impacto'!$C$15,N45='Tabla Impacto'!$D$15),"Catastrófico","")))))</f>
        <v/>
      </c>
      <c r="P45" s="452" t="str">
        <f>IF(O45="","",IF(O45="Leve",0.2,IF(O45="Menor",0.4,IF(O45="Moderado",0.6,IF(O45="Mayor",0.8,IF(O45="Catastrófico",1,))))))</f>
        <v/>
      </c>
      <c r="Q45" s="455"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3">
        <v>1</v>
      </c>
      <c r="S45" s="104">
        <f>DOFA!E46</f>
        <v>0</v>
      </c>
      <c r="T45" s="105" t="str">
        <f t="shared" si="6"/>
        <v/>
      </c>
      <c r="U45" s="111"/>
      <c r="V45" s="111"/>
      <c r="W45" s="112" t="str">
        <f t="shared" si="7"/>
        <v/>
      </c>
      <c r="X45" s="111"/>
      <c r="Y45" s="111"/>
      <c r="Z45" s="111"/>
      <c r="AA45" s="106" t="str">
        <f>IFERROR(IF(T45="Probabilidad",(L45-(+L45*W45)),IF(T45="Impacto",L45,"")),"")</f>
        <v/>
      </c>
      <c r="AB45" s="113" t="str">
        <f t="shared" si="8"/>
        <v/>
      </c>
      <c r="AC45" s="114" t="str">
        <f t="shared" si="9"/>
        <v/>
      </c>
      <c r="AD45" s="113" t="str">
        <f t="shared" si="10"/>
        <v/>
      </c>
      <c r="AE45" s="114" t="str">
        <f>IFERROR(IF(T45="Impacto",(P45-(+P45*W45)),IF(T45="Probabilidad",P45,"")),"")</f>
        <v/>
      </c>
      <c r="AF45" s="115" t="str">
        <f t="shared" si="11"/>
        <v/>
      </c>
      <c r="AG45" s="116"/>
      <c r="AH45" s="107"/>
      <c r="AI45" s="108"/>
      <c r="AJ45" s="217"/>
      <c r="AK45" s="109"/>
      <c r="AL45" s="107"/>
      <c r="AM45" s="108"/>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24.75" hidden="1" customHeight="1" x14ac:dyDescent="0.25">
      <c r="A46" s="459"/>
      <c r="B46" s="462"/>
      <c r="C46" s="465"/>
      <c r="D46" s="465"/>
      <c r="E46" s="210"/>
      <c r="F46" s="468"/>
      <c r="G46" s="576"/>
      <c r="H46" s="118"/>
      <c r="I46" s="462"/>
      <c r="J46" s="471"/>
      <c r="K46" s="474"/>
      <c r="L46" s="453"/>
      <c r="M46" s="477"/>
      <c r="N46" s="453">
        <f>IF(NOT(ISERROR(MATCH(M46,_xlfn.ANCHORARRAY(F57),0))),L59&amp;"Por favor no seleccionar los criterios de impacto",M46)</f>
        <v>0</v>
      </c>
      <c r="O46" s="474"/>
      <c r="P46" s="453"/>
      <c r="Q46" s="456"/>
      <c r="R46" s="103">
        <v>2</v>
      </c>
      <c r="S46" s="104"/>
      <c r="T46" s="105" t="str">
        <f t="shared" si="6"/>
        <v/>
      </c>
      <c r="U46" s="111"/>
      <c r="V46" s="111"/>
      <c r="W46" s="112" t="str">
        <f t="shared" si="7"/>
        <v/>
      </c>
      <c r="X46" s="111"/>
      <c r="Y46" s="111"/>
      <c r="Z46" s="111"/>
      <c r="AA46" s="106" t="str">
        <f>IFERROR(IF(AND(T45="Probabilidad",T46="Probabilidad"),(AC45-(+AC45*W46)),IF(AND(T45="Impacto",T46="Probabilidad"),(L45-(+L45*W46)),IF(T46="Impacto",AC45,""))),"")</f>
        <v/>
      </c>
      <c r="AB46" s="113" t="str">
        <f t="shared" si="8"/>
        <v/>
      </c>
      <c r="AC46" s="114" t="str">
        <f t="shared" si="9"/>
        <v/>
      </c>
      <c r="AD46" s="113" t="str">
        <f t="shared" si="10"/>
        <v/>
      </c>
      <c r="AE46" s="114" t="str">
        <f>IFERROR(IF(AND(T45="Impacto",T46="Impacto"),(AE45-(+AE45*W46)),IF(AND(T45="Probabilidad",T46="Impacto"),(P45-(+P45*W46)),IF(T46="Probabilidad",AE45,""))),"")</f>
        <v/>
      </c>
      <c r="AF46" s="115" t="str">
        <f t="shared" si="11"/>
        <v/>
      </c>
      <c r="AG46" s="116"/>
      <c r="AH46" s="107"/>
      <c r="AI46" s="108"/>
      <c r="AJ46" s="217"/>
      <c r="AK46" s="109"/>
      <c r="AL46" s="107"/>
      <c r="AM46" s="108"/>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26.25" hidden="1" customHeight="1" x14ac:dyDescent="0.25">
      <c r="A47" s="459"/>
      <c r="B47" s="462"/>
      <c r="C47" s="465"/>
      <c r="D47" s="465"/>
      <c r="E47" s="210"/>
      <c r="F47" s="468"/>
      <c r="G47" s="576"/>
      <c r="H47" s="118"/>
      <c r="I47" s="462"/>
      <c r="J47" s="471"/>
      <c r="K47" s="474"/>
      <c r="L47" s="453"/>
      <c r="M47" s="477"/>
      <c r="N47" s="453">
        <f>IF(NOT(ISERROR(MATCH(M47,_xlfn.ANCHORARRAY(F58),0))),L60&amp;"Por favor no seleccionar los criterios de impacto",M47)</f>
        <v>0</v>
      </c>
      <c r="O47" s="474"/>
      <c r="P47" s="453"/>
      <c r="Q47" s="456"/>
      <c r="R47" s="103">
        <v>3</v>
      </c>
      <c r="S47" s="110"/>
      <c r="T47" s="105" t="str">
        <f t="shared" si="6"/>
        <v/>
      </c>
      <c r="U47" s="111"/>
      <c r="V47" s="111"/>
      <c r="W47" s="112" t="str">
        <f t="shared" si="7"/>
        <v/>
      </c>
      <c r="X47" s="111"/>
      <c r="Y47" s="111"/>
      <c r="Z47" s="111"/>
      <c r="AA47" s="106" t="str">
        <f>IFERROR(IF(AND(T46="Probabilidad",T47="Probabilidad"),(AC46-(+AC46*W47)),IF(AND(T46="Impacto",T47="Probabilidad"),(AC45-(+AC45*W47)),IF(T47="Impacto",AC46,""))),"")</f>
        <v/>
      </c>
      <c r="AB47" s="113" t="str">
        <f t="shared" si="8"/>
        <v/>
      </c>
      <c r="AC47" s="114" t="str">
        <f t="shared" si="9"/>
        <v/>
      </c>
      <c r="AD47" s="113" t="str">
        <f t="shared" si="10"/>
        <v/>
      </c>
      <c r="AE47" s="114" t="str">
        <f>IFERROR(IF(AND(T46="Impacto",T47="Impacto"),(AE46-(+AE46*W47)),IF(AND(T46="Probabilidad",T47="Impacto"),(AE45-(+AE45*W47)),IF(T47="Probabilidad",AE46,""))),"")</f>
        <v/>
      </c>
      <c r="AF47" s="115" t="str">
        <f t="shared" si="11"/>
        <v/>
      </c>
      <c r="AG47" s="116"/>
      <c r="AH47" s="107"/>
      <c r="AI47" s="108"/>
      <c r="AJ47" s="217"/>
      <c r="AK47" s="109"/>
      <c r="AL47" s="107"/>
      <c r="AM47" s="108"/>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26.25" hidden="1" customHeight="1" x14ac:dyDescent="0.25">
      <c r="A48" s="459"/>
      <c r="B48" s="462"/>
      <c r="C48" s="465"/>
      <c r="D48" s="465"/>
      <c r="E48" s="210"/>
      <c r="F48" s="468"/>
      <c r="G48" s="576"/>
      <c r="H48" s="118"/>
      <c r="I48" s="462"/>
      <c r="J48" s="471"/>
      <c r="K48" s="474"/>
      <c r="L48" s="453"/>
      <c r="M48" s="477"/>
      <c r="N48" s="453">
        <f>IF(NOT(ISERROR(MATCH(M48,_xlfn.ANCHORARRAY(F59),0))),L61&amp;"Por favor no seleccionar los criterios de impacto",M48)</f>
        <v>0</v>
      </c>
      <c r="O48" s="474"/>
      <c r="P48" s="453"/>
      <c r="Q48" s="456"/>
      <c r="R48" s="103">
        <v>4</v>
      </c>
      <c r="S48" s="104"/>
      <c r="T48" s="105" t="str">
        <f t="shared" si="6"/>
        <v/>
      </c>
      <c r="U48" s="111"/>
      <c r="V48" s="111"/>
      <c r="W48" s="112" t="str">
        <f t="shared" si="7"/>
        <v/>
      </c>
      <c r="X48" s="111"/>
      <c r="Y48" s="111"/>
      <c r="Z48" s="111"/>
      <c r="AA48" s="106" t="str">
        <f>IFERROR(IF(AND(T47="Probabilidad",T48="Probabilidad"),(AC47-(+AC47*W48)),IF(AND(T47="Impacto",T48="Probabilidad"),(AC46-(+AC46*W48)),IF(T48="Impacto",AC47,""))),"")</f>
        <v/>
      </c>
      <c r="AB48" s="113" t="str">
        <f t="shared" si="8"/>
        <v/>
      </c>
      <c r="AC48" s="114" t="str">
        <f t="shared" si="9"/>
        <v/>
      </c>
      <c r="AD48" s="113" t="str">
        <f t="shared" si="10"/>
        <v/>
      </c>
      <c r="AE48" s="114" t="str">
        <f>IFERROR(IF(AND(T47="Impacto",T48="Impacto"),(AE47-(+AE47*W48)),IF(AND(T47="Probabilidad",T48="Impacto"),(AE46-(+AE46*W48)),IF(T48="Probabilidad",AE47,""))),"")</f>
        <v/>
      </c>
      <c r="AF48" s="115" t="str">
        <f t="shared" si="11"/>
        <v/>
      </c>
      <c r="AG48" s="116"/>
      <c r="AH48" s="107"/>
      <c r="AI48" s="108"/>
      <c r="AJ48" s="217"/>
      <c r="AK48" s="109"/>
      <c r="AL48" s="107"/>
      <c r="AM48" s="108"/>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26.25" hidden="1" customHeight="1" x14ac:dyDescent="0.25">
      <c r="A49" s="459"/>
      <c r="B49" s="462"/>
      <c r="C49" s="465"/>
      <c r="D49" s="465"/>
      <c r="E49" s="210"/>
      <c r="F49" s="468"/>
      <c r="G49" s="576"/>
      <c r="H49" s="118"/>
      <c r="I49" s="462"/>
      <c r="J49" s="471"/>
      <c r="K49" s="474"/>
      <c r="L49" s="453"/>
      <c r="M49" s="477"/>
      <c r="N49" s="453">
        <f>IF(NOT(ISERROR(MATCH(M49,_xlfn.ANCHORARRAY(F60),0))),L62&amp;"Por favor no seleccionar los criterios de impacto",M49)</f>
        <v>0</v>
      </c>
      <c r="O49" s="474"/>
      <c r="P49" s="453"/>
      <c r="Q49" s="456"/>
      <c r="R49" s="103">
        <v>5</v>
      </c>
      <c r="S49" s="104"/>
      <c r="T49" s="105" t="str">
        <f t="shared" si="6"/>
        <v/>
      </c>
      <c r="U49" s="111"/>
      <c r="V49" s="111"/>
      <c r="W49" s="112" t="str">
        <f t="shared" si="7"/>
        <v/>
      </c>
      <c r="X49" s="111"/>
      <c r="Y49" s="111"/>
      <c r="Z49" s="111"/>
      <c r="AA49" s="106" t="str">
        <f>IFERROR(IF(AND(T48="Probabilidad",T49="Probabilidad"),(AC48-(+AC48*W49)),IF(AND(T48="Impacto",T49="Probabilidad"),(AC47-(+AC47*W49)),IF(T49="Impacto",AC48,""))),"")</f>
        <v/>
      </c>
      <c r="AB49" s="113" t="str">
        <f t="shared" si="8"/>
        <v/>
      </c>
      <c r="AC49" s="114" t="str">
        <f t="shared" si="9"/>
        <v/>
      </c>
      <c r="AD49" s="113" t="str">
        <f t="shared" si="10"/>
        <v/>
      </c>
      <c r="AE49" s="114" t="str">
        <f>IFERROR(IF(AND(T48="Impacto",T49="Impacto"),(AE48-(+AE48*W49)),IF(AND(T48="Probabilidad",T49="Impacto"),(AE47-(+AE47*W49)),IF(T49="Probabilidad",AE48,""))),"")</f>
        <v/>
      </c>
      <c r="AF49" s="115" t="str">
        <f t="shared" si="11"/>
        <v/>
      </c>
      <c r="AG49" s="116"/>
      <c r="AH49" s="107"/>
      <c r="AI49" s="108"/>
      <c r="AJ49" s="217"/>
      <c r="AK49" s="109"/>
      <c r="AL49" s="107"/>
      <c r="AM49" s="108"/>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26.25" hidden="1" customHeight="1" x14ac:dyDescent="0.25">
      <c r="A50" s="460"/>
      <c r="B50" s="463"/>
      <c r="C50" s="466"/>
      <c r="D50" s="466"/>
      <c r="E50" s="211"/>
      <c r="F50" s="469"/>
      <c r="G50" s="577"/>
      <c r="H50" s="119"/>
      <c r="I50" s="463"/>
      <c r="J50" s="472"/>
      <c r="K50" s="475"/>
      <c r="L50" s="454"/>
      <c r="M50" s="478"/>
      <c r="N50" s="454">
        <f>IF(NOT(ISERROR(MATCH(M50,_xlfn.ANCHORARRAY(F61),0))),L63&amp;"Por favor no seleccionar los criterios de impacto",M50)</f>
        <v>0</v>
      </c>
      <c r="O50" s="475"/>
      <c r="P50" s="454"/>
      <c r="Q50" s="457"/>
      <c r="R50" s="103">
        <v>6</v>
      </c>
      <c r="S50" s="104"/>
      <c r="T50" s="105" t="str">
        <f t="shared" si="6"/>
        <v/>
      </c>
      <c r="U50" s="111"/>
      <c r="V50" s="111"/>
      <c r="W50" s="112" t="str">
        <f t="shared" si="7"/>
        <v/>
      </c>
      <c r="X50" s="111"/>
      <c r="Y50" s="111"/>
      <c r="Z50" s="111"/>
      <c r="AA50" s="106" t="str">
        <f>IFERROR(IF(AND(T49="Probabilidad",T50="Probabilidad"),(AC49-(+AC49*W50)),IF(AND(T49="Impacto",T50="Probabilidad"),(AC48-(+AC48*W50)),IF(T50="Impacto",AC49,""))),"")</f>
        <v/>
      </c>
      <c r="AB50" s="113" t="str">
        <f t="shared" si="8"/>
        <v/>
      </c>
      <c r="AC50" s="114" t="str">
        <f t="shared" si="9"/>
        <v/>
      </c>
      <c r="AD50" s="113" t="str">
        <f t="shared" si="10"/>
        <v/>
      </c>
      <c r="AE50" s="114" t="str">
        <f>IFERROR(IF(AND(T49="Impacto",T50="Impacto"),(AE49-(+AE49*W50)),IF(AND(T49="Probabilidad",T50="Impacto"),(AE48-(+AE48*W50)),IF(T50="Probabilidad",AE49,""))),"")</f>
        <v/>
      </c>
      <c r="AF50" s="115" t="str">
        <f t="shared" si="11"/>
        <v/>
      </c>
      <c r="AG50" s="116"/>
      <c r="AH50" s="107"/>
      <c r="AI50" s="108"/>
      <c r="AJ50" s="217"/>
      <c r="AK50" s="109"/>
      <c r="AL50" s="107"/>
      <c r="AM50" s="108"/>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26.25" hidden="1" customHeight="1" x14ac:dyDescent="0.25">
      <c r="A51" s="458">
        <v>8</v>
      </c>
      <c r="B51" s="461"/>
      <c r="C51" s="464"/>
      <c r="D51" s="464"/>
      <c r="E51" s="209"/>
      <c r="F51" s="467"/>
      <c r="G51" s="575"/>
      <c r="H51" s="117"/>
      <c r="I51" s="461"/>
      <c r="J51" s="470"/>
      <c r="K51" s="473" t="str">
        <f>IF(J51&lt;=0,"",IF(J51&lt;=2,"Muy Baja",IF(J51&lt;=24,"Baja",IF(J51&lt;=500,"Media",IF(J51&lt;=5000,"Alta","Muy Alta")))))</f>
        <v/>
      </c>
      <c r="L51" s="452" t="str">
        <f>IF(K51="","",IF(K51="Muy Baja",0.2,IF(K51="Baja",0.4,IF(K51="Media",0.6,IF(K51="Alta",0.8,IF(K51="Muy Alta",1,))))))</f>
        <v/>
      </c>
      <c r="M51" s="476"/>
      <c r="N51" s="452">
        <f>IF(NOT(ISERROR(MATCH(M51,'Tabla Impacto'!$B$221:$B$223,0))),'Tabla Impacto'!$F$223&amp;"Por favor no seleccionar los criterios de impacto(Afectación Económica o presupuestal y Pérdida Reputacional)",M51)</f>
        <v>0</v>
      </c>
      <c r="O51" s="473" t="str">
        <f>IF(OR(N51='Tabla Impacto'!$C$11,N51='Tabla Impacto'!$D$11),"Leve",IF(OR(N51='Tabla Impacto'!$C$12,N51='Tabla Impacto'!$D$12),"Menor",IF(OR(N51='Tabla Impacto'!$C$13,N51='Tabla Impacto'!$D$13),"Moderado",IF(OR(N51='Tabla Impacto'!$C$14,N51='Tabla Impacto'!$D$14),"Mayor",IF(OR(N51='Tabla Impacto'!$C$15,N51='Tabla Impacto'!$D$15),"Catastrófico","")))))</f>
        <v/>
      </c>
      <c r="P51" s="452" t="str">
        <f>IF(O51="","",IF(O51="Leve",0.2,IF(O51="Menor",0.4,IF(O51="Moderado",0.6,IF(O51="Mayor",0.8,IF(O51="Catastrófico",1,))))))</f>
        <v/>
      </c>
      <c r="Q51" s="455"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3">
        <v>1</v>
      </c>
      <c r="S51" s="104">
        <f>DOFA!E47</f>
        <v>0</v>
      </c>
      <c r="T51" s="105" t="str">
        <f t="shared" si="6"/>
        <v/>
      </c>
      <c r="U51" s="111"/>
      <c r="V51" s="111"/>
      <c r="W51" s="112" t="str">
        <f t="shared" si="7"/>
        <v/>
      </c>
      <c r="X51" s="111"/>
      <c r="Y51" s="111"/>
      <c r="Z51" s="111"/>
      <c r="AA51" s="106" t="str">
        <f>IFERROR(IF(T51="Probabilidad",(L51-(+L51*W51)),IF(T51="Impacto",L51,"")),"")</f>
        <v/>
      </c>
      <c r="AB51" s="113" t="str">
        <f t="shared" si="8"/>
        <v/>
      </c>
      <c r="AC51" s="114" t="str">
        <f t="shared" si="9"/>
        <v/>
      </c>
      <c r="AD51" s="113" t="str">
        <f t="shared" si="10"/>
        <v/>
      </c>
      <c r="AE51" s="114" t="str">
        <f>IFERROR(IF(T51="Impacto",(P51-(+P51*W51)),IF(T51="Probabilidad",P51,"")),"")</f>
        <v/>
      </c>
      <c r="AF51" s="115" t="str">
        <f t="shared" si="11"/>
        <v/>
      </c>
      <c r="AG51" s="116"/>
      <c r="AH51" s="107"/>
      <c r="AI51" s="108"/>
      <c r="AJ51" s="217"/>
      <c r="AK51" s="109"/>
      <c r="AL51" s="107"/>
      <c r="AM51" s="108"/>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26.25" hidden="1" customHeight="1" x14ac:dyDescent="0.25">
      <c r="A52" s="459"/>
      <c r="B52" s="462"/>
      <c r="C52" s="465"/>
      <c r="D52" s="465"/>
      <c r="E52" s="210"/>
      <c r="F52" s="468"/>
      <c r="G52" s="576"/>
      <c r="H52" s="118"/>
      <c r="I52" s="462"/>
      <c r="J52" s="471"/>
      <c r="K52" s="474"/>
      <c r="L52" s="453"/>
      <c r="M52" s="477"/>
      <c r="N52" s="453">
        <f>IF(NOT(ISERROR(MATCH(M52,_xlfn.ANCHORARRAY(F63),0))),L65&amp;"Por favor no seleccionar los criterios de impacto",M52)</f>
        <v>0</v>
      </c>
      <c r="O52" s="474"/>
      <c r="P52" s="453"/>
      <c r="Q52" s="456"/>
      <c r="R52" s="103">
        <v>2</v>
      </c>
      <c r="S52" s="104"/>
      <c r="T52" s="105" t="str">
        <f t="shared" si="6"/>
        <v/>
      </c>
      <c r="U52" s="111"/>
      <c r="V52" s="111"/>
      <c r="W52" s="112" t="str">
        <f t="shared" si="7"/>
        <v/>
      </c>
      <c r="X52" s="111"/>
      <c r="Y52" s="111"/>
      <c r="Z52" s="111"/>
      <c r="AA52" s="106" t="str">
        <f>IFERROR(IF(AND(T51="Probabilidad",T52="Probabilidad"),(AC51-(+AC51*W52)),IF(AND(T51="Impacto",T52="Probabilidad"),(L51-(+L51*W52)),IF(T52="Impacto",AC51,""))),"")</f>
        <v/>
      </c>
      <c r="AB52" s="113" t="str">
        <f t="shared" si="8"/>
        <v/>
      </c>
      <c r="AC52" s="114" t="str">
        <f t="shared" si="9"/>
        <v/>
      </c>
      <c r="AD52" s="113" t="str">
        <f t="shared" si="10"/>
        <v/>
      </c>
      <c r="AE52" s="114" t="str">
        <f>IFERROR(IF(AND(T51="Impacto",T52="Impacto"),(AE51-(+AE51*W52)),IF(AND(T51="Probabilidad",T52="Impacto"),(P51-(+P51*W52)),IF(T52="Probabilidad",AE51,""))),"")</f>
        <v/>
      </c>
      <c r="AF52" s="115" t="str">
        <f t="shared" si="11"/>
        <v/>
      </c>
      <c r="AG52" s="116"/>
      <c r="AH52" s="107"/>
      <c r="AI52" s="108"/>
      <c r="AJ52" s="217"/>
      <c r="AK52" s="109"/>
      <c r="AL52" s="107"/>
      <c r="AM52" s="108"/>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26.25" hidden="1" customHeight="1" x14ac:dyDescent="0.25">
      <c r="A53" s="459"/>
      <c r="B53" s="462"/>
      <c r="C53" s="465"/>
      <c r="D53" s="465"/>
      <c r="E53" s="210"/>
      <c r="F53" s="468"/>
      <c r="G53" s="576"/>
      <c r="H53" s="118"/>
      <c r="I53" s="462"/>
      <c r="J53" s="471"/>
      <c r="K53" s="474"/>
      <c r="L53" s="453"/>
      <c r="M53" s="477"/>
      <c r="N53" s="453">
        <f>IF(NOT(ISERROR(MATCH(M53,_xlfn.ANCHORARRAY(F64),0))),L66&amp;"Por favor no seleccionar los criterios de impacto",M53)</f>
        <v>0</v>
      </c>
      <c r="O53" s="474"/>
      <c r="P53" s="453"/>
      <c r="Q53" s="456"/>
      <c r="R53" s="103">
        <v>3</v>
      </c>
      <c r="S53" s="110"/>
      <c r="T53" s="105" t="str">
        <f t="shared" si="6"/>
        <v/>
      </c>
      <c r="U53" s="111"/>
      <c r="V53" s="111"/>
      <c r="W53" s="112" t="str">
        <f t="shared" si="7"/>
        <v/>
      </c>
      <c r="X53" s="111"/>
      <c r="Y53" s="111"/>
      <c r="Z53" s="111"/>
      <c r="AA53" s="106" t="str">
        <f>IFERROR(IF(AND(T52="Probabilidad",T53="Probabilidad"),(AC52-(+AC52*W53)),IF(AND(T52="Impacto",T53="Probabilidad"),(AC51-(+AC51*W53)),IF(T53="Impacto",AC52,""))),"")</f>
        <v/>
      </c>
      <c r="AB53" s="113" t="str">
        <f t="shared" si="8"/>
        <v/>
      </c>
      <c r="AC53" s="114" t="str">
        <f t="shared" si="9"/>
        <v/>
      </c>
      <c r="AD53" s="113" t="str">
        <f t="shared" si="10"/>
        <v/>
      </c>
      <c r="AE53" s="114" t="str">
        <f>IFERROR(IF(AND(T52="Impacto",T53="Impacto"),(AE52-(+AE52*W53)),IF(AND(T52="Probabilidad",T53="Impacto"),(AE51-(+AE51*W53)),IF(T53="Probabilidad",AE52,""))),"")</f>
        <v/>
      </c>
      <c r="AF53" s="115" t="str">
        <f t="shared" si="11"/>
        <v/>
      </c>
      <c r="AG53" s="116"/>
      <c r="AH53" s="107"/>
      <c r="AI53" s="108"/>
      <c r="AJ53" s="217"/>
      <c r="AK53" s="109"/>
      <c r="AL53" s="107"/>
      <c r="AM53" s="108"/>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26.25" hidden="1" customHeight="1" x14ac:dyDescent="0.25">
      <c r="A54" s="459"/>
      <c r="B54" s="462"/>
      <c r="C54" s="465"/>
      <c r="D54" s="465"/>
      <c r="E54" s="210"/>
      <c r="F54" s="468"/>
      <c r="G54" s="576"/>
      <c r="H54" s="118"/>
      <c r="I54" s="462"/>
      <c r="J54" s="471"/>
      <c r="K54" s="474"/>
      <c r="L54" s="453"/>
      <c r="M54" s="477"/>
      <c r="N54" s="453">
        <f>IF(NOT(ISERROR(MATCH(M54,_xlfn.ANCHORARRAY(F65),0))),L67&amp;"Por favor no seleccionar los criterios de impacto",M54)</f>
        <v>0</v>
      </c>
      <c r="O54" s="474"/>
      <c r="P54" s="453"/>
      <c r="Q54" s="456"/>
      <c r="R54" s="103">
        <v>4</v>
      </c>
      <c r="S54" s="104"/>
      <c r="T54" s="105" t="str">
        <f t="shared" si="6"/>
        <v/>
      </c>
      <c r="U54" s="111"/>
      <c r="V54" s="111"/>
      <c r="W54" s="112" t="str">
        <f t="shared" si="7"/>
        <v/>
      </c>
      <c r="X54" s="111"/>
      <c r="Y54" s="111"/>
      <c r="Z54" s="111"/>
      <c r="AA54" s="106" t="str">
        <f>IFERROR(IF(AND(T53="Probabilidad",T54="Probabilidad"),(AC53-(+AC53*W54)),IF(AND(T53="Impacto",T54="Probabilidad"),(AC52-(+AC52*W54)),IF(T54="Impacto",AC53,""))),"")</f>
        <v/>
      </c>
      <c r="AB54" s="113" t="str">
        <f t="shared" si="8"/>
        <v/>
      </c>
      <c r="AC54" s="114" t="str">
        <f t="shared" si="9"/>
        <v/>
      </c>
      <c r="AD54" s="113" t="str">
        <f t="shared" si="10"/>
        <v/>
      </c>
      <c r="AE54" s="114" t="str">
        <f>IFERROR(IF(AND(T53="Impacto",T54="Impacto"),(AE53-(+AE53*W54)),IF(AND(T53="Probabilidad",T54="Impacto"),(AE52-(+AE52*W54)),IF(T54="Probabilidad",AE53,""))),"")</f>
        <v/>
      </c>
      <c r="AF54" s="115" t="str">
        <f t="shared" si="11"/>
        <v/>
      </c>
      <c r="AG54" s="116"/>
      <c r="AH54" s="107"/>
      <c r="AI54" s="108"/>
      <c r="AJ54" s="217"/>
      <c r="AK54" s="109"/>
      <c r="AL54" s="107"/>
      <c r="AM54" s="108"/>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26.25" hidden="1" customHeight="1" x14ac:dyDescent="0.25">
      <c r="A55" s="459"/>
      <c r="B55" s="462"/>
      <c r="C55" s="465"/>
      <c r="D55" s="465"/>
      <c r="E55" s="210"/>
      <c r="F55" s="468"/>
      <c r="G55" s="576"/>
      <c r="H55" s="118"/>
      <c r="I55" s="462"/>
      <c r="J55" s="471"/>
      <c r="K55" s="474"/>
      <c r="L55" s="453"/>
      <c r="M55" s="477"/>
      <c r="N55" s="453">
        <f>IF(NOT(ISERROR(MATCH(M55,_xlfn.ANCHORARRAY(F66),0))),L68&amp;"Por favor no seleccionar los criterios de impacto",M55)</f>
        <v>0</v>
      </c>
      <c r="O55" s="474"/>
      <c r="P55" s="453"/>
      <c r="Q55" s="456"/>
      <c r="R55" s="103">
        <v>5</v>
      </c>
      <c r="S55" s="104"/>
      <c r="T55" s="105" t="str">
        <f t="shared" si="6"/>
        <v/>
      </c>
      <c r="U55" s="111"/>
      <c r="V55" s="111"/>
      <c r="W55" s="112" t="str">
        <f t="shared" si="7"/>
        <v/>
      </c>
      <c r="X55" s="111"/>
      <c r="Y55" s="111"/>
      <c r="Z55" s="111"/>
      <c r="AA55" s="106" t="str">
        <f>IFERROR(IF(AND(T54="Probabilidad",T55="Probabilidad"),(AC54-(+AC54*W55)),IF(AND(T54="Impacto",T55="Probabilidad"),(AC53-(+AC53*W55)),IF(T55="Impacto",AC54,""))),"")</f>
        <v/>
      </c>
      <c r="AB55" s="113" t="str">
        <f t="shared" si="8"/>
        <v/>
      </c>
      <c r="AC55" s="114" t="str">
        <f t="shared" si="9"/>
        <v/>
      </c>
      <c r="AD55" s="113" t="str">
        <f t="shared" si="10"/>
        <v/>
      </c>
      <c r="AE55" s="114" t="str">
        <f>IFERROR(IF(AND(T54="Impacto",T55="Impacto"),(AE54-(+AE54*W55)),IF(AND(T54="Probabilidad",T55="Impacto"),(AE53-(+AE53*W55)),IF(T55="Probabilidad",AE54,""))),"")</f>
        <v/>
      </c>
      <c r="AF55" s="115" t="str">
        <f t="shared" si="11"/>
        <v/>
      </c>
      <c r="AG55" s="116"/>
      <c r="AH55" s="107"/>
      <c r="AI55" s="108"/>
      <c r="AJ55" s="217"/>
      <c r="AK55" s="109"/>
      <c r="AL55" s="107"/>
      <c r="AM55" s="108"/>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26.25" hidden="1" customHeight="1" x14ac:dyDescent="0.25">
      <c r="A56" s="460"/>
      <c r="B56" s="463"/>
      <c r="C56" s="466"/>
      <c r="D56" s="466"/>
      <c r="E56" s="211"/>
      <c r="F56" s="469"/>
      <c r="G56" s="577"/>
      <c r="H56" s="119"/>
      <c r="I56" s="463"/>
      <c r="J56" s="472"/>
      <c r="K56" s="475"/>
      <c r="L56" s="454"/>
      <c r="M56" s="478"/>
      <c r="N56" s="454">
        <f>IF(NOT(ISERROR(MATCH(M56,_xlfn.ANCHORARRAY(F67),0))),L69&amp;"Por favor no seleccionar los criterios de impacto",M56)</f>
        <v>0</v>
      </c>
      <c r="O56" s="475"/>
      <c r="P56" s="454"/>
      <c r="Q56" s="457"/>
      <c r="R56" s="103">
        <v>6</v>
      </c>
      <c r="S56" s="104"/>
      <c r="T56" s="105" t="str">
        <f t="shared" si="6"/>
        <v/>
      </c>
      <c r="U56" s="111"/>
      <c r="V56" s="111"/>
      <c r="W56" s="112" t="str">
        <f t="shared" si="7"/>
        <v/>
      </c>
      <c r="X56" s="111"/>
      <c r="Y56" s="111"/>
      <c r="Z56" s="111"/>
      <c r="AA56" s="106" t="str">
        <f>IFERROR(IF(AND(T55="Probabilidad",T56="Probabilidad"),(AC55-(+AC55*W56)),IF(AND(T55="Impacto",T56="Probabilidad"),(AC54-(+AC54*W56)),IF(T56="Impacto",AC55,""))),"")</f>
        <v/>
      </c>
      <c r="AB56" s="113" t="str">
        <f t="shared" si="8"/>
        <v/>
      </c>
      <c r="AC56" s="114" t="str">
        <f t="shared" si="9"/>
        <v/>
      </c>
      <c r="AD56" s="113" t="str">
        <f t="shared" si="10"/>
        <v/>
      </c>
      <c r="AE56" s="114" t="str">
        <f>IFERROR(IF(AND(T55="Impacto",T56="Impacto"),(AE55-(+AE55*W56)),IF(AND(T55="Probabilidad",T56="Impacto"),(AE54-(+AE54*W56)),IF(T56="Probabilidad",AE55,""))),"")</f>
        <v/>
      </c>
      <c r="AF56" s="115" t="str">
        <f t="shared" si="11"/>
        <v/>
      </c>
      <c r="AG56" s="116"/>
      <c r="AH56" s="107"/>
      <c r="AI56" s="108"/>
      <c r="AJ56" s="217"/>
      <c r="AK56" s="109"/>
      <c r="AL56" s="107"/>
      <c r="AM56" s="108"/>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26.25" hidden="1" customHeight="1" x14ac:dyDescent="0.25">
      <c r="A57" s="458">
        <v>9</v>
      </c>
      <c r="B57" s="461"/>
      <c r="C57" s="464"/>
      <c r="D57" s="464"/>
      <c r="E57" s="209"/>
      <c r="F57" s="467"/>
      <c r="G57" s="575"/>
      <c r="H57" s="117"/>
      <c r="I57" s="461"/>
      <c r="J57" s="470"/>
      <c r="K57" s="473" t="str">
        <f>IF(J57&lt;=0,"",IF(J57&lt;=2,"Muy Baja",IF(J57&lt;=24,"Baja",IF(J57&lt;=500,"Media",IF(J57&lt;=5000,"Alta","Muy Alta")))))</f>
        <v/>
      </c>
      <c r="L57" s="452" t="str">
        <f>IF(K57="","",IF(K57="Muy Baja",0.2,IF(K57="Baja",0.4,IF(K57="Media",0.6,IF(K57="Alta",0.8,IF(K57="Muy Alta",1,))))))</f>
        <v/>
      </c>
      <c r="M57" s="476"/>
      <c r="N57" s="452">
        <f>IF(NOT(ISERROR(MATCH(M57,'Tabla Impacto'!$B$221:$B$223,0))),'Tabla Impacto'!$F$223&amp;"Por favor no seleccionar los criterios de impacto(Afectación Económica o presupuestal y Pérdida Reputacional)",M57)</f>
        <v>0</v>
      </c>
      <c r="O57" s="473" t="str">
        <f>IF(OR(N57='Tabla Impacto'!$C$11,N57='Tabla Impacto'!$D$11),"Leve",IF(OR(N57='Tabla Impacto'!$C$12,N57='Tabla Impacto'!$D$12),"Menor",IF(OR(N57='Tabla Impacto'!$C$13,N57='Tabla Impacto'!$D$13),"Moderado",IF(OR(N57='Tabla Impacto'!$C$14,N57='Tabla Impacto'!$D$14),"Mayor",IF(OR(N57='Tabla Impacto'!$C$15,N57='Tabla Impacto'!$D$15),"Catastrófico","")))))</f>
        <v/>
      </c>
      <c r="P57" s="452" t="str">
        <f>IF(O57="","",IF(O57="Leve",0.2,IF(O57="Menor",0.4,IF(O57="Moderado",0.6,IF(O57="Mayor",0.8,IF(O57="Catastrófico",1,))))))</f>
        <v/>
      </c>
      <c r="Q57" s="455"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3">
        <v>1</v>
      </c>
      <c r="S57" s="104">
        <f>DOFA!E48</f>
        <v>0</v>
      </c>
      <c r="T57" s="105" t="str">
        <f t="shared" si="6"/>
        <v/>
      </c>
      <c r="U57" s="111"/>
      <c r="V57" s="111"/>
      <c r="W57" s="112" t="str">
        <f t="shared" si="7"/>
        <v/>
      </c>
      <c r="X57" s="111"/>
      <c r="Y57" s="111"/>
      <c r="Z57" s="111"/>
      <c r="AA57" s="106" t="str">
        <f>IFERROR(IF(T57="Probabilidad",(L57-(+L57*W57)),IF(T57="Impacto",L57,"")),"")</f>
        <v/>
      </c>
      <c r="AB57" s="113" t="str">
        <f t="shared" si="8"/>
        <v/>
      </c>
      <c r="AC57" s="114" t="str">
        <f t="shared" si="9"/>
        <v/>
      </c>
      <c r="AD57" s="113" t="str">
        <f t="shared" si="10"/>
        <v/>
      </c>
      <c r="AE57" s="114" t="str">
        <f>IFERROR(IF(T57="Impacto",(P57-(+P57*W57)),IF(T57="Probabilidad",P57,"")),"")</f>
        <v/>
      </c>
      <c r="AF57" s="115" t="str">
        <f t="shared" si="11"/>
        <v/>
      </c>
      <c r="AG57" s="116"/>
      <c r="AH57" s="107"/>
      <c r="AI57" s="108"/>
      <c r="AJ57" s="217"/>
      <c r="AK57" s="109"/>
      <c r="AL57" s="107"/>
      <c r="AM57" s="108"/>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26.25" hidden="1" customHeight="1" x14ac:dyDescent="0.25">
      <c r="A58" s="459"/>
      <c r="B58" s="462"/>
      <c r="C58" s="465"/>
      <c r="D58" s="465"/>
      <c r="E58" s="210"/>
      <c r="F58" s="468"/>
      <c r="G58" s="576"/>
      <c r="H58" s="118"/>
      <c r="I58" s="462"/>
      <c r="J58" s="471"/>
      <c r="K58" s="474"/>
      <c r="L58" s="453"/>
      <c r="M58" s="477"/>
      <c r="N58" s="453">
        <f>IF(NOT(ISERROR(MATCH(M58,_xlfn.ANCHORARRAY(F69),0))),L71&amp;"Por favor no seleccionar los criterios de impacto",M58)</f>
        <v>0</v>
      </c>
      <c r="O58" s="474"/>
      <c r="P58" s="453"/>
      <c r="Q58" s="456"/>
      <c r="R58" s="103">
        <v>2</v>
      </c>
      <c r="S58" s="104"/>
      <c r="T58" s="105" t="str">
        <f t="shared" si="6"/>
        <v/>
      </c>
      <c r="U58" s="111"/>
      <c r="V58" s="111"/>
      <c r="W58" s="112" t="str">
        <f t="shared" si="7"/>
        <v/>
      </c>
      <c r="X58" s="111"/>
      <c r="Y58" s="111"/>
      <c r="Z58" s="111"/>
      <c r="AA58" s="106" t="str">
        <f>IFERROR(IF(AND(T57="Probabilidad",T58="Probabilidad"),(AC57-(+AC57*W58)),IF(AND(T57="Impacto",T58="Probabilidad"),(L57-(+L57*W58)),IF(T58="Impacto",AC57,""))),"")</f>
        <v/>
      </c>
      <c r="AB58" s="113" t="str">
        <f t="shared" si="8"/>
        <v/>
      </c>
      <c r="AC58" s="114" t="str">
        <f t="shared" si="9"/>
        <v/>
      </c>
      <c r="AD58" s="113" t="str">
        <f t="shared" si="10"/>
        <v/>
      </c>
      <c r="AE58" s="114" t="str">
        <f>IFERROR(IF(AND(T57="Impacto",T58="Impacto"),(AE57-(+AE57*W58)),IF(AND(T57="Probabilidad",T58="Impacto"),(P57-(+P57*W58)),IF(T58="Probabilidad",AE57,""))),"")</f>
        <v/>
      </c>
      <c r="AF58" s="115" t="str">
        <f t="shared" si="11"/>
        <v/>
      </c>
      <c r="AG58" s="116"/>
      <c r="AH58" s="107"/>
      <c r="AI58" s="108"/>
      <c r="AJ58" s="217"/>
      <c r="AK58" s="109"/>
      <c r="AL58" s="107"/>
      <c r="AM58" s="108"/>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26.25" hidden="1" customHeight="1" x14ac:dyDescent="0.25">
      <c r="A59" s="459"/>
      <c r="B59" s="462"/>
      <c r="C59" s="465"/>
      <c r="D59" s="465"/>
      <c r="E59" s="210"/>
      <c r="F59" s="468"/>
      <c r="G59" s="576"/>
      <c r="H59" s="118"/>
      <c r="I59" s="462"/>
      <c r="J59" s="471"/>
      <c r="K59" s="474"/>
      <c r="L59" s="453"/>
      <c r="M59" s="477"/>
      <c r="N59" s="453">
        <f>IF(NOT(ISERROR(MATCH(M59,_xlfn.ANCHORARRAY(F70),0))),L72&amp;"Por favor no seleccionar los criterios de impacto",M59)</f>
        <v>0</v>
      </c>
      <c r="O59" s="474"/>
      <c r="P59" s="453"/>
      <c r="Q59" s="456"/>
      <c r="R59" s="103">
        <v>3</v>
      </c>
      <c r="S59" s="110"/>
      <c r="T59" s="105" t="str">
        <f t="shared" si="6"/>
        <v/>
      </c>
      <c r="U59" s="111"/>
      <c r="V59" s="111"/>
      <c r="W59" s="112" t="str">
        <f t="shared" si="7"/>
        <v/>
      </c>
      <c r="X59" s="111"/>
      <c r="Y59" s="111"/>
      <c r="Z59" s="111"/>
      <c r="AA59" s="106" t="str">
        <f>IFERROR(IF(AND(T58="Probabilidad",T59="Probabilidad"),(AC58-(+AC58*W59)),IF(AND(T58="Impacto",T59="Probabilidad"),(AC57-(+AC57*W59)),IF(T59="Impacto",AC58,""))),"")</f>
        <v/>
      </c>
      <c r="AB59" s="113" t="str">
        <f t="shared" si="8"/>
        <v/>
      </c>
      <c r="AC59" s="114" t="str">
        <f t="shared" si="9"/>
        <v/>
      </c>
      <c r="AD59" s="113" t="str">
        <f t="shared" si="10"/>
        <v/>
      </c>
      <c r="AE59" s="114" t="str">
        <f>IFERROR(IF(AND(T58="Impacto",T59="Impacto"),(AE58-(+AE58*W59)),IF(AND(T58="Probabilidad",T59="Impacto"),(AE57-(+AE57*W59)),IF(T59="Probabilidad",AE58,""))),"")</f>
        <v/>
      </c>
      <c r="AF59" s="115" t="str">
        <f t="shared" si="11"/>
        <v/>
      </c>
      <c r="AG59" s="116"/>
      <c r="AH59" s="107"/>
      <c r="AI59" s="108"/>
      <c r="AJ59" s="217"/>
      <c r="AK59" s="109"/>
      <c r="AL59" s="107"/>
      <c r="AM59" s="108"/>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26.25" hidden="1" customHeight="1" x14ac:dyDescent="0.25">
      <c r="A60" s="459"/>
      <c r="B60" s="462"/>
      <c r="C60" s="465"/>
      <c r="D60" s="465"/>
      <c r="E60" s="210"/>
      <c r="F60" s="468"/>
      <c r="G60" s="576"/>
      <c r="H60" s="118"/>
      <c r="I60" s="462"/>
      <c r="J60" s="471"/>
      <c r="K60" s="474"/>
      <c r="L60" s="453"/>
      <c r="M60" s="477"/>
      <c r="N60" s="453">
        <f>IF(NOT(ISERROR(MATCH(M60,_xlfn.ANCHORARRAY(F71),0))),L73&amp;"Por favor no seleccionar los criterios de impacto",M60)</f>
        <v>0</v>
      </c>
      <c r="O60" s="474"/>
      <c r="P60" s="453"/>
      <c r="Q60" s="456"/>
      <c r="R60" s="103">
        <v>4</v>
      </c>
      <c r="S60" s="104"/>
      <c r="T60" s="105" t="str">
        <f t="shared" si="6"/>
        <v/>
      </c>
      <c r="U60" s="111"/>
      <c r="V60" s="111"/>
      <c r="W60" s="112" t="str">
        <f t="shared" si="7"/>
        <v/>
      </c>
      <c r="X60" s="111"/>
      <c r="Y60" s="111"/>
      <c r="Z60" s="111"/>
      <c r="AA60" s="106" t="str">
        <f>IFERROR(IF(AND(T59="Probabilidad",T60="Probabilidad"),(AC59-(+AC59*W60)),IF(AND(T59="Impacto",T60="Probabilidad"),(AC58-(+AC58*W60)),IF(T60="Impacto",AC59,""))),"")</f>
        <v/>
      </c>
      <c r="AB60" s="113" t="str">
        <f t="shared" si="8"/>
        <v/>
      </c>
      <c r="AC60" s="114" t="str">
        <f t="shared" si="9"/>
        <v/>
      </c>
      <c r="AD60" s="113" t="str">
        <f t="shared" si="10"/>
        <v/>
      </c>
      <c r="AE60" s="114" t="str">
        <f>IFERROR(IF(AND(T59="Impacto",T60="Impacto"),(AE59-(+AE59*W60)),IF(AND(T59="Probabilidad",T60="Impacto"),(AE58-(+AE58*W60)),IF(T60="Probabilidad",AE59,""))),"")</f>
        <v/>
      </c>
      <c r="AF60" s="115" t="str">
        <f t="shared" si="11"/>
        <v/>
      </c>
      <c r="AG60" s="116"/>
      <c r="AH60" s="107"/>
      <c r="AI60" s="108"/>
      <c r="AJ60" s="217"/>
      <c r="AK60" s="109"/>
      <c r="AL60" s="107"/>
      <c r="AM60" s="108"/>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26.25" hidden="1" customHeight="1" x14ac:dyDescent="0.25">
      <c r="A61" s="459"/>
      <c r="B61" s="462"/>
      <c r="C61" s="465"/>
      <c r="D61" s="465"/>
      <c r="E61" s="210"/>
      <c r="F61" s="468"/>
      <c r="G61" s="576"/>
      <c r="H61" s="118"/>
      <c r="I61" s="462"/>
      <c r="J61" s="471"/>
      <c r="K61" s="474"/>
      <c r="L61" s="453"/>
      <c r="M61" s="477"/>
      <c r="N61" s="453">
        <f>IF(NOT(ISERROR(MATCH(M61,_xlfn.ANCHORARRAY(F72),0))),L74&amp;"Por favor no seleccionar los criterios de impacto",M61)</f>
        <v>0</v>
      </c>
      <c r="O61" s="474"/>
      <c r="P61" s="453"/>
      <c r="Q61" s="456"/>
      <c r="R61" s="103">
        <v>5</v>
      </c>
      <c r="S61" s="104"/>
      <c r="T61" s="105" t="str">
        <f t="shared" si="6"/>
        <v/>
      </c>
      <c r="U61" s="111"/>
      <c r="V61" s="111"/>
      <c r="W61" s="112" t="str">
        <f t="shared" si="7"/>
        <v/>
      </c>
      <c r="X61" s="111"/>
      <c r="Y61" s="111"/>
      <c r="Z61" s="111"/>
      <c r="AA61" s="106" t="str">
        <f>IFERROR(IF(AND(T60="Probabilidad",T61="Probabilidad"),(AC60-(+AC60*W61)),IF(AND(T60="Impacto",T61="Probabilidad"),(AC59-(+AC59*W61)),IF(T61="Impacto",AC60,""))),"")</f>
        <v/>
      </c>
      <c r="AB61" s="113" t="str">
        <f t="shared" si="8"/>
        <v/>
      </c>
      <c r="AC61" s="114" t="str">
        <f t="shared" si="9"/>
        <v/>
      </c>
      <c r="AD61" s="113" t="str">
        <f t="shared" si="10"/>
        <v/>
      </c>
      <c r="AE61" s="114" t="str">
        <f>IFERROR(IF(AND(T60="Impacto",T61="Impacto"),(AE60-(+AE60*W61)),IF(AND(T60="Probabilidad",T61="Impacto"),(AE59-(+AE59*W61)),IF(T61="Probabilidad",AE60,""))),"")</f>
        <v/>
      </c>
      <c r="AF61" s="115" t="str">
        <f t="shared" si="11"/>
        <v/>
      </c>
      <c r="AG61" s="116"/>
      <c r="AH61" s="107"/>
      <c r="AI61" s="108"/>
      <c r="AJ61" s="217"/>
      <c r="AK61" s="109"/>
      <c r="AL61" s="107"/>
      <c r="AM61" s="108"/>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26.25" hidden="1" customHeight="1" x14ac:dyDescent="0.25">
      <c r="A62" s="460"/>
      <c r="B62" s="463"/>
      <c r="C62" s="466"/>
      <c r="D62" s="466"/>
      <c r="E62" s="211"/>
      <c r="F62" s="469"/>
      <c r="G62" s="577"/>
      <c r="H62" s="119"/>
      <c r="I62" s="463"/>
      <c r="J62" s="472"/>
      <c r="K62" s="475"/>
      <c r="L62" s="454"/>
      <c r="M62" s="478"/>
      <c r="N62" s="454">
        <f>IF(NOT(ISERROR(MATCH(M62,_xlfn.ANCHORARRAY(F73),0))),L75&amp;"Por favor no seleccionar los criterios de impacto",M62)</f>
        <v>0</v>
      </c>
      <c r="O62" s="475"/>
      <c r="P62" s="454"/>
      <c r="Q62" s="457"/>
      <c r="R62" s="103">
        <v>6</v>
      </c>
      <c r="S62" s="104"/>
      <c r="T62" s="105" t="str">
        <f t="shared" si="6"/>
        <v/>
      </c>
      <c r="U62" s="111"/>
      <c r="V62" s="111"/>
      <c r="W62" s="112" t="str">
        <f t="shared" si="7"/>
        <v/>
      </c>
      <c r="X62" s="111"/>
      <c r="Y62" s="111"/>
      <c r="Z62" s="111"/>
      <c r="AA62" s="106" t="str">
        <f>IFERROR(IF(AND(T61="Probabilidad",T62="Probabilidad"),(AC61-(+AC61*W62)),IF(AND(T61="Impacto",T62="Probabilidad"),(AC60-(+AC60*W62)),IF(T62="Impacto",AC61,""))),"")</f>
        <v/>
      </c>
      <c r="AB62" s="113" t="str">
        <f t="shared" si="8"/>
        <v/>
      </c>
      <c r="AC62" s="114" t="str">
        <f t="shared" si="9"/>
        <v/>
      </c>
      <c r="AD62" s="113" t="str">
        <f t="shared" si="10"/>
        <v/>
      </c>
      <c r="AE62" s="114" t="str">
        <f>IFERROR(IF(AND(T61="Impacto",T62="Impacto"),(AE61-(+AE61*W62)),IF(AND(T61="Probabilidad",T62="Impacto"),(AE60-(+AE60*W62)),IF(T62="Probabilidad",AE61,""))),"")</f>
        <v/>
      </c>
      <c r="AF62" s="115" t="str">
        <f t="shared" si="11"/>
        <v/>
      </c>
      <c r="AG62" s="116"/>
      <c r="AH62" s="107"/>
      <c r="AI62" s="108"/>
      <c r="AJ62" s="217"/>
      <c r="AK62" s="109"/>
      <c r="AL62" s="107"/>
      <c r="AM62" s="108"/>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19.5" hidden="1" customHeight="1" x14ac:dyDescent="0.25">
      <c r="A63" s="458">
        <v>10</v>
      </c>
      <c r="B63" s="461"/>
      <c r="C63" s="464"/>
      <c r="D63" s="464"/>
      <c r="E63" s="209"/>
      <c r="F63" s="467"/>
      <c r="G63" s="575"/>
      <c r="H63" s="117"/>
      <c r="I63" s="461"/>
      <c r="J63" s="470"/>
      <c r="K63" s="473" t="str">
        <f>IF(J63&lt;=0,"",IF(J63&lt;=2,"Muy Baja",IF(J63&lt;=24,"Baja",IF(J63&lt;=500,"Media",IF(J63&lt;=5000,"Alta","Muy Alta")))))</f>
        <v/>
      </c>
      <c r="L63" s="452" t="str">
        <f>IF(K63="","",IF(K63="Muy Baja",0.2,IF(K63="Baja",0.4,IF(K63="Media",0.6,IF(K63="Alta",0.8,IF(K63="Muy Alta",1,))))))</f>
        <v/>
      </c>
      <c r="M63" s="476"/>
      <c r="N63" s="452">
        <f>IF(NOT(ISERROR(MATCH(M63,'Tabla Impacto'!$B$221:$B$223,0))),'Tabla Impacto'!$F$223&amp;"Por favor no seleccionar los criterios de impacto(Afectación Económica o presupuestal y Pérdida Reputacional)",M63)</f>
        <v>0</v>
      </c>
      <c r="O63" s="473" t="str">
        <f>IF(OR(N63='Tabla Impacto'!$C$11,N63='Tabla Impacto'!$D$11),"Leve",IF(OR(N63='Tabla Impacto'!$C$12,N63='Tabla Impacto'!$D$12),"Menor",IF(OR(N63='Tabla Impacto'!$C$13,N63='Tabla Impacto'!$D$13),"Moderado",IF(OR(N63='Tabla Impacto'!$C$14,N63='Tabla Impacto'!$D$14),"Mayor",IF(OR(N63='Tabla Impacto'!$C$15,N63='Tabla Impacto'!$D$15),"Catastrófico","")))))</f>
        <v/>
      </c>
      <c r="P63" s="452" t="str">
        <f>IF(O63="","",IF(O63="Leve",0.2,IF(O63="Menor",0.4,IF(O63="Moderado",0.6,IF(O63="Mayor",0.8,IF(O63="Catastrófico",1,))))))</f>
        <v/>
      </c>
      <c r="Q63" s="455"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3">
        <v>1</v>
      </c>
      <c r="S63" s="104">
        <f>DOFA!E49</f>
        <v>0</v>
      </c>
      <c r="T63" s="105" t="str">
        <f t="shared" si="6"/>
        <v/>
      </c>
      <c r="U63" s="111"/>
      <c r="V63" s="111"/>
      <c r="W63" s="112" t="str">
        <f t="shared" si="7"/>
        <v/>
      </c>
      <c r="X63" s="111"/>
      <c r="Y63" s="111"/>
      <c r="Z63" s="111"/>
      <c r="AA63" s="106" t="str">
        <f>IFERROR(IF(T63="Probabilidad",(L63-(+L63*W63)),IF(T63="Impacto",L63,"")),"")</f>
        <v/>
      </c>
      <c r="AB63" s="113" t="str">
        <f t="shared" si="8"/>
        <v/>
      </c>
      <c r="AC63" s="114" t="str">
        <f t="shared" si="9"/>
        <v/>
      </c>
      <c r="AD63" s="113" t="str">
        <f t="shared" si="10"/>
        <v/>
      </c>
      <c r="AE63" s="114" t="str">
        <f>IFERROR(IF(T63="Impacto",(P63-(+P63*W63)),IF(T63="Probabilidad",P63,"")),"")</f>
        <v/>
      </c>
      <c r="AF63" s="115" t="str">
        <f t="shared" si="11"/>
        <v/>
      </c>
      <c r="AG63" s="116"/>
      <c r="AH63" s="107"/>
      <c r="AI63" s="108"/>
      <c r="AJ63" s="217"/>
      <c r="AK63" s="109"/>
      <c r="AL63" s="107"/>
      <c r="AM63" s="108"/>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19.5" hidden="1" customHeight="1" x14ac:dyDescent="0.25">
      <c r="A64" s="459"/>
      <c r="B64" s="462"/>
      <c r="C64" s="465"/>
      <c r="D64" s="465"/>
      <c r="E64" s="210"/>
      <c r="F64" s="468"/>
      <c r="G64" s="576"/>
      <c r="H64" s="118"/>
      <c r="I64" s="462"/>
      <c r="J64" s="471"/>
      <c r="K64" s="474"/>
      <c r="L64" s="453"/>
      <c r="M64" s="477"/>
      <c r="N64" s="453">
        <f>IF(NOT(ISERROR(MATCH(M64,_xlfn.ANCHORARRAY(F75),0))),L77&amp;"Por favor no seleccionar los criterios de impacto",M64)</f>
        <v>0</v>
      </c>
      <c r="O64" s="474"/>
      <c r="P64" s="453"/>
      <c r="Q64" s="456"/>
      <c r="R64" s="103">
        <v>2</v>
      </c>
      <c r="S64" s="104"/>
      <c r="T64" s="105" t="str">
        <f t="shared" si="6"/>
        <v/>
      </c>
      <c r="U64" s="111"/>
      <c r="V64" s="111"/>
      <c r="W64" s="112" t="str">
        <f t="shared" si="7"/>
        <v/>
      </c>
      <c r="X64" s="111"/>
      <c r="Y64" s="111"/>
      <c r="Z64" s="111"/>
      <c r="AA64" s="106" t="str">
        <f>IFERROR(IF(AND(T63="Probabilidad",T64="Probabilidad"),(AC63-(+AC63*W64)),IF(AND(T63="Impacto",T64="Probabilidad"),(L63-(+L63*W64)),IF(T64="Impacto",AC63,""))),"")</f>
        <v/>
      </c>
      <c r="AB64" s="113" t="str">
        <f t="shared" si="8"/>
        <v/>
      </c>
      <c r="AC64" s="114" t="str">
        <f t="shared" si="9"/>
        <v/>
      </c>
      <c r="AD64" s="113" t="str">
        <f t="shared" si="10"/>
        <v/>
      </c>
      <c r="AE64" s="114" t="str">
        <f>IFERROR(IF(AND(T63="Impacto",T64="Impacto"),(AE63-(+AE63*W64)),IF(AND(T63="Probabilidad",T64="Impacto"),(P63-(+P63*W64)),IF(T64="Probabilidad",AE63,""))),"")</f>
        <v/>
      </c>
      <c r="AF64" s="115" t="str">
        <f t="shared" si="11"/>
        <v/>
      </c>
      <c r="AG64" s="116"/>
      <c r="AH64" s="107"/>
      <c r="AI64" s="108"/>
      <c r="AJ64" s="217"/>
      <c r="AK64" s="109"/>
      <c r="AL64" s="107"/>
      <c r="AM64" s="108"/>
    </row>
    <row r="65" spans="1:39" ht="19.5" hidden="1" customHeight="1" x14ac:dyDescent="0.25">
      <c r="A65" s="459"/>
      <c r="B65" s="462"/>
      <c r="C65" s="465"/>
      <c r="D65" s="465"/>
      <c r="E65" s="210"/>
      <c r="F65" s="468"/>
      <c r="G65" s="576"/>
      <c r="H65" s="118"/>
      <c r="I65" s="462"/>
      <c r="J65" s="471"/>
      <c r="K65" s="474"/>
      <c r="L65" s="453"/>
      <c r="M65" s="477"/>
      <c r="N65" s="453">
        <f>IF(NOT(ISERROR(MATCH(M65,_xlfn.ANCHORARRAY(F76),0))),L78&amp;"Por favor no seleccionar los criterios de impacto",M65)</f>
        <v>0</v>
      </c>
      <c r="O65" s="474"/>
      <c r="P65" s="453"/>
      <c r="Q65" s="456"/>
      <c r="R65" s="103">
        <v>3</v>
      </c>
      <c r="S65" s="110"/>
      <c r="T65" s="105" t="str">
        <f t="shared" si="6"/>
        <v/>
      </c>
      <c r="U65" s="111"/>
      <c r="V65" s="111"/>
      <c r="W65" s="112" t="str">
        <f t="shared" si="7"/>
        <v/>
      </c>
      <c r="X65" s="111"/>
      <c r="Y65" s="111"/>
      <c r="Z65" s="111"/>
      <c r="AA65" s="106" t="str">
        <f>IFERROR(IF(AND(T64="Probabilidad",T65="Probabilidad"),(AC64-(+AC64*W65)),IF(AND(T64="Impacto",T65="Probabilidad"),(AC63-(+AC63*W65)),IF(T65="Impacto",AC64,""))),"")</f>
        <v/>
      </c>
      <c r="AB65" s="113" t="str">
        <f t="shared" si="8"/>
        <v/>
      </c>
      <c r="AC65" s="114" t="str">
        <f t="shared" si="9"/>
        <v/>
      </c>
      <c r="AD65" s="113" t="str">
        <f t="shared" si="10"/>
        <v/>
      </c>
      <c r="AE65" s="114" t="str">
        <f>IFERROR(IF(AND(T64="Impacto",T65="Impacto"),(AE64-(+AE64*W65)),IF(AND(T64="Probabilidad",T65="Impacto"),(AE63-(+AE63*W65)),IF(T65="Probabilidad",AE64,""))),"")</f>
        <v/>
      </c>
      <c r="AF65" s="115" t="str">
        <f t="shared" si="11"/>
        <v/>
      </c>
      <c r="AG65" s="116"/>
      <c r="AH65" s="107"/>
      <c r="AI65" s="108"/>
      <c r="AJ65" s="217"/>
      <c r="AK65" s="109"/>
      <c r="AL65" s="107"/>
      <c r="AM65" s="108"/>
    </row>
    <row r="66" spans="1:39" ht="19.5" hidden="1" customHeight="1" x14ac:dyDescent="0.25">
      <c r="A66" s="459"/>
      <c r="B66" s="462"/>
      <c r="C66" s="465"/>
      <c r="D66" s="465"/>
      <c r="E66" s="210"/>
      <c r="F66" s="468"/>
      <c r="G66" s="576"/>
      <c r="H66" s="118"/>
      <c r="I66" s="462"/>
      <c r="J66" s="471"/>
      <c r="K66" s="474"/>
      <c r="L66" s="453"/>
      <c r="M66" s="477"/>
      <c r="N66" s="453">
        <f>IF(NOT(ISERROR(MATCH(M66,_xlfn.ANCHORARRAY(F77),0))),L79&amp;"Por favor no seleccionar los criterios de impacto",M66)</f>
        <v>0</v>
      </c>
      <c r="O66" s="474"/>
      <c r="P66" s="453"/>
      <c r="Q66" s="456"/>
      <c r="R66" s="103">
        <v>4</v>
      </c>
      <c r="S66" s="104"/>
      <c r="T66" s="105" t="str">
        <f t="shared" si="6"/>
        <v/>
      </c>
      <c r="U66" s="111"/>
      <c r="V66" s="111"/>
      <c r="W66" s="112" t="str">
        <f t="shared" si="7"/>
        <v/>
      </c>
      <c r="X66" s="111"/>
      <c r="Y66" s="111"/>
      <c r="Z66" s="111"/>
      <c r="AA66" s="106" t="str">
        <f>IFERROR(IF(AND(T65="Probabilidad",T66="Probabilidad"),(AC65-(+AC65*W66)),IF(AND(T65="Impacto",T66="Probabilidad"),(AC64-(+AC64*W66)),IF(T66="Impacto",AC65,""))),"")</f>
        <v/>
      </c>
      <c r="AB66" s="113" t="str">
        <f t="shared" si="8"/>
        <v/>
      </c>
      <c r="AC66" s="114" t="str">
        <f t="shared" si="9"/>
        <v/>
      </c>
      <c r="AD66" s="113" t="str">
        <f t="shared" si="10"/>
        <v/>
      </c>
      <c r="AE66" s="114" t="str">
        <f>IFERROR(IF(AND(T65="Impacto",T66="Impacto"),(AE65-(+AE65*W66)),IF(AND(T65="Probabilidad",T66="Impacto"),(AE64-(+AE64*W66)),IF(T66="Probabilidad",AE65,""))),"")</f>
        <v/>
      </c>
      <c r="AF66" s="115" t="str">
        <f t="shared" si="11"/>
        <v/>
      </c>
      <c r="AG66" s="116"/>
      <c r="AH66" s="107"/>
      <c r="AI66" s="108"/>
      <c r="AJ66" s="217"/>
      <c r="AK66" s="109"/>
      <c r="AL66" s="107"/>
      <c r="AM66" s="108"/>
    </row>
    <row r="67" spans="1:39" ht="19.5" hidden="1" customHeight="1" x14ac:dyDescent="0.25">
      <c r="A67" s="459"/>
      <c r="B67" s="462"/>
      <c r="C67" s="465"/>
      <c r="D67" s="465"/>
      <c r="E67" s="210"/>
      <c r="F67" s="468"/>
      <c r="G67" s="576"/>
      <c r="H67" s="118"/>
      <c r="I67" s="462"/>
      <c r="J67" s="471"/>
      <c r="K67" s="474"/>
      <c r="L67" s="453"/>
      <c r="M67" s="477"/>
      <c r="N67" s="453">
        <f>IF(NOT(ISERROR(MATCH(M67,_xlfn.ANCHORARRAY(F78),0))),L80&amp;"Por favor no seleccionar los criterios de impacto",M67)</f>
        <v>0</v>
      </c>
      <c r="O67" s="474"/>
      <c r="P67" s="453"/>
      <c r="Q67" s="456"/>
      <c r="R67" s="103">
        <v>5</v>
      </c>
      <c r="S67" s="104"/>
      <c r="T67" s="105" t="str">
        <f t="shared" si="6"/>
        <v/>
      </c>
      <c r="U67" s="111"/>
      <c r="V67" s="111"/>
      <c r="W67" s="112" t="str">
        <f t="shared" si="7"/>
        <v/>
      </c>
      <c r="X67" s="111"/>
      <c r="Y67" s="111"/>
      <c r="Z67" s="111"/>
      <c r="AA67" s="106" t="str">
        <f>IFERROR(IF(AND(T66="Probabilidad",T67="Probabilidad"),(AC66-(+AC66*W67)),IF(AND(T66="Impacto",T67="Probabilidad"),(AC65-(+AC65*W67)),IF(T67="Impacto",AC66,""))),"")</f>
        <v/>
      </c>
      <c r="AB67" s="113" t="str">
        <f t="shared" si="8"/>
        <v/>
      </c>
      <c r="AC67" s="114" t="str">
        <f t="shared" si="9"/>
        <v/>
      </c>
      <c r="AD67" s="113" t="str">
        <f t="shared" si="10"/>
        <v/>
      </c>
      <c r="AE67" s="114" t="str">
        <f>IFERROR(IF(AND(T66="Impacto",T67="Impacto"),(AE66-(+AE66*W67)),IF(AND(T66="Probabilidad",T67="Impacto"),(AE65-(+AE65*W67)),IF(T67="Probabilidad",AE66,""))),"")</f>
        <v/>
      </c>
      <c r="AF67" s="115" t="str">
        <f t="shared" si="11"/>
        <v/>
      </c>
      <c r="AG67" s="116"/>
      <c r="AH67" s="107"/>
      <c r="AI67" s="108"/>
      <c r="AJ67" s="217"/>
      <c r="AK67" s="109"/>
      <c r="AL67" s="107"/>
      <c r="AM67" s="108"/>
    </row>
    <row r="68" spans="1:39" ht="19.5" hidden="1" customHeight="1" x14ac:dyDescent="0.25">
      <c r="A68" s="460"/>
      <c r="B68" s="463"/>
      <c r="C68" s="466"/>
      <c r="D68" s="466"/>
      <c r="E68" s="211"/>
      <c r="F68" s="469"/>
      <c r="G68" s="577"/>
      <c r="H68" s="119"/>
      <c r="I68" s="463"/>
      <c r="J68" s="472"/>
      <c r="K68" s="475"/>
      <c r="L68" s="454"/>
      <c r="M68" s="478"/>
      <c r="N68" s="454">
        <f>IF(NOT(ISERROR(MATCH(M68,_xlfn.ANCHORARRAY(F79),0))),L81&amp;"Por favor no seleccionar los criterios de impacto",M68)</f>
        <v>0</v>
      </c>
      <c r="O68" s="475"/>
      <c r="P68" s="454"/>
      <c r="Q68" s="457"/>
      <c r="R68" s="103">
        <v>6</v>
      </c>
      <c r="S68" s="104"/>
      <c r="T68" s="105" t="str">
        <f t="shared" si="6"/>
        <v/>
      </c>
      <c r="U68" s="111"/>
      <c r="V68" s="111"/>
      <c r="W68" s="112" t="str">
        <f t="shared" si="7"/>
        <v/>
      </c>
      <c r="X68" s="111"/>
      <c r="Y68" s="111"/>
      <c r="Z68" s="111"/>
      <c r="AA68" s="106" t="str">
        <f>IFERROR(IF(AND(T67="Probabilidad",T68="Probabilidad"),(AC67-(+AC67*W68)),IF(AND(T67="Impacto",T68="Probabilidad"),(AC66-(+AC66*W68)),IF(T68="Impacto",AC67,""))),"")</f>
        <v/>
      </c>
      <c r="AB68" s="113" t="str">
        <f t="shared" si="8"/>
        <v/>
      </c>
      <c r="AC68" s="114" t="str">
        <f t="shared" si="9"/>
        <v/>
      </c>
      <c r="AD68" s="113" t="str">
        <f t="shared" si="10"/>
        <v/>
      </c>
      <c r="AE68" s="114" t="str">
        <f>IFERROR(IF(AND(T67="Impacto",T68="Impacto"),(AE67-(+AE67*W68)),IF(AND(T67="Probabilidad",T68="Impacto"),(AE66-(+AE66*W68)),IF(T68="Probabilidad",AE67,""))),"")</f>
        <v/>
      </c>
      <c r="AF68" s="115" t="str">
        <f t="shared" si="11"/>
        <v/>
      </c>
      <c r="AG68" s="116"/>
      <c r="AH68" s="107"/>
      <c r="AI68" s="108"/>
      <c r="AJ68" s="217"/>
      <c r="AK68" s="109"/>
      <c r="AL68" s="107"/>
      <c r="AM68" s="108"/>
    </row>
    <row r="69" spans="1:39" ht="49.5" customHeight="1" x14ac:dyDescent="0.25">
      <c r="A69" s="5"/>
      <c r="B69" s="449" t="s">
        <v>126</v>
      </c>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1"/>
    </row>
    <row r="71" spans="1:39" x14ac:dyDescent="0.25">
      <c r="A71" s="1"/>
      <c r="B71" s="23" t="s">
        <v>138</v>
      </c>
      <c r="C71" s="205"/>
      <c r="D71" s="205"/>
      <c r="I71" s="1"/>
    </row>
  </sheetData>
  <dataConsolidate link="1"/>
  <mergeCells count="174">
    <mergeCell ref="G16:G21"/>
    <mergeCell ref="G22:G27"/>
    <mergeCell ref="G33:G38"/>
    <mergeCell ref="G39:G44"/>
    <mergeCell ref="G45:G50"/>
    <mergeCell ref="G51:G56"/>
    <mergeCell ref="G57:G62"/>
    <mergeCell ref="G63:G68"/>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P39:P44"/>
    <mergeCell ref="Q39:Q44"/>
    <mergeCell ref="M45:M50"/>
    <mergeCell ref="N45:N50"/>
    <mergeCell ref="O45:O50"/>
    <mergeCell ref="A33:A38"/>
    <mergeCell ref="B33:B38"/>
    <mergeCell ref="C33:C38"/>
    <mergeCell ref="A39:A44"/>
    <mergeCell ref="B39:B44"/>
    <mergeCell ref="C39:C44"/>
    <mergeCell ref="D39:D44"/>
    <mergeCell ref="F39:F44"/>
    <mergeCell ref="I39:I44"/>
    <mergeCell ref="D33:D38"/>
    <mergeCell ref="F33:F38"/>
    <mergeCell ref="M39:M44"/>
    <mergeCell ref="N39:N44"/>
    <mergeCell ref="O39:O44"/>
    <mergeCell ref="I33:I38"/>
    <mergeCell ref="J39:J44"/>
    <mergeCell ref="K39:K44"/>
    <mergeCell ref="L39:L44"/>
    <mergeCell ref="N33:N38"/>
    <mergeCell ref="A51:A56"/>
    <mergeCell ref="B51:B56"/>
    <mergeCell ref="C51:C56"/>
    <mergeCell ref="D51:D56"/>
    <mergeCell ref="F51:F56"/>
    <mergeCell ref="A45:A50"/>
    <mergeCell ref="B45:B50"/>
    <mergeCell ref="C45:C50"/>
    <mergeCell ref="D45:D50"/>
    <mergeCell ref="F45:F50"/>
    <mergeCell ref="F57:F62"/>
    <mergeCell ref="I57:I62"/>
    <mergeCell ref="J57:J62"/>
    <mergeCell ref="K57:K62"/>
    <mergeCell ref="L57:L62"/>
    <mergeCell ref="P45:P50"/>
    <mergeCell ref="Q45:Q50"/>
    <mergeCell ref="I51:I56"/>
    <mergeCell ref="J51:J56"/>
    <mergeCell ref="K51:K56"/>
    <mergeCell ref="L51:L56"/>
    <mergeCell ref="M51:M56"/>
    <mergeCell ref="I45:I50"/>
    <mergeCell ref="J45:J50"/>
    <mergeCell ref="K45:K50"/>
    <mergeCell ref="L45:L50"/>
    <mergeCell ref="N51:N56"/>
    <mergeCell ref="O51:O56"/>
    <mergeCell ref="P51:P56"/>
    <mergeCell ref="Q51:Q56"/>
    <mergeCell ref="B69:AM69"/>
    <mergeCell ref="P57:P62"/>
    <mergeCell ref="Q57:Q62"/>
    <mergeCell ref="A63:A68"/>
    <mergeCell ref="B63:B68"/>
    <mergeCell ref="C63:C68"/>
    <mergeCell ref="D63:D68"/>
    <mergeCell ref="F63:F68"/>
    <mergeCell ref="I63:I68"/>
    <mergeCell ref="J63:J68"/>
    <mergeCell ref="K63:K68"/>
    <mergeCell ref="L63:L68"/>
    <mergeCell ref="M63:M68"/>
    <mergeCell ref="N63:N68"/>
    <mergeCell ref="O63:O68"/>
    <mergeCell ref="P63:P68"/>
    <mergeCell ref="Q63:Q68"/>
    <mergeCell ref="M57:M62"/>
    <mergeCell ref="N57:N62"/>
    <mergeCell ref="O57:O62"/>
    <mergeCell ref="A57:A62"/>
    <mergeCell ref="B57:B62"/>
    <mergeCell ref="C57:C62"/>
    <mergeCell ref="D57:D62"/>
    <mergeCell ref="C4:AM4"/>
    <mergeCell ref="C5:AM5"/>
    <mergeCell ref="C6:AM6"/>
    <mergeCell ref="A1:AM2"/>
    <mergeCell ref="A7:J7"/>
    <mergeCell ref="K7:Q7"/>
    <mergeCell ref="R7:Z7"/>
    <mergeCell ref="AA7:AG7"/>
    <mergeCell ref="AH7:AM7"/>
  </mergeCells>
  <conditionalFormatting sqref="K10 AB10:AB68 K16 K22 K28 K39 K45 K51 K57 K63">
    <cfRule type="cellIs" dxfId="32" priority="659" operator="equal">
      <formula>"Muy Baja"</formula>
    </cfRule>
    <cfRule type="cellIs" dxfId="31" priority="655" operator="equal">
      <formula>"Muy Alta"</formula>
    </cfRule>
    <cfRule type="cellIs" dxfId="30" priority="656" operator="equal">
      <formula>"Alta"</formula>
    </cfRule>
    <cfRule type="cellIs" dxfId="29" priority="657" operator="equal">
      <formula>"Media"</formula>
    </cfRule>
    <cfRule type="cellIs" dxfId="28" priority="658" operator="equal">
      <formula>"Baja"</formula>
    </cfRule>
  </conditionalFormatting>
  <conditionalFormatting sqref="K33:K34">
    <cfRule type="cellIs" dxfId="27" priority="10" operator="equal">
      <formula>"Muy Alta"</formula>
    </cfRule>
    <cfRule type="cellIs" dxfId="26" priority="11" operator="equal">
      <formula>"Alta"</formula>
    </cfRule>
    <cfRule type="cellIs" dxfId="25" priority="12" operator="equal">
      <formula>"Media"</formula>
    </cfRule>
    <cfRule type="cellIs" dxfId="24" priority="13" operator="equal">
      <formula>"Baja"</formula>
    </cfRule>
    <cfRule type="cellIs" dxfId="23" priority="14" operator="equal">
      <formula>"Muy Baja"</formula>
    </cfRule>
  </conditionalFormatting>
  <conditionalFormatting sqref="N10:N68">
    <cfRule type="containsText" dxfId="22" priority="337" operator="containsText" text="❌">
      <formula>NOT(ISERROR(SEARCH("❌",N10)))</formula>
    </cfRule>
  </conditionalFormatting>
  <conditionalFormatting sqref="O10 AD10:AD68 O16 O22 O28 O39 O45 O51 O57 O63">
    <cfRule type="cellIs" dxfId="21" priority="650" operator="equal">
      <formula>"Catastrófico"</formula>
    </cfRule>
    <cfRule type="cellIs" dxfId="20" priority="651" operator="equal">
      <formula>"Mayor"</formula>
    </cfRule>
    <cfRule type="cellIs" dxfId="19" priority="652" operator="equal">
      <formula>"Moderado"</formula>
    </cfRule>
    <cfRule type="cellIs" dxfId="18" priority="653" operator="equal">
      <formula>"Menor"</formula>
    </cfRule>
    <cfRule type="cellIs" dxfId="17" priority="654" operator="equal">
      <formula>"Leve"</formula>
    </cfRule>
  </conditionalFormatting>
  <conditionalFormatting sqref="O33:O34">
    <cfRule type="cellIs" dxfId="16" priority="5" operator="equal">
      <formula>"Catastrófico"</formula>
    </cfRule>
    <cfRule type="cellIs" dxfId="15" priority="6" operator="equal">
      <formula>"Mayor"</formula>
    </cfRule>
    <cfRule type="cellIs" dxfId="14" priority="7" operator="equal">
      <formula>"Moderado"</formula>
    </cfRule>
    <cfRule type="cellIs" dxfId="13" priority="8" operator="equal">
      <formula>"Menor"</formula>
    </cfRule>
    <cfRule type="cellIs" dxfId="12" priority="9" operator="equal">
      <formula>"Leve"</formula>
    </cfRule>
  </conditionalFormatting>
  <conditionalFormatting sqref="Q10 AF10:AF68">
    <cfRule type="cellIs" dxfId="11" priority="648" operator="equal">
      <formula>"Moderado"</formula>
    </cfRule>
    <cfRule type="cellIs" dxfId="10" priority="647" operator="equal">
      <formula>"Alto"</formula>
    </cfRule>
    <cfRule type="cellIs" dxfId="9" priority="646" operator="equal">
      <formula>"Extremo"</formula>
    </cfRule>
    <cfRule type="cellIs" dxfId="8" priority="649" operator="equal">
      <formula>"Bajo"</formula>
    </cfRule>
  </conditionalFormatting>
  <conditionalFormatting sqref="Q16 Q22 Q28 Q39 Q45 Q51 Q57 Q63">
    <cfRule type="cellIs" dxfId="7" priority="578" operator="equal">
      <formula>"Moderado"</formula>
    </cfRule>
    <cfRule type="cellIs" dxfId="6" priority="579" operator="equal">
      <formula>"Bajo"</formula>
    </cfRule>
    <cfRule type="cellIs" dxfId="5" priority="576" operator="equal">
      <formula>"Extremo"</formula>
    </cfRule>
    <cfRule type="cellIs" dxfId="4" priority="577" operator="equal">
      <formula>"Alto"</formula>
    </cfRule>
  </conditionalFormatting>
  <conditionalFormatting sqref="Q33:Q34">
    <cfRule type="cellIs" dxfId="3" priority="3" operator="equal">
      <formula>"Moderado"</formula>
    </cfRule>
    <cfRule type="cellIs" dxfId="2" priority="2" operator="equal">
      <formula>"Alto"</formula>
    </cfRule>
    <cfRule type="cellIs" dxfId="1" priority="4" operator="equal">
      <formula>"Bajo"</formula>
    </cfRule>
    <cfRule type="cellIs" dxfId="0" priority="1" operator="equal">
      <formula>"Extremo"</formula>
    </cfRule>
  </conditionalFormatting>
  <dataValidations count="1">
    <dataValidation type="list" allowBlank="1" showInputMessage="1" showErrorMessage="1" sqref="G10:G68" xr:uid="{00000000-0002-0000-0400-000000000000}">
      <formula1>"Gestión, FISCAL,"</formula1>
    </dataValidation>
  </dataValidations>
  <pageMargins left="0.70866141732283472" right="0.70866141732283472" top="0.74803149606299213" bottom="0.74803149606299213" header="0.31496062992125984" footer="0.31496062992125984"/>
  <pageSetup paperSize="5" scale="40" orientation="landscape" r:id="rId1"/>
  <rowBreaks count="1" manualBreakCount="1">
    <brk id="32" max="16383" man="1"/>
  </rowBreaks>
  <colBreaks count="1" manualBreakCount="1">
    <brk id="39" max="1048575" man="1"/>
  </colBreak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AM13:AM14 AM16:AM17 AM19:AM20 AM22:AM23 AM25:AM26 AM28 AM30:AM31 AM33:AM34 AM36:AM37 AM39:AM40 AM42:AM43 AM45:AM46 AM48:AM49 AM51:AM52 AM54:AM55 AM57:AM58 AM60:AM61 AM63:AM64 AM66:AM67</xm:sqref>
        </x14:dataValidation>
        <x14:dataValidation type="list" allowBlank="1" showInputMessage="1" showErrorMessage="1" xr:uid="{00000000-0002-0000-0400-000009000000}">
          <x14:formula1>
            <xm:f>'Opciones Tratamiento'!$B$2:$B$5</xm:f>
          </x14:formula1>
          <xm:sqref>AG10 AG12:AG16 AG18:AG22 AG24:AG28 AG65:AG68 AG41:AG45 AG47:AG51 AG53:AG57 AG59:AG63 AG29:AG39</xm:sqref>
        </x14:dataValidation>
        <x14:dataValidation type="list" allowBlank="1" showInputMessage="1" showErrorMessage="1" xr:uid="{00000000-0002-0000-0400-000010000000}">
          <x14:formula1>
            <xm:f>'C:\Users\HOME\Downloads\[Formato Matriz de Riesgos 2021 (1).xlsx]Opciones Tratamiento'!#REF!</xm:f>
          </x14:formula1>
          <xm:sqref>AG11 AG17 AG23 AG64 AG40 AG46 AG52 AG58</xm:sqref>
        </x14:dataValidation>
        <x14:dataValidation type="list" allowBlank="1" showInputMessage="1" showErrorMessage="1" xr:uid="{00000000-0002-0000-0400-000001000000}">
          <x14:formula1>
            <xm:f>'Tabla Valoración controles'!$D$4:$D$6</xm:f>
          </x14:formula1>
          <xm:sqref>U10:U68</xm:sqref>
        </x14:dataValidation>
        <x14:dataValidation type="list" allowBlank="1" showInputMessage="1" showErrorMessage="1" xr:uid="{00000000-0002-0000-0400-000002000000}">
          <x14:formula1>
            <xm:f>'Tabla Valoración controles'!$D$7:$D$8</xm:f>
          </x14:formula1>
          <xm:sqref>V10:V68</xm:sqref>
        </x14:dataValidation>
        <x14:dataValidation type="list" allowBlank="1" showInputMessage="1" showErrorMessage="1" xr:uid="{00000000-0002-0000-0400-000003000000}">
          <x14:formula1>
            <xm:f>'Tabla Valoración controles'!$D$9:$D$10</xm:f>
          </x14:formula1>
          <xm:sqref>X10:X68</xm:sqref>
        </x14:dataValidation>
        <x14:dataValidation type="list" allowBlank="1" showInputMessage="1" showErrorMessage="1" xr:uid="{00000000-0002-0000-0400-000004000000}">
          <x14:formula1>
            <xm:f>'Tabla Valoración controles'!$D$11:$D$12</xm:f>
          </x14:formula1>
          <xm:sqref>Y10:Y68</xm:sqref>
        </x14:dataValidation>
        <x14:dataValidation type="list" allowBlank="1" showInputMessage="1" showErrorMessage="1" xr:uid="{00000000-0002-0000-0400-000006000000}">
          <x14:formula1>
            <xm:f>'Tabla Valoración controles'!$D$13:$D$14</xm:f>
          </x14:formula1>
          <xm:sqref>Z10:Z68</xm:sqref>
        </x14:dataValidation>
        <x14:dataValidation type="list" allowBlank="1" showInputMessage="1" showErrorMessage="1" xr:uid="{00000000-0002-0000-0400-000007000000}">
          <x14:formula1>
            <xm:f>'Opciones Tratamiento'!$B$13:$B$19</xm:f>
          </x14:formula1>
          <xm:sqref>I10:I68</xm:sqref>
        </x14:dataValidation>
        <x14:dataValidation type="list" allowBlank="1" showInputMessage="1" showErrorMessage="1" xr:uid="{00000000-0002-0000-0400-000008000000}">
          <x14:formula1>
            <xm:f>'Opciones Tratamiento'!$E$2:$E$4</xm:f>
          </x14:formula1>
          <xm:sqref>B10:B68</xm:sqref>
        </x14:dataValidation>
        <x14:dataValidation type="list" allowBlank="1" showInputMessage="1" showErrorMessage="1" xr:uid="{00000000-0002-0000-0400-00000A000000}">
          <x14:formula1>
            <xm:f>'Tabla Impacto'!$F$210:$F$221</xm:f>
          </x14:formula1>
          <xm:sqref>M10:M68</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AH10:AH68</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AI10:AI68</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U140"/>
  <sheetViews>
    <sheetView zoomScale="41" zoomScaleNormal="41" workbookViewId="0">
      <selection activeCell="AW39" sqref="AW39:AW40"/>
    </sheetView>
  </sheetViews>
  <sheetFormatPr baseColWidth="10" defaultRowHeight="14.4" x14ac:dyDescent="0.3"/>
  <cols>
    <col min="2" max="39" width="5.6640625" customWidth="1"/>
    <col min="41" max="46" width="5.6640625" customWidth="1"/>
  </cols>
  <sheetData>
    <row r="1" spans="1:99"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ht="18" customHeight="1" x14ac:dyDescent="0.3">
      <c r="A2" s="65"/>
      <c r="B2" s="666" t="s">
        <v>150</v>
      </c>
      <c r="C2" s="666"/>
      <c r="D2" s="666"/>
      <c r="E2" s="666"/>
      <c r="F2" s="666"/>
      <c r="G2" s="666"/>
      <c r="H2" s="666"/>
      <c r="I2" s="666"/>
      <c r="J2" s="634" t="s">
        <v>2</v>
      </c>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ht="18.75" customHeight="1" x14ac:dyDescent="0.3">
      <c r="A3" s="65"/>
      <c r="B3" s="666"/>
      <c r="C3" s="666"/>
      <c r="D3" s="666"/>
      <c r="E3" s="666"/>
      <c r="F3" s="666"/>
      <c r="G3" s="666"/>
      <c r="H3" s="666"/>
      <c r="I3" s="666"/>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15" customHeight="1" x14ac:dyDescent="0.3">
      <c r="A4" s="65"/>
      <c r="B4" s="666"/>
      <c r="C4" s="666"/>
      <c r="D4" s="666"/>
      <c r="E4" s="666"/>
      <c r="F4" s="666"/>
      <c r="G4" s="666"/>
      <c r="H4" s="666"/>
      <c r="I4" s="666"/>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row>
    <row r="5" spans="1:99"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99" ht="15" customHeight="1" x14ac:dyDescent="0.3">
      <c r="A6" s="65"/>
      <c r="B6" s="581" t="s">
        <v>4</v>
      </c>
      <c r="C6" s="581"/>
      <c r="D6" s="582"/>
      <c r="E6" s="619" t="s">
        <v>111</v>
      </c>
      <c r="F6" s="620"/>
      <c r="G6" s="620"/>
      <c r="H6" s="620"/>
      <c r="I6" s="621"/>
      <c r="J6" s="630" t="str">
        <f>IF(AND('Mapa final'!$K$10="Muy Alta",'Mapa final'!$O$10="Leve"),CONCATENATE("R",'Mapa final'!$A$10),"")</f>
        <v/>
      </c>
      <c r="K6" s="631"/>
      <c r="L6" s="631" t="str">
        <f>IF(AND('Mapa final'!$K$16="Muy Alta",'Mapa final'!$O$16="Leve"),CONCATENATE("R",'Mapa final'!$A$16),"")</f>
        <v/>
      </c>
      <c r="M6" s="631"/>
      <c r="N6" s="631" t="str">
        <f>IF(AND('Mapa final'!$K$22="Muy Alta",'Mapa final'!$O$22="Leve"),CONCATENATE("R",'Mapa final'!$A$22),"")</f>
        <v/>
      </c>
      <c r="O6" s="633"/>
      <c r="P6" s="630" t="str">
        <f>IF(AND('Mapa final'!$K$10="Muy Alta",'Mapa final'!$O$10="Menor"),CONCATENATE("R",'Mapa final'!$A$10),"")</f>
        <v/>
      </c>
      <c r="Q6" s="631"/>
      <c r="R6" s="631" t="str">
        <f>IF(AND('Mapa final'!$K$16="Muy Alta",'Mapa final'!$O$16="Menor"),CONCATENATE("R",'Mapa final'!$A$16),"")</f>
        <v/>
      </c>
      <c r="S6" s="631"/>
      <c r="T6" s="631" t="str">
        <f>IF(AND('Mapa final'!$K$22="Muy Alta",'Mapa final'!$O$22="Menor"),CONCATENATE("R",'Mapa final'!$A$22),"")</f>
        <v/>
      </c>
      <c r="U6" s="633"/>
      <c r="V6" s="630" t="str">
        <f>IF(AND('Mapa final'!$K$10="Muy Alta",'Mapa final'!$O$10="Moderado"),CONCATENATE("R",'Mapa final'!$A$10),"")</f>
        <v/>
      </c>
      <c r="W6" s="631"/>
      <c r="X6" s="631" t="str">
        <f>IF(AND('Mapa final'!$K$16="Muy Alta",'Mapa final'!$O$16="Moderado"),CONCATENATE("R",'Mapa final'!$A$16),"")</f>
        <v>R2</v>
      </c>
      <c r="Y6" s="631"/>
      <c r="Z6" s="631" t="str">
        <f>IF(AND('Mapa final'!$K$22="Muy Alta",'Mapa final'!$O$22="Moderado"),CONCATENATE("R",'Mapa final'!$A$22),"")</f>
        <v/>
      </c>
      <c r="AA6" s="633"/>
      <c r="AB6" s="630" t="str">
        <f>IF(AND('Mapa final'!$K$10="Muy Alta",'Mapa final'!$O$10="Mayor"),CONCATENATE("R",'Mapa final'!$A$10),"")</f>
        <v/>
      </c>
      <c r="AC6" s="631"/>
      <c r="AD6" s="631" t="str">
        <f>IF(AND('Mapa final'!$K$16="Muy Alta",'Mapa final'!$O$16="Mayor"),CONCATENATE("R",'Mapa final'!$A$16),"")</f>
        <v/>
      </c>
      <c r="AE6" s="631"/>
      <c r="AF6" s="631" t="str">
        <f>IF(AND('Mapa final'!$K$22="Muy Alta",'Mapa final'!$O$22="Mayor"),CONCATENATE("R",'Mapa final'!$A$22),"")</f>
        <v/>
      </c>
      <c r="AG6" s="633"/>
      <c r="AH6" s="645" t="str">
        <f>IF(AND('Mapa final'!$K$10="Muy Alta",'Mapa final'!$O$10="Catastrófico"),CONCATENATE("R",'Mapa final'!$A$10),"")</f>
        <v/>
      </c>
      <c r="AI6" s="646"/>
      <c r="AJ6" s="646" t="str">
        <f>IF(AND('Mapa final'!$K$16="Muy Alta",'Mapa final'!$O$16="Catastrófico"),CONCATENATE("R",'Mapa final'!$A$16),"")</f>
        <v/>
      </c>
      <c r="AK6" s="646"/>
      <c r="AL6" s="646" t="str">
        <f>IF(AND('Mapa final'!$K$22="Muy Alta",'Mapa final'!$O$22="Catastrófico"),CONCATENATE("R",'Mapa final'!$A$22),"")</f>
        <v/>
      </c>
      <c r="AM6" s="647"/>
      <c r="AO6" s="583" t="s">
        <v>78</v>
      </c>
      <c r="AP6" s="584"/>
      <c r="AQ6" s="584"/>
      <c r="AR6" s="584"/>
      <c r="AS6" s="584"/>
      <c r="AT6" s="58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99" ht="15" customHeight="1" x14ac:dyDescent="0.3">
      <c r="A7" s="65"/>
      <c r="B7" s="581"/>
      <c r="C7" s="581"/>
      <c r="D7" s="582"/>
      <c r="E7" s="622"/>
      <c r="F7" s="623"/>
      <c r="G7" s="623"/>
      <c r="H7" s="623"/>
      <c r="I7" s="624"/>
      <c r="J7" s="632"/>
      <c r="K7" s="628"/>
      <c r="L7" s="628"/>
      <c r="M7" s="628"/>
      <c r="N7" s="628"/>
      <c r="O7" s="629"/>
      <c r="P7" s="632"/>
      <c r="Q7" s="628"/>
      <c r="R7" s="628"/>
      <c r="S7" s="628"/>
      <c r="T7" s="628"/>
      <c r="U7" s="629"/>
      <c r="V7" s="632"/>
      <c r="W7" s="628"/>
      <c r="X7" s="628"/>
      <c r="Y7" s="628"/>
      <c r="Z7" s="628"/>
      <c r="AA7" s="629"/>
      <c r="AB7" s="632"/>
      <c r="AC7" s="628"/>
      <c r="AD7" s="628"/>
      <c r="AE7" s="628"/>
      <c r="AF7" s="628"/>
      <c r="AG7" s="629"/>
      <c r="AH7" s="639"/>
      <c r="AI7" s="640"/>
      <c r="AJ7" s="640"/>
      <c r="AK7" s="640"/>
      <c r="AL7" s="640"/>
      <c r="AM7" s="641"/>
      <c r="AN7" s="65"/>
      <c r="AO7" s="586"/>
      <c r="AP7" s="587"/>
      <c r="AQ7" s="587"/>
      <c r="AR7" s="587"/>
      <c r="AS7" s="587"/>
      <c r="AT7" s="588"/>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99" ht="15" customHeight="1" x14ac:dyDescent="0.3">
      <c r="A8" s="65"/>
      <c r="B8" s="581"/>
      <c r="C8" s="581"/>
      <c r="D8" s="582"/>
      <c r="E8" s="622"/>
      <c r="F8" s="623"/>
      <c r="G8" s="623"/>
      <c r="H8" s="623"/>
      <c r="I8" s="624"/>
      <c r="J8" s="632" t="str">
        <f>IF(AND('Mapa final'!$K$28="Muy Alta",'Mapa final'!$O$28="Leve"),CONCATENATE("R",'Mapa final'!$A$28),"")</f>
        <v/>
      </c>
      <c r="K8" s="628"/>
      <c r="L8" s="628" t="str">
        <f>IF(AND('Mapa final'!$K$33="Muy Alta",'Mapa final'!$O$33="Leve"),CONCATENATE("R",'Mapa final'!$A$33),"")</f>
        <v/>
      </c>
      <c r="M8" s="628"/>
      <c r="N8" s="628" t="str">
        <f>IF(AND('Mapa final'!$K$39="Muy Alta",'Mapa final'!$O$39="Leve"),CONCATENATE("R",'Mapa final'!$A$39),"")</f>
        <v/>
      </c>
      <c r="O8" s="629"/>
      <c r="P8" s="632" t="str">
        <f>IF(AND('Mapa final'!$K$28="Muy Alta",'Mapa final'!$O$28="Menor"),CONCATENATE("R",'Mapa final'!$A$28),"")</f>
        <v/>
      </c>
      <c r="Q8" s="628"/>
      <c r="R8" s="628" t="str">
        <f>IF(AND('Mapa final'!$K$33="Muy Alta",'Mapa final'!$O$33="Menor"),CONCATENATE("R",'Mapa final'!$A$33),"")</f>
        <v/>
      </c>
      <c r="S8" s="628"/>
      <c r="T8" s="628" t="str">
        <f>IF(AND('Mapa final'!$K$39="Muy Alta",'Mapa final'!$O$39="Menor"),CONCATENATE("R",'Mapa final'!$A$39),"")</f>
        <v/>
      </c>
      <c r="U8" s="629"/>
      <c r="V8" s="632" t="str">
        <f>IF(AND('Mapa final'!$K$28="Muy Alta",'Mapa final'!$O$28="Moderado"),CONCATENATE("R",'Mapa final'!$A$28),"")</f>
        <v/>
      </c>
      <c r="W8" s="628"/>
      <c r="X8" s="628" t="str">
        <f>IF(AND('Mapa final'!$K$33="Muy Alta",'Mapa final'!$O$33="Moderado"),CONCATENATE("R",'Mapa final'!$A$33),"")</f>
        <v/>
      </c>
      <c r="Y8" s="628"/>
      <c r="Z8" s="628" t="str">
        <f>IF(AND('Mapa final'!$K$39="Muy Alta",'Mapa final'!$O$39="Moderado"),CONCATENATE("R",'Mapa final'!$A$39),"")</f>
        <v/>
      </c>
      <c r="AA8" s="629"/>
      <c r="AB8" s="632" t="str">
        <f>IF(AND('Mapa final'!$K$28="Muy Alta",'Mapa final'!$O$28="Mayor"),CONCATENATE("R",'Mapa final'!$A$28),"")</f>
        <v/>
      </c>
      <c r="AC8" s="628"/>
      <c r="AD8" s="628" t="str">
        <f>IF(AND('Mapa final'!$K$33="Muy Alta",'Mapa final'!$O$33="Mayor"),CONCATENATE("R",'Mapa final'!$A$33),"")</f>
        <v/>
      </c>
      <c r="AE8" s="628"/>
      <c r="AF8" s="628" t="str">
        <f>IF(AND('Mapa final'!$K$39="Muy Alta",'Mapa final'!$O$39="Mayor"),CONCATENATE("R",'Mapa final'!$A$39),"")</f>
        <v>R6</v>
      </c>
      <c r="AG8" s="629"/>
      <c r="AH8" s="639" t="str">
        <f>IF(AND('Mapa final'!$K$28="Muy Alta",'Mapa final'!$O$28="Catastrófico"),CONCATENATE("R",'Mapa final'!$A$28),"")</f>
        <v/>
      </c>
      <c r="AI8" s="640"/>
      <c r="AJ8" s="640" t="str">
        <f>IF(AND('Mapa final'!$K$33="Muy Alta",'Mapa final'!$O$33="Catastrófico"),CONCATENATE("R",'Mapa final'!$A$33),"")</f>
        <v/>
      </c>
      <c r="AK8" s="640"/>
      <c r="AL8" s="640" t="str">
        <f>IF(AND('Mapa final'!$K$39="Muy Alta",'Mapa final'!$O$39="Catastrófico"),CONCATENATE("R",'Mapa final'!$A$39),"")</f>
        <v/>
      </c>
      <c r="AM8" s="641"/>
      <c r="AN8" s="65"/>
      <c r="AO8" s="586"/>
      <c r="AP8" s="587"/>
      <c r="AQ8" s="587"/>
      <c r="AR8" s="587"/>
      <c r="AS8" s="587"/>
      <c r="AT8" s="588"/>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99" ht="15" customHeight="1" x14ac:dyDescent="0.3">
      <c r="A9" s="65"/>
      <c r="B9" s="581"/>
      <c r="C9" s="581"/>
      <c r="D9" s="582"/>
      <c r="E9" s="622"/>
      <c r="F9" s="623"/>
      <c r="G9" s="623"/>
      <c r="H9" s="623"/>
      <c r="I9" s="624"/>
      <c r="J9" s="632"/>
      <c r="K9" s="628"/>
      <c r="L9" s="628"/>
      <c r="M9" s="628"/>
      <c r="N9" s="628"/>
      <c r="O9" s="629"/>
      <c r="P9" s="632"/>
      <c r="Q9" s="628"/>
      <c r="R9" s="628"/>
      <c r="S9" s="628"/>
      <c r="T9" s="628"/>
      <c r="U9" s="629"/>
      <c r="V9" s="632"/>
      <c r="W9" s="628"/>
      <c r="X9" s="628"/>
      <c r="Y9" s="628"/>
      <c r="Z9" s="628"/>
      <c r="AA9" s="629"/>
      <c r="AB9" s="632"/>
      <c r="AC9" s="628"/>
      <c r="AD9" s="628"/>
      <c r="AE9" s="628"/>
      <c r="AF9" s="628"/>
      <c r="AG9" s="629"/>
      <c r="AH9" s="639"/>
      <c r="AI9" s="640"/>
      <c r="AJ9" s="640"/>
      <c r="AK9" s="640"/>
      <c r="AL9" s="640"/>
      <c r="AM9" s="641"/>
      <c r="AN9" s="65"/>
      <c r="AO9" s="586"/>
      <c r="AP9" s="587"/>
      <c r="AQ9" s="587"/>
      <c r="AR9" s="587"/>
      <c r="AS9" s="587"/>
      <c r="AT9" s="588"/>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99" ht="15" customHeight="1" x14ac:dyDescent="0.3">
      <c r="A10" s="65"/>
      <c r="B10" s="581"/>
      <c r="C10" s="581"/>
      <c r="D10" s="582"/>
      <c r="E10" s="622"/>
      <c r="F10" s="623"/>
      <c r="G10" s="623"/>
      <c r="H10" s="623"/>
      <c r="I10" s="624"/>
      <c r="J10" s="632" t="str">
        <f>IF(AND('Mapa final'!$K$45="Muy Alta",'Mapa final'!$O$45="Leve"),CONCATENATE("R",'Mapa final'!$A$45),"")</f>
        <v/>
      </c>
      <c r="K10" s="628"/>
      <c r="L10" s="628" t="str">
        <f>IF(AND('Mapa final'!$K$51="Muy Alta",'Mapa final'!$O$51="Leve"),CONCATENATE("R",'Mapa final'!$A$51),"")</f>
        <v/>
      </c>
      <c r="M10" s="628"/>
      <c r="N10" s="628" t="str">
        <f>IF(AND('Mapa final'!$K$57="Muy Alta",'Mapa final'!$O$57="Leve"),CONCATENATE("R",'Mapa final'!$A$57),"")</f>
        <v/>
      </c>
      <c r="O10" s="629"/>
      <c r="P10" s="632" t="str">
        <f>IF(AND('Mapa final'!$K$45="Muy Alta",'Mapa final'!$O$45="Menor"),CONCATENATE("R",'Mapa final'!$A$45),"")</f>
        <v/>
      </c>
      <c r="Q10" s="628"/>
      <c r="R10" s="628" t="str">
        <f>IF(AND('Mapa final'!$K$51="Muy Alta",'Mapa final'!$O$51="Menor"),CONCATENATE("R",'Mapa final'!$A$51),"")</f>
        <v/>
      </c>
      <c r="S10" s="628"/>
      <c r="T10" s="628" t="str">
        <f>IF(AND('Mapa final'!$K$57="Muy Alta",'Mapa final'!$O$57="Menor"),CONCATENATE("R",'Mapa final'!$A$57),"")</f>
        <v/>
      </c>
      <c r="U10" s="629"/>
      <c r="V10" s="632" t="str">
        <f>IF(AND('Mapa final'!$K$45="Muy Alta",'Mapa final'!$O$45="Moderado"),CONCATENATE("R",'Mapa final'!$A$45),"")</f>
        <v/>
      </c>
      <c r="W10" s="628"/>
      <c r="X10" s="628" t="str">
        <f>IF(AND('Mapa final'!$K$51="Muy Alta",'Mapa final'!$O$51="Moderado"),CONCATENATE("R",'Mapa final'!$A$51),"")</f>
        <v/>
      </c>
      <c r="Y10" s="628"/>
      <c r="Z10" s="628" t="str">
        <f>IF(AND('Mapa final'!$K$57="Muy Alta",'Mapa final'!$O$57="Moderado"),CONCATENATE("R",'Mapa final'!$A$57),"")</f>
        <v/>
      </c>
      <c r="AA10" s="629"/>
      <c r="AB10" s="632" t="str">
        <f>IF(AND('Mapa final'!$K$45="Muy Alta",'Mapa final'!$O$45="Mayor"),CONCATENATE("R",'Mapa final'!$A$45),"")</f>
        <v/>
      </c>
      <c r="AC10" s="628"/>
      <c r="AD10" s="628" t="str">
        <f>IF(AND('Mapa final'!$K$51="Muy Alta",'Mapa final'!$O$51="Mayor"),CONCATENATE("R",'Mapa final'!$A$51),"")</f>
        <v/>
      </c>
      <c r="AE10" s="628"/>
      <c r="AF10" s="628" t="str">
        <f>IF(AND('Mapa final'!$K$57="Muy Alta",'Mapa final'!$O$57="Mayor"),CONCATENATE("R",'Mapa final'!$A$57),"")</f>
        <v/>
      </c>
      <c r="AG10" s="629"/>
      <c r="AH10" s="639" t="str">
        <f>IF(AND('Mapa final'!$K$45="Muy Alta",'Mapa final'!$O$45="Catastrófico"),CONCATENATE("R",'Mapa final'!$A$45),"")</f>
        <v/>
      </c>
      <c r="AI10" s="640"/>
      <c r="AJ10" s="640" t="str">
        <f>IF(AND('Mapa final'!$K$51="Muy Alta",'Mapa final'!$O$51="Catastrófico"),CONCATENATE("R",'Mapa final'!$A$51),"")</f>
        <v/>
      </c>
      <c r="AK10" s="640"/>
      <c r="AL10" s="640" t="str">
        <f>IF(AND('Mapa final'!$K$57="Muy Alta",'Mapa final'!$O$57="Catastrófico"),CONCATENATE("R",'Mapa final'!$A$57),"")</f>
        <v/>
      </c>
      <c r="AM10" s="641"/>
      <c r="AN10" s="65"/>
      <c r="AO10" s="586"/>
      <c r="AP10" s="587"/>
      <c r="AQ10" s="587"/>
      <c r="AR10" s="587"/>
      <c r="AS10" s="587"/>
      <c r="AT10" s="588"/>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99" ht="15" customHeight="1" x14ac:dyDescent="0.3">
      <c r="A11" s="65"/>
      <c r="B11" s="581"/>
      <c r="C11" s="581"/>
      <c r="D11" s="582"/>
      <c r="E11" s="622"/>
      <c r="F11" s="623"/>
      <c r="G11" s="623"/>
      <c r="H11" s="623"/>
      <c r="I11" s="624"/>
      <c r="J11" s="632"/>
      <c r="K11" s="628"/>
      <c r="L11" s="628"/>
      <c r="M11" s="628"/>
      <c r="N11" s="628"/>
      <c r="O11" s="629"/>
      <c r="P11" s="632"/>
      <c r="Q11" s="628"/>
      <c r="R11" s="628"/>
      <c r="S11" s="628"/>
      <c r="T11" s="628"/>
      <c r="U11" s="629"/>
      <c r="V11" s="632"/>
      <c r="W11" s="628"/>
      <c r="X11" s="628"/>
      <c r="Y11" s="628"/>
      <c r="Z11" s="628"/>
      <c r="AA11" s="629"/>
      <c r="AB11" s="632"/>
      <c r="AC11" s="628"/>
      <c r="AD11" s="628"/>
      <c r="AE11" s="628"/>
      <c r="AF11" s="628"/>
      <c r="AG11" s="629"/>
      <c r="AH11" s="639"/>
      <c r="AI11" s="640"/>
      <c r="AJ11" s="640"/>
      <c r="AK11" s="640"/>
      <c r="AL11" s="640"/>
      <c r="AM11" s="641"/>
      <c r="AN11" s="65"/>
      <c r="AO11" s="586"/>
      <c r="AP11" s="587"/>
      <c r="AQ11" s="587"/>
      <c r="AR11" s="587"/>
      <c r="AS11" s="587"/>
      <c r="AT11" s="588"/>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99" ht="15" customHeight="1" x14ac:dyDescent="0.3">
      <c r="A12" s="65"/>
      <c r="B12" s="581"/>
      <c r="C12" s="581"/>
      <c r="D12" s="582"/>
      <c r="E12" s="622"/>
      <c r="F12" s="623"/>
      <c r="G12" s="623"/>
      <c r="H12" s="623"/>
      <c r="I12" s="624"/>
      <c r="J12" s="632" t="str">
        <f>IF(AND('Mapa final'!$K$63="Muy Alta",'Mapa final'!$O$63="Leve"),CONCATENATE("R",'Mapa final'!$A$63),"")</f>
        <v/>
      </c>
      <c r="K12" s="628"/>
      <c r="L12" s="628" t="str">
        <f>IF(AND('Mapa final'!$K$69="Muy Alta",'Mapa final'!$O$69="Leve"),CONCATENATE("R",'Mapa final'!$A$69),"")</f>
        <v/>
      </c>
      <c r="M12" s="628"/>
      <c r="N12" s="628" t="str">
        <f>IF(AND('Mapa final'!$K$75="Muy Alta",'Mapa final'!$O$75="Leve"),CONCATENATE("R",'Mapa final'!$A$75),"")</f>
        <v/>
      </c>
      <c r="O12" s="629"/>
      <c r="P12" s="632" t="str">
        <f>IF(AND('Mapa final'!$K$63="Muy Alta",'Mapa final'!$O$63="Menor"),CONCATENATE("R",'Mapa final'!$A$63),"")</f>
        <v/>
      </c>
      <c r="Q12" s="628"/>
      <c r="R12" s="628" t="str">
        <f>IF(AND('Mapa final'!$K$69="Muy Alta",'Mapa final'!$O$69="Menor"),CONCATENATE("R",'Mapa final'!$A$69),"")</f>
        <v/>
      </c>
      <c r="S12" s="628"/>
      <c r="T12" s="628" t="str">
        <f>IF(AND('Mapa final'!$K$75="Muy Alta",'Mapa final'!$O$75="Menor"),CONCATENATE("R",'Mapa final'!$A$75),"")</f>
        <v/>
      </c>
      <c r="U12" s="629"/>
      <c r="V12" s="632" t="str">
        <f>IF(AND('Mapa final'!$K$63="Muy Alta",'Mapa final'!$O$63="Moderado"),CONCATENATE("R",'Mapa final'!$A$63),"")</f>
        <v/>
      </c>
      <c r="W12" s="628"/>
      <c r="X12" s="628" t="str">
        <f>IF(AND('Mapa final'!$K$69="Muy Alta",'Mapa final'!$O$69="Moderado"),CONCATENATE("R",'Mapa final'!$A$69),"")</f>
        <v/>
      </c>
      <c r="Y12" s="628"/>
      <c r="Z12" s="628" t="str">
        <f>IF(AND('Mapa final'!$K$75="Muy Alta",'Mapa final'!$O$75="Moderado"),CONCATENATE("R",'Mapa final'!$A$75),"")</f>
        <v/>
      </c>
      <c r="AA12" s="629"/>
      <c r="AB12" s="632" t="str">
        <f>IF(AND('Mapa final'!$K$63="Muy Alta",'Mapa final'!$O$63="Mayor"),CONCATENATE("R",'Mapa final'!$A$63),"")</f>
        <v/>
      </c>
      <c r="AC12" s="628"/>
      <c r="AD12" s="628" t="str">
        <f>IF(AND('Mapa final'!$K$69="Muy Alta",'Mapa final'!$O$69="Mayor"),CONCATENATE("R",'Mapa final'!$A$69),"")</f>
        <v/>
      </c>
      <c r="AE12" s="628"/>
      <c r="AF12" s="628" t="str">
        <f>IF(AND('Mapa final'!$K$75="Muy Alta",'Mapa final'!$O$75="Mayor"),CONCATENATE("R",'Mapa final'!$A$75),"")</f>
        <v/>
      </c>
      <c r="AG12" s="629"/>
      <c r="AH12" s="639" t="str">
        <f>IF(AND('Mapa final'!$K$63="Muy Alta",'Mapa final'!$O$63="Catastrófico"),CONCATENATE("R",'Mapa final'!$A$63),"")</f>
        <v/>
      </c>
      <c r="AI12" s="640"/>
      <c r="AJ12" s="640" t="str">
        <f>IF(AND('Mapa final'!$K$69="Muy Alta",'Mapa final'!$O$69="Catastrófico"),CONCATENATE("R",'Mapa final'!$A$69),"")</f>
        <v/>
      </c>
      <c r="AK12" s="640"/>
      <c r="AL12" s="640" t="str">
        <f>IF(AND('Mapa final'!$K$75="Muy Alta",'Mapa final'!$O$75="Catastrófico"),CONCATENATE("R",'Mapa final'!$A$75),"")</f>
        <v/>
      </c>
      <c r="AM12" s="641"/>
      <c r="AN12" s="65"/>
      <c r="AO12" s="586"/>
      <c r="AP12" s="587"/>
      <c r="AQ12" s="587"/>
      <c r="AR12" s="587"/>
      <c r="AS12" s="587"/>
      <c r="AT12" s="588"/>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99" ht="15.75" customHeight="1" thickBot="1" x14ac:dyDescent="0.35">
      <c r="A13" s="65"/>
      <c r="B13" s="581"/>
      <c r="C13" s="581"/>
      <c r="D13" s="582"/>
      <c r="E13" s="625"/>
      <c r="F13" s="626"/>
      <c r="G13" s="626"/>
      <c r="H13" s="626"/>
      <c r="I13" s="627"/>
      <c r="J13" s="632"/>
      <c r="K13" s="628"/>
      <c r="L13" s="628"/>
      <c r="M13" s="628"/>
      <c r="N13" s="628"/>
      <c r="O13" s="629"/>
      <c r="P13" s="632"/>
      <c r="Q13" s="628"/>
      <c r="R13" s="628"/>
      <c r="S13" s="628"/>
      <c r="T13" s="628"/>
      <c r="U13" s="629"/>
      <c r="V13" s="632"/>
      <c r="W13" s="628"/>
      <c r="X13" s="628"/>
      <c r="Y13" s="628"/>
      <c r="Z13" s="628"/>
      <c r="AA13" s="629"/>
      <c r="AB13" s="632"/>
      <c r="AC13" s="628"/>
      <c r="AD13" s="628"/>
      <c r="AE13" s="628"/>
      <c r="AF13" s="628"/>
      <c r="AG13" s="629"/>
      <c r="AH13" s="642"/>
      <c r="AI13" s="643"/>
      <c r="AJ13" s="643"/>
      <c r="AK13" s="643"/>
      <c r="AL13" s="643"/>
      <c r="AM13" s="644"/>
      <c r="AN13" s="65"/>
      <c r="AO13" s="589"/>
      <c r="AP13" s="590"/>
      <c r="AQ13" s="590"/>
      <c r="AR13" s="590"/>
      <c r="AS13" s="590"/>
      <c r="AT13" s="591"/>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99" ht="15" customHeight="1" x14ac:dyDescent="0.3">
      <c r="A14" s="65"/>
      <c r="B14" s="581"/>
      <c r="C14" s="581"/>
      <c r="D14" s="582"/>
      <c r="E14" s="619" t="s">
        <v>110</v>
      </c>
      <c r="F14" s="620"/>
      <c r="G14" s="620"/>
      <c r="H14" s="620"/>
      <c r="I14" s="620"/>
      <c r="J14" s="654" t="str">
        <f>IF(AND('Mapa final'!$K$10="Alta",'Mapa final'!$O$10="Leve"),CONCATENATE("R",'Mapa final'!$A$10),"")</f>
        <v/>
      </c>
      <c r="K14" s="655"/>
      <c r="L14" s="655" t="str">
        <f>IF(AND('Mapa final'!$K$16="Alta",'Mapa final'!$O$16="Leve"),CONCATENATE("R",'Mapa final'!$A$16),"")</f>
        <v/>
      </c>
      <c r="M14" s="655"/>
      <c r="N14" s="655" t="str">
        <f>IF(AND('Mapa final'!$K$22="Alta",'Mapa final'!$O$22="Leve"),CONCATENATE("R",'Mapa final'!$A$22),"")</f>
        <v/>
      </c>
      <c r="O14" s="656"/>
      <c r="P14" s="654" t="str">
        <f>IF(AND('Mapa final'!$K$10="Alta",'Mapa final'!$O$10="Menor"),CONCATENATE("R",'Mapa final'!$A$10),"")</f>
        <v/>
      </c>
      <c r="Q14" s="655"/>
      <c r="R14" s="655" t="str">
        <f>IF(AND('Mapa final'!$K$16="Alta",'Mapa final'!$O$16="Menor"),CONCATENATE("R",'Mapa final'!$A$16),"")</f>
        <v/>
      </c>
      <c r="S14" s="655"/>
      <c r="T14" s="655" t="str">
        <f>IF(AND('Mapa final'!$K$22="Alta",'Mapa final'!$O$22="Menor"),CONCATENATE("R",'Mapa final'!$A$22),"")</f>
        <v/>
      </c>
      <c r="U14" s="656"/>
      <c r="V14" s="630" t="str">
        <f>IF(AND('Mapa final'!$K$10="Alta",'Mapa final'!$O$10="Moderado"),CONCATENATE("R",'Mapa final'!$A$10),"")</f>
        <v/>
      </c>
      <c r="W14" s="631"/>
      <c r="X14" s="631" t="str">
        <f>IF(AND('Mapa final'!$K$16="Alta",'Mapa final'!$O$16="Moderado"),CONCATENATE("R",'Mapa final'!$A$16),"")</f>
        <v/>
      </c>
      <c r="Y14" s="631"/>
      <c r="Z14" s="631" t="str">
        <f>IF(AND('Mapa final'!$K$22="Alta",'Mapa final'!$O$22="Moderado"),CONCATENATE("R",'Mapa final'!$A$22),"")</f>
        <v/>
      </c>
      <c r="AA14" s="633"/>
      <c r="AB14" s="630" t="str">
        <f>IF(AND('Mapa final'!$K$10="Alta",'Mapa final'!$O$10="Mayor"),CONCATENATE("R",'Mapa final'!$A$10),"")</f>
        <v/>
      </c>
      <c r="AC14" s="631"/>
      <c r="AD14" s="631" t="str">
        <f>IF(AND('Mapa final'!$K$16="Alta",'Mapa final'!$O$16="Mayor"),CONCATENATE("R",'Mapa final'!$A$16),"")</f>
        <v/>
      </c>
      <c r="AE14" s="631"/>
      <c r="AF14" s="631" t="str">
        <f>IF(AND('Mapa final'!$K$22="Alta",'Mapa final'!$O$22="Mayor"),CONCATENATE("R",'Mapa final'!$A$22),"")</f>
        <v/>
      </c>
      <c r="AG14" s="633"/>
      <c r="AH14" s="645" t="str">
        <f>IF(AND('Mapa final'!$K$10="Alta",'Mapa final'!$O$10="Catastrófico"),CONCATENATE("R",'Mapa final'!$A$10),"")</f>
        <v/>
      </c>
      <c r="AI14" s="646"/>
      <c r="AJ14" s="646" t="str">
        <f>IF(AND('Mapa final'!$K$16="Alta",'Mapa final'!$O$16="Catastrófico"),CONCATENATE("R",'Mapa final'!$A$16),"")</f>
        <v/>
      </c>
      <c r="AK14" s="646"/>
      <c r="AL14" s="646" t="str">
        <f>IF(AND('Mapa final'!$K$22="Alta",'Mapa final'!$O$22="Catastrófico"),CONCATENATE("R",'Mapa final'!$A$22),"")</f>
        <v/>
      </c>
      <c r="AM14" s="647"/>
      <c r="AN14" s="65"/>
      <c r="AO14" s="592" t="s">
        <v>79</v>
      </c>
      <c r="AP14" s="593"/>
      <c r="AQ14" s="593"/>
      <c r="AR14" s="593"/>
      <c r="AS14" s="593"/>
      <c r="AT14" s="594"/>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99" ht="15" customHeight="1" x14ac:dyDescent="0.3">
      <c r="A15" s="65"/>
      <c r="B15" s="581"/>
      <c r="C15" s="581"/>
      <c r="D15" s="582"/>
      <c r="E15" s="622"/>
      <c r="F15" s="623"/>
      <c r="G15" s="623"/>
      <c r="H15" s="623"/>
      <c r="I15" s="623"/>
      <c r="J15" s="648"/>
      <c r="K15" s="649"/>
      <c r="L15" s="649"/>
      <c r="M15" s="649"/>
      <c r="N15" s="649"/>
      <c r="O15" s="650"/>
      <c r="P15" s="648"/>
      <c r="Q15" s="649"/>
      <c r="R15" s="649"/>
      <c r="S15" s="649"/>
      <c r="T15" s="649"/>
      <c r="U15" s="650"/>
      <c r="V15" s="632"/>
      <c r="W15" s="628"/>
      <c r="X15" s="628"/>
      <c r="Y15" s="628"/>
      <c r="Z15" s="628"/>
      <c r="AA15" s="629"/>
      <c r="AB15" s="632"/>
      <c r="AC15" s="628"/>
      <c r="AD15" s="628"/>
      <c r="AE15" s="628"/>
      <c r="AF15" s="628"/>
      <c r="AG15" s="629"/>
      <c r="AH15" s="639"/>
      <c r="AI15" s="640"/>
      <c r="AJ15" s="640"/>
      <c r="AK15" s="640"/>
      <c r="AL15" s="640"/>
      <c r="AM15" s="641"/>
      <c r="AN15" s="65"/>
      <c r="AO15" s="595"/>
      <c r="AP15" s="596"/>
      <c r="AQ15" s="596"/>
      <c r="AR15" s="596"/>
      <c r="AS15" s="596"/>
      <c r="AT15" s="597"/>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99" ht="15" customHeight="1" x14ac:dyDescent="0.3">
      <c r="A16" s="65"/>
      <c r="B16" s="581"/>
      <c r="C16" s="581"/>
      <c r="D16" s="582"/>
      <c r="E16" s="622"/>
      <c r="F16" s="623"/>
      <c r="G16" s="623"/>
      <c r="H16" s="623"/>
      <c r="I16" s="623"/>
      <c r="J16" s="648" t="str">
        <f>IF(AND('Mapa final'!$K$28="Alta",'Mapa final'!$O$28="Leve"),CONCATENATE("R",'Mapa final'!$A$28),"")</f>
        <v/>
      </c>
      <c r="K16" s="649"/>
      <c r="L16" s="649" t="str">
        <f>IF(AND('Mapa final'!$K$33="Alta",'Mapa final'!$O$33="Leve"),CONCATENATE("R",'Mapa final'!$A$33),"")</f>
        <v/>
      </c>
      <c r="M16" s="649"/>
      <c r="N16" s="649" t="str">
        <f>IF(AND('Mapa final'!$K$39="Alta",'Mapa final'!$O$39="Leve"),CONCATENATE("R",'Mapa final'!$A$39),"")</f>
        <v/>
      </c>
      <c r="O16" s="650"/>
      <c r="P16" s="648" t="str">
        <f>IF(AND('Mapa final'!$K$28="Alta",'Mapa final'!$O$28="Menor"),CONCATENATE("R",'Mapa final'!$A$28),"")</f>
        <v/>
      </c>
      <c r="Q16" s="649"/>
      <c r="R16" s="649" t="str">
        <f>IF(AND('Mapa final'!$K$33="Alta",'Mapa final'!$O$33="Menor"),CONCATENATE("R",'Mapa final'!$A$33),"")</f>
        <v/>
      </c>
      <c r="S16" s="649"/>
      <c r="T16" s="649" t="str">
        <f>IF(AND('Mapa final'!$K$39="Alta",'Mapa final'!$O$39="Menor"),CONCATENATE("R",'Mapa final'!$A$39),"")</f>
        <v/>
      </c>
      <c r="U16" s="650"/>
      <c r="V16" s="632" t="str">
        <f>IF(AND('Mapa final'!$K$28="Alta",'Mapa final'!$O$28="Moderado"),CONCATENATE("R",'Mapa final'!$A$28),"")</f>
        <v/>
      </c>
      <c r="W16" s="628"/>
      <c r="X16" s="628" t="str">
        <f>IF(AND('Mapa final'!$K$33="Alta",'Mapa final'!$O$33="Moderado"),CONCATENATE("R",'Mapa final'!$A$33),"")</f>
        <v/>
      </c>
      <c r="Y16" s="628"/>
      <c r="Z16" s="628" t="str">
        <f>IF(AND('Mapa final'!$K$39="Alta",'Mapa final'!$O$39="Moderado"),CONCATENATE("R",'Mapa final'!$A$39),"")</f>
        <v/>
      </c>
      <c r="AA16" s="629"/>
      <c r="AB16" s="632" t="str">
        <f>IF(AND('Mapa final'!$K$28="Alta",'Mapa final'!$O$28="Mayor"),CONCATENATE("R",'Mapa final'!$A$28),"")</f>
        <v/>
      </c>
      <c r="AC16" s="628"/>
      <c r="AD16" s="628" t="str">
        <f>IF(AND('Mapa final'!$K$33="Alta",'Mapa final'!$O$33="Mayor"),CONCATENATE("R",'Mapa final'!$A$33),"")</f>
        <v/>
      </c>
      <c r="AE16" s="628"/>
      <c r="AF16" s="628" t="str">
        <f>IF(AND('Mapa final'!$K$39="Alta",'Mapa final'!$O$39="Mayor"),CONCATENATE("R",'Mapa final'!$A$39),"")</f>
        <v/>
      </c>
      <c r="AG16" s="629"/>
      <c r="AH16" s="639" t="str">
        <f>IF(AND('Mapa final'!$K$28="Alta",'Mapa final'!$O$28="Catastrófico"),CONCATENATE("R",'Mapa final'!$A$28),"")</f>
        <v/>
      </c>
      <c r="AI16" s="640"/>
      <c r="AJ16" s="640" t="str">
        <f>IF(AND('Mapa final'!$K$33="Alta",'Mapa final'!$O$33="Catastrófico"),CONCATENATE("R",'Mapa final'!$A$33),"")</f>
        <v/>
      </c>
      <c r="AK16" s="640"/>
      <c r="AL16" s="640" t="str">
        <f>IF(AND('Mapa final'!$K$39="Alta",'Mapa final'!$O$39="Catastrófico"),CONCATENATE("R",'Mapa final'!$A$39),"")</f>
        <v/>
      </c>
      <c r="AM16" s="641"/>
      <c r="AN16" s="65"/>
      <c r="AO16" s="595"/>
      <c r="AP16" s="596"/>
      <c r="AQ16" s="596"/>
      <c r="AR16" s="596"/>
      <c r="AS16" s="596"/>
      <c r="AT16" s="597"/>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ht="15" customHeight="1" x14ac:dyDescent="0.3">
      <c r="A17" s="65"/>
      <c r="B17" s="581"/>
      <c r="C17" s="581"/>
      <c r="D17" s="582"/>
      <c r="E17" s="622"/>
      <c r="F17" s="623"/>
      <c r="G17" s="623"/>
      <c r="H17" s="623"/>
      <c r="I17" s="623"/>
      <c r="J17" s="648"/>
      <c r="K17" s="649"/>
      <c r="L17" s="649"/>
      <c r="M17" s="649"/>
      <c r="N17" s="649"/>
      <c r="O17" s="650"/>
      <c r="P17" s="648"/>
      <c r="Q17" s="649"/>
      <c r="R17" s="649"/>
      <c r="S17" s="649"/>
      <c r="T17" s="649"/>
      <c r="U17" s="650"/>
      <c r="V17" s="632"/>
      <c r="W17" s="628"/>
      <c r="X17" s="628"/>
      <c r="Y17" s="628"/>
      <c r="Z17" s="628"/>
      <c r="AA17" s="629"/>
      <c r="AB17" s="632"/>
      <c r="AC17" s="628"/>
      <c r="AD17" s="628"/>
      <c r="AE17" s="628"/>
      <c r="AF17" s="628"/>
      <c r="AG17" s="629"/>
      <c r="AH17" s="639"/>
      <c r="AI17" s="640"/>
      <c r="AJ17" s="640"/>
      <c r="AK17" s="640"/>
      <c r="AL17" s="640"/>
      <c r="AM17" s="641"/>
      <c r="AN17" s="65"/>
      <c r="AO17" s="595"/>
      <c r="AP17" s="596"/>
      <c r="AQ17" s="596"/>
      <c r="AR17" s="596"/>
      <c r="AS17" s="596"/>
      <c r="AT17" s="597"/>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ht="15" customHeight="1" x14ac:dyDescent="0.3">
      <c r="A18" s="65"/>
      <c r="B18" s="581"/>
      <c r="C18" s="581"/>
      <c r="D18" s="582"/>
      <c r="E18" s="622"/>
      <c r="F18" s="623"/>
      <c r="G18" s="623"/>
      <c r="H18" s="623"/>
      <c r="I18" s="623"/>
      <c r="J18" s="648" t="str">
        <f>IF(AND('Mapa final'!$K$45="Alta",'Mapa final'!$O$45="Leve"),CONCATENATE("R",'Mapa final'!$A$45),"")</f>
        <v/>
      </c>
      <c r="K18" s="649"/>
      <c r="L18" s="649" t="str">
        <f>IF(AND('Mapa final'!$K$51="Alta",'Mapa final'!$O$51="Leve"),CONCATENATE("R",'Mapa final'!$A$51),"")</f>
        <v/>
      </c>
      <c r="M18" s="649"/>
      <c r="N18" s="649" t="str">
        <f>IF(AND('Mapa final'!$K$57="Alta",'Mapa final'!$O$57="Leve"),CONCATENATE("R",'Mapa final'!$A$57),"")</f>
        <v/>
      </c>
      <c r="O18" s="650"/>
      <c r="P18" s="648" t="str">
        <f>IF(AND('Mapa final'!$K$45="Alta",'Mapa final'!$O$45="Menor"),CONCATENATE("R",'Mapa final'!$A$45),"")</f>
        <v/>
      </c>
      <c r="Q18" s="649"/>
      <c r="R18" s="649" t="str">
        <f>IF(AND('Mapa final'!$K$51="Alta",'Mapa final'!$O$51="Menor"),CONCATENATE("R",'Mapa final'!$A$51),"")</f>
        <v/>
      </c>
      <c r="S18" s="649"/>
      <c r="T18" s="649" t="str">
        <f>IF(AND('Mapa final'!$K$57="Alta",'Mapa final'!$O$57="Menor"),CONCATENATE("R",'Mapa final'!$A$57),"")</f>
        <v/>
      </c>
      <c r="U18" s="650"/>
      <c r="V18" s="632" t="str">
        <f>IF(AND('Mapa final'!$K$45="Alta",'Mapa final'!$O$45="Moderado"),CONCATENATE("R",'Mapa final'!$A$45),"")</f>
        <v/>
      </c>
      <c r="W18" s="628"/>
      <c r="X18" s="628" t="str">
        <f>IF(AND('Mapa final'!$K$51="Alta",'Mapa final'!$O$51="Moderado"),CONCATENATE("R",'Mapa final'!$A$51),"")</f>
        <v/>
      </c>
      <c r="Y18" s="628"/>
      <c r="Z18" s="628" t="str">
        <f>IF(AND('Mapa final'!$K$57="Alta",'Mapa final'!$O$57="Moderado"),CONCATENATE("R",'Mapa final'!$A$57),"")</f>
        <v/>
      </c>
      <c r="AA18" s="629"/>
      <c r="AB18" s="632" t="str">
        <f>IF(AND('Mapa final'!$K$45="Alta",'Mapa final'!$O$45="Mayor"),CONCATENATE("R",'Mapa final'!$A$45),"")</f>
        <v/>
      </c>
      <c r="AC18" s="628"/>
      <c r="AD18" s="628" t="str">
        <f>IF(AND('Mapa final'!$K$51="Alta",'Mapa final'!$O$51="Mayor"),CONCATENATE("R",'Mapa final'!$A$51),"")</f>
        <v/>
      </c>
      <c r="AE18" s="628"/>
      <c r="AF18" s="628" t="str">
        <f>IF(AND('Mapa final'!$K$57="Alta",'Mapa final'!$O$57="Mayor"),CONCATENATE("R",'Mapa final'!$A$57),"")</f>
        <v/>
      </c>
      <c r="AG18" s="629"/>
      <c r="AH18" s="639" t="str">
        <f>IF(AND('Mapa final'!$K$45="Alta",'Mapa final'!$O$45="Catastrófico"),CONCATENATE("R",'Mapa final'!$A$45),"")</f>
        <v/>
      </c>
      <c r="AI18" s="640"/>
      <c r="AJ18" s="640" t="str">
        <f>IF(AND('Mapa final'!$K$51="Alta",'Mapa final'!$O$51="Catastrófico"),CONCATENATE("R",'Mapa final'!$A$51),"")</f>
        <v/>
      </c>
      <c r="AK18" s="640"/>
      <c r="AL18" s="640" t="str">
        <f>IF(AND('Mapa final'!$K$57="Alta",'Mapa final'!$O$57="Catastrófico"),CONCATENATE("R",'Mapa final'!$A$57),"")</f>
        <v/>
      </c>
      <c r="AM18" s="641"/>
      <c r="AN18" s="65"/>
      <c r="AO18" s="595"/>
      <c r="AP18" s="596"/>
      <c r="AQ18" s="596"/>
      <c r="AR18" s="596"/>
      <c r="AS18" s="596"/>
      <c r="AT18" s="597"/>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ht="15" customHeight="1" x14ac:dyDescent="0.3">
      <c r="A19" s="65"/>
      <c r="B19" s="581"/>
      <c r="C19" s="581"/>
      <c r="D19" s="582"/>
      <c r="E19" s="622"/>
      <c r="F19" s="623"/>
      <c r="G19" s="623"/>
      <c r="H19" s="623"/>
      <c r="I19" s="623"/>
      <c r="J19" s="648"/>
      <c r="K19" s="649"/>
      <c r="L19" s="649"/>
      <c r="M19" s="649"/>
      <c r="N19" s="649"/>
      <c r="O19" s="650"/>
      <c r="P19" s="648"/>
      <c r="Q19" s="649"/>
      <c r="R19" s="649"/>
      <c r="S19" s="649"/>
      <c r="T19" s="649"/>
      <c r="U19" s="650"/>
      <c r="V19" s="632"/>
      <c r="W19" s="628"/>
      <c r="X19" s="628"/>
      <c r="Y19" s="628"/>
      <c r="Z19" s="628"/>
      <c r="AA19" s="629"/>
      <c r="AB19" s="632"/>
      <c r="AC19" s="628"/>
      <c r="AD19" s="628"/>
      <c r="AE19" s="628"/>
      <c r="AF19" s="628"/>
      <c r="AG19" s="629"/>
      <c r="AH19" s="639"/>
      <c r="AI19" s="640"/>
      <c r="AJ19" s="640"/>
      <c r="AK19" s="640"/>
      <c r="AL19" s="640"/>
      <c r="AM19" s="641"/>
      <c r="AN19" s="65"/>
      <c r="AO19" s="595"/>
      <c r="AP19" s="596"/>
      <c r="AQ19" s="596"/>
      <c r="AR19" s="596"/>
      <c r="AS19" s="596"/>
      <c r="AT19" s="597"/>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ht="15" customHeight="1" x14ac:dyDescent="0.3">
      <c r="A20" s="65"/>
      <c r="B20" s="581"/>
      <c r="C20" s="581"/>
      <c r="D20" s="582"/>
      <c r="E20" s="622"/>
      <c r="F20" s="623"/>
      <c r="G20" s="623"/>
      <c r="H20" s="623"/>
      <c r="I20" s="623"/>
      <c r="J20" s="648" t="str">
        <f>IF(AND('Mapa final'!$K$63="Alta",'Mapa final'!$O$63="Leve"),CONCATENATE("R",'Mapa final'!$A$63),"")</f>
        <v/>
      </c>
      <c r="K20" s="649"/>
      <c r="L20" s="649" t="str">
        <f>IF(AND('Mapa final'!$K$69="Alta",'Mapa final'!$O$69="Leve"),CONCATENATE("R",'Mapa final'!$A$69),"")</f>
        <v/>
      </c>
      <c r="M20" s="649"/>
      <c r="N20" s="649" t="str">
        <f>IF(AND('Mapa final'!$K$75="Alta",'Mapa final'!$O$75="Leve"),CONCATENATE("R",'Mapa final'!$A$75),"")</f>
        <v/>
      </c>
      <c r="O20" s="650"/>
      <c r="P20" s="648" t="str">
        <f>IF(AND('Mapa final'!$K$63="Alta",'Mapa final'!$O$63="Menor"),CONCATENATE("R",'Mapa final'!$A$63),"")</f>
        <v/>
      </c>
      <c r="Q20" s="649"/>
      <c r="R20" s="649" t="str">
        <f>IF(AND('Mapa final'!$K$69="Alta",'Mapa final'!$O$69="Menor"),CONCATENATE("R",'Mapa final'!$A$69),"")</f>
        <v/>
      </c>
      <c r="S20" s="649"/>
      <c r="T20" s="649" t="str">
        <f>IF(AND('Mapa final'!$K$75="Alta",'Mapa final'!$O$75="Menor"),CONCATENATE("R",'Mapa final'!$A$75),"")</f>
        <v/>
      </c>
      <c r="U20" s="650"/>
      <c r="V20" s="632" t="str">
        <f>IF(AND('Mapa final'!$K$63="Alta",'Mapa final'!$O$63="Moderado"),CONCATENATE("R",'Mapa final'!$A$63),"")</f>
        <v/>
      </c>
      <c r="W20" s="628"/>
      <c r="X20" s="628" t="str">
        <f>IF(AND('Mapa final'!$K$69="Alta",'Mapa final'!$O$69="Moderado"),CONCATENATE("R",'Mapa final'!$A$69),"")</f>
        <v/>
      </c>
      <c r="Y20" s="628"/>
      <c r="Z20" s="628" t="str">
        <f>IF(AND('Mapa final'!$K$75="Alta",'Mapa final'!$O$75="Moderado"),CONCATENATE("R",'Mapa final'!$A$75),"")</f>
        <v/>
      </c>
      <c r="AA20" s="629"/>
      <c r="AB20" s="632" t="str">
        <f>IF(AND('Mapa final'!$K$63="Alta",'Mapa final'!$O$63="Mayor"),CONCATENATE("R",'Mapa final'!$A$63),"")</f>
        <v/>
      </c>
      <c r="AC20" s="628"/>
      <c r="AD20" s="628" t="str">
        <f>IF(AND('Mapa final'!$K$69="Alta",'Mapa final'!$O$69="Mayor"),CONCATENATE("R",'Mapa final'!$A$69),"")</f>
        <v/>
      </c>
      <c r="AE20" s="628"/>
      <c r="AF20" s="628" t="str">
        <f>IF(AND('Mapa final'!$K$75="Alta",'Mapa final'!$O$75="Mayor"),CONCATENATE("R",'Mapa final'!$A$75),"")</f>
        <v/>
      </c>
      <c r="AG20" s="629"/>
      <c r="AH20" s="639" t="str">
        <f>IF(AND('Mapa final'!$K$63="Alta",'Mapa final'!$O$63="Catastrófico"),CONCATENATE("R",'Mapa final'!$A$63),"")</f>
        <v/>
      </c>
      <c r="AI20" s="640"/>
      <c r="AJ20" s="640" t="str">
        <f>IF(AND('Mapa final'!$K$69="Alta",'Mapa final'!$O$69="Catastrófico"),CONCATENATE("R",'Mapa final'!$A$69),"")</f>
        <v/>
      </c>
      <c r="AK20" s="640"/>
      <c r="AL20" s="640" t="str">
        <f>IF(AND('Mapa final'!$K$75="Alta",'Mapa final'!$O$75="Catastrófico"),CONCATENATE("R",'Mapa final'!$A$75),"")</f>
        <v/>
      </c>
      <c r="AM20" s="641"/>
      <c r="AN20" s="65"/>
      <c r="AO20" s="595"/>
      <c r="AP20" s="596"/>
      <c r="AQ20" s="596"/>
      <c r="AR20" s="596"/>
      <c r="AS20" s="596"/>
      <c r="AT20" s="597"/>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ht="15.75" customHeight="1" thickBot="1" x14ac:dyDescent="0.35">
      <c r="A21" s="65"/>
      <c r="B21" s="581"/>
      <c r="C21" s="581"/>
      <c r="D21" s="582"/>
      <c r="E21" s="625"/>
      <c r="F21" s="626"/>
      <c r="G21" s="626"/>
      <c r="H21" s="626"/>
      <c r="I21" s="626"/>
      <c r="J21" s="651"/>
      <c r="K21" s="652"/>
      <c r="L21" s="652"/>
      <c r="M21" s="652"/>
      <c r="N21" s="652"/>
      <c r="O21" s="653"/>
      <c r="P21" s="651"/>
      <c r="Q21" s="652"/>
      <c r="R21" s="652"/>
      <c r="S21" s="652"/>
      <c r="T21" s="652"/>
      <c r="U21" s="653"/>
      <c r="V21" s="636"/>
      <c r="W21" s="637"/>
      <c r="X21" s="637"/>
      <c r="Y21" s="637"/>
      <c r="Z21" s="637"/>
      <c r="AA21" s="638"/>
      <c r="AB21" s="636"/>
      <c r="AC21" s="637"/>
      <c r="AD21" s="637"/>
      <c r="AE21" s="637"/>
      <c r="AF21" s="637"/>
      <c r="AG21" s="638"/>
      <c r="AH21" s="642"/>
      <c r="AI21" s="643"/>
      <c r="AJ21" s="643"/>
      <c r="AK21" s="643"/>
      <c r="AL21" s="643"/>
      <c r="AM21" s="644"/>
      <c r="AN21" s="65"/>
      <c r="AO21" s="598"/>
      <c r="AP21" s="599"/>
      <c r="AQ21" s="599"/>
      <c r="AR21" s="599"/>
      <c r="AS21" s="599"/>
      <c r="AT21" s="600"/>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x14ac:dyDescent="0.3">
      <c r="A22" s="65"/>
      <c r="B22" s="581"/>
      <c r="C22" s="581"/>
      <c r="D22" s="582"/>
      <c r="E22" s="619" t="s">
        <v>112</v>
      </c>
      <c r="F22" s="620"/>
      <c r="G22" s="620"/>
      <c r="H22" s="620"/>
      <c r="I22" s="621"/>
      <c r="J22" s="654" t="str">
        <f>IF(AND('Mapa final'!$K$10="Media",'Mapa final'!$O$10="Leve"),CONCATENATE("R",'Mapa final'!$A$10),"")</f>
        <v/>
      </c>
      <c r="K22" s="655"/>
      <c r="L22" s="655" t="str">
        <f>IF(AND('Mapa final'!$K$16="Media",'Mapa final'!$O$16="Leve"),CONCATENATE("R",'Mapa final'!$A$16),"")</f>
        <v/>
      </c>
      <c r="M22" s="655"/>
      <c r="N22" s="655" t="str">
        <f>IF(AND('Mapa final'!$K$22="Media",'Mapa final'!$O$22="Leve"),CONCATENATE("R",'Mapa final'!$A$22),"")</f>
        <v/>
      </c>
      <c r="O22" s="656"/>
      <c r="P22" s="654" t="str">
        <f>IF(AND('Mapa final'!$K$10="Media",'Mapa final'!$O$10="Menor"),CONCATENATE("R",'Mapa final'!$A$10),"")</f>
        <v/>
      </c>
      <c r="Q22" s="655"/>
      <c r="R22" s="655" t="str">
        <f>IF(AND('Mapa final'!$K$16="Media",'Mapa final'!$O$16="Menor"),CONCATENATE("R",'Mapa final'!$A$16),"")</f>
        <v/>
      </c>
      <c r="S22" s="655"/>
      <c r="T22" s="655" t="str">
        <f>IF(AND('Mapa final'!$K$22="Media",'Mapa final'!$O$22="Menor"),CONCATENATE("R",'Mapa final'!$A$22),"")</f>
        <v/>
      </c>
      <c r="U22" s="656"/>
      <c r="V22" s="654" t="str">
        <f>IF(AND('Mapa final'!$K$10="Media",'Mapa final'!$O$10="Moderado"),CONCATENATE("R",'Mapa final'!$A$10),"")</f>
        <v/>
      </c>
      <c r="W22" s="655"/>
      <c r="X22" s="655" t="str">
        <f>IF(AND('Mapa final'!$K$16="Media",'Mapa final'!$O$16="Moderado"),CONCATENATE("R",'Mapa final'!$A$16),"")</f>
        <v/>
      </c>
      <c r="Y22" s="655"/>
      <c r="Z22" s="655" t="str">
        <f>IF(AND('Mapa final'!$K$22="Media",'Mapa final'!$O$22="Moderado"),CONCATENATE("R",'Mapa final'!$A$22),"")</f>
        <v/>
      </c>
      <c r="AA22" s="656"/>
      <c r="AB22" s="630" t="str">
        <f>IF(AND('Mapa final'!$K$10="Media",'Mapa final'!$O$10="Mayor"),CONCATENATE("R",'Mapa final'!$A$10),"")</f>
        <v/>
      </c>
      <c r="AC22" s="631"/>
      <c r="AD22" s="631" t="str">
        <f>IF(AND('Mapa final'!$K$16="Media",'Mapa final'!$O$16="Mayor"),CONCATENATE("R",'Mapa final'!$A$16),"")</f>
        <v/>
      </c>
      <c r="AE22" s="631"/>
      <c r="AF22" s="631" t="str">
        <f>IF(AND('Mapa final'!$K$22="Media",'Mapa final'!$O$22="Mayor"),CONCATENATE("R",'Mapa final'!$A$22),"")</f>
        <v/>
      </c>
      <c r="AG22" s="633"/>
      <c r="AH22" s="645" t="str">
        <f>IF(AND('Mapa final'!$K$10="Media",'Mapa final'!$O$10="Catastrófico"),CONCATENATE("R",'Mapa final'!$A$10),"")</f>
        <v/>
      </c>
      <c r="AI22" s="646"/>
      <c r="AJ22" s="646" t="str">
        <f>IF(AND('Mapa final'!$K$16="Media",'Mapa final'!$O$16="Catastrófico"),CONCATENATE("R",'Mapa final'!$A$16),"")</f>
        <v/>
      </c>
      <c r="AK22" s="646"/>
      <c r="AL22" s="646" t="str">
        <f>IF(AND('Mapa final'!$K$22="Media",'Mapa final'!$O$22="Catastrófico"),CONCATENATE("R",'Mapa final'!$A$22),"")</f>
        <v/>
      </c>
      <c r="AM22" s="647"/>
      <c r="AN22" s="65"/>
      <c r="AO22" s="601" t="s">
        <v>80</v>
      </c>
      <c r="AP22" s="602"/>
      <c r="AQ22" s="602"/>
      <c r="AR22" s="602"/>
      <c r="AS22" s="602"/>
      <c r="AT22" s="603"/>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x14ac:dyDescent="0.3">
      <c r="A23" s="65"/>
      <c r="B23" s="581"/>
      <c r="C23" s="581"/>
      <c r="D23" s="582"/>
      <c r="E23" s="622"/>
      <c r="F23" s="623"/>
      <c r="G23" s="623"/>
      <c r="H23" s="623"/>
      <c r="I23" s="624"/>
      <c r="J23" s="648"/>
      <c r="K23" s="649"/>
      <c r="L23" s="649"/>
      <c r="M23" s="649"/>
      <c r="N23" s="649"/>
      <c r="O23" s="650"/>
      <c r="P23" s="648"/>
      <c r="Q23" s="649"/>
      <c r="R23" s="649"/>
      <c r="S23" s="649"/>
      <c r="T23" s="649"/>
      <c r="U23" s="650"/>
      <c r="V23" s="648"/>
      <c r="W23" s="649"/>
      <c r="X23" s="649"/>
      <c r="Y23" s="649"/>
      <c r="Z23" s="649"/>
      <c r="AA23" s="650"/>
      <c r="AB23" s="632"/>
      <c r="AC23" s="628"/>
      <c r="AD23" s="628"/>
      <c r="AE23" s="628"/>
      <c r="AF23" s="628"/>
      <c r="AG23" s="629"/>
      <c r="AH23" s="639"/>
      <c r="AI23" s="640"/>
      <c r="AJ23" s="640"/>
      <c r="AK23" s="640"/>
      <c r="AL23" s="640"/>
      <c r="AM23" s="641"/>
      <c r="AN23" s="65"/>
      <c r="AO23" s="604"/>
      <c r="AP23" s="605"/>
      <c r="AQ23" s="605"/>
      <c r="AR23" s="605"/>
      <c r="AS23" s="605"/>
      <c r="AT23" s="606"/>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x14ac:dyDescent="0.3">
      <c r="A24" s="65"/>
      <c r="B24" s="581"/>
      <c r="C24" s="581"/>
      <c r="D24" s="582"/>
      <c r="E24" s="622"/>
      <c r="F24" s="623"/>
      <c r="G24" s="623"/>
      <c r="H24" s="623"/>
      <c r="I24" s="624"/>
      <c r="J24" s="648" t="str">
        <f>IF(AND('Mapa final'!$K$28="Media",'Mapa final'!$O$28="Leve"),CONCATENATE("R",'Mapa final'!$A$28),"")</f>
        <v/>
      </c>
      <c r="K24" s="649"/>
      <c r="L24" s="649" t="str">
        <f>IF(AND('Mapa final'!$K$33="Media",'Mapa final'!$O$33="Leve"),CONCATENATE("R",'Mapa final'!$A$33),"")</f>
        <v/>
      </c>
      <c r="M24" s="649"/>
      <c r="N24" s="649" t="str">
        <f>IF(AND('Mapa final'!$K$39="Media",'Mapa final'!$O$39="Leve"),CONCATENATE("R",'Mapa final'!$A$39),"")</f>
        <v/>
      </c>
      <c r="O24" s="650"/>
      <c r="P24" s="648" t="str">
        <f>IF(AND('Mapa final'!$K$28="Media",'Mapa final'!$O$28="Menor"),CONCATENATE("R",'Mapa final'!$A$28),"")</f>
        <v/>
      </c>
      <c r="Q24" s="649"/>
      <c r="R24" s="649" t="str">
        <f>IF(AND('Mapa final'!$K$33="Media",'Mapa final'!$O$33="Menor"),CONCATENATE("R",'Mapa final'!$A$33),"")</f>
        <v>R5</v>
      </c>
      <c r="S24" s="649"/>
      <c r="T24" s="649" t="str">
        <f>IF(AND('Mapa final'!$K$39="Media",'Mapa final'!$O$39="Menor"),CONCATENATE("R",'Mapa final'!$A$39),"")</f>
        <v/>
      </c>
      <c r="U24" s="650"/>
      <c r="V24" s="648" t="str">
        <f>IF(AND('Mapa final'!$K$28="Media",'Mapa final'!$O$28="Moderado"),CONCATENATE("R",'Mapa final'!$A$28),"")</f>
        <v/>
      </c>
      <c r="W24" s="649"/>
      <c r="X24" s="649" t="str">
        <f>IF(AND('Mapa final'!$K$33="Media",'Mapa final'!$O$33="Moderado"),CONCATENATE("R",'Mapa final'!$A$33),"")</f>
        <v/>
      </c>
      <c r="Y24" s="649"/>
      <c r="Z24" s="649" t="str">
        <f>IF(AND('Mapa final'!$K$39="Media",'Mapa final'!$O$39="Moderado"),CONCATENATE("R",'Mapa final'!$A$39),"")</f>
        <v/>
      </c>
      <c r="AA24" s="650"/>
      <c r="AB24" s="632" t="str">
        <f>IF(AND('Mapa final'!$K$28="Media",'Mapa final'!$O$28="Mayor"),CONCATENATE("R",'Mapa final'!$A$28),"")</f>
        <v/>
      </c>
      <c r="AC24" s="628"/>
      <c r="AD24" s="628" t="str">
        <f>IF(AND('Mapa final'!$K$33="Media",'Mapa final'!$O$33="Mayor"),CONCATENATE("R",'Mapa final'!$A$33),"")</f>
        <v/>
      </c>
      <c r="AE24" s="628"/>
      <c r="AF24" s="628" t="str">
        <f>IF(AND('Mapa final'!$K$39="Media",'Mapa final'!$O$39="Mayor"),CONCATENATE("R",'Mapa final'!$A$39),"")</f>
        <v/>
      </c>
      <c r="AG24" s="629"/>
      <c r="AH24" s="639" t="str">
        <f>IF(AND('Mapa final'!$K$28="Media",'Mapa final'!$O$28="Catastrófico"),CONCATENATE("R",'Mapa final'!$A$28),"")</f>
        <v/>
      </c>
      <c r="AI24" s="640"/>
      <c r="AJ24" s="640" t="str">
        <f>IF(AND('Mapa final'!$K$33="Media",'Mapa final'!$O$33="Catastrófico"),CONCATENATE("R",'Mapa final'!$A$33),"")</f>
        <v/>
      </c>
      <c r="AK24" s="640"/>
      <c r="AL24" s="640" t="str">
        <f>IF(AND('Mapa final'!$K$39="Media",'Mapa final'!$O$39="Catastrófico"),CONCATENATE("R",'Mapa final'!$A$39),"")</f>
        <v/>
      </c>
      <c r="AM24" s="641"/>
      <c r="AN24" s="65"/>
      <c r="AO24" s="604"/>
      <c r="AP24" s="605"/>
      <c r="AQ24" s="605"/>
      <c r="AR24" s="605"/>
      <c r="AS24" s="605"/>
      <c r="AT24" s="606"/>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row>
    <row r="25" spans="1:80" x14ac:dyDescent="0.3">
      <c r="A25" s="65"/>
      <c r="B25" s="581"/>
      <c r="C25" s="581"/>
      <c r="D25" s="582"/>
      <c r="E25" s="622"/>
      <c r="F25" s="623"/>
      <c r="G25" s="623"/>
      <c r="H25" s="623"/>
      <c r="I25" s="624"/>
      <c r="J25" s="648"/>
      <c r="K25" s="649"/>
      <c r="L25" s="649"/>
      <c r="M25" s="649"/>
      <c r="N25" s="649"/>
      <c r="O25" s="650"/>
      <c r="P25" s="648"/>
      <c r="Q25" s="649"/>
      <c r="R25" s="649"/>
      <c r="S25" s="649"/>
      <c r="T25" s="649"/>
      <c r="U25" s="650"/>
      <c r="V25" s="648"/>
      <c r="W25" s="649"/>
      <c r="X25" s="649"/>
      <c r="Y25" s="649"/>
      <c r="Z25" s="649"/>
      <c r="AA25" s="650"/>
      <c r="AB25" s="632"/>
      <c r="AC25" s="628"/>
      <c r="AD25" s="628"/>
      <c r="AE25" s="628"/>
      <c r="AF25" s="628"/>
      <c r="AG25" s="629"/>
      <c r="AH25" s="639"/>
      <c r="AI25" s="640"/>
      <c r="AJ25" s="640"/>
      <c r="AK25" s="640"/>
      <c r="AL25" s="640"/>
      <c r="AM25" s="641"/>
      <c r="AN25" s="65"/>
      <c r="AO25" s="604"/>
      <c r="AP25" s="605"/>
      <c r="AQ25" s="605"/>
      <c r="AR25" s="605"/>
      <c r="AS25" s="605"/>
      <c r="AT25" s="606"/>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row>
    <row r="26" spans="1:80" x14ac:dyDescent="0.3">
      <c r="A26" s="65"/>
      <c r="B26" s="581"/>
      <c r="C26" s="581"/>
      <c r="D26" s="582"/>
      <c r="E26" s="622"/>
      <c r="F26" s="623"/>
      <c r="G26" s="623"/>
      <c r="H26" s="623"/>
      <c r="I26" s="624"/>
      <c r="J26" s="648" t="str">
        <f>IF(AND('Mapa final'!$K$45="Media",'Mapa final'!$O$45="Leve"),CONCATENATE("R",'Mapa final'!$A$45),"")</f>
        <v/>
      </c>
      <c r="K26" s="649"/>
      <c r="L26" s="649" t="str">
        <f>IF(AND('Mapa final'!$K$51="Media",'Mapa final'!$O$51="Leve"),CONCATENATE("R",'Mapa final'!$A$51),"")</f>
        <v/>
      </c>
      <c r="M26" s="649"/>
      <c r="N26" s="649" t="str">
        <f>IF(AND('Mapa final'!$K$57="Media",'Mapa final'!$O$57="Leve"),CONCATENATE("R",'Mapa final'!$A$57),"")</f>
        <v/>
      </c>
      <c r="O26" s="650"/>
      <c r="P26" s="648" t="str">
        <f>IF(AND('Mapa final'!$K$45="Media",'Mapa final'!$O$45="Menor"),CONCATENATE("R",'Mapa final'!$A$45),"")</f>
        <v/>
      </c>
      <c r="Q26" s="649"/>
      <c r="R26" s="649" t="str">
        <f>IF(AND('Mapa final'!$K$51="Media",'Mapa final'!$O$51="Menor"),CONCATENATE("R",'Mapa final'!$A$51),"")</f>
        <v/>
      </c>
      <c r="S26" s="649"/>
      <c r="T26" s="649" t="str">
        <f>IF(AND('Mapa final'!$K$57="Media",'Mapa final'!$O$57="Menor"),CONCATENATE("R",'Mapa final'!$A$57),"")</f>
        <v/>
      </c>
      <c r="U26" s="650"/>
      <c r="V26" s="648" t="str">
        <f>IF(AND('Mapa final'!$K$45="Media",'Mapa final'!$O$45="Moderado"),CONCATENATE("R",'Mapa final'!$A$45),"")</f>
        <v/>
      </c>
      <c r="W26" s="649"/>
      <c r="X26" s="649" t="str">
        <f>IF(AND('Mapa final'!$K$51="Media",'Mapa final'!$O$51="Moderado"),CONCATENATE("R",'Mapa final'!$A$51),"")</f>
        <v/>
      </c>
      <c r="Y26" s="649"/>
      <c r="Z26" s="649" t="str">
        <f>IF(AND('Mapa final'!$K$57="Media",'Mapa final'!$O$57="Moderado"),CONCATENATE("R",'Mapa final'!$A$57),"")</f>
        <v/>
      </c>
      <c r="AA26" s="650"/>
      <c r="AB26" s="632" t="str">
        <f>IF(AND('Mapa final'!$K$45="Media",'Mapa final'!$O$45="Mayor"),CONCATENATE("R",'Mapa final'!$A$45),"")</f>
        <v/>
      </c>
      <c r="AC26" s="628"/>
      <c r="AD26" s="628" t="str">
        <f>IF(AND('Mapa final'!$K$51="Media",'Mapa final'!$O$51="Mayor"),CONCATENATE("R",'Mapa final'!$A$51),"")</f>
        <v/>
      </c>
      <c r="AE26" s="628"/>
      <c r="AF26" s="628" t="str">
        <f>IF(AND('Mapa final'!$K$57="Media",'Mapa final'!$O$57="Mayor"),CONCATENATE("R",'Mapa final'!$A$57),"")</f>
        <v/>
      </c>
      <c r="AG26" s="629"/>
      <c r="AH26" s="639" t="str">
        <f>IF(AND('Mapa final'!$K$45="Media",'Mapa final'!$O$45="Catastrófico"),CONCATENATE("R",'Mapa final'!$A$45),"")</f>
        <v/>
      </c>
      <c r="AI26" s="640"/>
      <c r="AJ26" s="640" t="str">
        <f>IF(AND('Mapa final'!$K$51="Media",'Mapa final'!$O$51="Catastrófico"),CONCATENATE("R",'Mapa final'!$A$51),"")</f>
        <v/>
      </c>
      <c r="AK26" s="640"/>
      <c r="AL26" s="640" t="str">
        <f>IF(AND('Mapa final'!$K$57="Media",'Mapa final'!$O$57="Catastrófico"),CONCATENATE("R",'Mapa final'!$A$57),"")</f>
        <v/>
      </c>
      <c r="AM26" s="641"/>
      <c r="AN26" s="65"/>
      <c r="AO26" s="604"/>
      <c r="AP26" s="605"/>
      <c r="AQ26" s="605"/>
      <c r="AR26" s="605"/>
      <c r="AS26" s="605"/>
      <c r="AT26" s="606"/>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row>
    <row r="27" spans="1:80" x14ac:dyDescent="0.3">
      <c r="A27" s="65"/>
      <c r="B27" s="581"/>
      <c r="C27" s="581"/>
      <c r="D27" s="582"/>
      <c r="E27" s="622"/>
      <c r="F27" s="623"/>
      <c r="G27" s="623"/>
      <c r="H27" s="623"/>
      <c r="I27" s="624"/>
      <c r="J27" s="648"/>
      <c r="K27" s="649"/>
      <c r="L27" s="649"/>
      <c r="M27" s="649"/>
      <c r="N27" s="649"/>
      <c r="O27" s="650"/>
      <c r="P27" s="648"/>
      <c r="Q27" s="649"/>
      <c r="R27" s="649"/>
      <c r="S27" s="649"/>
      <c r="T27" s="649"/>
      <c r="U27" s="650"/>
      <c r="V27" s="648"/>
      <c r="W27" s="649"/>
      <c r="X27" s="649"/>
      <c r="Y27" s="649"/>
      <c r="Z27" s="649"/>
      <c r="AA27" s="650"/>
      <c r="AB27" s="632"/>
      <c r="AC27" s="628"/>
      <c r="AD27" s="628"/>
      <c r="AE27" s="628"/>
      <c r="AF27" s="628"/>
      <c r="AG27" s="629"/>
      <c r="AH27" s="639"/>
      <c r="AI27" s="640"/>
      <c r="AJ27" s="640"/>
      <c r="AK27" s="640"/>
      <c r="AL27" s="640"/>
      <c r="AM27" s="641"/>
      <c r="AN27" s="65"/>
      <c r="AO27" s="604"/>
      <c r="AP27" s="605"/>
      <c r="AQ27" s="605"/>
      <c r="AR27" s="605"/>
      <c r="AS27" s="605"/>
      <c r="AT27" s="606"/>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row>
    <row r="28" spans="1:80" x14ac:dyDescent="0.3">
      <c r="A28" s="65"/>
      <c r="B28" s="581"/>
      <c r="C28" s="581"/>
      <c r="D28" s="582"/>
      <c r="E28" s="622"/>
      <c r="F28" s="623"/>
      <c r="G28" s="623"/>
      <c r="H28" s="623"/>
      <c r="I28" s="624"/>
      <c r="J28" s="648" t="str">
        <f>IF(AND('Mapa final'!$K$63="Media",'Mapa final'!$O$63="Leve"),CONCATENATE("R",'Mapa final'!$A$63),"")</f>
        <v/>
      </c>
      <c r="K28" s="649"/>
      <c r="L28" s="649" t="str">
        <f>IF(AND('Mapa final'!$K$69="Media",'Mapa final'!$O$69="Leve"),CONCATENATE("R",'Mapa final'!$A$69),"")</f>
        <v/>
      </c>
      <c r="M28" s="649"/>
      <c r="N28" s="649" t="str">
        <f>IF(AND('Mapa final'!$K$75="Media",'Mapa final'!$O$75="Leve"),CONCATENATE("R",'Mapa final'!$A$75),"")</f>
        <v/>
      </c>
      <c r="O28" s="650"/>
      <c r="P28" s="648" t="str">
        <f>IF(AND('Mapa final'!$K$63="Media",'Mapa final'!$O$63="Menor"),CONCATENATE("R",'Mapa final'!$A$63),"")</f>
        <v/>
      </c>
      <c r="Q28" s="649"/>
      <c r="R28" s="649" t="str">
        <f>IF(AND('Mapa final'!$K$69="Media",'Mapa final'!$O$69="Menor"),CONCATENATE("R",'Mapa final'!$A$69),"")</f>
        <v/>
      </c>
      <c r="S28" s="649"/>
      <c r="T28" s="649" t="str">
        <f>IF(AND('Mapa final'!$K$75="Media",'Mapa final'!$O$75="Menor"),CONCATENATE("R",'Mapa final'!$A$75),"")</f>
        <v/>
      </c>
      <c r="U28" s="650"/>
      <c r="V28" s="648" t="str">
        <f>IF(AND('Mapa final'!$K$63="Media",'Mapa final'!$O$63="Moderado"),CONCATENATE("R",'Mapa final'!$A$63),"")</f>
        <v/>
      </c>
      <c r="W28" s="649"/>
      <c r="X28" s="649" t="str">
        <f>IF(AND('Mapa final'!$K$69="Media",'Mapa final'!$O$69="Moderado"),CONCATENATE("R",'Mapa final'!$A$69),"")</f>
        <v/>
      </c>
      <c r="Y28" s="649"/>
      <c r="Z28" s="649" t="str">
        <f>IF(AND('Mapa final'!$K$75="Media",'Mapa final'!$O$75="Moderado"),CONCATENATE("R",'Mapa final'!$A$75),"")</f>
        <v/>
      </c>
      <c r="AA28" s="650"/>
      <c r="AB28" s="632" t="str">
        <f>IF(AND('Mapa final'!$K$63="Media",'Mapa final'!$O$63="Mayor"),CONCATENATE("R",'Mapa final'!$A$63),"")</f>
        <v/>
      </c>
      <c r="AC28" s="628"/>
      <c r="AD28" s="628" t="str">
        <f>IF(AND('Mapa final'!$K$69="Media",'Mapa final'!$O$69="Mayor"),CONCATENATE("R",'Mapa final'!$A$69),"")</f>
        <v/>
      </c>
      <c r="AE28" s="628"/>
      <c r="AF28" s="628" t="str">
        <f>IF(AND('Mapa final'!$K$75="Media",'Mapa final'!$O$75="Mayor"),CONCATENATE("R",'Mapa final'!$A$75),"")</f>
        <v/>
      </c>
      <c r="AG28" s="629"/>
      <c r="AH28" s="639" t="str">
        <f>IF(AND('Mapa final'!$K$63="Media",'Mapa final'!$O$63="Catastrófico"),CONCATENATE("R",'Mapa final'!$A$63),"")</f>
        <v/>
      </c>
      <c r="AI28" s="640"/>
      <c r="AJ28" s="640" t="str">
        <f>IF(AND('Mapa final'!$K$69="Media",'Mapa final'!$O$69="Catastrófico"),CONCATENATE("R",'Mapa final'!$A$69),"")</f>
        <v/>
      </c>
      <c r="AK28" s="640"/>
      <c r="AL28" s="640" t="str">
        <f>IF(AND('Mapa final'!$K$75="Media",'Mapa final'!$O$75="Catastrófico"),CONCATENATE("R",'Mapa final'!$A$75),"")</f>
        <v/>
      </c>
      <c r="AM28" s="641"/>
      <c r="AN28" s="65"/>
      <c r="AO28" s="604"/>
      <c r="AP28" s="605"/>
      <c r="AQ28" s="605"/>
      <c r="AR28" s="605"/>
      <c r="AS28" s="605"/>
      <c r="AT28" s="606"/>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row>
    <row r="29" spans="1:80" ht="15" thickBot="1" x14ac:dyDescent="0.35">
      <c r="A29" s="65"/>
      <c r="B29" s="581"/>
      <c r="C29" s="581"/>
      <c r="D29" s="582"/>
      <c r="E29" s="625"/>
      <c r="F29" s="626"/>
      <c r="G29" s="626"/>
      <c r="H29" s="626"/>
      <c r="I29" s="627"/>
      <c r="J29" s="648"/>
      <c r="K29" s="649"/>
      <c r="L29" s="649"/>
      <c r="M29" s="649"/>
      <c r="N29" s="649"/>
      <c r="O29" s="650"/>
      <c r="P29" s="651"/>
      <c r="Q29" s="652"/>
      <c r="R29" s="652"/>
      <c r="S29" s="652"/>
      <c r="T29" s="652"/>
      <c r="U29" s="653"/>
      <c r="V29" s="651"/>
      <c r="W29" s="652"/>
      <c r="X29" s="652"/>
      <c r="Y29" s="652"/>
      <c r="Z29" s="652"/>
      <c r="AA29" s="653"/>
      <c r="AB29" s="636"/>
      <c r="AC29" s="637"/>
      <c r="AD29" s="637"/>
      <c r="AE29" s="637"/>
      <c r="AF29" s="637"/>
      <c r="AG29" s="638"/>
      <c r="AH29" s="642"/>
      <c r="AI29" s="643"/>
      <c r="AJ29" s="643"/>
      <c r="AK29" s="643"/>
      <c r="AL29" s="643"/>
      <c r="AM29" s="644"/>
      <c r="AN29" s="65"/>
      <c r="AO29" s="607"/>
      <c r="AP29" s="608"/>
      <c r="AQ29" s="608"/>
      <c r="AR29" s="608"/>
      <c r="AS29" s="608"/>
      <c r="AT29" s="609"/>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row>
    <row r="30" spans="1:80" x14ac:dyDescent="0.3">
      <c r="A30" s="65"/>
      <c r="B30" s="581"/>
      <c r="C30" s="581"/>
      <c r="D30" s="582"/>
      <c r="E30" s="619" t="s">
        <v>109</v>
      </c>
      <c r="F30" s="620"/>
      <c r="G30" s="620"/>
      <c r="H30" s="620"/>
      <c r="I30" s="620"/>
      <c r="J30" s="663" t="str">
        <f>IF(AND('Mapa final'!$K$10="Baja",'Mapa final'!$O$10="Leve"),CONCATENATE("R",'Mapa final'!$A$10),"")</f>
        <v/>
      </c>
      <c r="K30" s="664"/>
      <c r="L30" s="664" t="str">
        <f>IF(AND('Mapa final'!$K$16="Baja",'Mapa final'!$O$16="Leve"),CONCATENATE("R",'Mapa final'!$A$16),"")</f>
        <v/>
      </c>
      <c r="M30" s="664"/>
      <c r="N30" s="664" t="str">
        <f>IF(AND('Mapa final'!$K$22="Baja",'Mapa final'!$O$22="Leve"),CONCATENATE("R",'Mapa final'!$A$22),"")</f>
        <v/>
      </c>
      <c r="O30" s="665"/>
      <c r="P30" s="655" t="str">
        <f>IF(AND('Mapa final'!$K$10="Baja",'Mapa final'!$O$10="Menor"),CONCATENATE("R",'Mapa final'!$A$10),"")</f>
        <v/>
      </c>
      <c r="Q30" s="655"/>
      <c r="R30" s="655" t="str">
        <f>IF(AND('Mapa final'!$K$16="Baja",'Mapa final'!$O$16="Menor"),CONCATENATE("R",'Mapa final'!$A$16),"")</f>
        <v/>
      </c>
      <c r="S30" s="655"/>
      <c r="T30" s="655" t="str">
        <f>IF(AND('Mapa final'!$K$22="Baja",'Mapa final'!$O$22="Menor"),CONCATENATE("R",'Mapa final'!$A$22),"")</f>
        <v/>
      </c>
      <c r="U30" s="656"/>
      <c r="V30" s="654" t="str">
        <f>IF(AND('Mapa final'!$K$10="Baja",'Mapa final'!$O$10="Moderado"),CONCATENATE("R",'Mapa final'!$A$10),"")</f>
        <v/>
      </c>
      <c r="W30" s="655"/>
      <c r="X30" s="655" t="str">
        <f>IF(AND('Mapa final'!$K$16="Baja",'Mapa final'!$O$16="Moderado"),CONCATENATE("R",'Mapa final'!$A$16),"")</f>
        <v/>
      </c>
      <c r="Y30" s="655"/>
      <c r="Z30" s="655" t="str">
        <f>IF(AND('Mapa final'!$K$22="Baja",'Mapa final'!$O$22="Moderado"),CONCATENATE("R",'Mapa final'!$A$22),"")</f>
        <v>R3</v>
      </c>
      <c r="AA30" s="656"/>
      <c r="AB30" s="630" t="str">
        <f>IF(AND('Mapa final'!$K$10="Baja",'Mapa final'!$O$10="Mayor"),CONCATENATE("R",'Mapa final'!$A$10),"")</f>
        <v/>
      </c>
      <c r="AC30" s="631"/>
      <c r="AD30" s="631" t="str">
        <f>IF(AND('Mapa final'!$K$16="Baja",'Mapa final'!$O$16="Mayor"),CONCATENATE("R",'Mapa final'!$A$16),"")</f>
        <v/>
      </c>
      <c r="AE30" s="631"/>
      <c r="AF30" s="631" t="str">
        <f>IF(AND('Mapa final'!$K$22="Baja",'Mapa final'!$O$22="Mayor"),CONCATENATE("R",'Mapa final'!$A$22),"")</f>
        <v/>
      </c>
      <c r="AG30" s="633"/>
      <c r="AH30" s="645" t="str">
        <f>IF(AND('Mapa final'!$K$10="Baja",'Mapa final'!$O$10="Catastrófico"),CONCATENATE("R",'Mapa final'!$A$10),"")</f>
        <v>R1</v>
      </c>
      <c r="AI30" s="646"/>
      <c r="AJ30" s="646" t="str">
        <f>IF(AND('Mapa final'!$K$16="Baja",'Mapa final'!$O$16="Catastrófico"),CONCATENATE("R",'Mapa final'!$A$16),"")</f>
        <v/>
      </c>
      <c r="AK30" s="646"/>
      <c r="AL30" s="646" t="str">
        <f>IF(AND('Mapa final'!$K$22="Baja",'Mapa final'!$O$22="Catastrófico"),CONCATENATE("R",'Mapa final'!$A$22),"")</f>
        <v/>
      </c>
      <c r="AM30" s="647"/>
      <c r="AN30" s="65"/>
      <c r="AO30" s="610" t="s">
        <v>81</v>
      </c>
      <c r="AP30" s="611"/>
      <c r="AQ30" s="611"/>
      <c r="AR30" s="611"/>
      <c r="AS30" s="611"/>
      <c r="AT30" s="612"/>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row>
    <row r="31" spans="1:80" x14ac:dyDescent="0.3">
      <c r="A31" s="65"/>
      <c r="B31" s="581"/>
      <c r="C31" s="581"/>
      <c r="D31" s="582"/>
      <c r="E31" s="622"/>
      <c r="F31" s="623"/>
      <c r="G31" s="623"/>
      <c r="H31" s="623"/>
      <c r="I31" s="623"/>
      <c r="J31" s="659"/>
      <c r="K31" s="657"/>
      <c r="L31" s="657"/>
      <c r="M31" s="657"/>
      <c r="N31" s="657"/>
      <c r="O31" s="658"/>
      <c r="P31" s="649"/>
      <c r="Q31" s="649"/>
      <c r="R31" s="649"/>
      <c r="S31" s="649"/>
      <c r="T31" s="649"/>
      <c r="U31" s="650"/>
      <c r="V31" s="648"/>
      <c r="W31" s="649"/>
      <c r="X31" s="649"/>
      <c r="Y31" s="649"/>
      <c r="Z31" s="649"/>
      <c r="AA31" s="650"/>
      <c r="AB31" s="632"/>
      <c r="AC31" s="628"/>
      <c r="AD31" s="628"/>
      <c r="AE31" s="628"/>
      <c r="AF31" s="628"/>
      <c r="AG31" s="629"/>
      <c r="AH31" s="639"/>
      <c r="AI31" s="640"/>
      <c r="AJ31" s="640"/>
      <c r="AK31" s="640"/>
      <c r="AL31" s="640"/>
      <c r="AM31" s="641"/>
      <c r="AN31" s="65"/>
      <c r="AO31" s="613"/>
      <c r="AP31" s="614"/>
      <c r="AQ31" s="614"/>
      <c r="AR31" s="614"/>
      <c r="AS31" s="614"/>
      <c r="AT31" s="61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row>
    <row r="32" spans="1:80" x14ac:dyDescent="0.3">
      <c r="A32" s="65"/>
      <c r="B32" s="581"/>
      <c r="C32" s="581"/>
      <c r="D32" s="582"/>
      <c r="E32" s="622"/>
      <c r="F32" s="623"/>
      <c r="G32" s="623"/>
      <c r="H32" s="623"/>
      <c r="I32" s="623"/>
      <c r="J32" s="659" t="str">
        <f>IF(AND('Mapa final'!$K$28="Baja",'Mapa final'!$O$28="Leve"),CONCATENATE("R",'Mapa final'!$A$28),"")</f>
        <v/>
      </c>
      <c r="K32" s="657"/>
      <c r="L32" s="657" t="str">
        <f>IF(AND('Mapa final'!$K$33="Baja",'Mapa final'!$O$33="Leve"),CONCATENATE("R",'Mapa final'!$A$33),"")</f>
        <v/>
      </c>
      <c r="M32" s="657"/>
      <c r="N32" s="657" t="str">
        <f>IF(AND('Mapa final'!$K$39="Baja",'Mapa final'!$O$39="Leve"),CONCATENATE("R",'Mapa final'!$A$39),"")</f>
        <v/>
      </c>
      <c r="O32" s="658"/>
      <c r="P32" s="649" t="str">
        <f>IF(AND('Mapa final'!$K$28="Baja",'Mapa final'!$O$28="Menor"),CONCATENATE("R",'Mapa final'!$A$28),"")</f>
        <v/>
      </c>
      <c r="Q32" s="649"/>
      <c r="R32" s="649" t="str">
        <f>IF(AND('Mapa final'!$K$33="Baja",'Mapa final'!$O$33="Menor"),CONCATENATE("R",'Mapa final'!$A$33),"")</f>
        <v/>
      </c>
      <c r="S32" s="649"/>
      <c r="T32" s="649" t="str">
        <f>IF(AND('Mapa final'!$K$39="Baja",'Mapa final'!$O$39="Menor"),CONCATENATE("R",'Mapa final'!$A$39),"")</f>
        <v/>
      </c>
      <c r="U32" s="650"/>
      <c r="V32" s="648" t="str">
        <f>IF(AND('Mapa final'!$K$28="Baja",'Mapa final'!$O$28="Moderado"),CONCATENATE("R",'Mapa final'!$A$28),"")</f>
        <v/>
      </c>
      <c r="W32" s="649"/>
      <c r="X32" s="649" t="str">
        <f>IF(AND('Mapa final'!$K$33="Baja",'Mapa final'!$O$33="Moderado"),CONCATENATE("R",'Mapa final'!$A$33),"")</f>
        <v/>
      </c>
      <c r="Y32" s="649"/>
      <c r="Z32" s="649" t="str">
        <f>IF(AND('Mapa final'!$K$39="Baja",'Mapa final'!$O$39="Moderado"),CONCATENATE("R",'Mapa final'!$A$39),"")</f>
        <v/>
      </c>
      <c r="AA32" s="650"/>
      <c r="AB32" s="632" t="str">
        <f>IF(AND('Mapa final'!$K$28="Baja",'Mapa final'!$O$28="Mayor"),CONCATENATE("R",'Mapa final'!$A$28),"")</f>
        <v/>
      </c>
      <c r="AC32" s="628"/>
      <c r="AD32" s="628" t="str">
        <f>IF(AND('Mapa final'!$K$33="Baja",'Mapa final'!$O$33="Mayor"),CONCATENATE("R",'Mapa final'!$A$33),"")</f>
        <v/>
      </c>
      <c r="AE32" s="628"/>
      <c r="AF32" s="628" t="str">
        <f>IF(AND('Mapa final'!$K$39="Baja",'Mapa final'!$O$39="Mayor"),CONCATENATE("R",'Mapa final'!$A$39),"")</f>
        <v/>
      </c>
      <c r="AG32" s="629"/>
      <c r="AH32" s="639" t="str">
        <f>IF(AND('Mapa final'!$K$28="Baja",'Mapa final'!$O$28="Catastrófico"),CONCATENATE("R",'Mapa final'!$A$28),"")</f>
        <v/>
      </c>
      <c r="AI32" s="640"/>
      <c r="AJ32" s="640" t="str">
        <f>IF(AND('Mapa final'!$K$33="Baja",'Mapa final'!$O$33="Catastrófico"),CONCATENATE("R",'Mapa final'!$A$33),"")</f>
        <v/>
      </c>
      <c r="AK32" s="640"/>
      <c r="AL32" s="640" t="str">
        <f>IF(AND('Mapa final'!$K$39="Baja",'Mapa final'!$O$39="Catastrófico"),CONCATENATE("R",'Mapa final'!$A$39),"")</f>
        <v/>
      </c>
      <c r="AM32" s="641"/>
      <c r="AN32" s="65"/>
      <c r="AO32" s="613"/>
      <c r="AP32" s="614"/>
      <c r="AQ32" s="614"/>
      <c r="AR32" s="614"/>
      <c r="AS32" s="614"/>
      <c r="AT32" s="61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row>
    <row r="33" spans="1:80" x14ac:dyDescent="0.3">
      <c r="A33" s="65"/>
      <c r="B33" s="581"/>
      <c r="C33" s="581"/>
      <c r="D33" s="582"/>
      <c r="E33" s="622"/>
      <c r="F33" s="623"/>
      <c r="G33" s="623"/>
      <c r="H33" s="623"/>
      <c r="I33" s="623"/>
      <c r="J33" s="659"/>
      <c r="K33" s="657"/>
      <c r="L33" s="657"/>
      <c r="M33" s="657"/>
      <c r="N33" s="657"/>
      <c r="O33" s="658"/>
      <c r="P33" s="649"/>
      <c r="Q33" s="649"/>
      <c r="R33" s="649"/>
      <c r="S33" s="649"/>
      <c r="T33" s="649"/>
      <c r="U33" s="650"/>
      <c r="V33" s="648"/>
      <c r="W33" s="649"/>
      <c r="X33" s="649"/>
      <c r="Y33" s="649"/>
      <c r="Z33" s="649"/>
      <c r="AA33" s="650"/>
      <c r="AB33" s="632"/>
      <c r="AC33" s="628"/>
      <c r="AD33" s="628"/>
      <c r="AE33" s="628"/>
      <c r="AF33" s="628"/>
      <c r="AG33" s="629"/>
      <c r="AH33" s="639"/>
      <c r="AI33" s="640"/>
      <c r="AJ33" s="640"/>
      <c r="AK33" s="640"/>
      <c r="AL33" s="640"/>
      <c r="AM33" s="641"/>
      <c r="AN33" s="65"/>
      <c r="AO33" s="613"/>
      <c r="AP33" s="614"/>
      <c r="AQ33" s="614"/>
      <c r="AR33" s="614"/>
      <c r="AS33" s="614"/>
      <c r="AT33" s="61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row>
    <row r="34" spans="1:80" x14ac:dyDescent="0.3">
      <c r="A34" s="65"/>
      <c r="B34" s="581"/>
      <c r="C34" s="581"/>
      <c r="D34" s="582"/>
      <c r="E34" s="622"/>
      <c r="F34" s="623"/>
      <c r="G34" s="623"/>
      <c r="H34" s="623"/>
      <c r="I34" s="623"/>
      <c r="J34" s="659" t="str">
        <f>IF(AND('Mapa final'!$K$45="Baja",'Mapa final'!$O$45="Leve"),CONCATENATE("R",'Mapa final'!$A$45),"")</f>
        <v/>
      </c>
      <c r="K34" s="657"/>
      <c r="L34" s="657" t="str">
        <f>IF(AND('Mapa final'!$K$51="Baja",'Mapa final'!$O$51="Leve"),CONCATENATE("R",'Mapa final'!$A$51),"")</f>
        <v/>
      </c>
      <c r="M34" s="657"/>
      <c r="N34" s="657" t="str">
        <f>IF(AND('Mapa final'!$K$57="Baja",'Mapa final'!$O$57="Leve"),CONCATENATE("R",'Mapa final'!$A$57),"")</f>
        <v/>
      </c>
      <c r="O34" s="658"/>
      <c r="P34" s="649" t="str">
        <f>IF(AND('Mapa final'!$K$45="Baja",'Mapa final'!$O$45="Menor"),CONCATENATE("R",'Mapa final'!$A$45),"")</f>
        <v/>
      </c>
      <c r="Q34" s="649"/>
      <c r="R34" s="649" t="str">
        <f>IF(AND('Mapa final'!$K$51="Baja",'Mapa final'!$O$51="Menor"),CONCATENATE("R",'Mapa final'!$A$51),"")</f>
        <v/>
      </c>
      <c r="S34" s="649"/>
      <c r="T34" s="649" t="str">
        <f>IF(AND('Mapa final'!$K$57="Baja",'Mapa final'!$O$57="Menor"),CONCATENATE("R",'Mapa final'!$A$57),"")</f>
        <v/>
      </c>
      <c r="U34" s="650"/>
      <c r="V34" s="648" t="str">
        <f>IF(AND('Mapa final'!$K$45="Baja",'Mapa final'!$O$45="Moderado"),CONCATENATE("R",'Mapa final'!$A$45),"")</f>
        <v/>
      </c>
      <c r="W34" s="649"/>
      <c r="X34" s="649" t="str">
        <f>IF(AND('Mapa final'!$K$51="Baja",'Mapa final'!$O$51="Moderado"),CONCATENATE("R",'Mapa final'!$A$51),"")</f>
        <v/>
      </c>
      <c r="Y34" s="649"/>
      <c r="Z34" s="649" t="str">
        <f>IF(AND('Mapa final'!$K$57="Baja",'Mapa final'!$O$57="Moderado"),CONCATENATE("R",'Mapa final'!$A$57),"")</f>
        <v/>
      </c>
      <c r="AA34" s="650"/>
      <c r="AB34" s="632" t="str">
        <f>IF(AND('Mapa final'!$K$45="Baja",'Mapa final'!$O$45="Mayor"),CONCATENATE("R",'Mapa final'!$A$45),"")</f>
        <v/>
      </c>
      <c r="AC34" s="628"/>
      <c r="AD34" s="628" t="str">
        <f>IF(AND('Mapa final'!$K$51="Baja",'Mapa final'!$O$51="Mayor"),CONCATENATE("R",'Mapa final'!$A$51),"")</f>
        <v/>
      </c>
      <c r="AE34" s="628"/>
      <c r="AF34" s="628" t="str">
        <f>IF(AND('Mapa final'!$K$57="Baja",'Mapa final'!$O$57="Mayor"),CONCATENATE("R",'Mapa final'!$A$57),"")</f>
        <v/>
      </c>
      <c r="AG34" s="629"/>
      <c r="AH34" s="639" t="str">
        <f>IF(AND('Mapa final'!$K$45="Baja",'Mapa final'!$O$45="Catastrófico"),CONCATENATE("R",'Mapa final'!$A$45),"")</f>
        <v/>
      </c>
      <c r="AI34" s="640"/>
      <c r="AJ34" s="640" t="str">
        <f>IF(AND('Mapa final'!$K$51="Baja",'Mapa final'!$O$51="Catastrófico"),CONCATENATE("R",'Mapa final'!$A$51),"")</f>
        <v/>
      </c>
      <c r="AK34" s="640"/>
      <c r="AL34" s="640" t="str">
        <f>IF(AND('Mapa final'!$K$57="Baja",'Mapa final'!$O$57="Catastrófico"),CONCATENATE("R",'Mapa final'!$A$57),"")</f>
        <v/>
      </c>
      <c r="AM34" s="641"/>
      <c r="AN34" s="65"/>
      <c r="AO34" s="613"/>
      <c r="AP34" s="614"/>
      <c r="AQ34" s="614"/>
      <c r="AR34" s="614"/>
      <c r="AS34" s="614"/>
      <c r="AT34" s="61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row>
    <row r="35" spans="1:80" x14ac:dyDescent="0.3">
      <c r="A35" s="65"/>
      <c r="B35" s="581"/>
      <c r="C35" s="581"/>
      <c r="D35" s="582"/>
      <c r="E35" s="622"/>
      <c r="F35" s="623"/>
      <c r="G35" s="623"/>
      <c r="H35" s="623"/>
      <c r="I35" s="623"/>
      <c r="J35" s="659"/>
      <c r="K35" s="657"/>
      <c r="L35" s="657"/>
      <c r="M35" s="657"/>
      <c r="N35" s="657"/>
      <c r="O35" s="658"/>
      <c r="P35" s="649"/>
      <c r="Q35" s="649"/>
      <c r="R35" s="649"/>
      <c r="S35" s="649"/>
      <c r="T35" s="649"/>
      <c r="U35" s="650"/>
      <c r="V35" s="648"/>
      <c r="W35" s="649"/>
      <c r="X35" s="649"/>
      <c r="Y35" s="649"/>
      <c r="Z35" s="649"/>
      <c r="AA35" s="650"/>
      <c r="AB35" s="632"/>
      <c r="AC35" s="628"/>
      <c r="AD35" s="628"/>
      <c r="AE35" s="628"/>
      <c r="AF35" s="628"/>
      <c r="AG35" s="629"/>
      <c r="AH35" s="639"/>
      <c r="AI35" s="640"/>
      <c r="AJ35" s="640"/>
      <c r="AK35" s="640"/>
      <c r="AL35" s="640"/>
      <c r="AM35" s="641"/>
      <c r="AN35" s="65"/>
      <c r="AO35" s="613"/>
      <c r="AP35" s="614"/>
      <c r="AQ35" s="614"/>
      <c r="AR35" s="614"/>
      <c r="AS35" s="614"/>
      <c r="AT35" s="61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row>
    <row r="36" spans="1:80" x14ac:dyDescent="0.3">
      <c r="A36" s="65"/>
      <c r="B36" s="581"/>
      <c r="C36" s="581"/>
      <c r="D36" s="582"/>
      <c r="E36" s="622"/>
      <c r="F36" s="623"/>
      <c r="G36" s="623"/>
      <c r="H36" s="623"/>
      <c r="I36" s="623"/>
      <c r="J36" s="659" t="str">
        <f>IF(AND('Mapa final'!$K$63="Baja",'Mapa final'!$O$63="Leve"),CONCATENATE("R",'Mapa final'!$A$63),"")</f>
        <v/>
      </c>
      <c r="K36" s="657"/>
      <c r="L36" s="657" t="str">
        <f>IF(AND('Mapa final'!$K$69="Baja",'Mapa final'!$O$69="Leve"),CONCATENATE("R",'Mapa final'!$A$69),"")</f>
        <v/>
      </c>
      <c r="M36" s="657"/>
      <c r="N36" s="657" t="str">
        <f>IF(AND('Mapa final'!$K$75="Baja",'Mapa final'!$O$75="Leve"),CONCATENATE("R",'Mapa final'!$A$75),"")</f>
        <v/>
      </c>
      <c r="O36" s="658"/>
      <c r="P36" s="649" t="str">
        <f>IF(AND('Mapa final'!$K$63="Baja",'Mapa final'!$O$63="Menor"),CONCATENATE("R",'Mapa final'!$A$63),"")</f>
        <v/>
      </c>
      <c r="Q36" s="649"/>
      <c r="R36" s="649" t="str">
        <f>IF(AND('Mapa final'!$K$69="Baja",'Mapa final'!$O$69="Menor"),CONCATENATE("R",'Mapa final'!$A$69),"")</f>
        <v/>
      </c>
      <c r="S36" s="649"/>
      <c r="T36" s="649" t="str">
        <f>IF(AND('Mapa final'!$K$75="Baja",'Mapa final'!$O$75="Menor"),CONCATENATE("R",'Mapa final'!$A$75),"")</f>
        <v/>
      </c>
      <c r="U36" s="650"/>
      <c r="V36" s="648" t="str">
        <f>IF(AND('Mapa final'!$K$63="Baja",'Mapa final'!$O$63="Moderado"),CONCATENATE("R",'Mapa final'!$A$63),"")</f>
        <v/>
      </c>
      <c r="W36" s="649"/>
      <c r="X36" s="649" t="str">
        <f>IF(AND('Mapa final'!$K$69="Baja",'Mapa final'!$O$69="Moderado"),CONCATENATE("R",'Mapa final'!$A$69),"")</f>
        <v/>
      </c>
      <c r="Y36" s="649"/>
      <c r="Z36" s="649" t="str">
        <f>IF(AND('Mapa final'!$K$75="Baja",'Mapa final'!$O$75="Moderado"),CONCATENATE("R",'Mapa final'!$A$75),"")</f>
        <v/>
      </c>
      <c r="AA36" s="650"/>
      <c r="AB36" s="632" t="str">
        <f>IF(AND('Mapa final'!$K$63="Baja",'Mapa final'!$O$63="Mayor"),CONCATENATE("R",'Mapa final'!$A$63),"")</f>
        <v/>
      </c>
      <c r="AC36" s="628"/>
      <c r="AD36" s="628" t="str">
        <f>IF(AND('Mapa final'!$K$69="Baja",'Mapa final'!$O$69="Mayor"),CONCATENATE("R",'Mapa final'!$A$69),"")</f>
        <v/>
      </c>
      <c r="AE36" s="628"/>
      <c r="AF36" s="628" t="str">
        <f>IF(AND('Mapa final'!$K$75="Baja",'Mapa final'!$O$75="Mayor"),CONCATENATE("R",'Mapa final'!$A$75),"")</f>
        <v/>
      </c>
      <c r="AG36" s="629"/>
      <c r="AH36" s="639" t="str">
        <f>IF(AND('Mapa final'!$K$63="Baja",'Mapa final'!$O$63="Catastrófico"),CONCATENATE("R",'Mapa final'!$A$63),"")</f>
        <v/>
      </c>
      <c r="AI36" s="640"/>
      <c r="AJ36" s="640" t="str">
        <f>IF(AND('Mapa final'!$K$69="Baja",'Mapa final'!$O$69="Catastrófico"),CONCATENATE("R",'Mapa final'!$A$69),"")</f>
        <v/>
      </c>
      <c r="AK36" s="640"/>
      <c r="AL36" s="640" t="str">
        <f>IF(AND('Mapa final'!$K$75="Baja",'Mapa final'!$O$75="Catastrófico"),CONCATENATE("R",'Mapa final'!$A$75),"")</f>
        <v/>
      </c>
      <c r="AM36" s="641"/>
      <c r="AN36" s="65"/>
      <c r="AO36" s="613"/>
      <c r="AP36" s="614"/>
      <c r="AQ36" s="614"/>
      <c r="AR36" s="614"/>
      <c r="AS36" s="614"/>
      <c r="AT36" s="61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row>
    <row r="37" spans="1:80" ht="15" thickBot="1" x14ac:dyDescent="0.35">
      <c r="A37" s="65"/>
      <c r="B37" s="581"/>
      <c r="C37" s="581"/>
      <c r="D37" s="582"/>
      <c r="E37" s="625"/>
      <c r="F37" s="626"/>
      <c r="G37" s="626"/>
      <c r="H37" s="626"/>
      <c r="I37" s="626"/>
      <c r="J37" s="660"/>
      <c r="K37" s="661"/>
      <c r="L37" s="661"/>
      <c r="M37" s="661"/>
      <c r="N37" s="661"/>
      <c r="O37" s="662"/>
      <c r="P37" s="652"/>
      <c r="Q37" s="652"/>
      <c r="R37" s="652"/>
      <c r="S37" s="652"/>
      <c r="T37" s="652"/>
      <c r="U37" s="653"/>
      <c r="V37" s="651"/>
      <c r="W37" s="652"/>
      <c r="X37" s="652"/>
      <c r="Y37" s="652"/>
      <c r="Z37" s="652"/>
      <c r="AA37" s="653"/>
      <c r="AB37" s="636"/>
      <c r="AC37" s="637"/>
      <c r="AD37" s="637"/>
      <c r="AE37" s="637"/>
      <c r="AF37" s="637"/>
      <c r="AG37" s="638"/>
      <c r="AH37" s="642"/>
      <c r="AI37" s="643"/>
      <c r="AJ37" s="643"/>
      <c r="AK37" s="643"/>
      <c r="AL37" s="643"/>
      <c r="AM37" s="644"/>
      <c r="AN37" s="65"/>
      <c r="AO37" s="616"/>
      <c r="AP37" s="617"/>
      <c r="AQ37" s="617"/>
      <c r="AR37" s="617"/>
      <c r="AS37" s="617"/>
      <c r="AT37" s="618"/>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row>
    <row r="38" spans="1:80" x14ac:dyDescent="0.3">
      <c r="A38" s="65"/>
      <c r="B38" s="581"/>
      <c r="C38" s="581"/>
      <c r="D38" s="582"/>
      <c r="E38" s="619" t="s">
        <v>108</v>
      </c>
      <c r="F38" s="620"/>
      <c r="G38" s="620"/>
      <c r="H38" s="620"/>
      <c r="I38" s="621"/>
      <c r="J38" s="663" t="str">
        <f>IF(AND('Mapa final'!$K$10="Muy Baja",'Mapa final'!$O$10="Leve"),CONCATENATE("R",'Mapa final'!$A$10),"")</f>
        <v/>
      </c>
      <c r="K38" s="664"/>
      <c r="L38" s="664" t="str">
        <f>IF(AND('Mapa final'!$K$16="Muy Baja",'Mapa final'!$O$16="Leve"),CONCATENATE("R",'Mapa final'!$A$16),"")</f>
        <v/>
      </c>
      <c r="M38" s="664"/>
      <c r="N38" s="664" t="str">
        <f>IF(AND('Mapa final'!$K$22="Muy Baja",'Mapa final'!$O$22="Leve"),CONCATENATE("R",'Mapa final'!$A$22),"")</f>
        <v/>
      </c>
      <c r="O38" s="665"/>
      <c r="P38" s="663" t="str">
        <f>IF(AND('Mapa final'!$K$10="Muy Baja",'Mapa final'!$O$10="Menor"),CONCATENATE("R",'Mapa final'!$A$10),"")</f>
        <v/>
      </c>
      <c r="Q38" s="664"/>
      <c r="R38" s="664" t="str">
        <f>IF(AND('Mapa final'!$K$16="Muy Baja",'Mapa final'!$O$16="Menor"),CONCATENATE("R",'Mapa final'!$A$16),"")</f>
        <v/>
      </c>
      <c r="S38" s="664"/>
      <c r="T38" s="664" t="str">
        <f>IF(AND('Mapa final'!$K$22="Muy Baja",'Mapa final'!$O$22="Menor"),CONCATENATE("R",'Mapa final'!$A$22),"")</f>
        <v/>
      </c>
      <c r="U38" s="665"/>
      <c r="V38" s="654" t="str">
        <f>IF(AND('Mapa final'!$K$10="Muy Baja",'Mapa final'!$O$10="Moderado"),CONCATENATE("R",'Mapa final'!$A$10),"")</f>
        <v/>
      </c>
      <c r="W38" s="655"/>
      <c r="X38" s="655" t="str">
        <f>IF(AND('Mapa final'!$K$16="Muy Baja",'Mapa final'!$O$16="Moderado"),CONCATENATE("R",'Mapa final'!$A$16),"")</f>
        <v/>
      </c>
      <c r="Y38" s="655"/>
      <c r="Z38" s="655" t="str">
        <f>IF(AND('Mapa final'!$K$22="Muy Baja",'Mapa final'!$O$22="Moderado"),CONCATENATE("R",'Mapa final'!$A$22),"")</f>
        <v/>
      </c>
      <c r="AA38" s="656"/>
      <c r="AB38" s="630" t="str">
        <f>IF(AND('Mapa final'!$K$10="Muy Baja",'Mapa final'!$O$10="Mayor"),CONCATENATE("R",'Mapa final'!$A$10),"")</f>
        <v/>
      </c>
      <c r="AC38" s="631"/>
      <c r="AD38" s="631" t="str">
        <f>IF(AND('Mapa final'!$K$16="Muy Baja",'Mapa final'!$O$16="Mayor"),CONCATENATE("R",'Mapa final'!$A$16),"")</f>
        <v/>
      </c>
      <c r="AE38" s="631"/>
      <c r="AF38" s="631" t="str">
        <f>IF(AND('Mapa final'!$K$22="Muy Baja",'Mapa final'!$O$22="Mayor"),CONCATENATE("R",'Mapa final'!$A$22),"")</f>
        <v/>
      </c>
      <c r="AG38" s="633"/>
      <c r="AH38" s="645" t="str">
        <f>IF(AND('Mapa final'!$K$10="Muy Baja",'Mapa final'!$O$10="Catastrófico"),CONCATENATE("R",'Mapa final'!$A$10),"")</f>
        <v/>
      </c>
      <c r="AI38" s="646"/>
      <c r="AJ38" s="646" t="str">
        <f>IF(AND('Mapa final'!$K$16="Muy Baja",'Mapa final'!$O$16="Catastrófico"),CONCATENATE("R",'Mapa final'!$A$16),"")</f>
        <v/>
      </c>
      <c r="AK38" s="646"/>
      <c r="AL38" s="646" t="str">
        <f>IF(AND('Mapa final'!$K$22="Muy Baja",'Mapa final'!$O$22="Catastrófico"),CONCATENATE("R",'Mapa final'!$A$22),"")</f>
        <v/>
      </c>
      <c r="AM38" s="647"/>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row>
    <row r="39" spans="1:80" x14ac:dyDescent="0.3">
      <c r="A39" s="65"/>
      <c r="B39" s="581"/>
      <c r="C39" s="581"/>
      <c r="D39" s="582"/>
      <c r="E39" s="622"/>
      <c r="F39" s="623"/>
      <c r="G39" s="623"/>
      <c r="H39" s="623"/>
      <c r="I39" s="624"/>
      <c r="J39" s="659"/>
      <c r="K39" s="657"/>
      <c r="L39" s="657"/>
      <c r="M39" s="657"/>
      <c r="N39" s="657"/>
      <c r="O39" s="658"/>
      <c r="P39" s="659"/>
      <c r="Q39" s="657"/>
      <c r="R39" s="657"/>
      <c r="S39" s="657"/>
      <c r="T39" s="657"/>
      <c r="U39" s="658"/>
      <c r="V39" s="648"/>
      <c r="W39" s="649"/>
      <c r="X39" s="649"/>
      <c r="Y39" s="649"/>
      <c r="Z39" s="649"/>
      <c r="AA39" s="650"/>
      <c r="AB39" s="632"/>
      <c r="AC39" s="628"/>
      <c r="AD39" s="628"/>
      <c r="AE39" s="628"/>
      <c r="AF39" s="628"/>
      <c r="AG39" s="629"/>
      <c r="AH39" s="639"/>
      <c r="AI39" s="640"/>
      <c r="AJ39" s="640"/>
      <c r="AK39" s="640"/>
      <c r="AL39" s="640"/>
      <c r="AM39" s="641"/>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row>
    <row r="40" spans="1:80" x14ac:dyDescent="0.3">
      <c r="A40" s="65"/>
      <c r="B40" s="581"/>
      <c r="C40" s="581"/>
      <c r="D40" s="582"/>
      <c r="E40" s="622"/>
      <c r="F40" s="623"/>
      <c r="G40" s="623"/>
      <c r="H40" s="623"/>
      <c r="I40" s="624"/>
      <c r="J40" s="659" t="str">
        <f>IF(AND('Mapa final'!$K$28="Muy Baja",'Mapa final'!$O$28="Leve"),CONCATENATE("R",'Mapa final'!$A$28),"")</f>
        <v>R4</v>
      </c>
      <c r="K40" s="657"/>
      <c r="L40" s="657" t="str">
        <f>IF(AND('Mapa final'!$K$33="Muy Baja",'Mapa final'!$O$33="Leve"),CONCATENATE("R",'Mapa final'!$A$33),"")</f>
        <v/>
      </c>
      <c r="M40" s="657"/>
      <c r="N40" s="657" t="str">
        <f>IF(AND('Mapa final'!$K$39="Muy Baja",'Mapa final'!$O$39="Leve"),CONCATENATE("R",'Mapa final'!$A$39),"")</f>
        <v/>
      </c>
      <c r="O40" s="658"/>
      <c r="P40" s="659" t="str">
        <f>IF(AND('Mapa final'!$K$28="Muy Baja",'Mapa final'!$O$28="Menor"),CONCATENATE("R",'Mapa final'!$A$28),"")</f>
        <v/>
      </c>
      <c r="Q40" s="657"/>
      <c r="R40" s="657" t="str">
        <f>IF(AND('Mapa final'!$K$33="Muy Baja",'Mapa final'!$O$33="Menor"),CONCATENATE("R",'Mapa final'!$A$33),"")</f>
        <v/>
      </c>
      <c r="S40" s="657"/>
      <c r="T40" s="657" t="str">
        <f>IF(AND('Mapa final'!$K$39="Muy Baja",'Mapa final'!$O$39="Menor"),CONCATENATE("R",'Mapa final'!$A$39),"")</f>
        <v/>
      </c>
      <c r="U40" s="658"/>
      <c r="V40" s="648" t="str">
        <f>IF(AND('Mapa final'!$K$28="Muy Baja",'Mapa final'!$O$28="Moderado"),CONCATENATE("R",'Mapa final'!$A$28),"")</f>
        <v/>
      </c>
      <c r="W40" s="649"/>
      <c r="X40" s="649" t="str">
        <f>IF(AND('Mapa final'!$K$33="Muy Baja",'Mapa final'!$O$33="Moderado"),CONCATENATE("R",'Mapa final'!$A$33),"")</f>
        <v/>
      </c>
      <c r="Y40" s="649"/>
      <c r="Z40" s="649" t="str">
        <f>IF(AND('Mapa final'!$K$39="Muy Baja",'Mapa final'!$O$39="Moderado"),CONCATENATE("R",'Mapa final'!$A$39),"")</f>
        <v/>
      </c>
      <c r="AA40" s="650"/>
      <c r="AB40" s="632" t="str">
        <f>IF(AND('Mapa final'!$K$28="Muy Baja",'Mapa final'!$O$28="Mayor"),CONCATENATE("R",'Mapa final'!$A$28),"")</f>
        <v/>
      </c>
      <c r="AC40" s="628"/>
      <c r="AD40" s="628" t="str">
        <f>IF(AND('Mapa final'!$K$33="Muy Baja",'Mapa final'!$O$33="Mayor"),CONCATENATE("R",'Mapa final'!$A$33),"")</f>
        <v/>
      </c>
      <c r="AE40" s="628"/>
      <c r="AF40" s="628" t="str">
        <f>IF(AND('Mapa final'!$K$39="Muy Baja",'Mapa final'!$O$39="Mayor"),CONCATENATE("R",'Mapa final'!$A$39),"")</f>
        <v/>
      </c>
      <c r="AG40" s="629"/>
      <c r="AH40" s="639" t="str">
        <f>IF(AND('Mapa final'!$K$28="Muy Baja",'Mapa final'!$O$28="Catastrófico"),CONCATENATE("R",'Mapa final'!$A$28),"")</f>
        <v/>
      </c>
      <c r="AI40" s="640"/>
      <c r="AJ40" s="640" t="str">
        <f>IF(AND('Mapa final'!$K$33="Muy Baja",'Mapa final'!$O$33="Catastrófico"),CONCATENATE("R",'Mapa final'!$A$33),"")</f>
        <v/>
      </c>
      <c r="AK40" s="640"/>
      <c r="AL40" s="640" t="str">
        <f>IF(AND('Mapa final'!$K$39="Muy Baja",'Mapa final'!$O$39="Catastrófico"),CONCATENATE("R",'Mapa final'!$A$39),"")</f>
        <v/>
      </c>
      <c r="AM40" s="641"/>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row>
    <row r="41" spans="1:80" x14ac:dyDescent="0.3">
      <c r="A41" s="65"/>
      <c r="B41" s="581"/>
      <c r="C41" s="581"/>
      <c r="D41" s="582"/>
      <c r="E41" s="622"/>
      <c r="F41" s="623"/>
      <c r="G41" s="623"/>
      <c r="H41" s="623"/>
      <c r="I41" s="624"/>
      <c r="J41" s="659"/>
      <c r="K41" s="657"/>
      <c r="L41" s="657"/>
      <c r="M41" s="657"/>
      <c r="N41" s="657"/>
      <c r="O41" s="658"/>
      <c r="P41" s="659"/>
      <c r="Q41" s="657"/>
      <c r="R41" s="657"/>
      <c r="S41" s="657"/>
      <c r="T41" s="657"/>
      <c r="U41" s="658"/>
      <c r="V41" s="648"/>
      <c r="W41" s="649"/>
      <c r="X41" s="649"/>
      <c r="Y41" s="649"/>
      <c r="Z41" s="649"/>
      <c r="AA41" s="650"/>
      <c r="AB41" s="632"/>
      <c r="AC41" s="628"/>
      <c r="AD41" s="628"/>
      <c r="AE41" s="628"/>
      <c r="AF41" s="628"/>
      <c r="AG41" s="629"/>
      <c r="AH41" s="639"/>
      <c r="AI41" s="640"/>
      <c r="AJ41" s="640"/>
      <c r="AK41" s="640"/>
      <c r="AL41" s="640"/>
      <c r="AM41" s="641"/>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row>
    <row r="42" spans="1:80" x14ac:dyDescent="0.3">
      <c r="A42" s="65"/>
      <c r="B42" s="581"/>
      <c r="C42" s="581"/>
      <c r="D42" s="582"/>
      <c r="E42" s="622"/>
      <c r="F42" s="623"/>
      <c r="G42" s="623"/>
      <c r="H42" s="623"/>
      <c r="I42" s="624"/>
      <c r="J42" s="659" t="str">
        <f>IF(AND('Mapa final'!$K$45="Muy Baja",'Mapa final'!$O$45="Leve"),CONCATENATE("R",'Mapa final'!$A$45),"")</f>
        <v/>
      </c>
      <c r="K42" s="657"/>
      <c r="L42" s="657" t="str">
        <f>IF(AND('Mapa final'!$K$51="Muy Baja",'Mapa final'!$O$51="Leve"),CONCATENATE("R",'Mapa final'!$A$51),"")</f>
        <v/>
      </c>
      <c r="M42" s="657"/>
      <c r="N42" s="657" t="str">
        <f>IF(AND('Mapa final'!$K$57="Muy Baja",'Mapa final'!$O$57="Leve"),CONCATENATE("R",'Mapa final'!$A$57),"")</f>
        <v/>
      </c>
      <c r="O42" s="658"/>
      <c r="P42" s="659" t="str">
        <f>IF(AND('Mapa final'!$K$45="Muy Baja",'Mapa final'!$O$45="Menor"),CONCATENATE("R",'Mapa final'!$A$45),"")</f>
        <v/>
      </c>
      <c r="Q42" s="657"/>
      <c r="R42" s="657" t="str">
        <f>IF(AND('Mapa final'!$K$51="Muy Baja",'Mapa final'!$O$51="Menor"),CONCATENATE("R",'Mapa final'!$A$51),"")</f>
        <v/>
      </c>
      <c r="S42" s="657"/>
      <c r="T42" s="657" t="str">
        <f>IF(AND('Mapa final'!$K$57="Muy Baja",'Mapa final'!$O$57="Menor"),CONCATENATE("R",'Mapa final'!$A$57),"")</f>
        <v/>
      </c>
      <c r="U42" s="658"/>
      <c r="V42" s="648" t="str">
        <f>IF(AND('Mapa final'!$K$45="Muy Baja",'Mapa final'!$O$45="Moderado"),CONCATENATE("R",'Mapa final'!$A$45),"")</f>
        <v/>
      </c>
      <c r="W42" s="649"/>
      <c r="X42" s="649" t="str">
        <f>IF(AND('Mapa final'!$K$51="Muy Baja",'Mapa final'!$O$51="Moderado"),CONCATENATE("R",'Mapa final'!$A$51),"")</f>
        <v/>
      </c>
      <c r="Y42" s="649"/>
      <c r="Z42" s="649" t="str">
        <f>IF(AND('Mapa final'!$K$57="Muy Baja",'Mapa final'!$O$57="Moderado"),CONCATENATE("R",'Mapa final'!$A$57),"")</f>
        <v/>
      </c>
      <c r="AA42" s="650"/>
      <c r="AB42" s="632" t="str">
        <f>IF(AND('Mapa final'!$K$45="Muy Baja",'Mapa final'!$O$45="Mayor"),CONCATENATE("R",'Mapa final'!$A$45),"")</f>
        <v/>
      </c>
      <c r="AC42" s="628"/>
      <c r="AD42" s="628" t="str">
        <f>IF(AND('Mapa final'!$K$51="Muy Baja",'Mapa final'!$O$51="Mayor"),CONCATENATE("R",'Mapa final'!$A$51),"")</f>
        <v/>
      </c>
      <c r="AE42" s="628"/>
      <c r="AF42" s="628" t="str">
        <f>IF(AND('Mapa final'!$K$57="Muy Baja",'Mapa final'!$O$57="Mayor"),CONCATENATE("R",'Mapa final'!$A$57),"")</f>
        <v/>
      </c>
      <c r="AG42" s="629"/>
      <c r="AH42" s="639" t="str">
        <f>IF(AND('Mapa final'!$K$45="Muy Baja",'Mapa final'!$O$45="Catastrófico"),CONCATENATE("R",'Mapa final'!$A$45),"")</f>
        <v/>
      </c>
      <c r="AI42" s="640"/>
      <c r="AJ42" s="640" t="str">
        <f>IF(AND('Mapa final'!$K$51="Muy Baja",'Mapa final'!$O$51="Catastrófico"),CONCATENATE("R",'Mapa final'!$A$51),"")</f>
        <v/>
      </c>
      <c r="AK42" s="640"/>
      <c r="AL42" s="640" t="str">
        <f>IF(AND('Mapa final'!$K$57="Muy Baja",'Mapa final'!$O$57="Catastrófico"),CONCATENATE("R",'Mapa final'!$A$57),"")</f>
        <v/>
      </c>
      <c r="AM42" s="641"/>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row>
    <row r="43" spans="1:80" x14ac:dyDescent="0.3">
      <c r="A43" s="65"/>
      <c r="B43" s="581"/>
      <c r="C43" s="581"/>
      <c r="D43" s="582"/>
      <c r="E43" s="622"/>
      <c r="F43" s="623"/>
      <c r="G43" s="623"/>
      <c r="H43" s="623"/>
      <c r="I43" s="624"/>
      <c r="J43" s="659"/>
      <c r="K43" s="657"/>
      <c r="L43" s="657"/>
      <c r="M43" s="657"/>
      <c r="N43" s="657"/>
      <c r="O43" s="658"/>
      <c r="P43" s="659"/>
      <c r="Q43" s="657"/>
      <c r="R43" s="657"/>
      <c r="S43" s="657"/>
      <c r="T43" s="657"/>
      <c r="U43" s="658"/>
      <c r="V43" s="648"/>
      <c r="W43" s="649"/>
      <c r="X43" s="649"/>
      <c r="Y43" s="649"/>
      <c r="Z43" s="649"/>
      <c r="AA43" s="650"/>
      <c r="AB43" s="632"/>
      <c r="AC43" s="628"/>
      <c r="AD43" s="628"/>
      <c r="AE43" s="628"/>
      <c r="AF43" s="628"/>
      <c r="AG43" s="629"/>
      <c r="AH43" s="639"/>
      <c r="AI43" s="640"/>
      <c r="AJ43" s="640"/>
      <c r="AK43" s="640"/>
      <c r="AL43" s="640"/>
      <c r="AM43" s="641"/>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row>
    <row r="44" spans="1:80" x14ac:dyDescent="0.3">
      <c r="A44" s="65"/>
      <c r="B44" s="581"/>
      <c r="C44" s="581"/>
      <c r="D44" s="582"/>
      <c r="E44" s="622"/>
      <c r="F44" s="623"/>
      <c r="G44" s="623"/>
      <c r="H44" s="623"/>
      <c r="I44" s="624"/>
      <c r="J44" s="659" t="str">
        <f>IF(AND('Mapa final'!$K$63="Muy Baja",'Mapa final'!$O$63="Leve"),CONCATENATE("R",'Mapa final'!$A$63),"")</f>
        <v/>
      </c>
      <c r="K44" s="657"/>
      <c r="L44" s="657" t="str">
        <f>IF(AND('Mapa final'!$K$69="Muy Baja",'Mapa final'!$O$69="Leve"),CONCATENATE("R",'Mapa final'!$A$69),"")</f>
        <v/>
      </c>
      <c r="M44" s="657"/>
      <c r="N44" s="657" t="str">
        <f>IF(AND('Mapa final'!$K$75="Muy Baja",'Mapa final'!$O$75="Leve"),CONCATENATE("R",'Mapa final'!$A$75),"")</f>
        <v/>
      </c>
      <c r="O44" s="658"/>
      <c r="P44" s="659" t="str">
        <f>IF(AND('Mapa final'!$K$63="Muy Baja",'Mapa final'!$O$63="Menor"),CONCATENATE("R",'Mapa final'!$A$63),"")</f>
        <v/>
      </c>
      <c r="Q44" s="657"/>
      <c r="R44" s="657" t="str">
        <f>IF(AND('Mapa final'!$K$69="Muy Baja",'Mapa final'!$O$69="Menor"),CONCATENATE("R",'Mapa final'!$A$69),"")</f>
        <v/>
      </c>
      <c r="S44" s="657"/>
      <c r="T44" s="657" t="str">
        <f>IF(AND('Mapa final'!$K$75="Muy Baja",'Mapa final'!$O$75="Menor"),CONCATENATE("R",'Mapa final'!$A$75),"")</f>
        <v/>
      </c>
      <c r="U44" s="658"/>
      <c r="V44" s="648" t="str">
        <f>IF(AND('Mapa final'!$K$63="Muy Baja",'Mapa final'!$O$63="Moderado"),CONCATENATE("R",'Mapa final'!$A$63),"")</f>
        <v/>
      </c>
      <c r="W44" s="649"/>
      <c r="X44" s="649" t="str">
        <f>IF(AND('Mapa final'!$K$69="Muy Baja",'Mapa final'!$O$69="Moderado"),CONCATENATE("R",'Mapa final'!$A$69),"")</f>
        <v/>
      </c>
      <c r="Y44" s="649"/>
      <c r="Z44" s="649" t="str">
        <f>IF(AND('Mapa final'!$K$75="Muy Baja",'Mapa final'!$O$75="Moderado"),CONCATENATE("R",'Mapa final'!$A$75),"")</f>
        <v/>
      </c>
      <c r="AA44" s="650"/>
      <c r="AB44" s="632" t="str">
        <f>IF(AND('Mapa final'!$K$63="Muy Baja",'Mapa final'!$O$63="Mayor"),CONCATENATE("R",'Mapa final'!$A$63),"")</f>
        <v/>
      </c>
      <c r="AC44" s="628"/>
      <c r="AD44" s="628" t="str">
        <f>IF(AND('Mapa final'!$K$69="Muy Baja",'Mapa final'!$O$69="Mayor"),CONCATENATE("R",'Mapa final'!$A$69),"")</f>
        <v/>
      </c>
      <c r="AE44" s="628"/>
      <c r="AF44" s="628" t="str">
        <f>IF(AND('Mapa final'!$K$75="Muy Baja",'Mapa final'!$O$75="Mayor"),CONCATENATE("R",'Mapa final'!$A$75),"")</f>
        <v/>
      </c>
      <c r="AG44" s="629"/>
      <c r="AH44" s="639" t="str">
        <f>IF(AND('Mapa final'!$K$63="Muy Baja",'Mapa final'!$O$63="Catastrófico"),CONCATENATE("R",'Mapa final'!$A$63),"")</f>
        <v/>
      </c>
      <c r="AI44" s="640"/>
      <c r="AJ44" s="640" t="str">
        <f>IF(AND('Mapa final'!$K$69="Muy Baja",'Mapa final'!$O$69="Catastrófico"),CONCATENATE("R",'Mapa final'!$A$69),"")</f>
        <v/>
      </c>
      <c r="AK44" s="640"/>
      <c r="AL44" s="640" t="str">
        <f>IF(AND('Mapa final'!$K$75="Muy Baja",'Mapa final'!$O$75="Catastrófico"),CONCATENATE("R",'Mapa final'!$A$75),"")</f>
        <v/>
      </c>
      <c r="AM44" s="641"/>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row>
    <row r="45" spans="1:80" ht="15" thickBot="1" x14ac:dyDescent="0.35">
      <c r="A45" s="65"/>
      <c r="B45" s="581"/>
      <c r="C45" s="581"/>
      <c r="D45" s="582"/>
      <c r="E45" s="625"/>
      <c r="F45" s="626"/>
      <c r="G45" s="626"/>
      <c r="H45" s="626"/>
      <c r="I45" s="627"/>
      <c r="J45" s="660"/>
      <c r="K45" s="661"/>
      <c r="L45" s="661"/>
      <c r="M45" s="661"/>
      <c r="N45" s="661"/>
      <c r="O45" s="662"/>
      <c r="P45" s="660"/>
      <c r="Q45" s="661"/>
      <c r="R45" s="661"/>
      <c r="S45" s="661"/>
      <c r="T45" s="661"/>
      <c r="U45" s="662"/>
      <c r="V45" s="651"/>
      <c r="W45" s="652"/>
      <c r="X45" s="652"/>
      <c r="Y45" s="652"/>
      <c r="Z45" s="652"/>
      <c r="AA45" s="653"/>
      <c r="AB45" s="636"/>
      <c r="AC45" s="637"/>
      <c r="AD45" s="637"/>
      <c r="AE45" s="637"/>
      <c r="AF45" s="637"/>
      <c r="AG45" s="638"/>
      <c r="AH45" s="642"/>
      <c r="AI45" s="643"/>
      <c r="AJ45" s="643"/>
      <c r="AK45" s="643"/>
      <c r="AL45" s="643"/>
      <c r="AM45" s="644"/>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row>
    <row r="46" spans="1:80" x14ac:dyDescent="0.3">
      <c r="A46" s="65"/>
      <c r="B46" s="65"/>
      <c r="C46" s="65"/>
      <c r="D46" s="65"/>
      <c r="E46" s="65"/>
      <c r="F46" s="65"/>
      <c r="G46" s="65"/>
      <c r="H46" s="65"/>
      <c r="I46" s="65"/>
      <c r="J46" s="619" t="s">
        <v>107</v>
      </c>
      <c r="K46" s="620"/>
      <c r="L46" s="620"/>
      <c r="M46" s="620"/>
      <c r="N46" s="620"/>
      <c r="O46" s="621"/>
      <c r="P46" s="619" t="s">
        <v>106</v>
      </c>
      <c r="Q46" s="620"/>
      <c r="R46" s="620"/>
      <c r="S46" s="620"/>
      <c r="T46" s="620"/>
      <c r="U46" s="621"/>
      <c r="V46" s="619" t="s">
        <v>105</v>
      </c>
      <c r="W46" s="620"/>
      <c r="X46" s="620"/>
      <c r="Y46" s="620"/>
      <c r="Z46" s="620"/>
      <c r="AA46" s="621"/>
      <c r="AB46" s="619" t="s">
        <v>104</v>
      </c>
      <c r="AC46" s="635"/>
      <c r="AD46" s="620"/>
      <c r="AE46" s="620"/>
      <c r="AF46" s="620"/>
      <c r="AG46" s="621"/>
      <c r="AH46" s="619" t="s">
        <v>103</v>
      </c>
      <c r="AI46" s="620"/>
      <c r="AJ46" s="620"/>
      <c r="AK46" s="620"/>
      <c r="AL46" s="620"/>
      <c r="AM46" s="621"/>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x14ac:dyDescent="0.3">
      <c r="A47" s="65"/>
      <c r="B47" s="65"/>
      <c r="C47" s="65"/>
      <c r="D47" s="65"/>
      <c r="E47" s="65"/>
      <c r="F47" s="65"/>
      <c r="G47" s="65"/>
      <c r="H47" s="65"/>
      <c r="I47" s="65"/>
      <c r="J47" s="622"/>
      <c r="K47" s="623"/>
      <c r="L47" s="623"/>
      <c r="M47" s="623"/>
      <c r="N47" s="623"/>
      <c r="O47" s="624"/>
      <c r="P47" s="622"/>
      <c r="Q47" s="623"/>
      <c r="R47" s="623"/>
      <c r="S47" s="623"/>
      <c r="T47" s="623"/>
      <c r="U47" s="624"/>
      <c r="V47" s="622"/>
      <c r="W47" s="623"/>
      <c r="X47" s="623"/>
      <c r="Y47" s="623"/>
      <c r="Z47" s="623"/>
      <c r="AA47" s="624"/>
      <c r="AB47" s="622"/>
      <c r="AC47" s="623"/>
      <c r="AD47" s="623"/>
      <c r="AE47" s="623"/>
      <c r="AF47" s="623"/>
      <c r="AG47" s="624"/>
      <c r="AH47" s="622"/>
      <c r="AI47" s="623"/>
      <c r="AJ47" s="623"/>
      <c r="AK47" s="623"/>
      <c r="AL47" s="623"/>
      <c r="AM47" s="624"/>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x14ac:dyDescent="0.3">
      <c r="A48" s="65"/>
      <c r="B48" s="65"/>
      <c r="C48" s="65"/>
      <c r="D48" s="65"/>
      <c r="E48" s="65"/>
      <c r="F48" s="65"/>
      <c r="G48" s="65"/>
      <c r="H48" s="65"/>
      <c r="I48" s="65"/>
      <c r="J48" s="622"/>
      <c r="K48" s="623"/>
      <c r="L48" s="623"/>
      <c r="M48" s="623"/>
      <c r="N48" s="623"/>
      <c r="O48" s="624"/>
      <c r="P48" s="622"/>
      <c r="Q48" s="623"/>
      <c r="R48" s="623"/>
      <c r="S48" s="623"/>
      <c r="T48" s="623"/>
      <c r="U48" s="624"/>
      <c r="V48" s="622"/>
      <c r="W48" s="623"/>
      <c r="X48" s="623"/>
      <c r="Y48" s="623"/>
      <c r="Z48" s="623"/>
      <c r="AA48" s="624"/>
      <c r="AB48" s="622"/>
      <c r="AC48" s="623"/>
      <c r="AD48" s="623"/>
      <c r="AE48" s="623"/>
      <c r="AF48" s="623"/>
      <c r="AG48" s="624"/>
      <c r="AH48" s="622"/>
      <c r="AI48" s="623"/>
      <c r="AJ48" s="623"/>
      <c r="AK48" s="623"/>
      <c r="AL48" s="623"/>
      <c r="AM48" s="624"/>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x14ac:dyDescent="0.3">
      <c r="A49" s="65"/>
      <c r="B49" s="65"/>
      <c r="C49" s="65"/>
      <c r="D49" s="65"/>
      <c r="E49" s="65"/>
      <c r="F49" s="65"/>
      <c r="G49" s="65"/>
      <c r="H49" s="65"/>
      <c r="I49" s="65"/>
      <c r="J49" s="622"/>
      <c r="K49" s="623"/>
      <c r="L49" s="623"/>
      <c r="M49" s="623"/>
      <c r="N49" s="623"/>
      <c r="O49" s="624"/>
      <c r="P49" s="622"/>
      <c r="Q49" s="623"/>
      <c r="R49" s="623"/>
      <c r="S49" s="623"/>
      <c r="T49" s="623"/>
      <c r="U49" s="624"/>
      <c r="V49" s="622"/>
      <c r="W49" s="623"/>
      <c r="X49" s="623"/>
      <c r="Y49" s="623"/>
      <c r="Z49" s="623"/>
      <c r="AA49" s="624"/>
      <c r="AB49" s="622"/>
      <c r="AC49" s="623"/>
      <c r="AD49" s="623"/>
      <c r="AE49" s="623"/>
      <c r="AF49" s="623"/>
      <c r="AG49" s="624"/>
      <c r="AH49" s="622"/>
      <c r="AI49" s="623"/>
      <c r="AJ49" s="623"/>
      <c r="AK49" s="623"/>
      <c r="AL49" s="623"/>
      <c r="AM49" s="624"/>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x14ac:dyDescent="0.3">
      <c r="A50" s="65"/>
      <c r="B50" s="65"/>
      <c r="C50" s="65"/>
      <c r="D50" s="65"/>
      <c r="E50" s="65"/>
      <c r="F50" s="65"/>
      <c r="G50" s="65"/>
      <c r="H50" s="65"/>
      <c r="I50" s="65"/>
      <c r="J50" s="622"/>
      <c r="K50" s="623"/>
      <c r="L50" s="623"/>
      <c r="M50" s="623"/>
      <c r="N50" s="623"/>
      <c r="O50" s="624"/>
      <c r="P50" s="622"/>
      <c r="Q50" s="623"/>
      <c r="R50" s="623"/>
      <c r="S50" s="623"/>
      <c r="T50" s="623"/>
      <c r="U50" s="624"/>
      <c r="V50" s="622"/>
      <c r="W50" s="623"/>
      <c r="X50" s="623"/>
      <c r="Y50" s="623"/>
      <c r="Z50" s="623"/>
      <c r="AA50" s="624"/>
      <c r="AB50" s="622"/>
      <c r="AC50" s="623"/>
      <c r="AD50" s="623"/>
      <c r="AE50" s="623"/>
      <c r="AF50" s="623"/>
      <c r="AG50" s="624"/>
      <c r="AH50" s="622"/>
      <c r="AI50" s="623"/>
      <c r="AJ50" s="623"/>
      <c r="AK50" s="623"/>
      <c r="AL50" s="623"/>
      <c r="AM50" s="624"/>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thickBot="1" x14ac:dyDescent="0.35">
      <c r="A51" s="65"/>
      <c r="B51" s="65"/>
      <c r="C51" s="65"/>
      <c r="D51" s="65"/>
      <c r="E51" s="65"/>
      <c r="F51" s="65"/>
      <c r="G51" s="65"/>
      <c r="H51" s="65"/>
      <c r="I51" s="65"/>
      <c r="J51" s="625"/>
      <c r="K51" s="626"/>
      <c r="L51" s="626"/>
      <c r="M51" s="626"/>
      <c r="N51" s="626"/>
      <c r="O51" s="627"/>
      <c r="P51" s="625"/>
      <c r="Q51" s="626"/>
      <c r="R51" s="626"/>
      <c r="S51" s="626"/>
      <c r="T51" s="626"/>
      <c r="U51" s="627"/>
      <c r="V51" s="625"/>
      <c r="W51" s="626"/>
      <c r="X51" s="626"/>
      <c r="Y51" s="626"/>
      <c r="Z51" s="626"/>
      <c r="AA51" s="627"/>
      <c r="AB51" s="625"/>
      <c r="AC51" s="626"/>
      <c r="AD51" s="626"/>
      <c r="AE51" s="626"/>
      <c r="AF51" s="626"/>
      <c r="AG51" s="627"/>
      <c r="AH51" s="625"/>
      <c r="AI51" s="626"/>
      <c r="AJ51" s="626"/>
      <c r="AK51" s="626"/>
      <c r="AL51" s="626"/>
      <c r="AM51" s="627"/>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row>
    <row r="63" spans="1:80"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row>
    <row r="64" spans="1:80"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row>
    <row r="65" spans="1:8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row>
    <row r="66" spans="1:8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row>
    <row r="67" spans="1:8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row>
    <row r="68" spans="1:8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row>
    <row r="69" spans="1:8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row>
    <row r="70" spans="1:8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row>
    <row r="71" spans="1:8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row>
    <row r="72" spans="1:8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row>
    <row r="73" spans="1:8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row>
    <row r="74" spans="1:8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row>
    <row r="75" spans="1:8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row>
    <row r="76" spans="1:8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row>
    <row r="77" spans="1:8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row>
    <row r="78" spans="1:8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row>
    <row r="79" spans="1:8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8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x14ac:dyDescent="0.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x14ac:dyDescent="0.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x14ac:dyDescent="0.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x14ac:dyDescent="0.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x14ac:dyDescent="0.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x14ac:dyDescent="0.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x14ac:dyDescent="0.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2:63" x14ac:dyDescent="0.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2:63" x14ac:dyDescent="0.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2:63" x14ac:dyDescent="0.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2:63" x14ac:dyDescent="0.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2:63" x14ac:dyDescent="0.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2:63" x14ac:dyDescent="0.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2:63"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2:63" x14ac:dyDescent="0.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2:63" x14ac:dyDescent="0.3">
      <c r="B137" s="65"/>
      <c r="C137" s="65"/>
      <c r="D137" s="65"/>
      <c r="E137" s="65"/>
      <c r="F137" s="65"/>
      <c r="G137" s="65"/>
      <c r="H137" s="65"/>
      <c r="I137" s="65"/>
    </row>
    <row r="138" spans="2:63" x14ac:dyDescent="0.3">
      <c r="B138" s="65"/>
      <c r="C138" s="65"/>
      <c r="D138" s="65"/>
      <c r="E138" s="65"/>
      <c r="F138" s="65"/>
      <c r="G138" s="65"/>
      <c r="H138" s="65"/>
      <c r="I138" s="65"/>
    </row>
    <row r="139" spans="2:63" x14ac:dyDescent="0.3">
      <c r="B139" s="65"/>
      <c r="C139" s="65"/>
      <c r="D139" s="65"/>
      <c r="E139" s="65"/>
      <c r="F139" s="65"/>
      <c r="G139" s="65"/>
      <c r="H139" s="65"/>
      <c r="I139" s="65"/>
    </row>
    <row r="140" spans="2:63" x14ac:dyDescent="0.3">
      <c r="B140" s="65"/>
      <c r="C140" s="65"/>
      <c r="D140" s="65"/>
      <c r="E140" s="65"/>
      <c r="F140" s="65"/>
      <c r="G140" s="65"/>
      <c r="H140" s="65"/>
      <c r="I140" s="65"/>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M248"/>
  <sheetViews>
    <sheetView zoomScale="32" zoomScaleNormal="32" workbookViewId="0">
      <selection activeCell="AK39" sqref="AK39"/>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row>
    <row r="2" spans="1:91" ht="18" customHeight="1" x14ac:dyDescent="0.3">
      <c r="A2" s="65"/>
      <c r="B2" s="692" t="s">
        <v>149</v>
      </c>
      <c r="C2" s="693"/>
      <c r="D2" s="693"/>
      <c r="E2" s="693"/>
      <c r="F2" s="693"/>
      <c r="G2" s="693"/>
      <c r="H2" s="693"/>
      <c r="I2" s="693"/>
      <c r="J2" s="634" t="s">
        <v>2</v>
      </c>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ht="18.75" customHeight="1" x14ac:dyDescent="0.3">
      <c r="A3" s="65"/>
      <c r="B3" s="693"/>
      <c r="C3" s="693"/>
      <c r="D3" s="693"/>
      <c r="E3" s="693"/>
      <c r="F3" s="693"/>
      <c r="G3" s="693"/>
      <c r="H3" s="693"/>
      <c r="I3" s="693"/>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ht="15" customHeight="1" x14ac:dyDescent="0.3">
      <c r="A4" s="65"/>
      <c r="B4" s="693"/>
      <c r="C4" s="693"/>
      <c r="D4" s="693"/>
      <c r="E4" s="693"/>
      <c r="F4" s="693"/>
      <c r="G4" s="693"/>
      <c r="H4" s="693"/>
      <c r="I4" s="693"/>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6" spans="1:91" ht="15" customHeight="1" x14ac:dyDescent="0.3">
      <c r="A6" s="65"/>
      <c r="B6" s="581" t="s">
        <v>4</v>
      </c>
      <c r="C6" s="581"/>
      <c r="D6" s="582"/>
      <c r="E6" s="676" t="s">
        <v>111</v>
      </c>
      <c r="F6" s="677"/>
      <c r="G6" s="677"/>
      <c r="H6" s="677"/>
      <c r="I6" s="694"/>
      <c r="J6" s="28" t="str">
        <f>IF(AND('Mapa final'!$AB$10="Muy Alta",'Mapa final'!$AD$10="Leve"),CONCATENATE("R1C",'Mapa final'!$R$10),"")</f>
        <v/>
      </c>
      <c r="K6" s="29" t="str">
        <f>IF(AND('Mapa final'!$AB$11="Muy Alta",'Mapa final'!$AD$11="Leve"),CONCATENATE("R1C",'Mapa final'!$R$11),"")</f>
        <v/>
      </c>
      <c r="L6" s="29" t="str">
        <f>IF(AND('Mapa final'!$AB$12="Muy Alta",'Mapa final'!$AD$12="Leve"),CONCATENATE("R1C",'Mapa final'!$R$12),"")</f>
        <v/>
      </c>
      <c r="M6" s="29" t="str">
        <f>IF(AND('Mapa final'!$AB$13="Muy Alta",'Mapa final'!$AD$13="Leve"),CONCATENATE("R1C",'Mapa final'!$R$13),"")</f>
        <v/>
      </c>
      <c r="N6" s="29" t="str">
        <f>IF(AND('Mapa final'!$AB$14="Muy Alta",'Mapa final'!$AD$14="Leve"),CONCATENATE("R1C",'Mapa final'!$R$14),"")</f>
        <v/>
      </c>
      <c r="O6" s="30" t="str">
        <f>IF(AND('Mapa final'!$AB$15="Muy Alta",'Mapa final'!$AD$15="Leve"),CONCATENATE("R1C",'Mapa final'!$R$15),"")</f>
        <v/>
      </c>
      <c r="P6" s="28" t="str">
        <f>IF(AND('Mapa final'!$AB$10="Muy Alta",'Mapa final'!$AD$10="Menor"),CONCATENATE("R1C",'Mapa final'!$R$10),"")</f>
        <v/>
      </c>
      <c r="Q6" s="29" t="str">
        <f>IF(AND('Mapa final'!$AB$11="Muy Alta",'Mapa final'!$AD$11="Menor"),CONCATENATE("R1C",'Mapa final'!$R$11),"")</f>
        <v/>
      </c>
      <c r="R6" s="29" t="str">
        <f>IF(AND('Mapa final'!$AB$12="Muy Alta",'Mapa final'!$AD$12="Menor"),CONCATENATE("R1C",'Mapa final'!$R$12),"")</f>
        <v/>
      </c>
      <c r="S6" s="29" t="str">
        <f>IF(AND('Mapa final'!$AB$13="Muy Alta",'Mapa final'!$AD$13="Menor"),CONCATENATE("R1C",'Mapa final'!$R$13),"")</f>
        <v/>
      </c>
      <c r="T6" s="29" t="str">
        <f>IF(AND('Mapa final'!$AB$14="Muy Alta",'Mapa final'!$AD$14="Menor"),CONCATENATE("R1C",'Mapa final'!$R$14),"")</f>
        <v/>
      </c>
      <c r="U6" s="30" t="str">
        <f>IF(AND('Mapa final'!$AB$15="Muy Alta",'Mapa final'!$AD$15="Menor"),CONCATENATE("R1C",'Mapa final'!$R$15),"")</f>
        <v/>
      </c>
      <c r="V6" s="28" t="str">
        <f>IF(AND('Mapa final'!$AB$10="Muy Alta",'Mapa final'!$AD$10="Moderado"),CONCATENATE("R1C",'Mapa final'!$R$10),"")</f>
        <v/>
      </c>
      <c r="W6" s="29" t="str">
        <f>IF(AND('Mapa final'!$AB$11="Muy Alta",'Mapa final'!$AD$11="Moderado"),CONCATENATE("R1C",'Mapa final'!$R$11),"")</f>
        <v/>
      </c>
      <c r="X6" s="29" t="str">
        <f>IF(AND('Mapa final'!$AB$12="Muy Alta",'Mapa final'!$AD$12="Moderado"),CONCATENATE("R1C",'Mapa final'!$R$12),"")</f>
        <v/>
      </c>
      <c r="Y6" s="29" t="str">
        <f>IF(AND('Mapa final'!$AB$13="Muy Alta",'Mapa final'!$AD$13="Moderado"),CONCATENATE("R1C",'Mapa final'!$R$13),"")</f>
        <v/>
      </c>
      <c r="Z6" s="29" t="str">
        <f>IF(AND('Mapa final'!$AB$14="Muy Alta",'Mapa final'!$AD$14="Moderado"),CONCATENATE("R1C",'Mapa final'!$R$14),"")</f>
        <v/>
      </c>
      <c r="AA6" s="30" t="str">
        <f>IF(AND('Mapa final'!$AB$15="Muy Alta",'Mapa final'!$AD$15="Moderado"),CONCATENATE("R1C",'Mapa final'!$R$15),"")</f>
        <v/>
      </c>
      <c r="AB6" s="28" t="str">
        <f>IF(AND('Mapa final'!$AB$10="Muy Alta",'Mapa final'!$AD$10="Mayor"),CONCATENATE("R1C",'Mapa final'!$R$10),"")</f>
        <v/>
      </c>
      <c r="AC6" s="29" t="str">
        <f>IF(AND('Mapa final'!$AB$11="Muy Alta",'Mapa final'!$AD$11="Mayor"),CONCATENATE("R1C",'Mapa final'!$R$11),"")</f>
        <v/>
      </c>
      <c r="AD6" s="29" t="str">
        <f>IF(AND('Mapa final'!$AB$12="Muy Alta",'Mapa final'!$AD$12="Mayor"),CONCATENATE("R1C",'Mapa final'!$R$12),"")</f>
        <v/>
      </c>
      <c r="AE6" s="29" t="str">
        <f>IF(AND('Mapa final'!$AB$13="Muy Alta",'Mapa final'!$AD$13="Mayor"),CONCATENATE("R1C",'Mapa final'!$R$13),"")</f>
        <v/>
      </c>
      <c r="AF6" s="29" t="str">
        <f>IF(AND('Mapa final'!$AB$14="Muy Alta",'Mapa final'!$AD$14="Mayor"),CONCATENATE("R1C",'Mapa final'!$R$14),"")</f>
        <v/>
      </c>
      <c r="AG6" s="30" t="str">
        <f>IF(AND('Mapa final'!$AB$15="Muy Alta",'Mapa final'!$AD$15="Mayor"),CONCATENATE("R1C",'Mapa final'!$R$15),"")</f>
        <v/>
      </c>
      <c r="AH6" s="31" t="str">
        <f>IF(AND('Mapa final'!$AB$10="Muy Alta",'Mapa final'!$AD$10="Catastrófico"),CONCATENATE("R1C",'Mapa final'!$R$10),"")</f>
        <v/>
      </c>
      <c r="AI6" s="32" t="str">
        <f>IF(AND('Mapa final'!$AB$11="Muy Alta",'Mapa final'!$AD$11="Catastrófico"),CONCATENATE("R1C",'Mapa final'!$R$11),"")</f>
        <v/>
      </c>
      <c r="AJ6" s="32" t="str">
        <f>IF(AND('Mapa final'!$AB$12="Muy Alta",'Mapa final'!$AD$12="Catastrófico"),CONCATENATE("R1C",'Mapa final'!$R$12),"")</f>
        <v/>
      </c>
      <c r="AK6" s="32" t="str">
        <f>IF(AND('Mapa final'!$AB$13="Muy Alta",'Mapa final'!$AD$13="Catastrófico"),CONCATENATE("R1C",'Mapa final'!$R$13),"")</f>
        <v/>
      </c>
      <c r="AL6" s="32" t="str">
        <f>IF(AND('Mapa final'!$AB$14="Muy Alta",'Mapa final'!$AD$14="Catastrófico"),CONCATENATE("R1C",'Mapa final'!$R$14),"")</f>
        <v/>
      </c>
      <c r="AM6" s="33" t="str">
        <f>IF(AND('Mapa final'!$AB$15="Muy Alta",'Mapa final'!$AD$15="Catastrófico"),CONCATENATE("R1C",'Mapa final'!$R$15),"")</f>
        <v/>
      </c>
      <c r="AN6" s="65"/>
      <c r="AO6" s="683" t="s">
        <v>78</v>
      </c>
      <c r="AP6" s="684"/>
      <c r="AQ6" s="684"/>
      <c r="AR6" s="684"/>
      <c r="AS6" s="684"/>
      <c r="AT6" s="68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row>
    <row r="7" spans="1:91" ht="15" customHeight="1" x14ac:dyDescent="0.3">
      <c r="A7" s="65"/>
      <c r="B7" s="581"/>
      <c r="C7" s="581"/>
      <c r="D7" s="582"/>
      <c r="E7" s="680"/>
      <c r="F7" s="679"/>
      <c r="G7" s="679"/>
      <c r="H7" s="679"/>
      <c r="I7" s="695"/>
      <c r="J7" s="34" t="str">
        <f>IF(AND('Mapa final'!$AB$16="Muy Alta",'Mapa final'!$AD$16="Leve"),CONCATENATE("R2C",'Mapa final'!$R$16),"")</f>
        <v/>
      </c>
      <c r="K7" s="35" t="str">
        <f>IF(AND('Mapa final'!$AB$17="Muy Alta",'Mapa final'!$AD$17="Leve"),CONCATENATE("R2C",'Mapa final'!$R$17),"")</f>
        <v/>
      </c>
      <c r="L7" s="35" t="str">
        <f>IF(AND('Mapa final'!$AB$18="Muy Alta",'Mapa final'!$AD$18="Leve"),CONCATENATE("R2C",'Mapa final'!$R$18),"")</f>
        <v/>
      </c>
      <c r="M7" s="35" t="str">
        <f>IF(AND('Mapa final'!$AB$19="Muy Alta",'Mapa final'!$AD$19="Leve"),CONCATENATE("R2C",'Mapa final'!$R$19),"")</f>
        <v/>
      </c>
      <c r="N7" s="35" t="str">
        <f>IF(AND('Mapa final'!$AB$20="Muy Alta",'Mapa final'!$AD$20="Leve"),CONCATENATE("R2C",'Mapa final'!$R$20),"")</f>
        <v/>
      </c>
      <c r="O7" s="36" t="str">
        <f>IF(AND('Mapa final'!$AB$21="Muy Alta",'Mapa final'!$AD$21="Leve"),CONCATENATE("R2C",'Mapa final'!$R$21),"")</f>
        <v/>
      </c>
      <c r="P7" s="34" t="str">
        <f>IF(AND('Mapa final'!$AB$16="Muy Alta",'Mapa final'!$AD$16="Menor"),CONCATENATE("R2C",'Mapa final'!$R$16),"")</f>
        <v/>
      </c>
      <c r="Q7" s="35" t="str">
        <f>IF(AND('Mapa final'!$AB$17="Muy Alta",'Mapa final'!$AD$17="Menor"),CONCATENATE("R2C",'Mapa final'!$R$17),"")</f>
        <v/>
      </c>
      <c r="R7" s="35" t="str">
        <f>IF(AND('Mapa final'!$AB$18="Muy Alta",'Mapa final'!$AD$18="Menor"),CONCATENATE("R2C",'Mapa final'!$R$18),"")</f>
        <v/>
      </c>
      <c r="S7" s="35" t="str">
        <f>IF(AND('Mapa final'!$AB$19="Muy Alta",'Mapa final'!$AD$19="Menor"),CONCATENATE("R2C",'Mapa final'!$R$19),"")</f>
        <v/>
      </c>
      <c r="T7" s="35" t="str">
        <f>IF(AND('Mapa final'!$AB$20="Muy Alta",'Mapa final'!$AD$20="Menor"),CONCATENATE("R2C",'Mapa final'!$R$20),"")</f>
        <v/>
      </c>
      <c r="U7" s="36" t="str">
        <f>IF(AND('Mapa final'!$AB$21="Muy Alta",'Mapa final'!$AD$21="Menor"),CONCATENATE("R2C",'Mapa final'!$R$21),"")</f>
        <v/>
      </c>
      <c r="V7" s="34" t="str">
        <f>IF(AND('Mapa final'!$AB$16="Muy Alta",'Mapa final'!$AD$16="Moderado"),CONCATENATE("R2C",'Mapa final'!$R$16),"")</f>
        <v/>
      </c>
      <c r="W7" s="35" t="str">
        <f>IF(AND('Mapa final'!$AB$17="Muy Alta",'Mapa final'!$AD$17="Moderado"),CONCATENATE("R2C",'Mapa final'!$R$17),"")</f>
        <v/>
      </c>
      <c r="X7" s="35" t="str">
        <f>IF(AND('Mapa final'!$AB$18="Muy Alta",'Mapa final'!$AD$18="Moderado"),CONCATENATE("R2C",'Mapa final'!$R$18),"")</f>
        <v/>
      </c>
      <c r="Y7" s="35" t="str">
        <f>IF(AND('Mapa final'!$AB$19="Muy Alta",'Mapa final'!$AD$19="Moderado"),CONCATENATE("R2C",'Mapa final'!$R$19),"")</f>
        <v/>
      </c>
      <c r="Z7" s="35" t="str">
        <f>IF(AND('Mapa final'!$AB$20="Muy Alta",'Mapa final'!$AD$20="Moderado"),CONCATENATE("R2C",'Mapa final'!$R$20),"")</f>
        <v/>
      </c>
      <c r="AA7" s="36" t="str">
        <f>IF(AND('Mapa final'!$AB$21="Muy Alta",'Mapa final'!$AD$21="Moderado"),CONCATENATE("R2C",'Mapa final'!$R$21),"")</f>
        <v/>
      </c>
      <c r="AB7" s="34" t="str">
        <f>IF(AND('Mapa final'!$AB$16="Muy Alta",'Mapa final'!$AD$16="Mayor"),CONCATENATE("R2C",'Mapa final'!$R$16),"")</f>
        <v/>
      </c>
      <c r="AC7" s="35" t="str">
        <f>IF(AND('Mapa final'!$AB$17="Muy Alta",'Mapa final'!$AD$17="Mayor"),CONCATENATE("R2C",'Mapa final'!$R$17),"")</f>
        <v/>
      </c>
      <c r="AD7" s="35" t="str">
        <f>IF(AND('Mapa final'!$AB$18="Muy Alta",'Mapa final'!$AD$18="Mayor"),CONCATENATE("R2C",'Mapa final'!$R$18),"")</f>
        <v/>
      </c>
      <c r="AE7" s="35" t="str">
        <f>IF(AND('Mapa final'!$AB$19="Muy Alta",'Mapa final'!$AD$19="Mayor"),CONCATENATE("R2C",'Mapa final'!$R$19),"")</f>
        <v/>
      </c>
      <c r="AF7" s="35" t="str">
        <f>IF(AND('Mapa final'!$AB$20="Muy Alta",'Mapa final'!$AD$20="Mayor"),CONCATENATE("R2C",'Mapa final'!$R$20),"")</f>
        <v/>
      </c>
      <c r="AG7" s="36" t="str">
        <f>IF(AND('Mapa final'!$AB$21="Muy Alta",'Mapa final'!$AD$21="Mayor"),CONCATENATE("R2C",'Mapa final'!$R$21),"")</f>
        <v/>
      </c>
      <c r="AH7" s="37" t="str">
        <f>IF(AND('Mapa final'!$AB$16="Muy Alta",'Mapa final'!$AD$16="Catastrófico"),CONCATENATE("R2C",'Mapa final'!$R$16),"")</f>
        <v/>
      </c>
      <c r="AI7" s="38" t="str">
        <f>IF(AND('Mapa final'!$AB$17="Muy Alta",'Mapa final'!$AD$17="Catastrófico"),CONCATENATE("R2C",'Mapa final'!$R$17),"")</f>
        <v/>
      </c>
      <c r="AJ7" s="38" t="str">
        <f>IF(AND('Mapa final'!$AB$18="Muy Alta",'Mapa final'!$AD$18="Catastrófico"),CONCATENATE("R2C",'Mapa final'!$R$18),"")</f>
        <v/>
      </c>
      <c r="AK7" s="38" t="str">
        <f>IF(AND('Mapa final'!$AB$19="Muy Alta",'Mapa final'!$AD$19="Catastrófico"),CONCATENATE("R2C",'Mapa final'!$R$19),"")</f>
        <v/>
      </c>
      <c r="AL7" s="38" t="str">
        <f>IF(AND('Mapa final'!$AB$20="Muy Alta",'Mapa final'!$AD$20="Catastrófico"),CONCATENATE("R2C",'Mapa final'!$R$20),"")</f>
        <v/>
      </c>
      <c r="AM7" s="39" t="str">
        <f>IF(AND('Mapa final'!$AB$21="Muy Alta",'Mapa final'!$AD$21="Catastrófico"),CONCATENATE("R2C",'Mapa final'!$R$21),"")</f>
        <v/>
      </c>
      <c r="AN7" s="65"/>
      <c r="AO7" s="686"/>
      <c r="AP7" s="687"/>
      <c r="AQ7" s="687"/>
      <c r="AR7" s="687"/>
      <c r="AS7" s="687"/>
      <c r="AT7" s="688"/>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row>
    <row r="8" spans="1:91" ht="15" customHeight="1" x14ac:dyDescent="0.3">
      <c r="A8" s="65"/>
      <c r="B8" s="581"/>
      <c r="C8" s="581"/>
      <c r="D8" s="582"/>
      <c r="E8" s="680"/>
      <c r="F8" s="679"/>
      <c r="G8" s="679"/>
      <c r="H8" s="679"/>
      <c r="I8" s="695"/>
      <c r="J8" s="34" t="str">
        <f>IF(AND('Mapa final'!$AB$22="Muy Alta",'Mapa final'!$AD$22="Leve"),CONCATENATE("R3C",'Mapa final'!$R$22),"")</f>
        <v/>
      </c>
      <c r="K8" s="35" t="str">
        <f>IF(AND('Mapa final'!$AB$23="Muy Alta",'Mapa final'!$AD$23="Leve"),CONCATENATE("R3C",'Mapa final'!$R$23),"")</f>
        <v/>
      </c>
      <c r="L8" s="35" t="str">
        <f>IF(AND('Mapa final'!$AB$24="Muy Alta",'Mapa final'!$AD$24="Leve"),CONCATENATE("R3C",'Mapa final'!$R$24),"")</f>
        <v/>
      </c>
      <c r="M8" s="35" t="str">
        <f>IF(AND('Mapa final'!$AB$25="Muy Alta",'Mapa final'!$AD$25="Leve"),CONCATENATE("R3C",'Mapa final'!$R$25),"")</f>
        <v/>
      </c>
      <c r="N8" s="35" t="str">
        <f>IF(AND('Mapa final'!$AB$26="Muy Alta",'Mapa final'!$AD$26="Leve"),CONCATENATE("R3C",'Mapa final'!$R$26),"")</f>
        <v/>
      </c>
      <c r="O8" s="36" t="str">
        <f>IF(AND('Mapa final'!$AB$27="Muy Alta",'Mapa final'!$AD$27="Leve"),CONCATENATE("R3C",'Mapa final'!$R$27),"")</f>
        <v/>
      </c>
      <c r="P8" s="34" t="str">
        <f>IF(AND('Mapa final'!$AB$22="Muy Alta",'Mapa final'!$AD$22="Menor"),CONCATENATE("R3C",'Mapa final'!$R$22),"")</f>
        <v/>
      </c>
      <c r="Q8" s="35" t="str">
        <f>IF(AND('Mapa final'!$AB$23="Muy Alta",'Mapa final'!$AD$23="Menor"),CONCATENATE("R3C",'Mapa final'!$R$23),"")</f>
        <v/>
      </c>
      <c r="R8" s="35" t="str">
        <f>IF(AND('Mapa final'!$AB$24="Muy Alta",'Mapa final'!$AD$24="Menor"),CONCATENATE("R3C",'Mapa final'!$R$24),"")</f>
        <v/>
      </c>
      <c r="S8" s="35" t="str">
        <f>IF(AND('Mapa final'!$AB$25="Muy Alta",'Mapa final'!$AD$25="Menor"),CONCATENATE("R3C",'Mapa final'!$R$25),"")</f>
        <v/>
      </c>
      <c r="T8" s="35" t="str">
        <f>IF(AND('Mapa final'!$AB$26="Muy Alta",'Mapa final'!$AD$26="Menor"),CONCATENATE("R3C",'Mapa final'!$R$26),"")</f>
        <v/>
      </c>
      <c r="U8" s="36" t="str">
        <f>IF(AND('Mapa final'!$AB$27="Muy Alta",'Mapa final'!$AD$27="Menor"),CONCATENATE("R3C",'Mapa final'!$R$27),"")</f>
        <v/>
      </c>
      <c r="V8" s="34" t="str">
        <f>IF(AND('Mapa final'!$AB$22="Muy Alta",'Mapa final'!$AD$22="Moderado"),CONCATENATE("R3C",'Mapa final'!$R$22),"")</f>
        <v/>
      </c>
      <c r="W8" s="35" t="str">
        <f>IF(AND('Mapa final'!$AB$23="Muy Alta",'Mapa final'!$AD$23="Moderado"),CONCATENATE("R3C",'Mapa final'!$R$23),"")</f>
        <v/>
      </c>
      <c r="X8" s="35" t="str">
        <f>IF(AND('Mapa final'!$AB$24="Muy Alta",'Mapa final'!$AD$24="Moderado"),CONCATENATE("R3C",'Mapa final'!$R$24),"")</f>
        <v/>
      </c>
      <c r="Y8" s="35" t="str">
        <f>IF(AND('Mapa final'!$AB$25="Muy Alta",'Mapa final'!$AD$25="Moderado"),CONCATENATE("R3C",'Mapa final'!$R$25),"")</f>
        <v/>
      </c>
      <c r="Z8" s="35" t="str">
        <f>IF(AND('Mapa final'!$AB$26="Muy Alta",'Mapa final'!$AD$26="Moderado"),CONCATENATE("R3C",'Mapa final'!$R$26),"")</f>
        <v/>
      </c>
      <c r="AA8" s="36" t="str">
        <f>IF(AND('Mapa final'!$AB$27="Muy Alta",'Mapa final'!$AD$27="Moderado"),CONCATENATE("R3C",'Mapa final'!$R$27),"")</f>
        <v/>
      </c>
      <c r="AB8" s="34" t="str">
        <f>IF(AND('Mapa final'!$AB$22="Muy Alta",'Mapa final'!$AD$22="Mayor"),CONCATENATE("R3C",'Mapa final'!$R$22),"")</f>
        <v/>
      </c>
      <c r="AC8" s="35" t="str">
        <f>IF(AND('Mapa final'!$AB$23="Muy Alta",'Mapa final'!$AD$23="Mayor"),CONCATENATE("R3C",'Mapa final'!$R$23),"")</f>
        <v/>
      </c>
      <c r="AD8" s="35" t="str">
        <f>IF(AND('Mapa final'!$AB$24="Muy Alta",'Mapa final'!$AD$24="Mayor"),CONCATENATE("R3C",'Mapa final'!$R$24),"")</f>
        <v/>
      </c>
      <c r="AE8" s="35" t="str">
        <f>IF(AND('Mapa final'!$AB$25="Muy Alta",'Mapa final'!$AD$25="Mayor"),CONCATENATE("R3C",'Mapa final'!$R$25),"")</f>
        <v/>
      </c>
      <c r="AF8" s="35" t="str">
        <f>IF(AND('Mapa final'!$AB$26="Muy Alta",'Mapa final'!$AD$26="Mayor"),CONCATENATE("R3C",'Mapa final'!$R$26),"")</f>
        <v/>
      </c>
      <c r="AG8" s="36" t="str">
        <f>IF(AND('Mapa final'!$AB$27="Muy Alta",'Mapa final'!$AD$27="Mayor"),CONCATENATE("R3C",'Mapa final'!$R$27),"")</f>
        <v/>
      </c>
      <c r="AH8" s="37" t="str">
        <f>IF(AND('Mapa final'!$AB$22="Muy Alta",'Mapa final'!$AD$22="Catastrófico"),CONCATENATE("R3C",'Mapa final'!$R$22),"")</f>
        <v/>
      </c>
      <c r="AI8" s="38" t="str">
        <f>IF(AND('Mapa final'!$AB$23="Muy Alta",'Mapa final'!$AD$23="Catastrófico"),CONCATENATE("R3C",'Mapa final'!$R$23),"")</f>
        <v/>
      </c>
      <c r="AJ8" s="38" t="str">
        <f>IF(AND('Mapa final'!$AB$24="Muy Alta",'Mapa final'!$AD$24="Catastrófico"),CONCATENATE("R3C",'Mapa final'!$R$24),"")</f>
        <v/>
      </c>
      <c r="AK8" s="38" t="str">
        <f>IF(AND('Mapa final'!$AB$25="Muy Alta",'Mapa final'!$AD$25="Catastrófico"),CONCATENATE("R3C",'Mapa final'!$R$25),"")</f>
        <v/>
      </c>
      <c r="AL8" s="38" t="str">
        <f>IF(AND('Mapa final'!$AB$26="Muy Alta",'Mapa final'!$AD$26="Catastrófico"),CONCATENATE("R3C",'Mapa final'!$R$26),"")</f>
        <v/>
      </c>
      <c r="AM8" s="39" t="str">
        <f>IF(AND('Mapa final'!$AB$27="Muy Alta",'Mapa final'!$AD$27="Catastrófico"),CONCATENATE("R3C",'Mapa final'!$R$27),"")</f>
        <v/>
      </c>
      <c r="AN8" s="65"/>
      <c r="AO8" s="686"/>
      <c r="AP8" s="687"/>
      <c r="AQ8" s="687"/>
      <c r="AR8" s="687"/>
      <c r="AS8" s="687"/>
      <c r="AT8" s="688"/>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row>
    <row r="9" spans="1:91" ht="15" customHeight="1" x14ac:dyDescent="0.3">
      <c r="A9" s="65"/>
      <c r="B9" s="581"/>
      <c r="C9" s="581"/>
      <c r="D9" s="582"/>
      <c r="E9" s="680"/>
      <c r="F9" s="679"/>
      <c r="G9" s="679"/>
      <c r="H9" s="679"/>
      <c r="I9" s="695"/>
      <c r="J9" s="34" t="str">
        <f>IF(AND('Mapa final'!$AB$28="Muy Alta",'Mapa final'!$AD$28="Leve"),CONCATENATE("R4C",'Mapa final'!$R$28),"")</f>
        <v/>
      </c>
      <c r="K9" s="35" t="e">
        <f>IF(AND('Mapa final'!#REF!="Muy Alta",'Mapa final'!#REF!="Leve"),CONCATENATE("R4C",'Mapa final'!#REF!),"")</f>
        <v>#REF!</v>
      </c>
      <c r="L9" s="35" t="str">
        <f>IF(AND('Mapa final'!$AB$29="Muy Alta",'Mapa final'!$AD$29="Leve"),CONCATENATE("R4C",'Mapa final'!$R$29),"")</f>
        <v/>
      </c>
      <c r="M9" s="35" t="str">
        <f>IF(AND('Mapa final'!$AB$30="Muy Alta",'Mapa final'!$AD$30="Leve"),CONCATENATE("R4C",'Mapa final'!$R$30),"")</f>
        <v/>
      </c>
      <c r="N9" s="35" t="str">
        <f>IF(AND('Mapa final'!$AB$31="Muy Alta",'Mapa final'!$AD$31="Leve"),CONCATENATE("R4C",'Mapa final'!$R$31),"")</f>
        <v/>
      </c>
      <c r="O9" s="36" t="str">
        <f>IF(AND('Mapa final'!$AB$32="Muy Alta",'Mapa final'!$AD$32="Leve"),CONCATENATE("R4C",'Mapa final'!$R$32),"")</f>
        <v/>
      </c>
      <c r="P9" s="34" t="str">
        <f>IF(AND('Mapa final'!$AB$28="Muy Alta",'Mapa final'!$AD$28="Menor"),CONCATENATE("R4C",'Mapa final'!$R$28),"")</f>
        <v/>
      </c>
      <c r="Q9" s="35" t="e">
        <f>IF(AND('Mapa final'!#REF!="Muy Alta",'Mapa final'!#REF!="Menor"),CONCATENATE("R4C",'Mapa final'!#REF!),"")</f>
        <v>#REF!</v>
      </c>
      <c r="R9" s="35" t="str">
        <f>IF(AND('Mapa final'!$AB$29="Muy Alta",'Mapa final'!$AD$29="Menor"),CONCATENATE("R4C",'Mapa final'!$R$29),"")</f>
        <v/>
      </c>
      <c r="S9" s="35" t="str">
        <f>IF(AND('Mapa final'!$AB$30="Muy Alta",'Mapa final'!$AD$30="Menor"),CONCATENATE("R4C",'Mapa final'!$R$30),"")</f>
        <v/>
      </c>
      <c r="T9" s="35" t="str">
        <f>IF(AND('Mapa final'!$AB$31="Muy Alta",'Mapa final'!$AD$31="Menor"),CONCATENATE("R4C",'Mapa final'!$R$31),"")</f>
        <v/>
      </c>
      <c r="U9" s="36" t="str">
        <f>IF(AND('Mapa final'!$AB$32="Muy Alta",'Mapa final'!$AD$32="Menor"),CONCATENATE("R4C",'Mapa final'!$R$32),"")</f>
        <v/>
      </c>
      <c r="V9" s="34" t="str">
        <f>IF(AND('Mapa final'!$AB$28="Muy Alta",'Mapa final'!$AD$28="Moderado"),CONCATENATE("R4C",'Mapa final'!$R$28),"")</f>
        <v/>
      </c>
      <c r="W9" s="35" t="e">
        <f>IF(AND('Mapa final'!#REF!="Muy Alta",'Mapa final'!#REF!="Moderado"),CONCATENATE("R4C",'Mapa final'!#REF!),"")</f>
        <v>#REF!</v>
      </c>
      <c r="X9" s="35" t="str">
        <f>IF(AND('Mapa final'!$AB$29="Muy Alta",'Mapa final'!$AD$29="Moderado"),CONCATENATE("R4C",'Mapa final'!$R$29),"")</f>
        <v/>
      </c>
      <c r="Y9" s="35" t="str">
        <f>IF(AND('Mapa final'!$AB$30="Muy Alta",'Mapa final'!$AD$30="Moderado"),CONCATENATE("R4C",'Mapa final'!$R$30),"")</f>
        <v/>
      </c>
      <c r="Z9" s="35" t="str">
        <f>IF(AND('Mapa final'!$AB$31="Muy Alta",'Mapa final'!$AD$31="Moderado"),CONCATENATE("R4C",'Mapa final'!$R$31),"")</f>
        <v/>
      </c>
      <c r="AA9" s="36" t="str">
        <f>IF(AND('Mapa final'!$AB$32="Muy Alta",'Mapa final'!$AD$32="Moderado"),CONCATENATE("R4C",'Mapa final'!$R$32),"")</f>
        <v/>
      </c>
      <c r="AB9" s="34" t="str">
        <f>IF(AND('Mapa final'!$AB$28="Muy Alta",'Mapa final'!$AD$28="Mayor"),CONCATENATE("R4C",'Mapa final'!$R$28),"")</f>
        <v/>
      </c>
      <c r="AC9" s="35" t="e">
        <f>IF(AND('Mapa final'!#REF!="Muy Alta",'Mapa final'!#REF!="Mayor"),CONCATENATE("R4C",'Mapa final'!#REF!),"")</f>
        <v>#REF!</v>
      </c>
      <c r="AD9" s="35" t="str">
        <f>IF(AND('Mapa final'!$AB$29="Muy Alta",'Mapa final'!$AD$29="Mayor"),CONCATENATE("R4C",'Mapa final'!$R$29),"")</f>
        <v/>
      </c>
      <c r="AE9" s="35" t="str">
        <f>IF(AND('Mapa final'!$AB$30="Muy Alta",'Mapa final'!$AD$30="Mayor"),CONCATENATE("R4C",'Mapa final'!$R$30),"")</f>
        <v/>
      </c>
      <c r="AF9" s="35" t="str">
        <f>IF(AND('Mapa final'!$AB$31="Muy Alta",'Mapa final'!$AD$31="Mayor"),CONCATENATE("R4C",'Mapa final'!$R$31),"")</f>
        <v/>
      </c>
      <c r="AG9" s="36" t="str">
        <f>IF(AND('Mapa final'!$AB$32="Muy Alta",'Mapa final'!$AD$32="Mayor"),CONCATENATE("R4C",'Mapa final'!$R$32),"")</f>
        <v/>
      </c>
      <c r="AH9" s="37" t="str">
        <f>IF(AND('Mapa final'!$AB$28="Muy Alta",'Mapa final'!$AD$28="Catastrófico"),CONCATENATE("R4C",'Mapa final'!$R$28),"")</f>
        <v/>
      </c>
      <c r="AI9" s="38" t="e">
        <f>IF(AND('Mapa final'!#REF!="Muy Alta",'Mapa final'!#REF!="Catastrófico"),CONCATENATE("R4C",'Mapa final'!#REF!),"")</f>
        <v>#REF!</v>
      </c>
      <c r="AJ9" s="38" t="str">
        <f>IF(AND('Mapa final'!$AB$29="Muy Alta",'Mapa final'!$AD$29="Catastrófico"),CONCATENATE("R4C",'Mapa final'!$R$29),"")</f>
        <v/>
      </c>
      <c r="AK9" s="38" t="str">
        <f>IF(AND('Mapa final'!$AB$30="Muy Alta",'Mapa final'!$AD$30="Catastrófico"),CONCATENATE("R4C",'Mapa final'!$R$30),"")</f>
        <v/>
      </c>
      <c r="AL9" s="38" t="str">
        <f>IF(AND('Mapa final'!$AB$31="Muy Alta",'Mapa final'!$AD$31="Catastrófico"),CONCATENATE("R4C",'Mapa final'!$R$31),"")</f>
        <v/>
      </c>
      <c r="AM9" s="39" t="str">
        <f>IF(AND('Mapa final'!$AB$32="Muy Alta",'Mapa final'!$AD$32="Catastrófico"),CONCATENATE("R4C",'Mapa final'!$R$32),"")</f>
        <v/>
      </c>
      <c r="AN9" s="65"/>
      <c r="AO9" s="686"/>
      <c r="AP9" s="687"/>
      <c r="AQ9" s="687"/>
      <c r="AR9" s="687"/>
      <c r="AS9" s="687"/>
      <c r="AT9" s="688"/>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row>
    <row r="10" spans="1:91" ht="15" customHeight="1" x14ac:dyDescent="0.3">
      <c r="A10" s="65"/>
      <c r="B10" s="581"/>
      <c r="C10" s="581"/>
      <c r="D10" s="582"/>
      <c r="E10" s="680"/>
      <c r="F10" s="679"/>
      <c r="G10" s="679"/>
      <c r="H10" s="679"/>
      <c r="I10" s="695"/>
      <c r="J10" s="34" t="str">
        <f>IF(AND('Mapa final'!$AB$33="Muy Alta",'Mapa final'!$AD$33="Leve"),CONCATENATE("R5C",'Mapa final'!$R$33),"")</f>
        <v/>
      </c>
      <c r="K10" s="35" t="str">
        <f>IF(AND('Mapa final'!$AB$34="Muy Alta",'Mapa final'!$AD$34="Leve"),CONCATENATE("R5C",'Mapa final'!$R$34),"")</f>
        <v/>
      </c>
      <c r="L10" s="35" t="str">
        <f>IF(AND('Mapa final'!$AB$35="Muy Alta",'Mapa final'!$AD$35="Leve"),CONCATENATE("R5C",'Mapa final'!$R$35),"")</f>
        <v/>
      </c>
      <c r="M10" s="35" t="str">
        <f>IF(AND('Mapa final'!$AB$36="Muy Alta",'Mapa final'!$AD$36="Leve"),CONCATENATE("R5C",'Mapa final'!$R$36),"")</f>
        <v/>
      </c>
      <c r="N10" s="35" t="str">
        <f>IF(AND('Mapa final'!$AB$37="Muy Alta",'Mapa final'!$AD$37="Leve"),CONCATENATE("R5C",'Mapa final'!$R$37),"")</f>
        <v/>
      </c>
      <c r="O10" s="36" t="str">
        <f>IF(AND('Mapa final'!$AB$38="Muy Alta",'Mapa final'!$AD$38="Leve"),CONCATENATE("R5C",'Mapa final'!$R$38),"")</f>
        <v/>
      </c>
      <c r="P10" s="34" t="str">
        <f>IF(AND('Mapa final'!$AB$33="Muy Alta",'Mapa final'!$AD$33="Menor"),CONCATENATE("R5C",'Mapa final'!$R$33),"")</f>
        <v/>
      </c>
      <c r="Q10" s="35" t="str">
        <f>IF(AND('Mapa final'!$AB$34="Muy Alta",'Mapa final'!$AD$34="Menor"),CONCATENATE("R5C",'Mapa final'!$R$34),"")</f>
        <v/>
      </c>
      <c r="R10" s="35" t="str">
        <f>IF(AND('Mapa final'!$AB$35="Muy Alta",'Mapa final'!$AD$35="Menor"),CONCATENATE("R5C",'Mapa final'!$R$35),"")</f>
        <v/>
      </c>
      <c r="S10" s="35" t="str">
        <f>IF(AND('Mapa final'!$AB$36="Muy Alta",'Mapa final'!$AD$36="Menor"),CONCATENATE("R5C",'Mapa final'!$R$36),"")</f>
        <v/>
      </c>
      <c r="T10" s="35" t="str">
        <f>IF(AND('Mapa final'!$AB$37="Muy Alta",'Mapa final'!$AD$37="Menor"),CONCATENATE("R5C",'Mapa final'!$R$37),"")</f>
        <v/>
      </c>
      <c r="U10" s="36" t="str">
        <f>IF(AND('Mapa final'!$AB$38="Muy Alta",'Mapa final'!$AD$38="Menor"),CONCATENATE("R5C",'Mapa final'!$R$38),"")</f>
        <v/>
      </c>
      <c r="V10" s="34" t="str">
        <f>IF(AND('Mapa final'!$AB$33="Muy Alta",'Mapa final'!$AD$33="Moderado"),CONCATENATE("R5C",'Mapa final'!$R$33),"")</f>
        <v/>
      </c>
      <c r="W10" s="35" t="str">
        <f>IF(AND('Mapa final'!$AB$34="Muy Alta",'Mapa final'!$AD$34="Moderado"),CONCATENATE("R5C",'Mapa final'!$R$34),"")</f>
        <v/>
      </c>
      <c r="X10" s="35" t="str">
        <f>IF(AND('Mapa final'!$AB$35="Muy Alta",'Mapa final'!$AD$35="Moderado"),CONCATENATE("R5C",'Mapa final'!$R$35),"")</f>
        <v/>
      </c>
      <c r="Y10" s="35" t="str">
        <f>IF(AND('Mapa final'!$AB$36="Muy Alta",'Mapa final'!$AD$36="Moderado"),CONCATENATE("R5C",'Mapa final'!$R$36),"")</f>
        <v/>
      </c>
      <c r="Z10" s="35" t="str">
        <f>IF(AND('Mapa final'!$AB$37="Muy Alta",'Mapa final'!$AD$37="Moderado"),CONCATENATE("R5C",'Mapa final'!$R$37),"")</f>
        <v/>
      </c>
      <c r="AA10" s="36" t="str">
        <f>IF(AND('Mapa final'!$AB$38="Muy Alta",'Mapa final'!$AD$38="Moderado"),CONCATENATE("R5C",'Mapa final'!$R$38),"")</f>
        <v/>
      </c>
      <c r="AB10" s="34" t="str">
        <f>IF(AND('Mapa final'!$AB$33="Muy Alta",'Mapa final'!$AD$33="Mayor"),CONCATENATE("R5C",'Mapa final'!$R$33),"")</f>
        <v/>
      </c>
      <c r="AC10" s="35" t="str">
        <f>IF(AND('Mapa final'!$AB$34="Muy Alta",'Mapa final'!$AD$34="Mayor"),CONCATENATE("R5C",'Mapa final'!$R$34),"")</f>
        <v/>
      </c>
      <c r="AD10" s="35" t="str">
        <f>IF(AND('Mapa final'!$AB$35="Muy Alta",'Mapa final'!$AD$35="Mayor"),CONCATENATE("R5C",'Mapa final'!$R$35),"")</f>
        <v/>
      </c>
      <c r="AE10" s="35" t="str">
        <f>IF(AND('Mapa final'!$AB$36="Muy Alta",'Mapa final'!$AD$36="Mayor"),CONCATENATE("R5C",'Mapa final'!$R$36),"")</f>
        <v/>
      </c>
      <c r="AF10" s="35" t="str">
        <f>IF(AND('Mapa final'!$AB$37="Muy Alta",'Mapa final'!$AD$37="Mayor"),CONCATENATE("R5C",'Mapa final'!$R$37),"")</f>
        <v/>
      </c>
      <c r="AG10" s="36" t="str">
        <f>IF(AND('Mapa final'!$AB$38="Muy Alta",'Mapa final'!$AD$38="Mayor"),CONCATENATE("R5C",'Mapa final'!$R$38),"")</f>
        <v/>
      </c>
      <c r="AH10" s="37" t="str">
        <f>IF(AND('Mapa final'!$AB$33="Muy Alta",'Mapa final'!$AD$33="Catastrófico"),CONCATENATE("R5C",'Mapa final'!$R$33),"")</f>
        <v/>
      </c>
      <c r="AI10" s="38" t="str">
        <f>IF(AND('Mapa final'!$AB$34="Muy Alta",'Mapa final'!$AD$34="Catastrófico"),CONCATENATE("R5C",'Mapa final'!$R$34),"")</f>
        <v/>
      </c>
      <c r="AJ10" s="38" t="str">
        <f>IF(AND('Mapa final'!$AB$35="Muy Alta",'Mapa final'!$AD$35="Catastrófico"),CONCATENATE("R5C",'Mapa final'!$R$35),"")</f>
        <v/>
      </c>
      <c r="AK10" s="38" t="str">
        <f>IF(AND('Mapa final'!$AB$36="Muy Alta",'Mapa final'!$AD$36="Catastrófico"),CONCATENATE("R5C",'Mapa final'!$R$36),"")</f>
        <v/>
      </c>
      <c r="AL10" s="38" t="str">
        <f>IF(AND('Mapa final'!$AB$37="Muy Alta",'Mapa final'!$AD$37="Catastrófico"),CONCATENATE("R5C",'Mapa final'!$R$37),"")</f>
        <v/>
      </c>
      <c r="AM10" s="39" t="str">
        <f>IF(AND('Mapa final'!$AB$38="Muy Alta",'Mapa final'!$AD$38="Catastrófico"),CONCATENATE("R5C",'Mapa final'!$R$38),"")</f>
        <v/>
      </c>
      <c r="AN10" s="65"/>
      <c r="AO10" s="686"/>
      <c r="AP10" s="687"/>
      <c r="AQ10" s="687"/>
      <c r="AR10" s="687"/>
      <c r="AS10" s="687"/>
      <c r="AT10" s="688"/>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91" ht="15" customHeight="1" x14ac:dyDescent="0.3">
      <c r="A11" s="65"/>
      <c r="B11" s="581"/>
      <c r="C11" s="581"/>
      <c r="D11" s="582"/>
      <c r="E11" s="680"/>
      <c r="F11" s="679"/>
      <c r="G11" s="679"/>
      <c r="H11" s="679"/>
      <c r="I11" s="695"/>
      <c r="J11" s="34" t="str">
        <f>IF(AND('Mapa final'!$AB$39="Muy Alta",'Mapa final'!$AD$39="Leve"),CONCATENATE("R6C",'Mapa final'!$R$39),"")</f>
        <v/>
      </c>
      <c r="K11" s="35" t="str">
        <f>IF(AND('Mapa final'!$AB$40="Muy Alta",'Mapa final'!$AD$40="Leve"),CONCATENATE("R6C",'Mapa final'!$R$40),"")</f>
        <v/>
      </c>
      <c r="L11" s="35" t="str">
        <f>IF(AND('Mapa final'!$AB$41="Muy Alta",'Mapa final'!$AD$41="Leve"),CONCATENATE("R6C",'Mapa final'!$R$41),"")</f>
        <v/>
      </c>
      <c r="M11" s="35" t="str">
        <f>IF(AND('Mapa final'!$AB$42="Muy Alta",'Mapa final'!$AD$42="Leve"),CONCATENATE("R6C",'Mapa final'!$R$42),"")</f>
        <v/>
      </c>
      <c r="N11" s="35" t="str">
        <f>IF(AND('Mapa final'!$AB$43="Muy Alta",'Mapa final'!$AD$43="Leve"),CONCATENATE("R6C",'Mapa final'!$R$43),"")</f>
        <v/>
      </c>
      <c r="O11" s="36" t="str">
        <f>IF(AND('Mapa final'!$AB$44="Muy Alta",'Mapa final'!$AD$44="Leve"),CONCATENATE("R6C",'Mapa final'!$R$44),"")</f>
        <v/>
      </c>
      <c r="P11" s="34" t="str">
        <f>IF(AND('Mapa final'!$AB$39="Muy Alta",'Mapa final'!$AD$39="Menor"),CONCATENATE("R6C",'Mapa final'!$R$39),"")</f>
        <v/>
      </c>
      <c r="Q11" s="35" t="str">
        <f>IF(AND('Mapa final'!$AB$40="Muy Alta",'Mapa final'!$AD$40="Menor"),CONCATENATE("R6C",'Mapa final'!$R$40),"")</f>
        <v/>
      </c>
      <c r="R11" s="35" t="str">
        <f>IF(AND('Mapa final'!$AB$41="Muy Alta",'Mapa final'!$AD$41="Menor"),CONCATENATE("R6C",'Mapa final'!$R$41),"")</f>
        <v/>
      </c>
      <c r="S11" s="35" t="str">
        <f>IF(AND('Mapa final'!$AB$42="Muy Alta",'Mapa final'!$AD$42="Menor"),CONCATENATE("R6C",'Mapa final'!$R$42),"")</f>
        <v/>
      </c>
      <c r="T11" s="35" t="str">
        <f>IF(AND('Mapa final'!$AB$43="Muy Alta",'Mapa final'!$AD$43="Menor"),CONCATENATE("R6C",'Mapa final'!$R$43),"")</f>
        <v/>
      </c>
      <c r="U11" s="36" t="str">
        <f>IF(AND('Mapa final'!$AB$44="Muy Alta",'Mapa final'!$AD$44="Menor"),CONCATENATE("R6C",'Mapa final'!$R$44),"")</f>
        <v/>
      </c>
      <c r="V11" s="34" t="str">
        <f>IF(AND('Mapa final'!$AB$39="Muy Alta",'Mapa final'!$AD$39="Moderado"),CONCATENATE("R6C",'Mapa final'!$R$39),"")</f>
        <v/>
      </c>
      <c r="W11" s="35" t="str">
        <f>IF(AND('Mapa final'!$AB$40="Muy Alta",'Mapa final'!$AD$40="Moderado"),CONCATENATE("R6C",'Mapa final'!$R$40),"")</f>
        <v/>
      </c>
      <c r="X11" s="35" t="str">
        <f>IF(AND('Mapa final'!$AB$41="Muy Alta",'Mapa final'!$AD$41="Moderado"),CONCATENATE("R6C",'Mapa final'!$R$41),"")</f>
        <v/>
      </c>
      <c r="Y11" s="35" t="str">
        <f>IF(AND('Mapa final'!$AB$42="Muy Alta",'Mapa final'!$AD$42="Moderado"),CONCATENATE("R6C",'Mapa final'!$R$42),"")</f>
        <v/>
      </c>
      <c r="Z11" s="35" t="str">
        <f>IF(AND('Mapa final'!$AB$43="Muy Alta",'Mapa final'!$AD$43="Moderado"),CONCATENATE("R6C",'Mapa final'!$R$43),"")</f>
        <v/>
      </c>
      <c r="AA11" s="36" t="str">
        <f>IF(AND('Mapa final'!$AB$44="Muy Alta",'Mapa final'!$AD$44="Moderado"),CONCATENATE("R6C",'Mapa final'!$R$44),"")</f>
        <v/>
      </c>
      <c r="AB11" s="34" t="str">
        <f>IF(AND('Mapa final'!$AB$39="Muy Alta",'Mapa final'!$AD$39="Mayor"),CONCATENATE("R6C",'Mapa final'!$R$39),"")</f>
        <v/>
      </c>
      <c r="AC11" s="35" t="str">
        <f>IF(AND('Mapa final'!$AB$40="Muy Alta",'Mapa final'!$AD$40="Mayor"),CONCATENATE("R6C",'Mapa final'!$R$40),"")</f>
        <v/>
      </c>
      <c r="AD11" s="35" t="str">
        <f>IF(AND('Mapa final'!$AB$41="Muy Alta",'Mapa final'!$AD$41="Mayor"),CONCATENATE("R6C",'Mapa final'!$R$41),"")</f>
        <v/>
      </c>
      <c r="AE11" s="35" t="str">
        <f>IF(AND('Mapa final'!$AB$42="Muy Alta",'Mapa final'!$AD$42="Mayor"),CONCATENATE("R6C",'Mapa final'!$R$42),"")</f>
        <v/>
      </c>
      <c r="AF11" s="35" t="str">
        <f>IF(AND('Mapa final'!$AB$43="Muy Alta",'Mapa final'!$AD$43="Mayor"),CONCATENATE("R6C",'Mapa final'!$R$43),"")</f>
        <v/>
      </c>
      <c r="AG11" s="36" t="str">
        <f>IF(AND('Mapa final'!$AB$44="Muy Alta",'Mapa final'!$AD$44="Mayor"),CONCATENATE("R6C",'Mapa final'!$R$44),"")</f>
        <v/>
      </c>
      <c r="AH11" s="37" t="str">
        <f>IF(AND('Mapa final'!$AB$39="Muy Alta",'Mapa final'!$AD$39="Catastrófico"),CONCATENATE("R6C",'Mapa final'!$R$39),"")</f>
        <v/>
      </c>
      <c r="AI11" s="38" t="str">
        <f>IF(AND('Mapa final'!$AB$40="Muy Alta",'Mapa final'!$AD$40="Catastrófico"),CONCATENATE("R6C",'Mapa final'!$R$40),"")</f>
        <v/>
      </c>
      <c r="AJ11" s="38" t="str">
        <f>IF(AND('Mapa final'!$AB$41="Muy Alta",'Mapa final'!$AD$41="Catastrófico"),CONCATENATE("R6C",'Mapa final'!$R$41),"")</f>
        <v/>
      </c>
      <c r="AK11" s="38" t="str">
        <f>IF(AND('Mapa final'!$AB$42="Muy Alta",'Mapa final'!$AD$42="Catastrófico"),CONCATENATE("R6C",'Mapa final'!$R$42),"")</f>
        <v/>
      </c>
      <c r="AL11" s="38" t="str">
        <f>IF(AND('Mapa final'!$AB$43="Muy Alta",'Mapa final'!$AD$43="Catastrófico"),CONCATENATE("R6C",'Mapa final'!$R$43),"")</f>
        <v/>
      </c>
      <c r="AM11" s="39" t="str">
        <f>IF(AND('Mapa final'!$AB$44="Muy Alta",'Mapa final'!$AD$44="Catastrófico"),CONCATENATE("R6C",'Mapa final'!$R$44),"")</f>
        <v/>
      </c>
      <c r="AN11" s="65"/>
      <c r="AO11" s="686"/>
      <c r="AP11" s="687"/>
      <c r="AQ11" s="687"/>
      <c r="AR11" s="687"/>
      <c r="AS11" s="687"/>
      <c r="AT11" s="688"/>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91" ht="15" customHeight="1" x14ac:dyDescent="0.3">
      <c r="A12" s="65"/>
      <c r="B12" s="581"/>
      <c r="C12" s="581"/>
      <c r="D12" s="582"/>
      <c r="E12" s="680"/>
      <c r="F12" s="679"/>
      <c r="G12" s="679"/>
      <c r="H12" s="679"/>
      <c r="I12" s="695"/>
      <c r="J12" s="34" t="str">
        <f>IF(AND('Mapa final'!$AB$45="Muy Alta",'Mapa final'!$AD$45="Leve"),CONCATENATE("R7C",'Mapa final'!$R$45),"")</f>
        <v/>
      </c>
      <c r="K12" s="35" t="str">
        <f>IF(AND('Mapa final'!$AB$46="Muy Alta",'Mapa final'!$AD$46="Leve"),CONCATENATE("R7C",'Mapa final'!$R$46),"")</f>
        <v/>
      </c>
      <c r="L12" s="35" t="str">
        <f>IF(AND('Mapa final'!$AB$47="Muy Alta",'Mapa final'!$AD$47="Leve"),CONCATENATE("R7C",'Mapa final'!$R$47),"")</f>
        <v/>
      </c>
      <c r="M12" s="35" t="str">
        <f>IF(AND('Mapa final'!$AB$48="Muy Alta",'Mapa final'!$AD$48="Leve"),CONCATENATE("R7C",'Mapa final'!$R$48),"")</f>
        <v/>
      </c>
      <c r="N12" s="35" t="str">
        <f>IF(AND('Mapa final'!$AB$49="Muy Alta",'Mapa final'!$AD$49="Leve"),CONCATENATE("R7C",'Mapa final'!$R$49),"")</f>
        <v/>
      </c>
      <c r="O12" s="36" t="str">
        <f>IF(AND('Mapa final'!$AB$50="Muy Alta",'Mapa final'!$AD$50="Leve"),CONCATENATE("R7C",'Mapa final'!$R$50),"")</f>
        <v/>
      </c>
      <c r="P12" s="34" t="str">
        <f>IF(AND('Mapa final'!$AB$45="Muy Alta",'Mapa final'!$AD$45="Menor"),CONCATENATE("R7C",'Mapa final'!$R$45),"")</f>
        <v/>
      </c>
      <c r="Q12" s="35" t="str">
        <f>IF(AND('Mapa final'!$AB$46="Muy Alta",'Mapa final'!$AD$46="Menor"),CONCATENATE("R7C",'Mapa final'!$R$46),"")</f>
        <v/>
      </c>
      <c r="R12" s="35" t="str">
        <f>IF(AND('Mapa final'!$AB$47="Muy Alta",'Mapa final'!$AD$47="Menor"),CONCATENATE("R7C",'Mapa final'!$R$47),"")</f>
        <v/>
      </c>
      <c r="S12" s="35" t="str">
        <f>IF(AND('Mapa final'!$AB$48="Muy Alta",'Mapa final'!$AD$48="Menor"),CONCATENATE("R7C",'Mapa final'!$R$48),"")</f>
        <v/>
      </c>
      <c r="T12" s="35" t="str">
        <f>IF(AND('Mapa final'!$AB$49="Muy Alta",'Mapa final'!$AD$49="Menor"),CONCATENATE("R7C",'Mapa final'!$R$49),"")</f>
        <v/>
      </c>
      <c r="U12" s="36" t="str">
        <f>IF(AND('Mapa final'!$AB$50="Muy Alta",'Mapa final'!$AD$50="Menor"),CONCATENATE("R7C",'Mapa final'!$R$50),"")</f>
        <v/>
      </c>
      <c r="V12" s="34" t="str">
        <f>IF(AND('Mapa final'!$AB$45="Muy Alta",'Mapa final'!$AD$45="Moderado"),CONCATENATE("R7C",'Mapa final'!$R$45),"")</f>
        <v/>
      </c>
      <c r="W12" s="35" t="str">
        <f>IF(AND('Mapa final'!$AB$46="Muy Alta",'Mapa final'!$AD$46="Moderado"),CONCATENATE("R7C",'Mapa final'!$R$46),"")</f>
        <v/>
      </c>
      <c r="X12" s="35" t="str">
        <f>IF(AND('Mapa final'!$AB$47="Muy Alta",'Mapa final'!$AD$47="Moderado"),CONCATENATE("R7C",'Mapa final'!$R$47),"")</f>
        <v/>
      </c>
      <c r="Y12" s="35" t="str">
        <f>IF(AND('Mapa final'!$AB$48="Muy Alta",'Mapa final'!$AD$48="Moderado"),CONCATENATE("R7C",'Mapa final'!$R$48),"")</f>
        <v/>
      </c>
      <c r="Z12" s="35" t="str">
        <f>IF(AND('Mapa final'!$AB$49="Muy Alta",'Mapa final'!$AD$49="Moderado"),CONCATENATE("R7C",'Mapa final'!$R$49),"")</f>
        <v/>
      </c>
      <c r="AA12" s="36" t="str">
        <f>IF(AND('Mapa final'!$AB$50="Muy Alta",'Mapa final'!$AD$50="Moderado"),CONCATENATE("R7C",'Mapa final'!$R$50),"")</f>
        <v/>
      </c>
      <c r="AB12" s="34" t="str">
        <f>IF(AND('Mapa final'!$AB$45="Muy Alta",'Mapa final'!$AD$45="Mayor"),CONCATENATE("R7C",'Mapa final'!$R$45),"")</f>
        <v/>
      </c>
      <c r="AC12" s="35" t="str">
        <f>IF(AND('Mapa final'!$AB$46="Muy Alta",'Mapa final'!$AD$46="Mayor"),CONCATENATE("R7C",'Mapa final'!$R$46),"")</f>
        <v/>
      </c>
      <c r="AD12" s="35" t="str">
        <f>IF(AND('Mapa final'!$AB$47="Muy Alta",'Mapa final'!$AD$47="Mayor"),CONCATENATE("R7C",'Mapa final'!$R$47),"")</f>
        <v/>
      </c>
      <c r="AE12" s="35" t="str">
        <f>IF(AND('Mapa final'!$AB$48="Muy Alta",'Mapa final'!$AD$48="Mayor"),CONCATENATE("R7C",'Mapa final'!$R$48),"")</f>
        <v/>
      </c>
      <c r="AF12" s="35" t="str">
        <f>IF(AND('Mapa final'!$AB$49="Muy Alta",'Mapa final'!$AD$49="Mayor"),CONCATENATE("R7C",'Mapa final'!$R$49),"")</f>
        <v/>
      </c>
      <c r="AG12" s="36" t="str">
        <f>IF(AND('Mapa final'!$AB$50="Muy Alta",'Mapa final'!$AD$50="Mayor"),CONCATENATE("R7C",'Mapa final'!$R$50),"")</f>
        <v/>
      </c>
      <c r="AH12" s="37" t="str">
        <f>IF(AND('Mapa final'!$AB$45="Muy Alta",'Mapa final'!$AD$45="Catastrófico"),CONCATENATE("R7C",'Mapa final'!$R$45),"")</f>
        <v/>
      </c>
      <c r="AI12" s="38" t="str">
        <f>IF(AND('Mapa final'!$AB$46="Muy Alta",'Mapa final'!$AD$46="Catastrófico"),CONCATENATE("R7C",'Mapa final'!$R$46),"")</f>
        <v/>
      </c>
      <c r="AJ12" s="38" t="str">
        <f>IF(AND('Mapa final'!$AB$47="Muy Alta",'Mapa final'!$AD$47="Catastrófico"),CONCATENATE("R7C",'Mapa final'!$R$47),"")</f>
        <v/>
      </c>
      <c r="AK12" s="38" t="str">
        <f>IF(AND('Mapa final'!$AB$48="Muy Alta",'Mapa final'!$AD$48="Catastrófico"),CONCATENATE("R7C",'Mapa final'!$R$48),"")</f>
        <v/>
      </c>
      <c r="AL12" s="38" t="str">
        <f>IF(AND('Mapa final'!$AB$49="Muy Alta",'Mapa final'!$AD$49="Catastrófico"),CONCATENATE("R7C",'Mapa final'!$R$49),"")</f>
        <v/>
      </c>
      <c r="AM12" s="39" t="str">
        <f>IF(AND('Mapa final'!$AB$50="Muy Alta",'Mapa final'!$AD$50="Catastrófico"),CONCATENATE("R7C",'Mapa final'!$R$50),"")</f>
        <v/>
      </c>
      <c r="AN12" s="65"/>
      <c r="AO12" s="686"/>
      <c r="AP12" s="687"/>
      <c r="AQ12" s="687"/>
      <c r="AR12" s="687"/>
      <c r="AS12" s="687"/>
      <c r="AT12" s="688"/>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91" ht="15" customHeight="1" x14ac:dyDescent="0.3">
      <c r="A13" s="65"/>
      <c r="B13" s="581"/>
      <c r="C13" s="581"/>
      <c r="D13" s="582"/>
      <c r="E13" s="680"/>
      <c r="F13" s="679"/>
      <c r="G13" s="679"/>
      <c r="H13" s="679"/>
      <c r="I13" s="695"/>
      <c r="J13" s="34" t="str">
        <f>IF(AND('Mapa final'!$AB$51="Muy Alta",'Mapa final'!$AD$51="Leve"),CONCATENATE("R8C",'Mapa final'!$R$51),"")</f>
        <v/>
      </c>
      <c r="K13" s="35" t="str">
        <f>IF(AND('Mapa final'!$AB$52="Muy Alta",'Mapa final'!$AD$52="Leve"),CONCATENATE("R8C",'Mapa final'!$R$52),"")</f>
        <v/>
      </c>
      <c r="L13" s="35" t="str">
        <f>IF(AND('Mapa final'!$AB$53="Muy Alta",'Mapa final'!$AD$53="Leve"),CONCATENATE("R8C",'Mapa final'!$R$53),"")</f>
        <v/>
      </c>
      <c r="M13" s="35" t="str">
        <f>IF(AND('Mapa final'!$AB$54="Muy Alta",'Mapa final'!$AD$54="Leve"),CONCATENATE("R8C",'Mapa final'!$R$54),"")</f>
        <v/>
      </c>
      <c r="N13" s="35" t="str">
        <f>IF(AND('Mapa final'!$AB$55="Muy Alta",'Mapa final'!$AD$55="Leve"),CONCATENATE("R8C",'Mapa final'!$R$55),"")</f>
        <v/>
      </c>
      <c r="O13" s="36" t="str">
        <f>IF(AND('Mapa final'!$AB$56="Muy Alta",'Mapa final'!$AD$56="Leve"),CONCATENATE("R8C",'Mapa final'!$R$56),"")</f>
        <v/>
      </c>
      <c r="P13" s="34" t="str">
        <f>IF(AND('Mapa final'!$AB$51="Muy Alta",'Mapa final'!$AD$51="Menor"),CONCATENATE("R8C",'Mapa final'!$R$51),"")</f>
        <v/>
      </c>
      <c r="Q13" s="35" t="str">
        <f>IF(AND('Mapa final'!$AB$52="Muy Alta",'Mapa final'!$AD$52="Menor"),CONCATENATE("R8C",'Mapa final'!$R$52),"")</f>
        <v/>
      </c>
      <c r="R13" s="35" t="str">
        <f>IF(AND('Mapa final'!$AB$53="Muy Alta",'Mapa final'!$AD$53="Menor"),CONCATENATE("R8C",'Mapa final'!$R$53),"")</f>
        <v/>
      </c>
      <c r="S13" s="35" t="str">
        <f>IF(AND('Mapa final'!$AB$54="Muy Alta",'Mapa final'!$AD$54="Menor"),CONCATENATE("R8C",'Mapa final'!$R$54),"")</f>
        <v/>
      </c>
      <c r="T13" s="35" t="str">
        <f>IF(AND('Mapa final'!$AB$55="Muy Alta",'Mapa final'!$AD$55="Menor"),CONCATENATE("R8C",'Mapa final'!$R$55),"")</f>
        <v/>
      </c>
      <c r="U13" s="36" t="str">
        <f>IF(AND('Mapa final'!$AB$56="Muy Alta",'Mapa final'!$AD$56="Menor"),CONCATENATE("R8C",'Mapa final'!$R$56),"")</f>
        <v/>
      </c>
      <c r="V13" s="34" t="str">
        <f>IF(AND('Mapa final'!$AB$51="Muy Alta",'Mapa final'!$AD$51="Moderado"),CONCATENATE("R8C",'Mapa final'!$R$51),"")</f>
        <v/>
      </c>
      <c r="W13" s="35" t="str">
        <f>IF(AND('Mapa final'!$AB$52="Muy Alta",'Mapa final'!$AD$52="Moderado"),CONCATENATE("R8C",'Mapa final'!$R$52),"")</f>
        <v/>
      </c>
      <c r="X13" s="35" t="str">
        <f>IF(AND('Mapa final'!$AB$53="Muy Alta",'Mapa final'!$AD$53="Moderado"),CONCATENATE("R8C",'Mapa final'!$R$53),"")</f>
        <v/>
      </c>
      <c r="Y13" s="35" t="str">
        <f>IF(AND('Mapa final'!$AB$54="Muy Alta",'Mapa final'!$AD$54="Moderado"),CONCATENATE("R8C",'Mapa final'!$R$54),"")</f>
        <v/>
      </c>
      <c r="Z13" s="35" t="str">
        <f>IF(AND('Mapa final'!$AB$55="Muy Alta",'Mapa final'!$AD$55="Moderado"),CONCATENATE("R8C",'Mapa final'!$R$55),"")</f>
        <v/>
      </c>
      <c r="AA13" s="36" t="str">
        <f>IF(AND('Mapa final'!$AB$56="Muy Alta",'Mapa final'!$AD$56="Moderado"),CONCATENATE("R8C",'Mapa final'!$R$56),"")</f>
        <v/>
      </c>
      <c r="AB13" s="34" t="str">
        <f>IF(AND('Mapa final'!$AB$51="Muy Alta",'Mapa final'!$AD$51="Mayor"),CONCATENATE("R8C",'Mapa final'!$R$51),"")</f>
        <v/>
      </c>
      <c r="AC13" s="35" t="str">
        <f>IF(AND('Mapa final'!$AB$52="Muy Alta",'Mapa final'!$AD$52="Mayor"),CONCATENATE("R8C",'Mapa final'!$R$52),"")</f>
        <v/>
      </c>
      <c r="AD13" s="35" t="str">
        <f>IF(AND('Mapa final'!$AB$53="Muy Alta",'Mapa final'!$AD$53="Mayor"),CONCATENATE("R8C",'Mapa final'!$R$53),"")</f>
        <v/>
      </c>
      <c r="AE13" s="35" t="str">
        <f>IF(AND('Mapa final'!$AB$54="Muy Alta",'Mapa final'!$AD$54="Mayor"),CONCATENATE("R8C",'Mapa final'!$R$54),"")</f>
        <v/>
      </c>
      <c r="AF13" s="35" t="str">
        <f>IF(AND('Mapa final'!$AB$55="Muy Alta",'Mapa final'!$AD$55="Mayor"),CONCATENATE("R8C",'Mapa final'!$R$55),"")</f>
        <v/>
      </c>
      <c r="AG13" s="36" t="str">
        <f>IF(AND('Mapa final'!$AB$56="Muy Alta",'Mapa final'!$AD$56="Mayor"),CONCATENATE("R8C",'Mapa final'!$R$56),"")</f>
        <v/>
      </c>
      <c r="AH13" s="37" t="str">
        <f>IF(AND('Mapa final'!$AB$51="Muy Alta",'Mapa final'!$AD$51="Catastrófico"),CONCATENATE("R8C",'Mapa final'!$R$51),"")</f>
        <v/>
      </c>
      <c r="AI13" s="38" t="str">
        <f>IF(AND('Mapa final'!$AB$52="Muy Alta",'Mapa final'!$AD$52="Catastrófico"),CONCATENATE("R8C",'Mapa final'!$R$52),"")</f>
        <v/>
      </c>
      <c r="AJ13" s="38" t="str">
        <f>IF(AND('Mapa final'!$AB$53="Muy Alta",'Mapa final'!$AD$53="Catastrófico"),CONCATENATE("R8C",'Mapa final'!$R$53),"")</f>
        <v/>
      </c>
      <c r="AK13" s="38" t="str">
        <f>IF(AND('Mapa final'!$AB$54="Muy Alta",'Mapa final'!$AD$54="Catastrófico"),CONCATENATE("R8C",'Mapa final'!$R$54),"")</f>
        <v/>
      </c>
      <c r="AL13" s="38" t="str">
        <f>IF(AND('Mapa final'!$AB$55="Muy Alta",'Mapa final'!$AD$55="Catastrófico"),CONCATENATE("R8C",'Mapa final'!$R$55),"")</f>
        <v/>
      </c>
      <c r="AM13" s="39" t="str">
        <f>IF(AND('Mapa final'!$AB$56="Muy Alta",'Mapa final'!$AD$56="Catastrófico"),CONCATENATE("R8C",'Mapa final'!$R$56),"")</f>
        <v/>
      </c>
      <c r="AN13" s="65"/>
      <c r="AO13" s="686"/>
      <c r="AP13" s="687"/>
      <c r="AQ13" s="687"/>
      <c r="AR13" s="687"/>
      <c r="AS13" s="687"/>
      <c r="AT13" s="688"/>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91" ht="15" customHeight="1" x14ac:dyDescent="0.3">
      <c r="A14" s="65"/>
      <c r="B14" s="581"/>
      <c r="C14" s="581"/>
      <c r="D14" s="582"/>
      <c r="E14" s="680"/>
      <c r="F14" s="679"/>
      <c r="G14" s="679"/>
      <c r="H14" s="679"/>
      <c r="I14" s="695"/>
      <c r="J14" s="34" t="str">
        <f>IF(AND('Mapa final'!$AB$57="Muy Alta",'Mapa final'!$AD$57="Leve"),CONCATENATE("R9C",'Mapa final'!$R$57),"")</f>
        <v/>
      </c>
      <c r="K14" s="35" t="str">
        <f>IF(AND('Mapa final'!$AB$58="Muy Alta",'Mapa final'!$AD$58="Leve"),CONCATENATE("R9C",'Mapa final'!$R$58),"")</f>
        <v/>
      </c>
      <c r="L14" s="35" t="str">
        <f>IF(AND('Mapa final'!$AB$59="Muy Alta",'Mapa final'!$AD$59="Leve"),CONCATENATE("R9C",'Mapa final'!$R$59),"")</f>
        <v/>
      </c>
      <c r="M14" s="35" t="str">
        <f>IF(AND('Mapa final'!$AB$60="Muy Alta",'Mapa final'!$AD$60="Leve"),CONCATENATE("R9C",'Mapa final'!$R$60),"")</f>
        <v/>
      </c>
      <c r="N14" s="35" t="str">
        <f>IF(AND('Mapa final'!$AB$61="Muy Alta",'Mapa final'!$AD$61="Leve"),CONCATENATE("R9C",'Mapa final'!$R$61),"")</f>
        <v/>
      </c>
      <c r="O14" s="36" t="str">
        <f>IF(AND('Mapa final'!$AB$62="Muy Alta",'Mapa final'!$AD$62="Leve"),CONCATENATE("R9C",'Mapa final'!$R$62),"")</f>
        <v/>
      </c>
      <c r="P14" s="34" t="str">
        <f>IF(AND('Mapa final'!$AB$57="Muy Alta",'Mapa final'!$AD$57="Menor"),CONCATENATE("R9C",'Mapa final'!$R$57),"")</f>
        <v/>
      </c>
      <c r="Q14" s="35" t="str">
        <f>IF(AND('Mapa final'!$AB$58="Muy Alta",'Mapa final'!$AD$58="Menor"),CONCATENATE("R9C",'Mapa final'!$R$58),"")</f>
        <v/>
      </c>
      <c r="R14" s="35" t="str">
        <f>IF(AND('Mapa final'!$AB$59="Muy Alta",'Mapa final'!$AD$59="Menor"),CONCATENATE("R9C",'Mapa final'!$R$59),"")</f>
        <v/>
      </c>
      <c r="S14" s="35" t="str">
        <f>IF(AND('Mapa final'!$AB$60="Muy Alta",'Mapa final'!$AD$60="Menor"),CONCATENATE("R9C",'Mapa final'!$R$60),"")</f>
        <v/>
      </c>
      <c r="T14" s="35" t="str">
        <f>IF(AND('Mapa final'!$AB$61="Muy Alta",'Mapa final'!$AD$61="Menor"),CONCATENATE("R9C",'Mapa final'!$R$61),"")</f>
        <v/>
      </c>
      <c r="U14" s="36" t="str">
        <f>IF(AND('Mapa final'!$AB$62="Muy Alta",'Mapa final'!$AD$62="Menor"),CONCATENATE("R9C",'Mapa final'!$R$62),"")</f>
        <v/>
      </c>
      <c r="V14" s="34" t="str">
        <f>IF(AND('Mapa final'!$AB$57="Muy Alta",'Mapa final'!$AD$57="Moderado"),CONCATENATE("R9C",'Mapa final'!$R$57),"")</f>
        <v/>
      </c>
      <c r="W14" s="35" t="str">
        <f>IF(AND('Mapa final'!$AB$58="Muy Alta",'Mapa final'!$AD$58="Moderado"),CONCATENATE("R9C",'Mapa final'!$R$58),"")</f>
        <v/>
      </c>
      <c r="X14" s="35" t="str">
        <f>IF(AND('Mapa final'!$AB$59="Muy Alta",'Mapa final'!$AD$59="Moderado"),CONCATENATE("R9C",'Mapa final'!$R$59),"")</f>
        <v/>
      </c>
      <c r="Y14" s="35" t="str">
        <f>IF(AND('Mapa final'!$AB$60="Muy Alta",'Mapa final'!$AD$60="Moderado"),CONCATENATE("R9C",'Mapa final'!$R$60),"")</f>
        <v/>
      </c>
      <c r="Z14" s="35" t="str">
        <f>IF(AND('Mapa final'!$AB$61="Muy Alta",'Mapa final'!$AD$61="Moderado"),CONCATENATE("R9C",'Mapa final'!$R$61),"")</f>
        <v/>
      </c>
      <c r="AA14" s="36" t="str">
        <f>IF(AND('Mapa final'!$AB$62="Muy Alta",'Mapa final'!$AD$62="Moderado"),CONCATENATE("R9C",'Mapa final'!$R$62),"")</f>
        <v/>
      </c>
      <c r="AB14" s="34" t="str">
        <f>IF(AND('Mapa final'!$AB$57="Muy Alta",'Mapa final'!$AD$57="Mayor"),CONCATENATE("R9C",'Mapa final'!$R$57),"")</f>
        <v/>
      </c>
      <c r="AC14" s="35" t="str">
        <f>IF(AND('Mapa final'!$AB$58="Muy Alta",'Mapa final'!$AD$58="Mayor"),CONCATENATE("R9C",'Mapa final'!$R$58),"")</f>
        <v/>
      </c>
      <c r="AD14" s="35" t="str">
        <f>IF(AND('Mapa final'!$AB$59="Muy Alta",'Mapa final'!$AD$59="Mayor"),CONCATENATE("R9C",'Mapa final'!$R$59),"")</f>
        <v/>
      </c>
      <c r="AE14" s="35" t="str">
        <f>IF(AND('Mapa final'!$AB$60="Muy Alta",'Mapa final'!$AD$60="Mayor"),CONCATENATE("R9C",'Mapa final'!$R$60),"")</f>
        <v/>
      </c>
      <c r="AF14" s="35" t="str">
        <f>IF(AND('Mapa final'!$AB$61="Muy Alta",'Mapa final'!$AD$61="Mayor"),CONCATENATE("R9C",'Mapa final'!$R$61),"")</f>
        <v/>
      </c>
      <c r="AG14" s="36" t="str">
        <f>IF(AND('Mapa final'!$AB$62="Muy Alta",'Mapa final'!$AD$62="Mayor"),CONCATENATE("R9C",'Mapa final'!$R$62),"")</f>
        <v/>
      </c>
      <c r="AH14" s="37" t="str">
        <f>IF(AND('Mapa final'!$AB$57="Muy Alta",'Mapa final'!$AD$57="Catastrófico"),CONCATENATE("R9C",'Mapa final'!$R$57),"")</f>
        <v/>
      </c>
      <c r="AI14" s="38" t="str">
        <f>IF(AND('Mapa final'!$AB$58="Muy Alta",'Mapa final'!$AD$58="Catastrófico"),CONCATENATE("R9C",'Mapa final'!$R$58),"")</f>
        <v/>
      </c>
      <c r="AJ14" s="38" t="str">
        <f>IF(AND('Mapa final'!$AB$59="Muy Alta",'Mapa final'!$AD$59="Catastrófico"),CONCATENATE("R9C",'Mapa final'!$R$59),"")</f>
        <v/>
      </c>
      <c r="AK14" s="38" t="str">
        <f>IF(AND('Mapa final'!$AB$60="Muy Alta",'Mapa final'!$AD$60="Catastrófico"),CONCATENATE("R9C",'Mapa final'!$R$60),"")</f>
        <v/>
      </c>
      <c r="AL14" s="38" t="str">
        <f>IF(AND('Mapa final'!$AB$61="Muy Alta",'Mapa final'!$AD$61="Catastrófico"),CONCATENATE("R9C",'Mapa final'!$R$61),"")</f>
        <v/>
      </c>
      <c r="AM14" s="39" t="str">
        <f>IF(AND('Mapa final'!$AB$62="Muy Alta",'Mapa final'!$AD$62="Catastrófico"),CONCATENATE("R9C",'Mapa final'!$R$62),"")</f>
        <v/>
      </c>
      <c r="AN14" s="65"/>
      <c r="AO14" s="686"/>
      <c r="AP14" s="687"/>
      <c r="AQ14" s="687"/>
      <c r="AR14" s="687"/>
      <c r="AS14" s="687"/>
      <c r="AT14" s="688"/>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row>
    <row r="15" spans="1:91" ht="15.75" customHeight="1" thickBot="1" x14ac:dyDescent="0.35">
      <c r="A15" s="65"/>
      <c r="B15" s="581"/>
      <c r="C15" s="581"/>
      <c r="D15" s="582"/>
      <c r="E15" s="681"/>
      <c r="F15" s="682"/>
      <c r="G15" s="682"/>
      <c r="H15" s="682"/>
      <c r="I15" s="696"/>
      <c r="J15" s="40" t="str">
        <f>IF(AND('Mapa final'!$AB$63="Muy Alta",'Mapa final'!$AD$63="Leve"),CONCATENATE("R10C",'Mapa final'!$R$63),"")</f>
        <v/>
      </c>
      <c r="K15" s="41" t="str">
        <f>IF(AND('Mapa final'!$AB$64="Muy Alta",'Mapa final'!$AD$64="Leve"),CONCATENATE("R10C",'Mapa final'!$R$64),"")</f>
        <v/>
      </c>
      <c r="L15" s="41" t="str">
        <f>IF(AND('Mapa final'!$AB$65="Muy Alta",'Mapa final'!$AD$65="Leve"),CONCATENATE("R10C",'Mapa final'!$R$65),"")</f>
        <v/>
      </c>
      <c r="M15" s="41" t="str">
        <f>IF(AND('Mapa final'!$AB$66="Muy Alta",'Mapa final'!$AD$66="Leve"),CONCATENATE("R10C",'Mapa final'!$R$66),"")</f>
        <v/>
      </c>
      <c r="N15" s="41" t="str">
        <f>IF(AND('Mapa final'!$AB$67="Muy Alta",'Mapa final'!$AD$67="Leve"),CONCATENATE("R10C",'Mapa final'!$R$67),"")</f>
        <v/>
      </c>
      <c r="O15" s="42" t="str">
        <f>IF(AND('Mapa final'!$AB$68="Muy Alta",'Mapa final'!$AD$68="Leve"),CONCATENATE("R10C",'Mapa final'!$R$68),"")</f>
        <v/>
      </c>
      <c r="P15" s="34" t="str">
        <f>IF(AND('Mapa final'!$AB$63="Muy Alta",'Mapa final'!$AD$63="Menor"),CONCATENATE("R10C",'Mapa final'!$R$63),"")</f>
        <v/>
      </c>
      <c r="Q15" s="35" t="str">
        <f>IF(AND('Mapa final'!$AB$64="Muy Alta",'Mapa final'!$AD$64="Menor"),CONCATENATE("R10C",'Mapa final'!$R$64),"")</f>
        <v/>
      </c>
      <c r="R15" s="35" t="str">
        <f>IF(AND('Mapa final'!$AB$65="Muy Alta",'Mapa final'!$AD$65="Menor"),CONCATENATE("R10C",'Mapa final'!$R$65),"")</f>
        <v/>
      </c>
      <c r="S15" s="35" t="str">
        <f>IF(AND('Mapa final'!$AB$66="Muy Alta",'Mapa final'!$AD$66="Menor"),CONCATENATE("R10C",'Mapa final'!$R$66),"")</f>
        <v/>
      </c>
      <c r="T15" s="35" t="str">
        <f>IF(AND('Mapa final'!$AB$67="Muy Alta",'Mapa final'!$AD$67="Menor"),CONCATENATE("R10C",'Mapa final'!$R$67),"")</f>
        <v/>
      </c>
      <c r="U15" s="36" t="str">
        <f>IF(AND('Mapa final'!$AB$68="Muy Alta",'Mapa final'!$AD$68="Menor"),CONCATENATE("R10C",'Mapa final'!$R$68),"")</f>
        <v/>
      </c>
      <c r="V15" s="40" t="str">
        <f>IF(AND('Mapa final'!$AB$63="Muy Alta",'Mapa final'!$AD$63="Moderado"),CONCATENATE("R10C",'Mapa final'!$R$63),"")</f>
        <v/>
      </c>
      <c r="W15" s="41" t="str">
        <f>IF(AND('Mapa final'!$AB$64="Muy Alta",'Mapa final'!$AD$64="Moderado"),CONCATENATE("R10C",'Mapa final'!$R$64),"")</f>
        <v/>
      </c>
      <c r="X15" s="41" t="str">
        <f>IF(AND('Mapa final'!$AB$65="Muy Alta",'Mapa final'!$AD$65="Moderado"),CONCATENATE("R10C",'Mapa final'!$R$65),"")</f>
        <v/>
      </c>
      <c r="Y15" s="41" t="str">
        <f>IF(AND('Mapa final'!$AB$66="Muy Alta",'Mapa final'!$AD$66="Moderado"),CONCATENATE("R10C",'Mapa final'!$R$66),"")</f>
        <v/>
      </c>
      <c r="Z15" s="41" t="str">
        <f>IF(AND('Mapa final'!$AB$67="Muy Alta",'Mapa final'!$AD$67="Moderado"),CONCATENATE("R10C",'Mapa final'!$R$67),"")</f>
        <v/>
      </c>
      <c r="AA15" s="42" t="str">
        <f>IF(AND('Mapa final'!$AB$68="Muy Alta",'Mapa final'!$AD$68="Moderado"),CONCATENATE("R10C",'Mapa final'!$R$68),"")</f>
        <v/>
      </c>
      <c r="AB15" s="34" t="str">
        <f>IF(AND('Mapa final'!$AB$63="Muy Alta",'Mapa final'!$AD$63="Mayor"),CONCATENATE("R10C",'Mapa final'!$R$63),"")</f>
        <v/>
      </c>
      <c r="AC15" s="35" t="str">
        <f>IF(AND('Mapa final'!$AB$64="Muy Alta",'Mapa final'!$AD$64="Mayor"),CONCATENATE("R10C",'Mapa final'!$R$64),"")</f>
        <v/>
      </c>
      <c r="AD15" s="35" t="str">
        <f>IF(AND('Mapa final'!$AB$65="Muy Alta",'Mapa final'!$AD$65="Mayor"),CONCATENATE("R10C",'Mapa final'!$R$65),"")</f>
        <v/>
      </c>
      <c r="AE15" s="35" t="str">
        <f>IF(AND('Mapa final'!$AB$66="Muy Alta",'Mapa final'!$AD$66="Mayor"),CONCATENATE("R10C",'Mapa final'!$R$66),"")</f>
        <v/>
      </c>
      <c r="AF15" s="35" t="str">
        <f>IF(AND('Mapa final'!$AB$67="Muy Alta",'Mapa final'!$AD$67="Mayor"),CONCATENATE("R10C",'Mapa final'!$R$67),"")</f>
        <v/>
      </c>
      <c r="AG15" s="36" t="str">
        <f>IF(AND('Mapa final'!$AB$68="Muy Alta",'Mapa final'!$AD$68="Mayor"),CONCATENATE("R10C",'Mapa final'!$R$68),"")</f>
        <v/>
      </c>
      <c r="AH15" s="43" t="str">
        <f>IF(AND('Mapa final'!$AB$63="Muy Alta",'Mapa final'!$AD$63="Catastrófico"),CONCATENATE("R10C",'Mapa final'!$R$63),"")</f>
        <v/>
      </c>
      <c r="AI15" s="44" t="str">
        <f>IF(AND('Mapa final'!$AB$64="Muy Alta",'Mapa final'!$AD$64="Catastrófico"),CONCATENATE("R10C",'Mapa final'!$R$64),"")</f>
        <v/>
      </c>
      <c r="AJ15" s="44" t="str">
        <f>IF(AND('Mapa final'!$AB$65="Muy Alta",'Mapa final'!$AD$65="Catastrófico"),CONCATENATE("R10C",'Mapa final'!$R$65),"")</f>
        <v/>
      </c>
      <c r="AK15" s="44" t="str">
        <f>IF(AND('Mapa final'!$AB$66="Muy Alta",'Mapa final'!$AD$66="Catastrófico"),CONCATENATE("R10C",'Mapa final'!$R$66),"")</f>
        <v/>
      </c>
      <c r="AL15" s="44" t="str">
        <f>IF(AND('Mapa final'!$AB$67="Muy Alta",'Mapa final'!$AD$67="Catastrófico"),CONCATENATE("R10C",'Mapa final'!$R$67),"")</f>
        <v/>
      </c>
      <c r="AM15" s="45" t="str">
        <f>IF(AND('Mapa final'!$AB$68="Muy Alta",'Mapa final'!$AD$68="Catastrófico"),CONCATENATE("R10C",'Mapa final'!$R$68),"")</f>
        <v/>
      </c>
      <c r="AN15" s="65"/>
      <c r="AO15" s="689"/>
      <c r="AP15" s="690"/>
      <c r="AQ15" s="690"/>
      <c r="AR15" s="690"/>
      <c r="AS15" s="690"/>
      <c r="AT15" s="691"/>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91" ht="15" customHeight="1" x14ac:dyDescent="0.3">
      <c r="A16" s="65"/>
      <c r="B16" s="581"/>
      <c r="C16" s="581"/>
      <c r="D16" s="582"/>
      <c r="E16" s="676" t="s">
        <v>110</v>
      </c>
      <c r="F16" s="677"/>
      <c r="G16" s="677"/>
      <c r="H16" s="677"/>
      <c r="I16" s="677"/>
      <c r="J16" s="46" t="str">
        <f>IF(AND('Mapa final'!$AB$10="Alta",'Mapa final'!$AD$10="Leve"),CONCATENATE("R1C",'Mapa final'!$R$10),"")</f>
        <v/>
      </c>
      <c r="K16" s="47" t="str">
        <f>IF(AND('Mapa final'!$AB$11="Alta",'Mapa final'!$AD$11="Leve"),CONCATENATE("R1C",'Mapa final'!$R$11),"")</f>
        <v/>
      </c>
      <c r="L16" s="47" t="str">
        <f>IF(AND('Mapa final'!$AB$12="Alta",'Mapa final'!$AD$12="Leve"),CONCATENATE("R1C",'Mapa final'!$R$12),"")</f>
        <v/>
      </c>
      <c r="M16" s="47" t="str">
        <f>IF(AND('Mapa final'!$AB$13="Alta",'Mapa final'!$AD$13="Leve"),CONCATENATE("R1C",'Mapa final'!$R$13),"")</f>
        <v/>
      </c>
      <c r="N16" s="47" t="str">
        <f>IF(AND('Mapa final'!$AB$14="Alta",'Mapa final'!$AD$14="Leve"),CONCATENATE("R1C",'Mapa final'!$R$14),"")</f>
        <v/>
      </c>
      <c r="O16" s="48" t="str">
        <f>IF(AND('Mapa final'!$AB$15="Alta",'Mapa final'!$AD$15="Leve"),CONCATENATE("R1C",'Mapa final'!$R$15),"")</f>
        <v/>
      </c>
      <c r="P16" s="46" t="str">
        <f>IF(AND('Mapa final'!$AB$10="Alta",'Mapa final'!$AD$10="Menor"),CONCATENATE("R1C",'Mapa final'!$R$10),"")</f>
        <v/>
      </c>
      <c r="Q16" s="47" t="str">
        <f>IF(AND('Mapa final'!$AB$11="Alta",'Mapa final'!$AD$11="Menor"),CONCATENATE("R1C",'Mapa final'!$R$11),"")</f>
        <v/>
      </c>
      <c r="R16" s="47" t="str">
        <f>IF(AND('Mapa final'!$AB$12="Alta",'Mapa final'!$AD$12="Menor"),CONCATENATE("R1C",'Mapa final'!$R$12),"")</f>
        <v/>
      </c>
      <c r="S16" s="47" t="str">
        <f>IF(AND('Mapa final'!$AB$13="Alta",'Mapa final'!$AD$13="Menor"),CONCATENATE("R1C",'Mapa final'!$R$13),"")</f>
        <v/>
      </c>
      <c r="T16" s="47" t="str">
        <f>IF(AND('Mapa final'!$AB$14="Alta",'Mapa final'!$AD$14="Menor"),CONCATENATE("R1C",'Mapa final'!$R$14),"")</f>
        <v/>
      </c>
      <c r="U16" s="48" t="str">
        <f>IF(AND('Mapa final'!$AB$15="Alta",'Mapa final'!$AD$15="Menor"),CONCATENATE("R1C",'Mapa final'!$R$15),"")</f>
        <v/>
      </c>
      <c r="V16" s="28" t="str">
        <f>IF(AND('Mapa final'!$AB$10="Alta",'Mapa final'!$AD$10="Moderado"),CONCATENATE("R1C",'Mapa final'!$R$10),"")</f>
        <v/>
      </c>
      <c r="W16" s="29" t="str">
        <f>IF(AND('Mapa final'!$AB$11="Alta",'Mapa final'!$AD$11="Moderado"),CONCATENATE("R1C",'Mapa final'!$R$11),"")</f>
        <v/>
      </c>
      <c r="X16" s="29" t="str">
        <f>IF(AND('Mapa final'!$AB$12="Alta",'Mapa final'!$AD$12="Moderado"),CONCATENATE("R1C",'Mapa final'!$R$12),"")</f>
        <v/>
      </c>
      <c r="Y16" s="29" t="str">
        <f>IF(AND('Mapa final'!$AB$13="Alta",'Mapa final'!$AD$13="Moderado"),CONCATENATE("R1C",'Mapa final'!$R$13),"")</f>
        <v/>
      </c>
      <c r="Z16" s="29" t="str">
        <f>IF(AND('Mapa final'!$AB$14="Alta",'Mapa final'!$AD$14="Moderado"),CONCATENATE("R1C",'Mapa final'!$R$14),"")</f>
        <v/>
      </c>
      <c r="AA16" s="30" t="str">
        <f>IF(AND('Mapa final'!$AB$15="Alta",'Mapa final'!$AD$15="Moderado"),CONCATENATE("R1C",'Mapa final'!$R$15),"")</f>
        <v/>
      </c>
      <c r="AB16" s="28" t="str">
        <f>IF(AND('Mapa final'!$AB$10="Alta",'Mapa final'!$AD$10="Mayor"),CONCATENATE("R1C",'Mapa final'!$R$10),"")</f>
        <v/>
      </c>
      <c r="AC16" s="29" t="str">
        <f>IF(AND('Mapa final'!$AB$11="Alta",'Mapa final'!$AD$11="Mayor"),CONCATENATE("R1C",'Mapa final'!$R$11),"")</f>
        <v/>
      </c>
      <c r="AD16" s="29" t="str">
        <f>IF(AND('Mapa final'!$AB$12="Alta",'Mapa final'!$AD$12="Mayor"),CONCATENATE("R1C",'Mapa final'!$R$12),"")</f>
        <v/>
      </c>
      <c r="AE16" s="29" t="str">
        <f>IF(AND('Mapa final'!$AB$13="Alta",'Mapa final'!$AD$13="Mayor"),CONCATENATE("R1C",'Mapa final'!$R$13),"")</f>
        <v/>
      </c>
      <c r="AF16" s="29" t="str">
        <f>IF(AND('Mapa final'!$AB$14="Alta",'Mapa final'!$AD$14="Mayor"),CONCATENATE("R1C",'Mapa final'!$R$14),"")</f>
        <v/>
      </c>
      <c r="AG16" s="30" t="str">
        <f>IF(AND('Mapa final'!$AB$15="Alta",'Mapa final'!$AD$15="Mayor"),CONCATENATE("R1C",'Mapa final'!$R$15),"")</f>
        <v/>
      </c>
      <c r="AH16" s="31" t="str">
        <f>IF(AND('Mapa final'!$AB$10="Alta",'Mapa final'!$AD$10="Catastrófico"),CONCATENATE("R1C",'Mapa final'!$R$10),"")</f>
        <v/>
      </c>
      <c r="AI16" s="32" t="str">
        <f>IF(AND('Mapa final'!$AB$11="Alta",'Mapa final'!$AD$11="Catastrófico"),CONCATENATE("R1C",'Mapa final'!$R$11),"")</f>
        <v/>
      </c>
      <c r="AJ16" s="32" t="str">
        <f>IF(AND('Mapa final'!$AB$12="Alta",'Mapa final'!$AD$12="Catastrófico"),CONCATENATE("R1C",'Mapa final'!$R$12),"")</f>
        <v/>
      </c>
      <c r="AK16" s="32" t="str">
        <f>IF(AND('Mapa final'!$AB$13="Alta",'Mapa final'!$AD$13="Catastrófico"),CONCATENATE("R1C",'Mapa final'!$R$13),"")</f>
        <v/>
      </c>
      <c r="AL16" s="32" t="str">
        <f>IF(AND('Mapa final'!$AB$14="Alta",'Mapa final'!$AD$14="Catastrófico"),CONCATENATE("R1C",'Mapa final'!$R$14),"")</f>
        <v/>
      </c>
      <c r="AM16" s="33" t="str">
        <f>IF(AND('Mapa final'!$AB$15="Alta",'Mapa final'!$AD$15="Catastrófico"),CONCATENATE("R1C",'Mapa final'!$R$15),"")</f>
        <v/>
      </c>
      <c r="AN16" s="65"/>
      <c r="AO16" s="667" t="s">
        <v>79</v>
      </c>
      <c r="AP16" s="668"/>
      <c r="AQ16" s="668"/>
      <c r="AR16" s="668"/>
      <c r="AS16" s="668"/>
      <c r="AT16" s="669"/>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ht="15" customHeight="1" x14ac:dyDescent="0.3">
      <c r="A17" s="65"/>
      <c r="B17" s="581"/>
      <c r="C17" s="581"/>
      <c r="D17" s="582"/>
      <c r="E17" s="678"/>
      <c r="F17" s="679"/>
      <c r="G17" s="679"/>
      <c r="H17" s="679"/>
      <c r="I17" s="679"/>
      <c r="J17" s="49" t="str">
        <f>IF(AND('Mapa final'!$AB$16="Alta",'Mapa final'!$AD$16="Leve"),CONCATENATE("R2C",'Mapa final'!$R$16),"")</f>
        <v/>
      </c>
      <c r="K17" s="50" t="str">
        <f>IF(AND('Mapa final'!$AB$17="Alta",'Mapa final'!$AD$17="Leve"),CONCATENATE("R2C",'Mapa final'!$R$17),"")</f>
        <v/>
      </c>
      <c r="L17" s="50" t="str">
        <f>IF(AND('Mapa final'!$AB$18="Alta",'Mapa final'!$AD$18="Leve"),CONCATENATE("R2C",'Mapa final'!$R$18),"")</f>
        <v/>
      </c>
      <c r="M17" s="50" t="str">
        <f>IF(AND('Mapa final'!$AB$19="Alta",'Mapa final'!$AD$19="Leve"),CONCATENATE("R2C",'Mapa final'!$R$19),"")</f>
        <v/>
      </c>
      <c r="N17" s="50" t="str">
        <f>IF(AND('Mapa final'!$AB$20="Alta",'Mapa final'!$AD$20="Leve"),CONCATENATE("R2C",'Mapa final'!$R$20),"")</f>
        <v/>
      </c>
      <c r="O17" s="51" t="str">
        <f>IF(AND('Mapa final'!$AB$21="Alta",'Mapa final'!$AD$21="Leve"),CONCATENATE("R2C",'Mapa final'!$R$21),"")</f>
        <v/>
      </c>
      <c r="P17" s="49" t="str">
        <f>IF(AND('Mapa final'!$AB$16="Alta",'Mapa final'!$AD$16="Menor"),CONCATENATE("R2C",'Mapa final'!$R$16),"")</f>
        <v/>
      </c>
      <c r="Q17" s="50" t="str">
        <f>IF(AND('Mapa final'!$AB$17="Alta",'Mapa final'!$AD$17="Menor"),CONCATENATE("R2C",'Mapa final'!$R$17),"")</f>
        <v/>
      </c>
      <c r="R17" s="50" t="str">
        <f>IF(AND('Mapa final'!$AB$18="Alta",'Mapa final'!$AD$18="Menor"),CONCATENATE("R2C",'Mapa final'!$R$18),"")</f>
        <v/>
      </c>
      <c r="S17" s="50" t="str">
        <f>IF(AND('Mapa final'!$AB$19="Alta",'Mapa final'!$AD$19="Menor"),CONCATENATE("R2C",'Mapa final'!$R$19),"")</f>
        <v/>
      </c>
      <c r="T17" s="50" t="str">
        <f>IF(AND('Mapa final'!$AB$20="Alta",'Mapa final'!$AD$20="Menor"),CONCATENATE("R2C",'Mapa final'!$R$20),"")</f>
        <v/>
      </c>
      <c r="U17" s="51" t="str">
        <f>IF(AND('Mapa final'!$AB$21="Alta",'Mapa final'!$AD$21="Menor"),CONCATENATE("R2C",'Mapa final'!$R$21),"")</f>
        <v/>
      </c>
      <c r="V17" s="34" t="str">
        <f>IF(AND('Mapa final'!$AB$16="Alta",'Mapa final'!$AD$16="Moderado"),CONCATENATE("R2C",'Mapa final'!$R$16),"")</f>
        <v/>
      </c>
      <c r="W17" s="35" t="str">
        <f>IF(AND('Mapa final'!$AB$17="Alta",'Mapa final'!$AD$17="Moderado"),CONCATENATE("R2C",'Mapa final'!$R$17),"")</f>
        <v/>
      </c>
      <c r="X17" s="35" t="str">
        <f>IF(AND('Mapa final'!$AB$18="Alta",'Mapa final'!$AD$18="Moderado"),CONCATENATE("R2C",'Mapa final'!$R$18),"")</f>
        <v/>
      </c>
      <c r="Y17" s="35" t="str">
        <f>IF(AND('Mapa final'!$AB$19="Alta",'Mapa final'!$AD$19="Moderado"),CONCATENATE("R2C",'Mapa final'!$R$19),"")</f>
        <v/>
      </c>
      <c r="Z17" s="35" t="str">
        <f>IF(AND('Mapa final'!$AB$20="Alta",'Mapa final'!$AD$20="Moderado"),CONCATENATE("R2C",'Mapa final'!$R$20),"")</f>
        <v/>
      </c>
      <c r="AA17" s="36" t="str">
        <f>IF(AND('Mapa final'!$AB$21="Alta",'Mapa final'!$AD$21="Moderado"),CONCATENATE("R2C",'Mapa final'!$R$21),"")</f>
        <v/>
      </c>
      <c r="AB17" s="34" t="str">
        <f>IF(AND('Mapa final'!$AB$16="Alta",'Mapa final'!$AD$16="Mayor"),CONCATENATE("R2C",'Mapa final'!$R$16),"")</f>
        <v/>
      </c>
      <c r="AC17" s="35" t="str">
        <f>IF(AND('Mapa final'!$AB$17="Alta",'Mapa final'!$AD$17="Mayor"),CONCATENATE("R2C",'Mapa final'!$R$17),"")</f>
        <v/>
      </c>
      <c r="AD17" s="35" t="str">
        <f>IF(AND('Mapa final'!$AB$18="Alta",'Mapa final'!$AD$18="Mayor"),CONCATENATE("R2C",'Mapa final'!$R$18),"")</f>
        <v/>
      </c>
      <c r="AE17" s="35" t="str">
        <f>IF(AND('Mapa final'!$AB$19="Alta",'Mapa final'!$AD$19="Mayor"),CONCATENATE("R2C",'Mapa final'!$R$19),"")</f>
        <v/>
      </c>
      <c r="AF17" s="35" t="str">
        <f>IF(AND('Mapa final'!$AB$20="Alta",'Mapa final'!$AD$20="Mayor"),CONCATENATE("R2C",'Mapa final'!$R$20),"")</f>
        <v/>
      </c>
      <c r="AG17" s="36" t="str">
        <f>IF(AND('Mapa final'!$AB$21="Alta",'Mapa final'!$AD$21="Mayor"),CONCATENATE("R2C",'Mapa final'!$R$21),"")</f>
        <v/>
      </c>
      <c r="AH17" s="37" t="str">
        <f>IF(AND('Mapa final'!$AB$16="Alta",'Mapa final'!$AD$16="Catastrófico"),CONCATENATE("R2C",'Mapa final'!$R$16),"")</f>
        <v/>
      </c>
      <c r="AI17" s="38" t="str">
        <f>IF(AND('Mapa final'!$AB$17="Alta",'Mapa final'!$AD$17="Catastrófico"),CONCATENATE("R2C",'Mapa final'!$R$17),"")</f>
        <v/>
      </c>
      <c r="AJ17" s="38" t="str">
        <f>IF(AND('Mapa final'!$AB$18="Alta",'Mapa final'!$AD$18="Catastrófico"),CONCATENATE("R2C",'Mapa final'!$R$18),"")</f>
        <v/>
      </c>
      <c r="AK17" s="38" t="str">
        <f>IF(AND('Mapa final'!$AB$19="Alta",'Mapa final'!$AD$19="Catastrófico"),CONCATENATE("R2C",'Mapa final'!$R$19),"")</f>
        <v/>
      </c>
      <c r="AL17" s="38" t="str">
        <f>IF(AND('Mapa final'!$AB$20="Alta",'Mapa final'!$AD$20="Catastrófico"),CONCATENATE("R2C",'Mapa final'!$R$20),"")</f>
        <v/>
      </c>
      <c r="AM17" s="39" t="str">
        <f>IF(AND('Mapa final'!$AB$21="Alta",'Mapa final'!$AD$21="Catastrófico"),CONCATENATE("R2C",'Mapa final'!$R$21),"")</f>
        <v/>
      </c>
      <c r="AN17" s="65"/>
      <c r="AO17" s="670"/>
      <c r="AP17" s="671"/>
      <c r="AQ17" s="671"/>
      <c r="AR17" s="671"/>
      <c r="AS17" s="671"/>
      <c r="AT17" s="672"/>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ht="15" customHeight="1" x14ac:dyDescent="0.3">
      <c r="A18" s="65"/>
      <c r="B18" s="581"/>
      <c r="C18" s="581"/>
      <c r="D18" s="582"/>
      <c r="E18" s="680"/>
      <c r="F18" s="679"/>
      <c r="G18" s="679"/>
      <c r="H18" s="679"/>
      <c r="I18" s="679"/>
      <c r="J18" s="49" t="str">
        <f>IF(AND('Mapa final'!$AB$22="Alta",'Mapa final'!$AD$22="Leve"),CONCATENATE("R3C",'Mapa final'!$R$22),"")</f>
        <v/>
      </c>
      <c r="K18" s="50" t="str">
        <f>IF(AND('Mapa final'!$AB$23="Alta",'Mapa final'!$AD$23="Leve"),CONCATENATE("R3C",'Mapa final'!$R$23),"")</f>
        <v/>
      </c>
      <c r="L18" s="50" t="str">
        <f>IF(AND('Mapa final'!$AB$24="Alta",'Mapa final'!$AD$24="Leve"),CONCATENATE("R3C",'Mapa final'!$R$24),"")</f>
        <v/>
      </c>
      <c r="M18" s="50" t="str">
        <f>IF(AND('Mapa final'!$AB$25="Alta",'Mapa final'!$AD$25="Leve"),CONCATENATE("R3C",'Mapa final'!$R$25),"")</f>
        <v/>
      </c>
      <c r="N18" s="50" t="str">
        <f>IF(AND('Mapa final'!$AB$26="Alta",'Mapa final'!$AD$26="Leve"),CONCATENATE("R3C",'Mapa final'!$R$26),"")</f>
        <v/>
      </c>
      <c r="O18" s="51" t="str">
        <f>IF(AND('Mapa final'!$AB$27="Alta",'Mapa final'!$AD$27="Leve"),CONCATENATE("R3C",'Mapa final'!$R$27),"")</f>
        <v/>
      </c>
      <c r="P18" s="49" t="str">
        <f>IF(AND('Mapa final'!$AB$22="Alta",'Mapa final'!$AD$22="Menor"),CONCATENATE("R3C",'Mapa final'!$R$22),"")</f>
        <v/>
      </c>
      <c r="Q18" s="50" t="str">
        <f>IF(AND('Mapa final'!$AB$23="Alta",'Mapa final'!$AD$23="Menor"),CONCATENATE("R3C",'Mapa final'!$R$23),"")</f>
        <v/>
      </c>
      <c r="R18" s="50" t="str">
        <f>IF(AND('Mapa final'!$AB$24="Alta",'Mapa final'!$AD$24="Menor"),CONCATENATE("R3C",'Mapa final'!$R$24),"")</f>
        <v/>
      </c>
      <c r="S18" s="50" t="str">
        <f>IF(AND('Mapa final'!$AB$25="Alta",'Mapa final'!$AD$25="Menor"),CONCATENATE("R3C",'Mapa final'!$R$25),"")</f>
        <v/>
      </c>
      <c r="T18" s="50" t="str">
        <f>IF(AND('Mapa final'!$AB$26="Alta",'Mapa final'!$AD$26="Menor"),CONCATENATE("R3C",'Mapa final'!$R$26),"")</f>
        <v/>
      </c>
      <c r="U18" s="51" t="str">
        <f>IF(AND('Mapa final'!$AB$27="Alta",'Mapa final'!$AD$27="Menor"),CONCATENATE("R3C",'Mapa final'!$R$27),"")</f>
        <v/>
      </c>
      <c r="V18" s="34" t="str">
        <f>IF(AND('Mapa final'!$AB$22="Alta",'Mapa final'!$AD$22="Moderado"),CONCATENATE("R3C",'Mapa final'!$R$22),"")</f>
        <v/>
      </c>
      <c r="W18" s="35" t="str">
        <f>IF(AND('Mapa final'!$AB$23="Alta",'Mapa final'!$AD$23="Moderado"),CONCATENATE("R3C",'Mapa final'!$R$23),"")</f>
        <v/>
      </c>
      <c r="X18" s="35" t="str">
        <f>IF(AND('Mapa final'!$AB$24="Alta",'Mapa final'!$AD$24="Moderado"),CONCATENATE("R3C",'Mapa final'!$R$24),"")</f>
        <v/>
      </c>
      <c r="Y18" s="35" t="str">
        <f>IF(AND('Mapa final'!$AB$25="Alta",'Mapa final'!$AD$25="Moderado"),CONCATENATE("R3C",'Mapa final'!$R$25),"")</f>
        <v/>
      </c>
      <c r="Z18" s="35" t="str">
        <f>IF(AND('Mapa final'!$AB$26="Alta",'Mapa final'!$AD$26="Moderado"),CONCATENATE("R3C",'Mapa final'!$R$26),"")</f>
        <v/>
      </c>
      <c r="AA18" s="36" t="str">
        <f>IF(AND('Mapa final'!$AB$27="Alta",'Mapa final'!$AD$27="Moderado"),CONCATENATE("R3C",'Mapa final'!$R$27),"")</f>
        <v/>
      </c>
      <c r="AB18" s="34" t="str">
        <f>IF(AND('Mapa final'!$AB$22="Alta",'Mapa final'!$AD$22="Mayor"),CONCATENATE("R3C",'Mapa final'!$R$22),"")</f>
        <v/>
      </c>
      <c r="AC18" s="35" t="str">
        <f>IF(AND('Mapa final'!$AB$23="Alta",'Mapa final'!$AD$23="Mayor"),CONCATENATE("R3C",'Mapa final'!$R$23),"")</f>
        <v/>
      </c>
      <c r="AD18" s="35" t="str">
        <f>IF(AND('Mapa final'!$AB$24="Alta",'Mapa final'!$AD$24="Mayor"),CONCATENATE("R3C",'Mapa final'!$R$24),"")</f>
        <v/>
      </c>
      <c r="AE18" s="35" t="str">
        <f>IF(AND('Mapa final'!$AB$25="Alta",'Mapa final'!$AD$25="Mayor"),CONCATENATE("R3C",'Mapa final'!$R$25),"")</f>
        <v/>
      </c>
      <c r="AF18" s="35" t="str">
        <f>IF(AND('Mapa final'!$AB$26="Alta",'Mapa final'!$AD$26="Mayor"),CONCATENATE("R3C",'Mapa final'!$R$26),"")</f>
        <v/>
      </c>
      <c r="AG18" s="36" t="str">
        <f>IF(AND('Mapa final'!$AB$27="Alta",'Mapa final'!$AD$27="Mayor"),CONCATENATE("R3C",'Mapa final'!$R$27),"")</f>
        <v/>
      </c>
      <c r="AH18" s="37" t="str">
        <f>IF(AND('Mapa final'!$AB$22="Alta",'Mapa final'!$AD$22="Catastrófico"),CONCATENATE("R3C",'Mapa final'!$R$22),"")</f>
        <v/>
      </c>
      <c r="AI18" s="38" t="str">
        <f>IF(AND('Mapa final'!$AB$23="Alta",'Mapa final'!$AD$23="Catastrófico"),CONCATENATE("R3C",'Mapa final'!$R$23),"")</f>
        <v/>
      </c>
      <c r="AJ18" s="38" t="str">
        <f>IF(AND('Mapa final'!$AB$24="Alta",'Mapa final'!$AD$24="Catastrófico"),CONCATENATE("R3C",'Mapa final'!$R$24),"")</f>
        <v/>
      </c>
      <c r="AK18" s="38" t="str">
        <f>IF(AND('Mapa final'!$AB$25="Alta",'Mapa final'!$AD$25="Catastrófico"),CONCATENATE("R3C",'Mapa final'!$R$25),"")</f>
        <v/>
      </c>
      <c r="AL18" s="38" t="str">
        <f>IF(AND('Mapa final'!$AB$26="Alta",'Mapa final'!$AD$26="Catastrófico"),CONCATENATE("R3C",'Mapa final'!$R$26),"")</f>
        <v/>
      </c>
      <c r="AM18" s="39" t="str">
        <f>IF(AND('Mapa final'!$AB$27="Alta",'Mapa final'!$AD$27="Catastrófico"),CONCATENATE("R3C",'Mapa final'!$R$27),"")</f>
        <v/>
      </c>
      <c r="AN18" s="65"/>
      <c r="AO18" s="670"/>
      <c r="AP18" s="671"/>
      <c r="AQ18" s="671"/>
      <c r="AR18" s="671"/>
      <c r="AS18" s="671"/>
      <c r="AT18" s="672"/>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ht="15" customHeight="1" x14ac:dyDescent="0.3">
      <c r="A19" s="65"/>
      <c r="B19" s="581"/>
      <c r="C19" s="581"/>
      <c r="D19" s="582"/>
      <c r="E19" s="680"/>
      <c r="F19" s="679"/>
      <c r="G19" s="679"/>
      <c r="H19" s="679"/>
      <c r="I19" s="679"/>
      <c r="J19" s="49" t="str">
        <f>IF(AND('Mapa final'!$AB$28="Alta",'Mapa final'!$AD$28="Leve"),CONCATENATE("R4C",'Mapa final'!$R$28),"")</f>
        <v/>
      </c>
      <c r="K19" s="50" t="e">
        <f>IF(AND('Mapa final'!#REF!="Alta",'Mapa final'!#REF!="Leve"),CONCATENATE("R4C",'Mapa final'!#REF!),"")</f>
        <v>#REF!</v>
      </c>
      <c r="L19" s="50" t="str">
        <f>IF(AND('Mapa final'!$AB$29="Alta",'Mapa final'!$AD$29="Leve"),CONCATENATE("R4C",'Mapa final'!$R$29),"")</f>
        <v/>
      </c>
      <c r="M19" s="50" t="str">
        <f>IF(AND('Mapa final'!$AB$30="Alta",'Mapa final'!$AD$30="Leve"),CONCATENATE("R4C",'Mapa final'!$R$30),"")</f>
        <v/>
      </c>
      <c r="N19" s="50" t="str">
        <f>IF(AND('Mapa final'!$AB$31="Alta",'Mapa final'!$AD$31="Leve"),CONCATENATE("R4C",'Mapa final'!$R$31),"")</f>
        <v/>
      </c>
      <c r="O19" s="51" t="str">
        <f>IF(AND('Mapa final'!$AB$32="Alta",'Mapa final'!$AD$32="Leve"),CONCATENATE("R4C",'Mapa final'!$R$32),"")</f>
        <v/>
      </c>
      <c r="P19" s="49" t="str">
        <f>IF(AND('Mapa final'!$AB$28="Alta",'Mapa final'!$AD$28="Menor"),CONCATENATE("R4C",'Mapa final'!$R$28),"")</f>
        <v/>
      </c>
      <c r="Q19" s="50" t="e">
        <f>IF(AND('Mapa final'!#REF!="Alta",'Mapa final'!#REF!="Menor"),CONCATENATE("R4C",'Mapa final'!#REF!),"")</f>
        <v>#REF!</v>
      </c>
      <c r="R19" s="50" t="str">
        <f>IF(AND('Mapa final'!$AB$29="Alta",'Mapa final'!$AD$29="Menor"),CONCATENATE("R4C",'Mapa final'!$R$29),"")</f>
        <v/>
      </c>
      <c r="S19" s="50" t="str">
        <f>IF(AND('Mapa final'!$AB$30="Alta",'Mapa final'!$AD$30="Menor"),CONCATENATE("R4C",'Mapa final'!$R$30),"")</f>
        <v/>
      </c>
      <c r="T19" s="50" t="str">
        <f>IF(AND('Mapa final'!$AB$31="Alta",'Mapa final'!$AD$31="Menor"),CONCATENATE("R4C",'Mapa final'!$R$31),"")</f>
        <v/>
      </c>
      <c r="U19" s="51" t="str">
        <f>IF(AND('Mapa final'!$AB$32="Alta",'Mapa final'!$AD$32="Menor"),CONCATENATE("R4C",'Mapa final'!$R$32),"")</f>
        <v/>
      </c>
      <c r="V19" s="34" t="str">
        <f>IF(AND('Mapa final'!$AB$28="Alta",'Mapa final'!$AD$28="Moderado"),CONCATENATE("R4C",'Mapa final'!$R$28),"")</f>
        <v/>
      </c>
      <c r="W19" s="35" t="e">
        <f>IF(AND('Mapa final'!#REF!="Alta",'Mapa final'!#REF!="Moderado"),CONCATENATE("R4C",'Mapa final'!#REF!),"")</f>
        <v>#REF!</v>
      </c>
      <c r="X19" s="35" t="str">
        <f>IF(AND('Mapa final'!$AB$29="Alta",'Mapa final'!$AD$29="Moderado"),CONCATENATE("R4C",'Mapa final'!$R$29),"")</f>
        <v/>
      </c>
      <c r="Y19" s="35" t="str">
        <f>IF(AND('Mapa final'!$AB$30="Alta",'Mapa final'!$AD$30="Moderado"),CONCATENATE("R4C",'Mapa final'!$R$30),"")</f>
        <v/>
      </c>
      <c r="Z19" s="35" t="str">
        <f>IF(AND('Mapa final'!$AB$31="Alta",'Mapa final'!$AD$31="Moderado"),CONCATENATE("R4C",'Mapa final'!$R$31),"")</f>
        <v/>
      </c>
      <c r="AA19" s="36" t="str">
        <f>IF(AND('Mapa final'!$AB$32="Alta",'Mapa final'!$AD$32="Moderado"),CONCATENATE("R4C",'Mapa final'!$R$32),"")</f>
        <v/>
      </c>
      <c r="AB19" s="34" t="str">
        <f>IF(AND('Mapa final'!$AB$28="Alta",'Mapa final'!$AD$28="Mayor"),CONCATENATE("R4C",'Mapa final'!$R$28),"")</f>
        <v/>
      </c>
      <c r="AC19" s="35" t="e">
        <f>IF(AND('Mapa final'!#REF!="Alta",'Mapa final'!#REF!="Mayor"),CONCATENATE("R4C",'Mapa final'!#REF!),"")</f>
        <v>#REF!</v>
      </c>
      <c r="AD19" s="35" t="str">
        <f>IF(AND('Mapa final'!$AB$29="Alta",'Mapa final'!$AD$29="Mayor"),CONCATENATE("R4C",'Mapa final'!$R$29),"")</f>
        <v/>
      </c>
      <c r="AE19" s="35" t="str">
        <f>IF(AND('Mapa final'!$AB$30="Alta",'Mapa final'!$AD$30="Mayor"),CONCATENATE("R4C",'Mapa final'!$R$30),"")</f>
        <v/>
      </c>
      <c r="AF19" s="35" t="str">
        <f>IF(AND('Mapa final'!$AB$31="Alta",'Mapa final'!$AD$31="Mayor"),CONCATENATE("R4C",'Mapa final'!$R$31),"")</f>
        <v/>
      </c>
      <c r="AG19" s="36" t="str">
        <f>IF(AND('Mapa final'!$AB$32="Alta",'Mapa final'!$AD$32="Mayor"),CONCATENATE("R4C",'Mapa final'!$R$32),"")</f>
        <v/>
      </c>
      <c r="AH19" s="37" t="str">
        <f>IF(AND('Mapa final'!$AB$28="Alta",'Mapa final'!$AD$28="Catastrófico"),CONCATENATE("R4C",'Mapa final'!$R$28),"")</f>
        <v/>
      </c>
      <c r="AI19" s="38" t="e">
        <f>IF(AND('Mapa final'!#REF!="Alta",'Mapa final'!#REF!="Catastrófico"),CONCATENATE("R4C",'Mapa final'!#REF!),"")</f>
        <v>#REF!</v>
      </c>
      <c r="AJ19" s="38" t="str">
        <f>IF(AND('Mapa final'!$AB$29="Alta",'Mapa final'!$AD$29="Catastrófico"),CONCATENATE("R4C",'Mapa final'!$R$29),"")</f>
        <v/>
      </c>
      <c r="AK19" s="38" t="str">
        <f>IF(AND('Mapa final'!$AB$30="Alta",'Mapa final'!$AD$30="Catastrófico"),CONCATENATE("R4C",'Mapa final'!$R$30),"")</f>
        <v/>
      </c>
      <c r="AL19" s="38" t="str">
        <f>IF(AND('Mapa final'!$AB$31="Alta",'Mapa final'!$AD$31="Catastrófico"),CONCATENATE("R4C",'Mapa final'!$R$31),"")</f>
        <v/>
      </c>
      <c r="AM19" s="39" t="str">
        <f>IF(AND('Mapa final'!$AB$32="Alta",'Mapa final'!$AD$32="Catastrófico"),CONCATENATE("R4C",'Mapa final'!$R$32),"")</f>
        <v/>
      </c>
      <c r="AN19" s="65"/>
      <c r="AO19" s="670"/>
      <c r="AP19" s="671"/>
      <c r="AQ19" s="671"/>
      <c r="AR19" s="671"/>
      <c r="AS19" s="671"/>
      <c r="AT19" s="672"/>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ht="15" customHeight="1" x14ac:dyDescent="0.3">
      <c r="A20" s="65"/>
      <c r="B20" s="581"/>
      <c r="C20" s="581"/>
      <c r="D20" s="582"/>
      <c r="E20" s="680"/>
      <c r="F20" s="679"/>
      <c r="G20" s="679"/>
      <c r="H20" s="679"/>
      <c r="I20" s="679"/>
      <c r="J20" s="49" t="str">
        <f>IF(AND('Mapa final'!$AB$33="Alta",'Mapa final'!$AD$33="Leve"),CONCATENATE("R5C",'Mapa final'!$R$33),"")</f>
        <v/>
      </c>
      <c r="K20" s="50" t="str">
        <f>IF(AND('Mapa final'!$AB$34="Alta",'Mapa final'!$AD$34="Leve"),CONCATENATE("R5C",'Mapa final'!$R$34),"")</f>
        <v/>
      </c>
      <c r="L20" s="50" t="str">
        <f>IF(AND('Mapa final'!$AB$35="Alta",'Mapa final'!$AD$35="Leve"),CONCATENATE("R5C",'Mapa final'!$R$35),"")</f>
        <v/>
      </c>
      <c r="M20" s="50" t="str">
        <f>IF(AND('Mapa final'!$AB$36="Alta",'Mapa final'!$AD$36="Leve"),CONCATENATE("R5C",'Mapa final'!$R$36),"")</f>
        <v/>
      </c>
      <c r="N20" s="50" t="str">
        <f>IF(AND('Mapa final'!$AB$37="Alta",'Mapa final'!$AD$37="Leve"),CONCATENATE("R5C",'Mapa final'!$R$37),"")</f>
        <v/>
      </c>
      <c r="O20" s="51" t="str">
        <f>IF(AND('Mapa final'!$AB$38="Alta",'Mapa final'!$AD$38="Leve"),CONCATENATE("R5C",'Mapa final'!$R$38),"")</f>
        <v/>
      </c>
      <c r="P20" s="49" t="str">
        <f>IF(AND('Mapa final'!$AB$33="Alta",'Mapa final'!$AD$33="Menor"),CONCATENATE("R5C",'Mapa final'!$R$33),"")</f>
        <v/>
      </c>
      <c r="Q20" s="50" t="str">
        <f>IF(AND('Mapa final'!$AB$34="Alta",'Mapa final'!$AD$34="Menor"),CONCATENATE("R5C",'Mapa final'!$R$34),"")</f>
        <v/>
      </c>
      <c r="R20" s="50" t="str">
        <f>IF(AND('Mapa final'!$AB$35="Alta",'Mapa final'!$AD$35="Menor"),CONCATENATE("R5C",'Mapa final'!$R$35),"")</f>
        <v/>
      </c>
      <c r="S20" s="50" t="str">
        <f>IF(AND('Mapa final'!$AB$36="Alta",'Mapa final'!$AD$36="Menor"),CONCATENATE("R5C",'Mapa final'!$R$36),"")</f>
        <v/>
      </c>
      <c r="T20" s="50" t="str">
        <f>IF(AND('Mapa final'!$AB$37="Alta",'Mapa final'!$AD$37="Menor"),CONCATENATE("R5C",'Mapa final'!$R$37),"")</f>
        <v/>
      </c>
      <c r="U20" s="51" t="str">
        <f>IF(AND('Mapa final'!$AB$38="Alta",'Mapa final'!$AD$38="Menor"),CONCATENATE("R5C",'Mapa final'!$R$38),"")</f>
        <v/>
      </c>
      <c r="V20" s="34" t="str">
        <f>IF(AND('Mapa final'!$AB$33="Alta",'Mapa final'!$AD$33="Moderado"),CONCATENATE("R5C",'Mapa final'!$R$33),"")</f>
        <v/>
      </c>
      <c r="W20" s="35" t="str">
        <f>IF(AND('Mapa final'!$AB$34="Alta",'Mapa final'!$AD$34="Moderado"),CONCATENATE("R5C",'Mapa final'!$R$34),"")</f>
        <v/>
      </c>
      <c r="X20" s="35" t="str">
        <f>IF(AND('Mapa final'!$AB$35="Alta",'Mapa final'!$AD$35="Moderado"),CONCATENATE("R5C",'Mapa final'!$R$35),"")</f>
        <v/>
      </c>
      <c r="Y20" s="35" t="str">
        <f>IF(AND('Mapa final'!$AB$36="Alta",'Mapa final'!$AD$36="Moderado"),CONCATENATE("R5C",'Mapa final'!$R$36),"")</f>
        <v/>
      </c>
      <c r="Z20" s="35" t="str">
        <f>IF(AND('Mapa final'!$AB$37="Alta",'Mapa final'!$AD$37="Moderado"),CONCATENATE("R5C",'Mapa final'!$R$37),"")</f>
        <v/>
      </c>
      <c r="AA20" s="36" t="str">
        <f>IF(AND('Mapa final'!$AB$38="Alta",'Mapa final'!$AD$38="Moderado"),CONCATENATE("R5C",'Mapa final'!$R$38),"")</f>
        <v/>
      </c>
      <c r="AB20" s="34" t="str">
        <f>IF(AND('Mapa final'!$AB$33="Alta",'Mapa final'!$AD$33="Mayor"),CONCATENATE("R5C",'Mapa final'!$R$33),"")</f>
        <v/>
      </c>
      <c r="AC20" s="35" t="str">
        <f>IF(AND('Mapa final'!$AB$34="Alta",'Mapa final'!$AD$34="Mayor"),CONCATENATE("R5C",'Mapa final'!$R$34),"")</f>
        <v/>
      </c>
      <c r="AD20" s="35" t="str">
        <f>IF(AND('Mapa final'!$AB$35="Alta",'Mapa final'!$AD$35="Mayor"),CONCATENATE("R5C",'Mapa final'!$R$35),"")</f>
        <v/>
      </c>
      <c r="AE20" s="35" t="str">
        <f>IF(AND('Mapa final'!$AB$36="Alta",'Mapa final'!$AD$36="Mayor"),CONCATENATE("R5C",'Mapa final'!$R$36),"")</f>
        <v/>
      </c>
      <c r="AF20" s="35" t="str">
        <f>IF(AND('Mapa final'!$AB$37="Alta",'Mapa final'!$AD$37="Mayor"),CONCATENATE("R5C",'Mapa final'!$R$37),"")</f>
        <v/>
      </c>
      <c r="AG20" s="36" t="str">
        <f>IF(AND('Mapa final'!$AB$38="Alta",'Mapa final'!$AD$38="Mayor"),CONCATENATE("R5C",'Mapa final'!$R$38),"")</f>
        <v/>
      </c>
      <c r="AH20" s="37" t="str">
        <f>IF(AND('Mapa final'!$AB$33="Alta",'Mapa final'!$AD$33="Catastrófico"),CONCATENATE("R5C",'Mapa final'!$R$33),"")</f>
        <v/>
      </c>
      <c r="AI20" s="38" t="str">
        <f>IF(AND('Mapa final'!$AB$34="Alta",'Mapa final'!$AD$34="Catastrófico"),CONCATENATE("R5C",'Mapa final'!$R$34),"")</f>
        <v/>
      </c>
      <c r="AJ20" s="38" t="str">
        <f>IF(AND('Mapa final'!$AB$35="Alta",'Mapa final'!$AD$35="Catastrófico"),CONCATENATE("R5C",'Mapa final'!$R$35),"")</f>
        <v/>
      </c>
      <c r="AK20" s="38" t="str">
        <f>IF(AND('Mapa final'!$AB$36="Alta",'Mapa final'!$AD$36="Catastrófico"),CONCATENATE("R5C",'Mapa final'!$R$36),"")</f>
        <v/>
      </c>
      <c r="AL20" s="38" t="str">
        <f>IF(AND('Mapa final'!$AB$37="Alta",'Mapa final'!$AD$37="Catastrófico"),CONCATENATE("R5C",'Mapa final'!$R$37),"")</f>
        <v/>
      </c>
      <c r="AM20" s="39" t="str">
        <f>IF(AND('Mapa final'!$AB$38="Alta",'Mapa final'!$AD$38="Catastrófico"),CONCATENATE("R5C",'Mapa final'!$R$38),"")</f>
        <v/>
      </c>
      <c r="AN20" s="65"/>
      <c r="AO20" s="670"/>
      <c r="AP20" s="671"/>
      <c r="AQ20" s="671"/>
      <c r="AR20" s="671"/>
      <c r="AS20" s="671"/>
      <c r="AT20" s="672"/>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ht="15" customHeight="1" x14ac:dyDescent="0.3">
      <c r="A21" s="65"/>
      <c r="B21" s="581"/>
      <c r="C21" s="581"/>
      <c r="D21" s="582"/>
      <c r="E21" s="680"/>
      <c r="F21" s="679"/>
      <c r="G21" s="679"/>
      <c r="H21" s="679"/>
      <c r="I21" s="679"/>
      <c r="J21" s="49" t="str">
        <f>IF(AND('Mapa final'!$AB$39="Alta",'Mapa final'!$AD$39="Leve"),CONCATENATE("R6C",'Mapa final'!$R$39),"")</f>
        <v/>
      </c>
      <c r="K21" s="50" t="str">
        <f>IF(AND('Mapa final'!$AB$40="Alta",'Mapa final'!$AD$40="Leve"),CONCATENATE("R6C",'Mapa final'!$R$40),"")</f>
        <v/>
      </c>
      <c r="L21" s="50" t="str">
        <f>IF(AND('Mapa final'!$AB$41="Alta",'Mapa final'!$AD$41="Leve"),CONCATENATE("R6C",'Mapa final'!$R$41),"")</f>
        <v/>
      </c>
      <c r="M21" s="50" t="str">
        <f>IF(AND('Mapa final'!$AB$42="Alta",'Mapa final'!$AD$42="Leve"),CONCATENATE("R6C",'Mapa final'!$R$42),"")</f>
        <v/>
      </c>
      <c r="N21" s="50" t="str">
        <f>IF(AND('Mapa final'!$AB$43="Alta",'Mapa final'!$AD$43="Leve"),CONCATENATE("R6C",'Mapa final'!$R$43),"")</f>
        <v/>
      </c>
      <c r="O21" s="51" t="str">
        <f>IF(AND('Mapa final'!$AB$44="Alta",'Mapa final'!$AD$44="Leve"),CONCATENATE("R6C",'Mapa final'!$R$44),"")</f>
        <v/>
      </c>
      <c r="P21" s="49" t="str">
        <f>IF(AND('Mapa final'!$AB$39="Alta",'Mapa final'!$AD$39="Menor"),CONCATENATE("R6C",'Mapa final'!$R$39),"")</f>
        <v/>
      </c>
      <c r="Q21" s="50" t="str">
        <f>IF(AND('Mapa final'!$AB$40="Alta",'Mapa final'!$AD$40="Menor"),CONCATENATE("R6C",'Mapa final'!$R$40),"")</f>
        <v/>
      </c>
      <c r="R21" s="50" t="str">
        <f>IF(AND('Mapa final'!$AB$41="Alta",'Mapa final'!$AD$41="Menor"),CONCATENATE("R6C",'Mapa final'!$R$41),"")</f>
        <v/>
      </c>
      <c r="S21" s="50" t="str">
        <f>IF(AND('Mapa final'!$AB$42="Alta",'Mapa final'!$AD$42="Menor"),CONCATENATE("R6C",'Mapa final'!$R$42),"")</f>
        <v/>
      </c>
      <c r="T21" s="50" t="str">
        <f>IF(AND('Mapa final'!$AB$43="Alta",'Mapa final'!$AD$43="Menor"),CONCATENATE("R6C",'Mapa final'!$R$43),"")</f>
        <v/>
      </c>
      <c r="U21" s="51" t="str">
        <f>IF(AND('Mapa final'!$AB$44="Alta",'Mapa final'!$AD$44="Menor"),CONCATENATE("R6C",'Mapa final'!$R$44),"")</f>
        <v/>
      </c>
      <c r="V21" s="34" t="str">
        <f>IF(AND('Mapa final'!$AB$39="Alta",'Mapa final'!$AD$39="Moderado"),CONCATENATE("R6C",'Mapa final'!$R$39),"")</f>
        <v/>
      </c>
      <c r="W21" s="35" t="str">
        <f>IF(AND('Mapa final'!$AB$40="Alta",'Mapa final'!$AD$40="Moderado"),CONCATENATE("R6C",'Mapa final'!$R$40),"")</f>
        <v/>
      </c>
      <c r="X21" s="35" t="str">
        <f>IF(AND('Mapa final'!$AB$41="Alta",'Mapa final'!$AD$41="Moderado"),CONCATENATE("R6C",'Mapa final'!$R$41),"")</f>
        <v/>
      </c>
      <c r="Y21" s="35" t="str">
        <f>IF(AND('Mapa final'!$AB$42="Alta",'Mapa final'!$AD$42="Moderado"),CONCATENATE("R6C",'Mapa final'!$R$42),"")</f>
        <v/>
      </c>
      <c r="Z21" s="35" t="str">
        <f>IF(AND('Mapa final'!$AB$43="Alta",'Mapa final'!$AD$43="Moderado"),CONCATENATE("R6C",'Mapa final'!$R$43),"")</f>
        <v/>
      </c>
      <c r="AA21" s="36" t="str">
        <f>IF(AND('Mapa final'!$AB$44="Alta",'Mapa final'!$AD$44="Moderado"),CONCATENATE("R6C",'Mapa final'!$R$44),"")</f>
        <v/>
      </c>
      <c r="AB21" s="34" t="str">
        <f>IF(AND('Mapa final'!$AB$39="Alta",'Mapa final'!$AD$39="Mayor"),CONCATENATE("R6C",'Mapa final'!$R$39),"")</f>
        <v/>
      </c>
      <c r="AC21" s="35" t="str">
        <f>IF(AND('Mapa final'!$AB$40="Alta",'Mapa final'!$AD$40="Mayor"),CONCATENATE("R6C",'Mapa final'!$R$40),"")</f>
        <v/>
      </c>
      <c r="AD21" s="35" t="str">
        <f>IF(AND('Mapa final'!$AB$41="Alta",'Mapa final'!$AD$41="Mayor"),CONCATENATE("R6C",'Mapa final'!$R$41),"")</f>
        <v/>
      </c>
      <c r="AE21" s="35" t="str">
        <f>IF(AND('Mapa final'!$AB$42="Alta",'Mapa final'!$AD$42="Mayor"),CONCATENATE("R6C",'Mapa final'!$R$42),"")</f>
        <v/>
      </c>
      <c r="AF21" s="35" t="str">
        <f>IF(AND('Mapa final'!$AB$43="Alta",'Mapa final'!$AD$43="Mayor"),CONCATENATE("R6C",'Mapa final'!$R$43),"")</f>
        <v/>
      </c>
      <c r="AG21" s="36" t="str">
        <f>IF(AND('Mapa final'!$AB$44="Alta",'Mapa final'!$AD$44="Mayor"),CONCATENATE("R6C",'Mapa final'!$R$44),"")</f>
        <v/>
      </c>
      <c r="AH21" s="37" t="str">
        <f>IF(AND('Mapa final'!$AB$39="Alta",'Mapa final'!$AD$39="Catastrófico"),CONCATENATE("R6C",'Mapa final'!$R$39),"")</f>
        <v/>
      </c>
      <c r="AI21" s="38" t="str">
        <f>IF(AND('Mapa final'!$AB$40="Alta",'Mapa final'!$AD$40="Catastrófico"),CONCATENATE("R6C",'Mapa final'!$R$40),"")</f>
        <v/>
      </c>
      <c r="AJ21" s="38" t="str">
        <f>IF(AND('Mapa final'!$AB$41="Alta",'Mapa final'!$AD$41="Catastrófico"),CONCATENATE("R6C",'Mapa final'!$R$41),"")</f>
        <v/>
      </c>
      <c r="AK21" s="38" t="str">
        <f>IF(AND('Mapa final'!$AB$42="Alta",'Mapa final'!$AD$42="Catastrófico"),CONCATENATE("R6C",'Mapa final'!$R$42),"")</f>
        <v/>
      </c>
      <c r="AL21" s="38" t="str">
        <f>IF(AND('Mapa final'!$AB$43="Alta",'Mapa final'!$AD$43="Catastrófico"),CONCATENATE("R6C",'Mapa final'!$R$43),"")</f>
        <v/>
      </c>
      <c r="AM21" s="39" t="str">
        <f>IF(AND('Mapa final'!$AB$44="Alta",'Mapa final'!$AD$44="Catastrófico"),CONCATENATE("R6C",'Mapa final'!$R$44),"")</f>
        <v/>
      </c>
      <c r="AN21" s="65"/>
      <c r="AO21" s="670"/>
      <c r="AP21" s="671"/>
      <c r="AQ21" s="671"/>
      <c r="AR21" s="671"/>
      <c r="AS21" s="671"/>
      <c r="AT21" s="672"/>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5" customHeight="1" x14ac:dyDescent="0.3">
      <c r="A22" s="65"/>
      <c r="B22" s="581"/>
      <c r="C22" s="581"/>
      <c r="D22" s="582"/>
      <c r="E22" s="680"/>
      <c r="F22" s="679"/>
      <c r="G22" s="679"/>
      <c r="H22" s="679"/>
      <c r="I22" s="679"/>
      <c r="J22" s="49" t="str">
        <f>IF(AND('Mapa final'!$AB$45="Alta",'Mapa final'!$AD$45="Leve"),CONCATENATE("R7C",'Mapa final'!$R$45),"")</f>
        <v/>
      </c>
      <c r="K22" s="50" t="str">
        <f>IF(AND('Mapa final'!$AB$46="Alta",'Mapa final'!$AD$46="Leve"),CONCATENATE("R7C",'Mapa final'!$R$46),"")</f>
        <v/>
      </c>
      <c r="L22" s="50" t="str">
        <f>IF(AND('Mapa final'!$AB$47="Alta",'Mapa final'!$AD$47="Leve"),CONCATENATE("R7C",'Mapa final'!$R$47),"")</f>
        <v/>
      </c>
      <c r="M22" s="50" t="str">
        <f>IF(AND('Mapa final'!$AB$48="Alta",'Mapa final'!$AD$48="Leve"),CONCATENATE("R7C",'Mapa final'!$R$48),"")</f>
        <v/>
      </c>
      <c r="N22" s="50" t="str">
        <f>IF(AND('Mapa final'!$AB$49="Alta",'Mapa final'!$AD$49="Leve"),CONCATENATE("R7C",'Mapa final'!$R$49),"")</f>
        <v/>
      </c>
      <c r="O22" s="51" t="str">
        <f>IF(AND('Mapa final'!$AB$50="Alta",'Mapa final'!$AD$50="Leve"),CONCATENATE("R7C",'Mapa final'!$R$50),"")</f>
        <v/>
      </c>
      <c r="P22" s="49" t="str">
        <f>IF(AND('Mapa final'!$AB$45="Alta",'Mapa final'!$AD$45="Menor"),CONCATENATE("R7C",'Mapa final'!$R$45),"")</f>
        <v/>
      </c>
      <c r="Q22" s="50" t="str">
        <f>IF(AND('Mapa final'!$AB$46="Alta",'Mapa final'!$AD$46="Menor"),CONCATENATE("R7C",'Mapa final'!$R$46),"")</f>
        <v/>
      </c>
      <c r="R22" s="50" t="str">
        <f>IF(AND('Mapa final'!$AB$47="Alta",'Mapa final'!$AD$47="Menor"),CONCATENATE("R7C",'Mapa final'!$R$47),"")</f>
        <v/>
      </c>
      <c r="S22" s="50" t="str">
        <f>IF(AND('Mapa final'!$AB$48="Alta",'Mapa final'!$AD$48="Menor"),CONCATENATE("R7C",'Mapa final'!$R$48),"")</f>
        <v/>
      </c>
      <c r="T22" s="50" t="str">
        <f>IF(AND('Mapa final'!$AB$49="Alta",'Mapa final'!$AD$49="Menor"),CONCATENATE("R7C",'Mapa final'!$R$49),"")</f>
        <v/>
      </c>
      <c r="U22" s="51" t="str">
        <f>IF(AND('Mapa final'!$AB$50="Alta",'Mapa final'!$AD$50="Menor"),CONCATENATE("R7C",'Mapa final'!$R$50),"")</f>
        <v/>
      </c>
      <c r="V22" s="34" t="str">
        <f>IF(AND('Mapa final'!$AB$45="Alta",'Mapa final'!$AD$45="Moderado"),CONCATENATE("R7C",'Mapa final'!$R$45),"")</f>
        <v/>
      </c>
      <c r="W22" s="35" t="str">
        <f>IF(AND('Mapa final'!$AB$46="Alta",'Mapa final'!$AD$46="Moderado"),CONCATENATE("R7C",'Mapa final'!$R$46),"")</f>
        <v/>
      </c>
      <c r="X22" s="35" t="str">
        <f>IF(AND('Mapa final'!$AB$47="Alta",'Mapa final'!$AD$47="Moderado"),CONCATENATE("R7C",'Mapa final'!$R$47),"")</f>
        <v/>
      </c>
      <c r="Y22" s="35" t="str">
        <f>IF(AND('Mapa final'!$AB$48="Alta",'Mapa final'!$AD$48="Moderado"),CONCATENATE("R7C",'Mapa final'!$R$48),"")</f>
        <v/>
      </c>
      <c r="Z22" s="35" t="str">
        <f>IF(AND('Mapa final'!$AB$49="Alta",'Mapa final'!$AD$49="Moderado"),CONCATENATE("R7C",'Mapa final'!$R$49),"")</f>
        <v/>
      </c>
      <c r="AA22" s="36" t="str">
        <f>IF(AND('Mapa final'!$AB$50="Alta",'Mapa final'!$AD$50="Moderado"),CONCATENATE("R7C",'Mapa final'!$R$50),"")</f>
        <v/>
      </c>
      <c r="AB22" s="34" t="str">
        <f>IF(AND('Mapa final'!$AB$45="Alta",'Mapa final'!$AD$45="Mayor"),CONCATENATE("R7C",'Mapa final'!$R$45),"")</f>
        <v/>
      </c>
      <c r="AC22" s="35" t="str">
        <f>IF(AND('Mapa final'!$AB$46="Alta",'Mapa final'!$AD$46="Mayor"),CONCATENATE("R7C",'Mapa final'!$R$46),"")</f>
        <v/>
      </c>
      <c r="AD22" s="35" t="str">
        <f>IF(AND('Mapa final'!$AB$47="Alta",'Mapa final'!$AD$47="Mayor"),CONCATENATE("R7C",'Mapa final'!$R$47),"")</f>
        <v/>
      </c>
      <c r="AE22" s="35" t="str">
        <f>IF(AND('Mapa final'!$AB$48="Alta",'Mapa final'!$AD$48="Mayor"),CONCATENATE("R7C",'Mapa final'!$R$48),"")</f>
        <v/>
      </c>
      <c r="AF22" s="35" t="str">
        <f>IF(AND('Mapa final'!$AB$49="Alta",'Mapa final'!$AD$49="Mayor"),CONCATENATE("R7C",'Mapa final'!$R$49),"")</f>
        <v/>
      </c>
      <c r="AG22" s="36" t="str">
        <f>IF(AND('Mapa final'!$AB$50="Alta",'Mapa final'!$AD$50="Mayor"),CONCATENATE("R7C",'Mapa final'!$R$50),"")</f>
        <v/>
      </c>
      <c r="AH22" s="37" t="str">
        <f>IF(AND('Mapa final'!$AB$45="Alta",'Mapa final'!$AD$45="Catastrófico"),CONCATENATE("R7C",'Mapa final'!$R$45),"")</f>
        <v/>
      </c>
      <c r="AI22" s="38" t="str">
        <f>IF(AND('Mapa final'!$AB$46="Alta",'Mapa final'!$AD$46="Catastrófico"),CONCATENATE("R7C",'Mapa final'!$R$46),"")</f>
        <v/>
      </c>
      <c r="AJ22" s="38" t="str">
        <f>IF(AND('Mapa final'!$AB$47="Alta",'Mapa final'!$AD$47="Catastrófico"),CONCATENATE("R7C",'Mapa final'!$R$47),"")</f>
        <v/>
      </c>
      <c r="AK22" s="38" t="str">
        <f>IF(AND('Mapa final'!$AB$48="Alta",'Mapa final'!$AD$48="Catastrófico"),CONCATENATE("R7C",'Mapa final'!$R$48),"")</f>
        <v/>
      </c>
      <c r="AL22" s="38" t="str">
        <f>IF(AND('Mapa final'!$AB$49="Alta",'Mapa final'!$AD$49="Catastrófico"),CONCATENATE("R7C",'Mapa final'!$R$49),"")</f>
        <v/>
      </c>
      <c r="AM22" s="39" t="str">
        <f>IF(AND('Mapa final'!$AB$50="Alta",'Mapa final'!$AD$50="Catastrófico"),CONCATENATE("R7C",'Mapa final'!$R$50),"")</f>
        <v/>
      </c>
      <c r="AN22" s="65"/>
      <c r="AO22" s="670"/>
      <c r="AP22" s="671"/>
      <c r="AQ22" s="671"/>
      <c r="AR22" s="671"/>
      <c r="AS22" s="671"/>
      <c r="AT22" s="672"/>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5" customHeight="1" x14ac:dyDescent="0.3">
      <c r="A23" s="65"/>
      <c r="B23" s="581"/>
      <c r="C23" s="581"/>
      <c r="D23" s="582"/>
      <c r="E23" s="680"/>
      <c r="F23" s="679"/>
      <c r="G23" s="679"/>
      <c r="H23" s="679"/>
      <c r="I23" s="679"/>
      <c r="J23" s="49" t="str">
        <f>IF(AND('Mapa final'!$AB$51="Alta",'Mapa final'!$AD$51="Leve"),CONCATENATE("R8C",'Mapa final'!$R$51),"")</f>
        <v/>
      </c>
      <c r="K23" s="50" t="str">
        <f>IF(AND('Mapa final'!$AB$52="Alta",'Mapa final'!$AD$52="Leve"),CONCATENATE("R8C",'Mapa final'!$R$52),"")</f>
        <v/>
      </c>
      <c r="L23" s="50" t="str">
        <f>IF(AND('Mapa final'!$AB$53="Alta",'Mapa final'!$AD$53="Leve"),CONCATENATE("R8C",'Mapa final'!$R$53),"")</f>
        <v/>
      </c>
      <c r="M23" s="50" t="str">
        <f>IF(AND('Mapa final'!$AB$54="Alta",'Mapa final'!$AD$54="Leve"),CONCATENATE("R8C",'Mapa final'!$R$54),"")</f>
        <v/>
      </c>
      <c r="N23" s="50" t="str">
        <f>IF(AND('Mapa final'!$AB$55="Alta",'Mapa final'!$AD$55="Leve"),CONCATENATE("R8C",'Mapa final'!$R$55),"")</f>
        <v/>
      </c>
      <c r="O23" s="51" t="str">
        <f>IF(AND('Mapa final'!$AB$56="Alta",'Mapa final'!$AD$56="Leve"),CONCATENATE("R8C",'Mapa final'!$R$56),"")</f>
        <v/>
      </c>
      <c r="P23" s="49" t="str">
        <f>IF(AND('Mapa final'!$AB$51="Alta",'Mapa final'!$AD$51="Menor"),CONCATENATE("R8C",'Mapa final'!$R$51),"")</f>
        <v/>
      </c>
      <c r="Q23" s="50" t="str">
        <f>IF(AND('Mapa final'!$AB$52="Alta",'Mapa final'!$AD$52="Menor"),CONCATENATE("R8C",'Mapa final'!$R$52),"")</f>
        <v/>
      </c>
      <c r="R23" s="50" t="str">
        <f>IF(AND('Mapa final'!$AB$53="Alta",'Mapa final'!$AD$53="Menor"),CONCATENATE("R8C",'Mapa final'!$R$53),"")</f>
        <v/>
      </c>
      <c r="S23" s="50" t="str">
        <f>IF(AND('Mapa final'!$AB$54="Alta",'Mapa final'!$AD$54="Menor"),CONCATENATE("R8C",'Mapa final'!$R$54),"")</f>
        <v/>
      </c>
      <c r="T23" s="50" t="str">
        <f>IF(AND('Mapa final'!$AB$55="Alta",'Mapa final'!$AD$55="Menor"),CONCATENATE("R8C",'Mapa final'!$R$55),"")</f>
        <v/>
      </c>
      <c r="U23" s="51" t="str">
        <f>IF(AND('Mapa final'!$AB$56="Alta",'Mapa final'!$AD$56="Menor"),CONCATENATE("R8C",'Mapa final'!$R$56),"")</f>
        <v/>
      </c>
      <c r="V23" s="34" t="str">
        <f>IF(AND('Mapa final'!$AB$51="Alta",'Mapa final'!$AD$51="Moderado"),CONCATENATE("R8C",'Mapa final'!$R$51),"")</f>
        <v/>
      </c>
      <c r="W23" s="35" t="str">
        <f>IF(AND('Mapa final'!$AB$52="Alta",'Mapa final'!$AD$52="Moderado"),CONCATENATE("R8C",'Mapa final'!$R$52),"")</f>
        <v/>
      </c>
      <c r="X23" s="35" t="str">
        <f>IF(AND('Mapa final'!$AB$53="Alta",'Mapa final'!$AD$53="Moderado"),CONCATENATE("R8C",'Mapa final'!$R$53),"")</f>
        <v/>
      </c>
      <c r="Y23" s="35" t="str">
        <f>IF(AND('Mapa final'!$AB$54="Alta",'Mapa final'!$AD$54="Moderado"),CONCATENATE("R8C",'Mapa final'!$R$54),"")</f>
        <v/>
      </c>
      <c r="Z23" s="35" t="str">
        <f>IF(AND('Mapa final'!$AB$55="Alta",'Mapa final'!$AD$55="Moderado"),CONCATENATE("R8C",'Mapa final'!$R$55),"")</f>
        <v/>
      </c>
      <c r="AA23" s="36" t="str">
        <f>IF(AND('Mapa final'!$AB$56="Alta",'Mapa final'!$AD$56="Moderado"),CONCATENATE("R8C",'Mapa final'!$R$56),"")</f>
        <v/>
      </c>
      <c r="AB23" s="34" t="str">
        <f>IF(AND('Mapa final'!$AB$51="Alta",'Mapa final'!$AD$51="Mayor"),CONCATENATE("R8C",'Mapa final'!$R$51),"")</f>
        <v/>
      </c>
      <c r="AC23" s="35" t="str">
        <f>IF(AND('Mapa final'!$AB$52="Alta",'Mapa final'!$AD$52="Mayor"),CONCATENATE("R8C",'Mapa final'!$R$52),"")</f>
        <v/>
      </c>
      <c r="AD23" s="35" t="str">
        <f>IF(AND('Mapa final'!$AB$53="Alta",'Mapa final'!$AD$53="Mayor"),CONCATENATE("R8C",'Mapa final'!$R$53),"")</f>
        <v/>
      </c>
      <c r="AE23" s="35" t="str">
        <f>IF(AND('Mapa final'!$AB$54="Alta",'Mapa final'!$AD$54="Mayor"),CONCATENATE("R8C",'Mapa final'!$R$54),"")</f>
        <v/>
      </c>
      <c r="AF23" s="35" t="str">
        <f>IF(AND('Mapa final'!$AB$55="Alta",'Mapa final'!$AD$55="Mayor"),CONCATENATE("R8C",'Mapa final'!$R$55),"")</f>
        <v/>
      </c>
      <c r="AG23" s="36" t="str">
        <f>IF(AND('Mapa final'!$AB$56="Alta",'Mapa final'!$AD$56="Mayor"),CONCATENATE("R8C",'Mapa final'!$R$56),"")</f>
        <v/>
      </c>
      <c r="AH23" s="37" t="str">
        <f>IF(AND('Mapa final'!$AB$51="Alta",'Mapa final'!$AD$51="Catastrófico"),CONCATENATE("R8C",'Mapa final'!$R$51),"")</f>
        <v/>
      </c>
      <c r="AI23" s="38" t="str">
        <f>IF(AND('Mapa final'!$AB$52="Alta",'Mapa final'!$AD$52="Catastrófico"),CONCATENATE("R8C",'Mapa final'!$R$52),"")</f>
        <v/>
      </c>
      <c r="AJ23" s="38" t="str">
        <f>IF(AND('Mapa final'!$AB$53="Alta",'Mapa final'!$AD$53="Catastrófico"),CONCATENATE("R8C",'Mapa final'!$R$53),"")</f>
        <v/>
      </c>
      <c r="AK23" s="38" t="str">
        <f>IF(AND('Mapa final'!$AB$54="Alta",'Mapa final'!$AD$54="Catastrófico"),CONCATENATE("R8C",'Mapa final'!$R$54),"")</f>
        <v/>
      </c>
      <c r="AL23" s="38" t="str">
        <f>IF(AND('Mapa final'!$AB$55="Alta",'Mapa final'!$AD$55="Catastrófico"),CONCATENATE("R8C",'Mapa final'!$R$55),"")</f>
        <v/>
      </c>
      <c r="AM23" s="39" t="str">
        <f>IF(AND('Mapa final'!$AB$56="Alta",'Mapa final'!$AD$56="Catastrófico"),CONCATENATE("R8C",'Mapa final'!$R$56),"")</f>
        <v/>
      </c>
      <c r="AN23" s="65"/>
      <c r="AO23" s="670"/>
      <c r="AP23" s="671"/>
      <c r="AQ23" s="671"/>
      <c r="AR23" s="671"/>
      <c r="AS23" s="671"/>
      <c r="AT23" s="672"/>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ht="15" customHeight="1" x14ac:dyDescent="0.3">
      <c r="A24" s="65"/>
      <c r="B24" s="581"/>
      <c r="C24" s="581"/>
      <c r="D24" s="582"/>
      <c r="E24" s="680"/>
      <c r="F24" s="679"/>
      <c r="G24" s="679"/>
      <c r="H24" s="679"/>
      <c r="I24" s="679"/>
      <c r="J24" s="49" t="str">
        <f>IF(AND('Mapa final'!$AB$57="Alta",'Mapa final'!$AD$57="Leve"),CONCATENATE("R9C",'Mapa final'!$R$57),"")</f>
        <v/>
      </c>
      <c r="K24" s="50" t="str">
        <f>IF(AND('Mapa final'!$AB$58="Alta",'Mapa final'!$AD$58="Leve"),CONCATENATE("R9C",'Mapa final'!$R$58),"")</f>
        <v/>
      </c>
      <c r="L24" s="50" t="str">
        <f>IF(AND('Mapa final'!$AB$59="Alta",'Mapa final'!$AD$59="Leve"),CONCATENATE("R9C",'Mapa final'!$R$59),"")</f>
        <v/>
      </c>
      <c r="M24" s="50" t="str">
        <f>IF(AND('Mapa final'!$AB$60="Alta",'Mapa final'!$AD$60="Leve"),CONCATENATE("R9C",'Mapa final'!$R$60),"")</f>
        <v/>
      </c>
      <c r="N24" s="50" t="str">
        <f>IF(AND('Mapa final'!$AB$61="Alta",'Mapa final'!$AD$61="Leve"),CONCATENATE("R9C",'Mapa final'!$R$61),"")</f>
        <v/>
      </c>
      <c r="O24" s="51" t="str">
        <f>IF(AND('Mapa final'!$AB$62="Alta",'Mapa final'!$AD$62="Leve"),CONCATENATE("R9C",'Mapa final'!$R$62),"")</f>
        <v/>
      </c>
      <c r="P24" s="49" t="str">
        <f>IF(AND('Mapa final'!$AB$57="Alta",'Mapa final'!$AD$57="Menor"),CONCATENATE("R9C",'Mapa final'!$R$57),"")</f>
        <v/>
      </c>
      <c r="Q24" s="50" t="str">
        <f>IF(AND('Mapa final'!$AB$58="Alta",'Mapa final'!$AD$58="Menor"),CONCATENATE("R9C",'Mapa final'!$R$58),"")</f>
        <v/>
      </c>
      <c r="R24" s="50" t="str">
        <f>IF(AND('Mapa final'!$AB$59="Alta",'Mapa final'!$AD$59="Menor"),CONCATENATE("R9C",'Mapa final'!$R$59),"")</f>
        <v/>
      </c>
      <c r="S24" s="50" t="str">
        <f>IF(AND('Mapa final'!$AB$60="Alta",'Mapa final'!$AD$60="Menor"),CONCATENATE("R9C",'Mapa final'!$R$60),"")</f>
        <v/>
      </c>
      <c r="T24" s="50" t="str">
        <f>IF(AND('Mapa final'!$AB$61="Alta",'Mapa final'!$AD$61="Menor"),CONCATENATE("R9C",'Mapa final'!$R$61),"")</f>
        <v/>
      </c>
      <c r="U24" s="51" t="str">
        <f>IF(AND('Mapa final'!$AB$62="Alta",'Mapa final'!$AD$62="Menor"),CONCATENATE("R9C",'Mapa final'!$R$62),"")</f>
        <v/>
      </c>
      <c r="V24" s="34" t="str">
        <f>IF(AND('Mapa final'!$AB$57="Alta",'Mapa final'!$AD$57="Moderado"),CONCATENATE("R9C",'Mapa final'!$R$57),"")</f>
        <v/>
      </c>
      <c r="W24" s="35" t="str">
        <f>IF(AND('Mapa final'!$AB$58="Alta",'Mapa final'!$AD$58="Moderado"),CONCATENATE("R9C",'Mapa final'!$R$58),"")</f>
        <v/>
      </c>
      <c r="X24" s="35" t="str">
        <f>IF(AND('Mapa final'!$AB$59="Alta",'Mapa final'!$AD$59="Moderado"),CONCATENATE("R9C",'Mapa final'!$R$59),"")</f>
        <v/>
      </c>
      <c r="Y24" s="35" t="str">
        <f>IF(AND('Mapa final'!$AB$60="Alta",'Mapa final'!$AD$60="Moderado"),CONCATENATE("R9C",'Mapa final'!$R$60),"")</f>
        <v/>
      </c>
      <c r="Z24" s="35" t="str">
        <f>IF(AND('Mapa final'!$AB$61="Alta",'Mapa final'!$AD$61="Moderado"),CONCATENATE("R9C",'Mapa final'!$R$61),"")</f>
        <v/>
      </c>
      <c r="AA24" s="36" t="str">
        <f>IF(AND('Mapa final'!$AB$62="Alta",'Mapa final'!$AD$62="Moderado"),CONCATENATE("R9C",'Mapa final'!$R$62),"")</f>
        <v/>
      </c>
      <c r="AB24" s="34" t="str">
        <f>IF(AND('Mapa final'!$AB$57="Alta",'Mapa final'!$AD$57="Mayor"),CONCATENATE("R9C",'Mapa final'!$R$57),"")</f>
        <v/>
      </c>
      <c r="AC24" s="35" t="str">
        <f>IF(AND('Mapa final'!$AB$58="Alta",'Mapa final'!$AD$58="Mayor"),CONCATENATE("R9C",'Mapa final'!$R$58),"")</f>
        <v/>
      </c>
      <c r="AD24" s="35" t="str">
        <f>IF(AND('Mapa final'!$AB$59="Alta",'Mapa final'!$AD$59="Mayor"),CONCATENATE("R9C",'Mapa final'!$R$59),"")</f>
        <v/>
      </c>
      <c r="AE24" s="35" t="str">
        <f>IF(AND('Mapa final'!$AB$60="Alta",'Mapa final'!$AD$60="Mayor"),CONCATENATE("R9C",'Mapa final'!$R$60),"")</f>
        <v/>
      </c>
      <c r="AF24" s="35" t="str">
        <f>IF(AND('Mapa final'!$AB$61="Alta",'Mapa final'!$AD$61="Mayor"),CONCATENATE("R9C",'Mapa final'!$R$61),"")</f>
        <v/>
      </c>
      <c r="AG24" s="36" t="str">
        <f>IF(AND('Mapa final'!$AB$62="Alta",'Mapa final'!$AD$62="Mayor"),CONCATENATE("R9C",'Mapa final'!$R$62),"")</f>
        <v/>
      </c>
      <c r="AH24" s="37" t="str">
        <f>IF(AND('Mapa final'!$AB$57="Alta",'Mapa final'!$AD$57="Catastrófico"),CONCATENATE("R9C",'Mapa final'!$R$57),"")</f>
        <v/>
      </c>
      <c r="AI24" s="38" t="str">
        <f>IF(AND('Mapa final'!$AB$58="Alta",'Mapa final'!$AD$58="Catastrófico"),CONCATENATE("R9C",'Mapa final'!$R$58),"")</f>
        <v/>
      </c>
      <c r="AJ24" s="38" t="str">
        <f>IF(AND('Mapa final'!$AB$59="Alta",'Mapa final'!$AD$59="Catastrófico"),CONCATENATE("R9C",'Mapa final'!$R$59),"")</f>
        <v/>
      </c>
      <c r="AK24" s="38" t="str">
        <f>IF(AND('Mapa final'!$AB$60="Alta",'Mapa final'!$AD$60="Catastrófico"),CONCATENATE("R9C",'Mapa final'!$R$60),"")</f>
        <v/>
      </c>
      <c r="AL24" s="38" t="str">
        <f>IF(AND('Mapa final'!$AB$61="Alta",'Mapa final'!$AD$61="Catastrófico"),CONCATENATE("R9C",'Mapa final'!$R$61),"")</f>
        <v/>
      </c>
      <c r="AM24" s="39" t="str">
        <f>IF(AND('Mapa final'!$AB$62="Alta",'Mapa final'!$AD$62="Catastrófico"),CONCATENATE("R9C",'Mapa final'!$R$62),"")</f>
        <v/>
      </c>
      <c r="AN24" s="65"/>
      <c r="AO24" s="670"/>
      <c r="AP24" s="671"/>
      <c r="AQ24" s="671"/>
      <c r="AR24" s="671"/>
      <c r="AS24" s="671"/>
      <c r="AT24" s="672"/>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ht="15.75" customHeight="1" thickBot="1" x14ac:dyDescent="0.35">
      <c r="A25" s="65"/>
      <c r="B25" s="581"/>
      <c r="C25" s="581"/>
      <c r="D25" s="582"/>
      <c r="E25" s="681"/>
      <c r="F25" s="682"/>
      <c r="G25" s="682"/>
      <c r="H25" s="682"/>
      <c r="I25" s="682"/>
      <c r="J25" s="52" t="str">
        <f>IF(AND('Mapa final'!$AB$63="Alta",'Mapa final'!$AD$63="Leve"),CONCATENATE("R10C",'Mapa final'!$R$63),"")</f>
        <v/>
      </c>
      <c r="K25" s="53" t="str">
        <f>IF(AND('Mapa final'!$AB$64="Alta",'Mapa final'!$AD$64="Leve"),CONCATENATE("R10C",'Mapa final'!$R$64),"")</f>
        <v/>
      </c>
      <c r="L25" s="53" t="str">
        <f>IF(AND('Mapa final'!$AB$65="Alta",'Mapa final'!$AD$65="Leve"),CONCATENATE("R10C",'Mapa final'!$R$65),"")</f>
        <v/>
      </c>
      <c r="M25" s="53" t="str">
        <f>IF(AND('Mapa final'!$AB$66="Alta",'Mapa final'!$AD$66="Leve"),CONCATENATE("R10C",'Mapa final'!$R$66),"")</f>
        <v/>
      </c>
      <c r="N25" s="53" t="str">
        <f>IF(AND('Mapa final'!$AB$67="Alta",'Mapa final'!$AD$67="Leve"),CONCATENATE("R10C",'Mapa final'!$R$67),"")</f>
        <v/>
      </c>
      <c r="O25" s="54" t="str">
        <f>IF(AND('Mapa final'!$AB$68="Alta",'Mapa final'!$AD$68="Leve"),CONCATENATE("R10C",'Mapa final'!$R$68),"")</f>
        <v/>
      </c>
      <c r="P25" s="52" t="str">
        <f>IF(AND('Mapa final'!$AB$63="Alta",'Mapa final'!$AD$63="Menor"),CONCATENATE("R10C",'Mapa final'!$R$63),"")</f>
        <v/>
      </c>
      <c r="Q25" s="53" t="str">
        <f>IF(AND('Mapa final'!$AB$64="Alta",'Mapa final'!$AD$64="Menor"),CONCATENATE("R10C",'Mapa final'!$R$64),"")</f>
        <v/>
      </c>
      <c r="R25" s="53" t="str">
        <f>IF(AND('Mapa final'!$AB$65="Alta",'Mapa final'!$AD$65="Menor"),CONCATENATE("R10C",'Mapa final'!$R$65),"")</f>
        <v/>
      </c>
      <c r="S25" s="53" t="str">
        <f>IF(AND('Mapa final'!$AB$66="Alta",'Mapa final'!$AD$66="Menor"),CONCATENATE("R10C",'Mapa final'!$R$66),"")</f>
        <v/>
      </c>
      <c r="T25" s="53" t="str">
        <f>IF(AND('Mapa final'!$AB$67="Alta",'Mapa final'!$AD$67="Menor"),CONCATENATE("R10C",'Mapa final'!$R$67),"")</f>
        <v/>
      </c>
      <c r="U25" s="54" t="str">
        <f>IF(AND('Mapa final'!$AB$68="Alta",'Mapa final'!$AD$68="Menor"),CONCATENATE("R10C",'Mapa final'!$R$68),"")</f>
        <v/>
      </c>
      <c r="V25" s="40" t="str">
        <f>IF(AND('Mapa final'!$AB$63="Alta",'Mapa final'!$AD$63="Moderado"),CONCATENATE("R10C",'Mapa final'!$R$63),"")</f>
        <v/>
      </c>
      <c r="W25" s="41" t="str">
        <f>IF(AND('Mapa final'!$AB$64="Alta",'Mapa final'!$AD$64="Moderado"),CONCATENATE("R10C",'Mapa final'!$R$64),"")</f>
        <v/>
      </c>
      <c r="X25" s="41" t="str">
        <f>IF(AND('Mapa final'!$AB$65="Alta",'Mapa final'!$AD$65="Moderado"),CONCATENATE("R10C",'Mapa final'!$R$65),"")</f>
        <v/>
      </c>
      <c r="Y25" s="41" t="str">
        <f>IF(AND('Mapa final'!$AB$66="Alta",'Mapa final'!$AD$66="Moderado"),CONCATENATE("R10C",'Mapa final'!$R$66),"")</f>
        <v/>
      </c>
      <c r="Z25" s="41" t="str">
        <f>IF(AND('Mapa final'!$AB$67="Alta",'Mapa final'!$AD$67="Moderado"),CONCATENATE("R10C",'Mapa final'!$R$67),"")</f>
        <v/>
      </c>
      <c r="AA25" s="42" t="str">
        <f>IF(AND('Mapa final'!$AB$68="Alta",'Mapa final'!$AD$68="Moderado"),CONCATENATE("R10C",'Mapa final'!$R$68),"")</f>
        <v/>
      </c>
      <c r="AB25" s="40" t="str">
        <f>IF(AND('Mapa final'!$AB$63="Alta",'Mapa final'!$AD$63="Mayor"),CONCATENATE("R10C",'Mapa final'!$R$63),"")</f>
        <v/>
      </c>
      <c r="AC25" s="41" t="str">
        <f>IF(AND('Mapa final'!$AB$64="Alta",'Mapa final'!$AD$64="Mayor"),CONCATENATE("R10C",'Mapa final'!$R$64),"")</f>
        <v/>
      </c>
      <c r="AD25" s="41" t="str">
        <f>IF(AND('Mapa final'!$AB$65="Alta",'Mapa final'!$AD$65="Mayor"),CONCATENATE("R10C",'Mapa final'!$R$65),"")</f>
        <v/>
      </c>
      <c r="AE25" s="41" t="str">
        <f>IF(AND('Mapa final'!$AB$66="Alta",'Mapa final'!$AD$66="Mayor"),CONCATENATE("R10C",'Mapa final'!$R$66),"")</f>
        <v/>
      </c>
      <c r="AF25" s="41" t="str">
        <f>IF(AND('Mapa final'!$AB$67="Alta",'Mapa final'!$AD$67="Mayor"),CONCATENATE("R10C",'Mapa final'!$R$67),"")</f>
        <v/>
      </c>
      <c r="AG25" s="42" t="str">
        <f>IF(AND('Mapa final'!$AB$68="Alta",'Mapa final'!$AD$68="Mayor"),CONCATENATE("R10C",'Mapa final'!$R$68),"")</f>
        <v/>
      </c>
      <c r="AH25" s="43" t="str">
        <f>IF(AND('Mapa final'!$AB$63="Alta",'Mapa final'!$AD$63="Catastrófico"),CONCATENATE("R10C",'Mapa final'!$R$63),"")</f>
        <v/>
      </c>
      <c r="AI25" s="44" t="str">
        <f>IF(AND('Mapa final'!$AB$64="Alta",'Mapa final'!$AD$64="Catastrófico"),CONCATENATE("R10C",'Mapa final'!$R$64),"")</f>
        <v/>
      </c>
      <c r="AJ25" s="44" t="str">
        <f>IF(AND('Mapa final'!$AB$65="Alta",'Mapa final'!$AD$65="Catastrófico"),CONCATENATE("R10C",'Mapa final'!$R$65),"")</f>
        <v/>
      </c>
      <c r="AK25" s="44" t="str">
        <f>IF(AND('Mapa final'!$AB$66="Alta",'Mapa final'!$AD$66="Catastrófico"),CONCATENATE("R10C",'Mapa final'!$R$66),"")</f>
        <v/>
      </c>
      <c r="AL25" s="44" t="str">
        <f>IF(AND('Mapa final'!$AB$67="Alta",'Mapa final'!$AD$67="Catastrófico"),CONCATENATE("R10C",'Mapa final'!$R$67),"")</f>
        <v/>
      </c>
      <c r="AM25" s="45" t="str">
        <f>IF(AND('Mapa final'!$AB$68="Alta",'Mapa final'!$AD$68="Catastrófico"),CONCATENATE("R10C",'Mapa final'!$R$68),"")</f>
        <v/>
      </c>
      <c r="AN25" s="65"/>
      <c r="AO25" s="673"/>
      <c r="AP25" s="674"/>
      <c r="AQ25" s="674"/>
      <c r="AR25" s="674"/>
      <c r="AS25" s="674"/>
      <c r="AT25" s="67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ht="15" customHeight="1" x14ac:dyDescent="0.3">
      <c r="A26" s="65"/>
      <c r="B26" s="581"/>
      <c r="C26" s="581"/>
      <c r="D26" s="582"/>
      <c r="E26" s="676" t="s">
        <v>112</v>
      </c>
      <c r="F26" s="677"/>
      <c r="G26" s="677"/>
      <c r="H26" s="677"/>
      <c r="I26" s="694"/>
      <c r="J26" s="46" t="str">
        <f>IF(AND('Mapa final'!$AB$10="Media",'Mapa final'!$AD$10="Leve"),CONCATENATE("R1C",'Mapa final'!$R$10),"")</f>
        <v/>
      </c>
      <c r="K26" s="47" t="str">
        <f>IF(AND('Mapa final'!$AB$11="Media",'Mapa final'!$AD$11="Leve"),CONCATENATE("R1C",'Mapa final'!$R$11),"")</f>
        <v/>
      </c>
      <c r="L26" s="47" t="str">
        <f>IF(AND('Mapa final'!$AB$12="Media",'Mapa final'!$AD$12="Leve"),CONCATENATE("R1C",'Mapa final'!$R$12),"")</f>
        <v/>
      </c>
      <c r="M26" s="47" t="str">
        <f>IF(AND('Mapa final'!$AB$13="Media",'Mapa final'!$AD$13="Leve"),CONCATENATE("R1C",'Mapa final'!$R$13),"")</f>
        <v/>
      </c>
      <c r="N26" s="47" t="str">
        <f>IF(AND('Mapa final'!$AB$14="Media",'Mapa final'!$AD$14="Leve"),CONCATENATE("R1C",'Mapa final'!$R$14),"")</f>
        <v/>
      </c>
      <c r="O26" s="48" t="str">
        <f>IF(AND('Mapa final'!$AB$15="Media",'Mapa final'!$AD$15="Leve"),CONCATENATE("R1C",'Mapa final'!$R$15),"")</f>
        <v/>
      </c>
      <c r="P26" s="46" t="str">
        <f>IF(AND('Mapa final'!$AB$10="Media",'Mapa final'!$AD$10="Menor"),CONCATENATE("R1C",'Mapa final'!$R$10),"")</f>
        <v/>
      </c>
      <c r="Q26" s="47" t="str">
        <f>IF(AND('Mapa final'!$AB$11="Media",'Mapa final'!$AD$11="Menor"),CONCATENATE("R1C",'Mapa final'!$R$11),"")</f>
        <v/>
      </c>
      <c r="R26" s="47" t="str">
        <f>IF(AND('Mapa final'!$AB$12="Media",'Mapa final'!$AD$12="Menor"),CONCATENATE("R1C",'Mapa final'!$R$12),"")</f>
        <v/>
      </c>
      <c r="S26" s="47" t="str">
        <f>IF(AND('Mapa final'!$AB$13="Media",'Mapa final'!$AD$13="Menor"),CONCATENATE("R1C",'Mapa final'!$R$13),"")</f>
        <v/>
      </c>
      <c r="T26" s="47" t="str">
        <f>IF(AND('Mapa final'!$AB$14="Media",'Mapa final'!$AD$14="Menor"),CONCATENATE("R1C",'Mapa final'!$R$14),"")</f>
        <v/>
      </c>
      <c r="U26" s="48" t="str">
        <f>IF(AND('Mapa final'!$AB$15="Media",'Mapa final'!$AD$15="Menor"),CONCATENATE("R1C",'Mapa final'!$R$15),"")</f>
        <v/>
      </c>
      <c r="V26" s="46" t="str">
        <f>IF(AND('Mapa final'!$AB$10="Media",'Mapa final'!$AD$10="Moderado"),CONCATENATE("R1C",'Mapa final'!$R$10),"")</f>
        <v/>
      </c>
      <c r="W26" s="47" t="str">
        <f>IF(AND('Mapa final'!$AB$11="Media",'Mapa final'!$AD$11="Moderado"),CONCATENATE("R1C",'Mapa final'!$R$11),"")</f>
        <v/>
      </c>
      <c r="X26" s="47" t="str">
        <f>IF(AND('Mapa final'!$AB$12="Media",'Mapa final'!$AD$12="Moderado"),CONCATENATE("R1C",'Mapa final'!$R$12),"")</f>
        <v/>
      </c>
      <c r="Y26" s="47" t="str">
        <f>IF(AND('Mapa final'!$AB$13="Media",'Mapa final'!$AD$13="Moderado"),CONCATENATE("R1C",'Mapa final'!$R$13),"")</f>
        <v/>
      </c>
      <c r="Z26" s="47" t="str">
        <f>IF(AND('Mapa final'!$AB$14="Media",'Mapa final'!$AD$14="Moderado"),CONCATENATE("R1C",'Mapa final'!$R$14),"")</f>
        <v/>
      </c>
      <c r="AA26" s="48" t="str">
        <f>IF(AND('Mapa final'!$AB$15="Media",'Mapa final'!$AD$15="Moderado"),CONCATENATE("R1C",'Mapa final'!$R$15),"")</f>
        <v/>
      </c>
      <c r="AB26" s="28" t="str">
        <f>IF(AND('Mapa final'!$AB$10="Media",'Mapa final'!$AD$10="Mayor"),CONCATENATE("R1C",'Mapa final'!$R$10),"")</f>
        <v/>
      </c>
      <c r="AC26" s="29" t="str">
        <f>IF(AND('Mapa final'!$AB$11="Media",'Mapa final'!$AD$11="Mayor"),CONCATENATE("R1C",'Mapa final'!$R$11),"")</f>
        <v/>
      </c>
      <c r="AD26" s="29" t="str">
        <f>IF(AND('Mapa final'!$AB$12="Media",'Mapa final'!$AD$12="Mayor"),CONCATENATE("R1C",'Mapa final'!$R$12),"")</f>
        <v/>
      </c>
      <c r="AE26" s="29" t="str">
        <f>IF(AND('Mapa final'!$AB$13="Media",'Mapa final'!$AD$13="Mayor"),CONCATENATE("R1C",'Mapa final'!$R$13),"")</f>
        <v/>
      </c>
      <c r="AF26" s="29" t="str">
        <f>IF(AND('Mapa final'!$AB$14="Media",'Mapa final'!$AD$14="Mayor"),CONCATENATE("R1C",'Mapa final'!$R$14),"")</f>
        <v/>
      </c>
      <c r="AG26" s="30" t="str">
        <f>IF(AND('Mapa final'!$AB$15="Media",'Mapa final'!$AD$15="Mayor"),CONCATENATE("R1C",'Mapa final'!$R$15),"")</f>
        <v/>
      </c>
      <c r="AH26" s="31" t="str">
        <f>IF(AND('Mapa final'!$AB$10="Media",'Mapa final'!$AD$10="Catastrófico"),CONCATENATE("R1C",'Mapa final'!$R$10),"")</f>
        <v/>
      </c>
      <c r="AI26" s="32" t="str">
        <f>IF(AND('Mapa final'!$AB$11="Media",'Mapa final'!$AD$11="Catastrófico"),CONCATENATE("R1C",'Mapa final'!$R$11),"")</f>
        <v/>
      </c>
      <c r="AJ26" s="32" t="str">
        <f>IF(AND('Mapa final'!$AB$12="Media",'Mapa final'!$AD$12="Catastrófico"),CONCATENATE("R1C",'Mapa final'!$R$12),"")</f>
        <v/>
      </c>
      <c r="AK26" s="32" t="str">
        <f>IF(AND('Mapa final'!$AB$13="Media",'Mapa final'!$AD$13="Catastrófico"),CONCATENATE("R1C",'Mapa final'!$R$13),"")</f>
        <v/>
      </c>
      <c r="AL26" s="32" t="str">
        <f>IF(AND('Mapa final'!$AB$14="Media",'Mapa final'!$AD$14="Catastrófico"),CONCATENATE("R1C",'Mapa final'!$R$14),"")</f>
        <v/>
      </c>
      <c r="AM26" s="33" t="str">
        <f>IF(AND('Mapa final'!$AB$15="Media",'Mapa final'!$AD$15="Catastrófico"),CONCATENATE("R1C",'Mapa final'!$R$15),"")</f>
        <v/>
      </c>
      <c r="AN26" s="65"/>
      <c r="AO26" s="706" t="s">
        <v>80</v>
      </c>
      <c r="AP26" s="707"/>
      <c r="AQ26" s="707"/>
      <c r="AR26" s="707"/>
      <c r="AS26" s="707"/>
      <c r="AT26" s="708"/>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ht="15" customHeight="1" x14ac:dyDescent="0.3">
      <c r="A27" s="65"/>
      <c r="B27" s="581"/>
      <c r="C27" s="581"/>
      <c r="D27" s="582"/>
      <c r="E27" s="678"/>
      <c r="F27" s="679"/>
      <c r="G27" s="679"/>
      <c r="H27" s="679"/>
      <c r="I27" s="695"/>
      <c r="J27" s="49" t="str">
        <f>IF(AND('Mapa final'!$AB$16="Media",'Mapa final'!$AD$16="Leve"),CONCATENATE("R2C",'Mapa final'!$R$16),"")</f>
        <v/>
      </c>
      <c r="K27" s="50" t="str">
        <f>IF(AND('Mapa final'!$AB$17="Media",'Mapa final'!$AD$17="Leve"),CONCATENATE("R2C",'Mapa final'!$R$17),"")</f>
        <v/>
      </c>
      <c r="L27" s="50" t="str">
        <f>IF(AND('Mapa final'!$AB$18="Media",'Mapa final'!$AD$18="Leve"),CONCATENATE("R2C",'Mapa final'!$R$18),"")</f>
        <v/>
      </c>
      <c r="M27" s="50" t="str">
        <f>IF(AND('Mapa final'!$AB$19="Media",'Mapa final'!$AD$19="Leve"),CONCATENATE("R2C",'Mapa final'!$R$19),"")</f>
        <v/>
      </c>
      <c r="N27" s="50" t="str">
        <f>IF(AND('Mapa final'!$AB$20="Media",'Mapa final'!$AD$20="Leve"),CONCATENATE("R2C",'Mapa final'!$R$20),"")</f>
        <v/>
      </c>
      <c r="O27" s="51" t="str">
        <f>IF(AND('Mapa final'!$AB$21="Media",'Mapa final'!$AD$21="Leve"),CONCATENATE("R2C",'Mapa final'!$R$21),"")</f>
        <v/>
      </c>
      <c r="P27" s="49" t="str">
        <f>IF(AND('Mapa final'!$AB$16="Media",'Mapa final'!$AD$16="Menor"),CONCATENATE("R2C",'Mapa final'!$R$16),"")</f>
        <v/>
      </c>
      <c r="Q27" s="50" t="str">
        <f>IF(AND('Mapa final'!$AB$17="Media",'Mapa final'!$AD$17="Menor"),CONCATENATE("R2C",'Mapa final'!$R$17),"")</f>
        <v/>
      </c>
      <c r="R27" s="50" t="str">
        <f>IF(AND('Mapa final'!$AB$18="Media",'Mapa final'!$AD$18="Menor"),CONCATENATE("R2C",'Mapa final'!$R$18),"")</f>
        <v/>
      </c>
      <c r="S27" s="50" t="str">
        <f>IF(AND('Mapa final'!$AB$19="Media",'Mapa final'!$AD$19="Menor"),CONCATENATE("R2C",'Mapa final'!$R$19),"")</f>
        <v/>
      </c>
      <c r="T27" s="50" t="str">
        <f>IF(AND('Mapa final'!$AB$20="Media",'Mapa final'!$AD$20="Menor"),CONCATENATE("R2C",'Mapa final'!$R$20),"")</f>
        <v/>
      </c>
      <c r="U27" s="51" t="str">
        <f>IF(AND('Mapa final'!$AB$21="Media",'Mapa final'!$AD$21="Menor"),CONCATENATE("R2C",'Mapa final'!$R$21),"")</f>
        <v/>
      </c>
      <c r="V27" s="49" t="str">
        <f>IF(AND('Mapa final'!$AB$16="Media",'Mapa final'!$AD$16="Moderado"),CONCATENATE("R2C",'Mapa final'!$R$16),"")</f>
        <v>R2C1</v>
      </c>
      <c r="W27" s="50" t="str">
        <f>IF(AND('Mapa final'!$AB$17="Media",'Mapa final'!$AD$17="Moderado"),CONCATENATE("R2C",'Mapa final'!$R$17),"")</f>
        <v/>
      </c>
      <c r="X27" s="50" t="str">
        <f>IF(AND('Mapa final'!$AB$18="Media",'Mapa final'!$AD$18="Moderado"),CONCATENATE("R2C",'Mapa final'!$R$18),"")</f>
        <v/>
      </c>
      <c r="Y27" s="50" t="str">
        <f>IF(AND('Mapa final'!$AB$19="Media",'Mapa final'!$AD$19="Moderado"),CONCATENATE("R2C",'Mapa final'!$R$19),"")</f>
        <v/>
      </c>
      <c r="Z27" s="50" t="str">
        <f>IF(AND('Mapa final'!$AB$20="Media",'Mapa final'!$AD$20="Moderado"),CONCATENATE("R2C",'Mapa final'!$R$20),"")</f>
        <v/>
      </c>
      <c r="AA27" s="51" t="str">
        <f>IF(AND('Mapa final'!$AB$21="Media",'Mapa final'!$AD$21="Moderado"),CONCATENATE("R2C",'Mapa final'!$R$21),"")</f>
        <v/>
      </c>
      <c r="AB27" s="34" t="str">
        <f>IF(AND('Mapa final'!$AB$16="Media",'Mapa final'!$AD$16="Mayor"),CONCATENATE("R2C",'Mapa final'!$R$16),"")</f>
        <v/>
      </c>
      <c r="AC27" s="35" t="str">
        <f>IF(AND('Mapa final'!$AB$17="Media",'Mapa final'!$AD$17="Mayor"),CONCATENATE("R2C",'Mapa final'!$R$17),"")</f>
        <v/>
      </c>
      <c r="AD27" s="35" t="str">
        <f>IF(AND('Mapa final'!$AB$18="Media",'Mapa final'!$AD$18="Mayor"),CONCATENATE("R2C",'Mapa final'!$R$18),"")</f>
        <v/>
      </c>
      <c r="AE27" s="35" t="str">
        <f>IF(AND('Mapa final'!$AB$19="Media",'Mapa final'!$AD$19="Mayor"),CONCATENATE("R2C",'Mapa final'!$R$19),"")</f>
        <v/>
      </c>
      <c r="AF27" s="35" t="str">
        <f>IF(AND('Mapa final'!$AB$20="Media",'Mapa final'!$AD$20="Mayor"),CONCATENATE("R2C",'Mapa final'!$R$20),"")</f>
        <v/>
      </c>
      <c r="AG27" s="36" t="str">
        <f>IF(AND('Mapa final'!$AB$21="Media",'Mapa final'!$AD$21="Mayor"),CONCATENATE("R2C",'Mapa final'!$R$21),"")</f>
        <v/>
      </c>
      <c r="AH27" s="37" t="str">
        <f>IF(AND('Mapa final'!$AB$16="Media",'Mapa final'!$AD$16="Catastrófico"),CONCATENATE("R2C",'Mapa final'!$R$16),"")</f>
        <v/>
      </c>
      <c r="AI27" s="38" t="str">
        <f>IF(AND('Mapa final'!$AB$17="Media",'Mapa final'!$AD$17="Catastrófico"),CONCATENATE("R2C",'Mapa final'!$R$17),"")</f>
        <v/>
      </c>
      <c r="AJ27" s="38" t="str">
        <f>IF(AND('Mapa final'!$AB$18="Media",'Mapa final'!$AD$18="Catastrófico"),CONCATENATE("R2C",'Mapa final'!$R$18),"")</f>
        <v/>
      </c>
      <c r="AK27" s="38" t="str">
        <f>IF(AND('Mapa final'!$AB$19="Media",'Mapa final'!$AD$19="Catastrófico"),CONCATENATE("R2C",'Mapa final'!$R$19),"")</f>
        <v/>
      </c>
      <c r="AL27" s="38" t="str">
        <f>IF(AND('Mapa final'!$AB$20="Media",'Mapa final'!$AD$20="Catastrófico"),CONCATENATE("R2C",'Mapa final'!$R$20),"")</f>
        <v/>
      </c>
      <c r="AM27" s="39" t="str">
        <f>IF(AND('Mapa final'!$AB$21="Media",'Mapa final'!$AD$21="Catastrófico"),CONCATENATE("R2C",'Mapa final'!$R$21),"")</f>
        <v/>
      </c>
      <c r="AN27" s="65"/>
      <c r="AO27" s="709"/>
      <c r="AP27" s="710"/>
      <c r="AQ27" s="710"/>
      <c r="AR27" s="710"/>
      <c r="AS27" s="710"/>
      <c r="AT27" s="711"/>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ht="15" customHeight="1" x14ac:dyDescent="0.3">
      <c r="A28" s="65"/>
      <c r="B28" s="581"/>
      <c r="C28" s="581"/>
      <c r="D28" s="582"/>
      <c r="E28" s="680"/>
      <c r="F28" s="679"/>
      <c r="G28" s="679"/>
      <c r="H28" s="679"/>
      <c r="I28" s="695"/>
      <c r="J28" s="49" t="str">
        <f>IF(AND('Mapa final'!$AB$22="Media",'Mapa final'!$AD$22="Leve"),CONCATENATE("R3C",'Mapa final'!$R$22),"")</f>
        <v/>
      </c>
      <c r="K28" s="50" t="str">
        <f>IF(AND('Mapa final'!$AB$23="Media",'Mapa final'!$AD$23="Leve"),CONCATENATE("R3C",'Mapa final'!$R$23),"")</f>
        <v/>
      </c>
      <c r="L28" s="50" t="str">
        <f>IF(AND('Mapa final'!$AB$24="Media",'Mapa final'!$AD$24="Leve"),CONCATENATE("R3C",'Mapa final'!$R$24),"")</f>
        <v/>
      </c>
      <c r="M28" s="50" t="str">
        <f>IF(AND('Mapa final'!$AB$25="Media",'Mapa final'!$AD$25="Leve"),CONCATENATE("R3C",'Mapa final'!$R$25),"")</f>
        <v/>
      </c>
      <c r="N28" s="50" t="str">
        <f>IF(AND('Mapa final'!$AB$26="Media",'Mapa final'!$AD$26="Leve"),CONCATENATE("R3C",'Mapa final'!$R$26),"")</f>
        <v/>
      </c>
      <c r="O28" s="51" t="str">
        <f>IF(AND('Mapa final'!$AB$27="Media",'Mapa final'!$AD$27="Leve"),CONCATENATE("R3C",'Mapa final'!$R$27),"")</f>
        <v/>
      </c>
      <c r="P28" s="49" t="str">
        <f>IF(AND('Mapa final'!$AB$22="Media",'Mapa final'!$AD$22="Menor"),CONCATENATE("R3C",'Mapa final'!$R$22),"")</f>
        <v/>
      </c>
      <c r="Q28" s="50" t="str">
        <f>IF(AND('Mapa final'!$AB$23="Media",'Mapa final'!$AD$23="Menor"),CONCATENATE("R3C",'Mapa final'!$R$23),"")</f>
        <v/>
      </c>
      <c r="R28" s="50" t="str">
        <f>IF(AND('Mapa final'!$AB$24="Media",'Mapa final'!$AD$24="Menor"),CONCATENATE("R3C",'Mapa final'!$R$24),"")</f>
        <v/>
      </c>
      <c r="S28" s="50" t="str">
        <f>IF(AND('Mapa final'!$AB$25="Media",'Mapa final'!$AD$25="Menor"),CONCATENATE("R3C",'Mapa final'!$R$25),"")</f>
        <v/>
      </c>
      <c r="T28" s="50" t="str">
        <f>IF(AND('Mapa final'!$AB$26="Media",'Mapa final'!$AD$26="Menor"),CONCATENATE("R3C",'Mapa final'!$R$26),"")</f>
        <v/>
      </c>
      <c r="U28" s="51" t="str">
        <f>IF(AND('Mapa final'!$AB$27="Media",'Mapa final'!$AD$27="Menor"),CONCATENATE("R3C",'Mapa final'!$R$27),"")</f>
        <v/>
      </c>
      <c r="V28" s="49" t="str">
        <f>IF(AND('Mapa final'!$AB$22="Media",'Mapa final'!$AD$22="Moderado"),CONCATENATE("R3C",'Mapa final'!$R$22),"")</f>
        <v/>
      </c>
      <c r="W28" s="50" t="str">
        <f>IF(AND('Mapa final'!$AB$23="Media",'Mapa final'!$AD$23="Moderado"),CONCATENATE("R3C",'Mapa final'!$R$23),"")</f>
        <v/>
      </c>
      <c r="X28" s="50" t="str">
        <f>IF(AND('Mapa final'!$AB$24="Media",'Mapa final'!$AD$24="Moderado"),CONCATENATE("R3C",'Mapa final'!$R$24),"")</f>
        <v/>
      </c>
      <c r="Y28" s="50" t="str">
        <f>IF(AND('Mapa final'!$AB$25="Media",'Mapa final'!$AD$25="Moderado"),CONCATENATE("R3C",'Mapa final'!$R$25),"")</f>
        <v/>
      </c>
      <c r="Z28" s="50" t="str">
        <f>IF(AND('Mapa final'!$AB$26="Media",'Mapa final'!$AD$26="Moderado"),CONCATENATE("R3C",'Mapa final'!$R$26),"")</f>
        <v/>
      </c>
      <c r="AA28" s="51" t="str">
        <f>IF(AND('Mapa final'!$AB$27="Media",'Mapa final'!$AD$27="Moderado"),CONCATENATE("R3C",'Mapa final'!$R$27),"")</f>
        <v/>
      </c>
      <c r="AB28" s="34" t="str">
        <f>IF(AND('Mapa final'!$AB$22="Media",'Mapa final'!$AD$22="Mayor"),CONCATENATE("R3C",'Mapa final'!$R$22),"")</f>
        <v/>
      </c>
      <c r="AC28" s="35" t="str">
        <f>IF(AND('Mapa final'!$AB$23="Media",'Mapa final'!$AD$23="Mayor"),CONCATENATE("R3C",'Mapa final'!$R$23),"")</f>
        <v/>
      </c>
      <c r="AD28" s="35" t="str">
        <f>IF(AND('Mapa final'!$AB$24="Media",'Mapa final'!$AD$24="Mayor"),CONCATENATE("R3C",'Mapa final'!$R$24),"")</f>
        <v/>
      </c>
      <c r="AE28" s="35" t="str">
        <f>IF(AND('Mapa final'!$AB$25="Media",'Mapa final'!$AD$25="Mayor"),CONCATENATE("R3C",'Mapa final'!$R$25),"")</f>
        <v/>
      </c>
      <c r="AF28" s="35" t="str">
        <f>IF(AND('Mapa final'!$AB$26="Media",'Mapa final'!$AD$26="Mayor"),CONCATENATE("R3C",'Mapa final'!$R$26),"")</f>
        <v/>
      </c>
      <c r="AG28" s="36" t="str">
        <f>IF(AND('Mapa final'!$AB$27="Media",'Mapa final'!$AD$27="Mayor"),CONCATENATE("R3C",'Mapa final'!$R$27),"")</f>
        <v/>
      </c>
      <c r="AH28" s="37" t="str">
        <f>IF(AND('Mapa final'!$AB$22="Media",'Mapa final'!$AD$22="Catastrófico"),CONCATENATE("R3C",'Mapa final'!$R$22),"")</f>
        <v/>
      </c>
      <c r="AI28" s="38" t="str">
        <f>IF(AND('Mapa final'!$AB$23="Media",'Mapa final'!$AD$23="Catastrófico"),CONCATENATE("R3C",'Mapa final'!$R$23),"")</f>
        <v/>
      </c>
      <c r="AJ28" s="38" t="str">
        <f>IF(AND('Mapa final'!$AB$24="Media",'Mapa final'!$AD$24="Catastrófico"),CONCATENATE("R3C",'Mapa final'!$R$24),"")</f>
        <v/>
      </c>
      <c r="AK28" s="38" t="str">
        <f>IF(AND('Mapa final'!$AB$25="Media",'Mapa final'!$AD$25="Catastrófico"),CONCATENATE("R3C",'Mapa final'!$R$25),"")</f>
        <v/>
      </c>
      <c r="AL28" s="38" t="str">
        <f>IF(AND('Mapa final'!$AB$26="Media",'Mapa final'!$AD$26="Catastrófico"),CONCATENATE("R3C",'Mapa final'!$R$26),"")</f>
        <v/>
      </c>
      <c r="AM28" s="39" t="str">
        <f>IF(AND('Mapa final'!$AB$27="Media",'Mapa final'!$AD$27="Catastrófico"),CONCATENATE("R3C",'Mapa final'!$R$27),"")</f>
        <v/>
      </c>
      <c r="AN28" s="65"/>
      <c r="AO28" s="709"/>
      <c r="AP28" s="710"/>
      <c r="AQ28" s="710"/>
      <c r="AR28" s="710"/>
      <c r="AS28" s="710"/>
      <c r="AT28" s="711"/>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ht="15" customHeight="1" x14ac:dyDescent="0.3">
      <c r="A29" s="65"/>
      <c r="B29" s="581"/>
      <c r="C29" s="581"/>
      <c r="D29" s="582"/>
      <c r="E29" s="680"/>
      <c r="F29" s="679"/>
      <c r="G29" s="679"/>
      <c r="H29" s="679"/>
      <c r="I29" s="695"/>
      <c r="J29" s="49" t="str">
        <f>IF(AND('Mapa final'!$AB$28="Media",'Mapa final'!$AD$28="Leve"),CONCATENATE("R4C",'Mapa final'!$R$28),"")</f>
        <v/>
      </c>
      <c r="K29" s="50" t="e">
        <f>IF(AND('Mapa final'!#REF!="Media",'Mapa final'!#REF!="Leve"),CONCATENATE("R4C",'Mapa final'!#REF!),"")</f>
        <v>#REF!</v>
      </c>
      <c r="L29" s="50" t="str">
        <f>IF(AND('Mapa final'!$AB$29="Media",'Mapa final'!$AD$29="Leve"),CONCATENATE("R4C",'Mapa final'!$R$29),"")</f>
        <v/>
      </c>
      <c r="M29" s="50" t="str">
        <f>IF(AND('Mapa final'!$AB$30="Media",'Mapa final'!$AD$30="Leve"),CONCATENATE("R4C",'Mapa final'!$R$30),"")</f>
        <v/>
      </c>
      <c r="N29" s="50" t="str">
        <f>IF(AND('Mapa final'!$AB$31="Media",'Mapa final'!$AD$31="Leve"),CONCATENATE("R4C",'Mapa final'!$R$31),"")</f>
        <v/>
      </c>
      <c r="O29" s="51" t="str">
        <f>IF(AND('Mapa final'!$AB$32="Media",'Mapa final'!$AD$32="Leve"),CONCATENATE("R4C",'Mapa final'!$R$32),"")</f>
        <v/>
      </c>
      <c r="P29" s="49" t="str">
        <f>IF(AND('Mapa final'!$AB$28="Media",'Mapa final'!$AD$28="Menor"),CONCATENATE("R4C",'Mapa final'!$R$28),"")</f>
        <v/>
      </c>
      <c r="Q29" s="50" t="e">
        <f>IF(AND('Mapa final'!#REF!="Media",'Mapa final'!#REF!="Menor"),CONCATENATE("R4C",'Mapa final'!#REF!),"")</f>
        <v>#REF!</v>
      </c>
      <c r="R29" s="50" t="str">
        <f>IF(AND('Mapa final'!$AB$29="Media",'Mapa final'!$AD$29="Menor"),CONCATENATE("R4C",'Mapa final'!$R$29),"")</f>
        <v/>
      </c>
      <c r="S29" s="50" t="str">
        <f>IF(AND('Mapa final'!$AB$30="Media",'Mapa final'!$AD$30="Menor"),CONCATENATE("R4C",'Mapa final'!$R$30),"")</f>
        <v/>
      </c>
      <c r="T29" s="50" t="str">
        <f>IF(AND('Mapa final'!$AB$31="Media",'Mapa final'!$AD$31="Menor"),CONCATENATE("R4C",'Mapa final'!$R$31),"")</f>
        <v/>
      </c>
      <c r="U29" s="51" t="str">
        <f>IF(AND('Mapa final'!$AB$32="Media",'Mapa final'!$AD$32="Menor"),CONCATENATE("R4C",'Mapa final'!$R$32),"")</f>
        <v/>
      </c>
      <c r="V29" s="49" t="str">
        <f>IF(AND('Mapa final'!$AB$28="Media",'Mapa final'!$AD$28="Moderado"),CONCATENATE("R4C",'Mapa final'!$R$28),"")</f>
        <v/>
      </c>
      <c r="W29" s="50" t="e">
        <f>IF(AND('Mapa final'!#REF!="Media",'Mapa final'!#REF!="Moderado"),CONCATENATE("R4C",'Mapa final'!#REF!),"")</f>
        <v>#REF!</v>
      </c>
      <c r="X29" s="50" t="str">
        <f>IF(AND('Mapa final'!$AB$29="Media",'Mapa final'!$AD$29="Moderado"),CONCATENATE("R4C",'Mapa final'!$R$29),"")</f>
        <v/>
      </c>
      <c r="Y29" s="50" t="str">
        <f>IF(AND('Mapa final'!$AB$30="Media",'Mapa final'!$AD$30="Moderado"),CONCATENATE("R4C",'Mapa final'!$R$30),"")</f>
        <v/>
      </c>
      <c r="Z29" s="50" t="str">
        <f>IF(AND('Mapa final'!$AB$31="Media",'Mapa final'!$AD$31="Moderado"),CONCATENATE("R4C",'Mapa final'!$R$31),"")</f>
        <v/>
      </c>
      <c r="AA29" s="51" t="str">
        <f>IF(AND('Mapa final'!$AB$32="Media",'Mapa final'!$AD$32="Moderado"),CONCATENATE("R4C",'Mapa final'!$R$32),"")</f>
        <v/>
      </c>
      <c r="AB29" s="34" t="str">
        <f>IF(AND('Mapa final'!$AB$28="Media",'Mapa final'!$AD$28="Mayor"),CONCATENATE("R4C",'Mapa final'!$R$28),"")</f>
        <v/>
      </c>
      <c r="AC29" s="35" t="e">
        <f>IF(AND('Mapa final'!#REF!="Media",'Mapa final'!#REF!="Mayor"),CONCATENATE("R4C",'Mapa final'!#REF!),"")</f>
        <v>#REF!</v>
      </c>
      <c r="AD29" s="35" t="str">
        <f>IF(AND('Mapa final'!$AB$29="Media",'Mapa final'!$AD$29="Mayor"),CONCATENATE("R4C",'Mapa final'!$R$29),"")</f>
        <v/>
      </c>
      <c r="AE29" s="35" t="str">
        <f>IF(AND('Mapa final'!$AB$30="Media",'Mapa final'!$AD$30="Mayor"),CONCATENATE("R4C",'Mapa final'!$R$30),"")</f>
        <v/>
      </c>
      <c r="AF29" s="35" t="str">
        <f>IF(AND('Mapa final'!$AB$31="Media",'Mapa final'!$AD$31="Mayor"),CONCATENATE("R4C",'Mapa final'!$R$31),"")</f>
        <v/>
      </c>
      <c r="AG29" s="36" t="str">
        <f>IF(AND('Mapa final'!$AB$32="Media",'Mapa final'!$AD$32="Mayor"),CONCATENATE("R4C",'Mapa final'!$R$32),"")</f>
        <v/>
      </c>
      <c r="AH29" s="37" t="str">
        <f>IF(AND('Mapa final'!$AB$28="Media",'Mapa final'!$AD$28="Catastrófico"),CONCATENATE("R4C",'Mapa final'!$R$28),"")</f>
        <v/>
      </c>
      <c r="AI29" s="38" t="e">
        <f>IF(AND('Mapa final'!#REF!="Media",'Mapa final'!#REF!="Catastrófico"),CONCATENATE("R4C",'Mapa final'!#REF!),"")</f>
        <v>#REF!</v>
      </c>
      <c r="AJ29" s="38" t="str">
        <f>IF(AND('Mapa final'!$AB$29="Media",'Mapa final'!$AD$29="Catastrófico"),CONCATENATE("R4C",'Mapa final'!$R$29),"")</f>
        <v/>
      </c>
      <c r="AK29" s="38" t="str">
        <f>IF(AND('Mapa final'!$AB$30="Media",'Mapa final'!$AD$30="Catastrófico"),CONCATENATE("R4C",'Mapa final'!$R$30),"")</f>
        <v/>
      </c>
      <c r="AL29" s="38" t="str">
        <f>IF(AND('Mapa final'!$AB$31="Media",'Mapa final'!$AD$31="Catastrófico"),CONCATENATE("R4C",'Mapa final'!$R$31),"")</f>
        <v/>
      </c>
      <c r="AM29" s="39" t="str">
        <f>IF(AND('Mapa final'!$AB$32="Media",'Mapa final'!$AD$32="Catastrófico"),CONCATENATE("R4C",'Mapa final'!$R$32),"")</f>
        <v/>
      </c>
      <c r="AN29" s="65"/>
      <c r="AO29" s="709"/>
      <c r="AP29" s="710"/>
      <c r="AQ29" s="710"/>
      <c r="AR29" s="710"/>
      <c r="AS29" s="710"/>
      <c r="AT29" s="711"/>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ht="15" customHeight="1" x14ac:dyDescent="0.3">
      <c r="A30" s="65"/>
      <c r="B30" s="581"/>
      <c r="C30" s="581"/>
      <c r="D30" s="582"/>
      <c r="E30" s="680"/>
      <c r="F30" s="679"/>
      <c r="G30" s="679"/>
      <c r="H30" s="679"/>
      <c r="I30" s="695"/>
      <c r="J30" s="49" t="str">
        <f>IF(AND('Mapa final'!$AB$33="Media",'Mapa final'!$AD$33="Leve"),CONCATENATE("R5C",'Mapa final'!$R$33),"")</f>
        <v/>
      </c>
      <c r="K30" s="50" t="str">
        <f>IF(AND('Mapa final'!$AB$34="Media",'Mapa final'!$AD$34="Leve"),CONCATENATE("R5C",'Mapa final'!$R$34),"")</f>
        <v/>
      </c>
      <c r="L30" s="50" t="str">
        <f>IF(AND('Mapa final'!$AB$35="Media",'Mapa final'!$AD$35="Leve"),CONCATENATE("R5C",'Mapa final'!$R$35),"")</f>
        <v/>
      </c>
      <c r="M30" s="50" t="str">
        <f>IF(AND('Mapa final'!$AB$36="Media",'Mapa final'!$AD$36="Leve"),CONCATENATE("R5C",'Mapa final'!$R$36),"")</f>
        <v/>
      </c>
      <c r="N30" s="50" t="str">
        <f>IF(AND('Mapa final'!$AB$37="Media",'Mapa final'!$AD$37="Leve"),CONCATENATE("R5C",'Mapa final'!$R$37),"")</f>
        <v/>
      </c>
      <c r="O30" s="51" t="str">
        <f>IF(AND('Mapa final'!$AB$38="Media",'Mapa final'!$AD$38="Leve"),CONCATENATE("R5C",'Mapa final'!$R$38),"")</f>
        <v/>
      </c>
      <c r="P30" s="49" t="str">
        <f>IF(AND('Mapa final'!$AB$33="Media",'Mapa final'!$AD$33="Menor"),CONCATENATE("R5C",'Mapa final'!$R$33),"")</f>
        <v/>
      </c>
      <c r="Q30" s="50" t="str">
        <f>IF(AND('Mapa final'!$AB$34="Media",'Mapa final'!$AD$34="Menor"),CONCATENATE("R5C",'Mapa final'!$R$34),"")</f>
        <v/>
      </c>
      <c r="R30" s="50" t="str">
        <f>IF(AND('Mapa final'!$AB$35="Media",'Mapa final'!$AD$35="Menor"),CONCATENATE("R5C",'Mapa final'!$R$35),"")</f>
        <v/>
      </c>
      <c r="S30" s="50" t="str">
        <f>IF(AND('Mapa final'!$AB$36="Media",'Mapa final'!$AD$36="Menor"),CONCATENATE("R5C",'Mapa final'!$R$36),"")</f>
        <v/>
      </c>
      <c r="T30" s="50" t="str">
        <f>IF(AND('Mapa final'!$AB$37="Media",'Mapa final'!$AD$37="Menor"),CONCATENATE("R5C",'Mapa final'!$R$37),"")</f>
        <v/>
      </c>
      <c r="U30" s="51" t="str">
        <f>IF(AND('Mapa final'!$AB$38="Media",'Mapa final'!$AD$38="Menor"),CONCATENATE("R5C",'Mapa final'!$R$38),"")</f>
        <v/>
      </c>
      <c r="V30" s="49" t="str">
        <f>IF(AND('Mapa final'!$AB$33="Media",'Mapa final'!$AD$33="Moderado"),CONCATENATE("R5C",'Mapa final'!$R$33),"")</f>
        <v/>
      </c>
      <c r="W30" s="50" t="str">
        <f>IF(AND('Mapa final'!$AB$34="Media",'Mapa final'!$AD$34="Moderado"),CONCATENATE("R5C",'Mapa final'!$R$34),"")</f>
        <v/>
      </c>
      <c r="X30" s="50" t="str">
        <f>IF(AND('Mapa final'!$AB$35="Media",'Mapa final'!$AD$35="Moderado"),CONCATENATE("R5C",'Mapa final'!$R$35),"")</f>
        <v/>
      </c>
      <c r="Y30" s="50" t="str">
        <f>IF(AND('Mapa final'!$AB$36="Media",'Mapa final'!$AD$36="Moderado"),CONCATENATE("R5C",'Mapa final'!$R$36),"")</f>
        <v/>
      </c>
      <c r="Z30" s="50" t="str">
        <f>IF(AND('Mapa final'!$AB$37="Media",'Mapa final'!$AD$37="Moderado"),CONCATENATE("R5C",'Mapa final'!$R$37),"")</f>
        <v/>
      </c>
      <c r="AA30" s="51" t="str">
        <f>IF(AND('Mapa final'!$AB$38="Media",'Mapa final'!$AD$38="Moderado"),CONCATENATE("R5C",'Mapa final'!$R$38),"")</f>
        <v/>
      </c>
      <c r="AB30" s="34" t="str">
        <f>IF(AND('Mapa final'!$AB$33="Media",'Mapa final'!$AD$33="Mayor"),CONCATENATE("R5C",'Mapa final'!$R$33),"")</f>
        <v/>
      </c>
      <c r="AC30" s="35" t="str">
        <f>IF(AND('Mapa final'!$AB$34="Media",'Mapa final'!$AD$34="Mayor"),CONCATENATE("R5C",'Mapa final'!$R$34),"")</f>
        <v/>
      </c>
      <c r="AD30" s="35" t="str">
        <f>IF(AND('Mapa final'!$AB$35="Media",'Mapa final'!$AD$35="Mayor"),CONCATENATE("R5C",'Mapa final'!$R$35),"")</f>
        <v/>
      </c>
      <c r="AE30" s="35" t="str">
        <f>IF(AND('Mapa final'!$AB$36="Media",'Mapa final'!$AD$36="Mayor"),CONCATENATE("R5C",'Mapa final'!$R$36),"")</f>
        <v/>
      </c>
      <c r="AF30" s="35" t="str">
        <f>IF(AND('Mapa final'!$AB$37="Media",'Mapa final'!$AD$37="Mayor"),CONCATENATE("R5C",'Mapa final'!$R$37),"")</f>
        <v/>
      </c>
      <c r="AG30" s="36" t="str">
        <f>IF(AND('Mapa final'!$AB$38="Media",'Mapa final'!$AD$38="Mayor"),CONCATENATE("R5C",'Mapa final'!$R$38),"")</f>
        <v/>
      </c>
      <c r="AH30" s="37" t="str">
        <f>IF(AND('Mapa final'!$AB$33="Media",'Mapa final'!$AD$33="Catastrófico"),CONCATENATE("R5C",'Mapa final'!$R$33),"")</f>
        <v/>
      </c>
      <c r="AI30" s="38" t="str">
        <f>IF(AND('Mapa final'!$AB$34="Media",'Mapa final'!$AD$34="Catastrófico"),CONCATENATE("R5C",'Mapa final'!$R$34),"")</f>
        <v/>
      </c>
      <c r="AJ30" s="38" t="str">
        <f>IF(AND('Mapa final'!$AB$35="Media",'Mapa final'!$AD$35="Catastrófico"),CONCATENATE("R5C",'Mapa final'!$R$35),"")</f>
        <v/>
      </c>
      <c r="AK30" s="38" t="str">
        <f>IF(AND('Mapa final'!$AB$36="Media",'Mapa final'!$AD$36="Catastrófico"),CONCATENATE("R5C",'Mapa final'!$R$36),"")</f>
        <v/>
      </c>
      <c r="AL30" s="38" t="str">
        <f>IF(AND('Mapa final'!$AB$37="Media",'Mapa final'!$AD$37="Catastrófico"),CONCATENATE("R5C",'Mapa final'!$R$37),"")</f>
        <v/>
      </c>
      <c r="AM30" s="39" t="str">
        <f>IF(AND('Mapa final'!$AB$38="Media",'Mapa final'!$AD$38="Catastrófico"),CONCATENATE("R5C",'Mapa final'!$R$38),"")</f>
        <v/>
      </c>
      <c r="AN30" s="65"/>
      <c r="AO30" s="709"/>
      <c r="AP30" s="710"/>
      <c r="AQ30" s="710"/>
      <c r="AR30" s="710"/>
      <c r="AS30" s="710"/>
      <c r="AT30" s="711"/>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ht="15" customHeight="1" x14ac:dyDescent="0.3">
      <c r="A31" s="65"/>
      <c r="B31" s="581"/>
      <c r="C31" s="581"/>
      <c r="D31" s="582"/>
      <c r="E31" s="680"/>
      <c r="F31" s="679"/>
      <c r="G31" s="679"/>
      <c r="H31" s="679"/>
      <c r="I31" s="695"/>
      <c r="J31" s="49" t="str">
        <f>IF(AND('Mapa final'!$AB$39="Media",'Mapa final'!$AD$39="Leve"),CONCATENATE("R6C",'Mapa final'!$R$39),"")</f>
        <v/>
      </c>
      <c r="K31" s="50" t="str">
        <f>IF(AND('Mapa final'!$AB$40="Media",'Mapa final'!$AD$40="Leve"),CONCATENATE("R6C",'Mapa final'!$R$40),"")</f>
        <v/>
      </c>
      <c r="L31" s="50" t="str">
        <f>IF(AND('Mapa final'!$AB$41="Media",'Mapa final'!$AD$41="Leve"),CONCATENATE("R6C",'Mapa final'!$R$41),"")</f>
        <v/>
      </c>
      <c r="M31" s="50" t="str">
        <f>IF(AND('Mapa final'!$AB$42="Media",'Mapa final'!$AD$42="Leve"),CONCATENATE("R6C",'Mapa final'!$R$42),"")</f>
        <v/>
      </c>
      <c r="N31" s="50" t="str">
        <f>IF(AND('Mapa final'!$AB$43="Media",'Mapa final'!$AD$43="Leve"),CONCATENATE("R6C",'Mapa final'!$R$43),"")</f>
        <v/>
      </c>
      <c r="O31" s="51" t="str">
        <f>IF(AND('Mapa final'!$AB$44="Media",'Mapa final'!$AD$44="Leve"),CONCATENATE("R6C",'Mapa final'!$R$44),"")</f>
        <v/>
      </c>
      <c r="P31" s="49" t="str">
        <f>IF(AND('Mapa final'!$AB$39="Media",'Mapa final'!$AD$39="Menor"),CONCATENATE("R6C",'Mapa final'!$R$39),"")</f>
        <v/>
      </c>
      <c r="Q31" s="50" t="str">
        <f>IF(AND('Mapa final'!$AB$40="Media",'Mapa final'!$AD$40="Menor"),CONCATENATE("R6C",'Mapa final'!$R$40),"")</f>
        <v/>
      </c>
      <c r="R31" s="50" t="str">
        <f>IF(AND('Mapa final'!$AB$41="Media",'Mapa final'!$AD$41="Menor"),CONCATENATE("R6C",'Mapa final'!$R$41),"")</f>
        <v/>
      </c>
      <c r="S31" s="50" t="str">
        <f>IF(AND('Mapa final'!$AB$42="Media",'Mapa final'!$AD$42="Menor"),CONCATENATE("R6C",'Mapa final'!$R$42),"")</f>
        <v/>
      </c>
      <c r="T31" s="50" t="str">
        <f>IF(AND('Mapa final'!$AB$43="Media",'Mapa final'!$AD$43="Menor"),CONCATENATE("R6C",'Mapa final'!$R$43),"")</f>
        <v/>
      </c>
      <c r="U31" s="51" t="str">
        <f>IF(AND('Mapa final'!$AB$44="Media",'Mapa final'!$AD$44="Menor"),CONCATENATE("R6C",'Mapa final'!$R$44),"")</f>
        <v/>
      </c>
      <c r="V31" s="49" t="str">
        <f>IF(AND('Mapa final'!$AB$39="Media",'Mapa final'!$AD$39="Moderado"),CONCATENATE("R6C",'Mapa final'!$R$39),"")</f>
        <v/>
      </c>
      <c r="W31" s="50" t="str">
        <f>IF(AND('Mapa final'!$AB$40="Media",'Mapa final'!$AD$40="Moderado"),CONCATENATE("R6C",'Mapa final'!$R$40),"")</f>
        <v/>
      </c>
      <c r="X31" s="50" t="str">
        <f>IF(AND('Mapa final'!$AB$41="Media",'Mapa final'!$AD$41="Moderado"),CONCATENATE("R6C",'Mapa final'!$R$41),"")</f>
        <v/>
      </c>
      <c r="Y31" s="50" t="str">
        <f>IF(AND('Mapa final'!$AB$42="Media",'Mapa final'!$AD$42="Moderado"),CONCATENATE("R6C",'Mapa final'!$R$42),"")</f>
        <v/>
      </c>
      <c r="Z31" s="50" t="str">
        <f>IF(AND('Mapa final'!$AB$43="Media",'Mapa final'!$AD$43="Moderado"),CONCATENATE("R6C",'Mapa final'!$R$43),"")</f>
        <v/>
      </c>
      <c r="AA31" s="51" t="str">
        <f>IF(AND('Mapa final'!$AB$44="Media",'Mapa final'!$AD$44="Moderado"),CONCATENATE("R6C",'Mapa final'!$R$44),"")</f>
        <v/>
      </c>
      <c r="AB31" s="34" t="str">
        <f>IF(AND('Mapa final'!$AB$39="Media",'Mapa final'!$AD$39="Mayor"),CONCATENATE("R6C",'Mapa final'!$R$39),"")</f>
        <v>R6C1</v>
      </c>
      <c r="AC31" s="35" t="str">
        <f>IF(AND('Mapa final'!$AB$40="Media",'Mapa final'!$AD$40="Mayor"),CONCATENATE("R6C",'Mapa final'!$R$40),"")</f>
        <v/>
      </c>
      <c r="AD31" s="35" t="str">
        <f>IF(AND('Mapa final'!$AB$41="Media",'Mapa final'!$AD$41="Mayor"),CONCATENATE("R6C",'Mapa final'!$R$41),"")</f>
        <v/>
      </c>
      <c r="AE31" s="35" t="str">
        <f>IF(AND('Mapa final'!$AB$42="Media",'Mapa final'!$AD$42="Mayor"),CONCATENATE("R6C",'Mapa final'!$R$42),"")</f>
        <v/>
      </c>
      <c r="AF31" s="35" t="str">
        <f>IF(AND('Mapa final'!$AB$43="Media",'Mapa final'!$AD$43="Mayor"),CONCATENATE("R6C",'Mapa final'!$R$43),"")</f>
        <v/>
      </c>
      <c r="AG31" s="36" t="str">
        <f>IF(AND('Mapa final'!$AB$44="Media",'Mapa final'!$AD$44="Mayor"),CONCATENATE("R6C",'Mapa final'!$R$44),"")</f>
        <v/>
      </c>
      <c r="AH31" s="37" t="str">
        <f>IF(AND('Mapa final'!$AB$39="Media",'Mapa final'!$AD$39="Catastrófico"),CONCATENATE("R6C",'Mapa final'!$R$39),"")</f>
        <v/>
      </c>
      <c r="AI31" s="38" t="str">
        <f>IF(AND('Mapa final'!$AB$40="Media",'Mapa final'!$AD$40="Catastrófico"),CONCATENATE("R6C",'Mapa final'!$R$40),"")</f>
        <v/>
      </c>
      <c r="AJ31" s="38" t="str">
        <f>IF(AND('Mapa final'!$AB$41="Media",'Mapa final'!$AD$41="Catastrófico"),CONCATENATE("R6C",'Mapa final'!$R$41),"")</f>
        <v/>
      </c>
      <c r="AK31" s="38" t="str">
        <f>IF(AND('Mapa final'!$AB$42="Media",'Mapa final'!$AD$42="Catastrófico"),CONCATENATE("R6C",'Mapa final'!$R$42),"")</f>
        <v/>
      </c>
      <c r="AL31" s="38" t="str">
        <f>IF(AND('Mapa final'!$AB$43="Media",'Mapa final'!$AD$43="Catastrófico"),CONCATENATE("R6C",'Mapa final'!$R$43),"")</f>
        <v/>
      </c>
      <c r="AM31" s="39" t="str">
        <f>IF(AND('Mapa final'!$AB$44="Media",'Mapa final'!$AD$44="Catastrófico"),CONCATENATE("R6C",'Mapa final'!$R$44),"")</f>
        <v/>
      </c>
      <c r="AN31" s="65"/>
      <c r="AO31" s="709"/>
      <c r="AP31" s="710"/>
      <c r="AQ31" s="710"/>
      <c r="AR31" s="710"/>
      <c r="AS31" s="710"/>
      <c r="AT31" s="711"/>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ht="15" customHeight="1" x14ac:dyDescent="0.3">
      <c r="A32" s="65"/>
      <c r="B32" s="581"/>
      <c r="C32" s="581"/>
      <c r="D32" s="582"/>
      <c r="E32" s="680"/>
      <c r="F32" s="679"/>
      <c r="G32" s="679"/>
      <c r="H32" s="679"/>
      <c r="I32" s="695"/>
      <c r="J32" s="49" t="str">
        <f>IF(AND('Mapa final'!$AB$45="Media",'Mapa final'!$AD$45="Leve"),CONCATENATE("R7C",'Mapa final'!$R$45),"")</f>
        <v/>
      </c>
      <c r="K32" s="50" t="str">
        <f>IF(AND('Mapa final'!$AB$46="Media",'Mapa final'!$AD$46="Leve"),CONCATENATE("R7C",'Mapa final'!$R$46),"")</f>
        <v/>
      </c>
      <c r="L32" s="50" t="str">
        <f>IF(AND('Mapa final'!$AB$47="Media",'Mapa final'!$AD$47="Leve"),CONCATENATE("R7C",'Mapa final'!$R$47),"")</f>
        <v/>
      </c>
      <c r="M32" s="50" t="str">
        <f>IF(AND('Mapa final'!$AB$48="Media",'Mapa final'!$AD$48="Leve"),CONCATENATE("R7C",'Mapa final'!$R$48),"")</f>
        <v/>
      </c>
      <c r="N32" s="50" t="str">
        <f>IF(AND('Mapa final'!$AB$49="Media",'Mapa final'!$AD$49="Leve"),CONCATENATE("R7C",'Mapa final'!$R$49),"")</f>
        <v/>
      </c>
      <c r="O32" s="51" t="str">
        <f>IF(AND('Mapa final'!$AB$50="Media",'Mapa final'!$AD$50="Leve"),CONCATENATE("R7C",'Mapa final'!$R$50),"")</f>
        <v/>
      </c>
      <c r="P32" s="49" t="str">
        <f>IF(AND('Mapa final'!$AB$45="Media",'Mapa final'!$AD$45="Menor"),CONCATENATE("R7C",'Mapa final'!$R$45),"")</f>
        <v/>
      </c>
      <c r="Q32" s="50" t="str">
        <f>IF(AND('Mapa final'!$AB$46="Media",'Mapa final'!$AD$46="Menor"),CONCATENATE("R7C",'Mapa final'!$R$46),"")</f>
        <v/>
      </c>
      <c r="R32" s="50" t="str">
        <f>IF(AND('Mapa final'!$AB$47="Media",'Mapa final'!$AD$47="Menor"),CONCATENATE("R7C",'Mapa final'!$R$47),"")</f>
        <v/>
      </c>
      <c r="S32" s="50" t="str">
        <f>IF(AND('Mapa final'!$AB$48="Media",'Mapa final'!$AD$48="Menor"),CONCATENATE("R7C",'Mapa final'!$R$48),"")</f>
        <v/>
      </c>
      <c r="T32" s="50" t="str">
        <f>IF(AND('Mapa final'!$AB$49="Media",'Mapa final'!$AD$49="Menor"),CONCATENATE("R7C",'Mapa final'!$R$49),"")</f>
        <v/>
      </c>
      <c r="U32" s="51" t="str">
        <f>IF(AND('Mapa final'!$AB$50="Media",'Mapa final'!$AD$50="Menor"),CONCATENATE("R7C",'Mapa final'!$R$50),"")</f>
        <v/>
      </c>
      <c r="V32" s="49" t="str">
        <f>IF(AND('Mapa final'!$AB$45="Media",'Mapa final'!$AD$45="Moderado"),CONCATENATE("R7C",'Mapa final'!$R$45),"")</f>
        <v/>
      </c>
      <c r="W32" s="50" t="str">
        <f>IF(AND('Mapa final'!$AB$46="Media",'Mapa final'!$AD$46="Moderado"),CONCATENATE("R7C",'Mapa final'!$R$46),"")</f>
        <v/>
      </c>
      <c r="X32" s="50" t="str">
        <f>IF(AND('Mapa final'!$AB$47="Media",'Mapa final'!$AD$47="Moderado"),CONCATENATE("R7C",'Mapa final'!$R$47),"")</f>
        <v/>
      </c>
      <c r="Y32" s="50" t="str">
        <f>IF(AND('Mapa final'!$AB$48="Media",'Mapa final'!$AD$48="Moderado"),CONCATENATE("R7C",'Mapa final'!$R$48),"")</f>
        <v/>
      </c>
      <c r="Z32" s="50" t="str">
        <f>IF(AND('Mapa final'!$AB$49="Media",'Mapa final'!$AD$49="Moderado"),CONCATENATE("R7C",'Mapa final'!$R$49),"")</f>
        <v/>
      </c>
      <c r="AA32" s="51" t="str">
        <f>IF(AND('Mapa final'!$AB$50="Media",'Mapa final'!$AD$50="Moderado"),CONCATENATE("R7C",'Mapa final'!$R$50),"")</f>
        <v/>
      </c>
      <c r="AB32" s="34" t="str">
        <f>IF(AND('Mapa final'!$AB$45="Media",'Mapa final'!$AD$45="Mayor"),CONCATENATE("R7C",'Mapa final'!$R$45),"")</f>
        <v/>
      </c>
      <c r="AC32" s="35" t="str">
        <f>IF(AND('Mapa final'!$AB$46="Media",'Mapa final'!$AD$46="Mayor"),CONCATENATE("R7C",'Mapa final'!$R$46),"")</f>
        <v/>
      </c>
      <c r="AD32" s="35" t="str">
        <f>IF(AND('Mapa final'!$AB$47="Media",'Mapa final'!$AD$47="Mayor"),CONCATENATE("R7C",'Mapa final'!$R$47),"")</f>
        <v/>
      </c>
      <c r="AE32" s="35" t="str">
        <f>IF(AND('Mapa final'!$AB$48="Media",'Mapa final'!$AD$48="Mayor"),CONCATENATE("R7C",'Mapa final'!$R$48),"")</f>
        <v/>
      </c>
      <c r="AF32" s="35" t="str">
        <f>IF(AND('Mapa final'!$AB$49="Media",'Mapa final'!$AD$49="Mayor"),CONCATENATE("R7C",'Mapa final'!$R$49),"")</f>
        <v/>
      </c>
      <c r="AG32" s="36" t="str">
        <f>IF(AND('Mapa final'!$AB$50="Media",'Mapa final'!$AD$50="Mayor"),CONCATENATE("R7C",'Mapa final'!$R$50),"")</f>
        <v/>
      </c>
      <c r="AH32" s="37" t="str">
        <f>IF(AND('Mapa final'!$AB$45="Media",'Mapa final'!$AD$45="Catastrófico"),CONCATENATE("R7C",'Mapa final'!$R$45),"")</f>
        <v/>
      </c>
      <c r="AI32" s="38" t="str">
        <f>IF(AND('Mapa final'!$AB$46="Media",'Mapa final'!$AD$46="Catastrófico"),CONCATENATE("R7C",'Mapa final'!$R$46),"")</f>
        <v/>
      </c>
      <c r="AJ32" s="38" t="str">
        <f>IF(AND('Mapa final'!$AB$47="Media",'Mapa final'!$AD$47="Catastrófico"),CONCATENATE("R7C",'Mapa final'!$R$47),"")</f>
        <v/>
      </c>
      <c r="AK32" s="38" t="str">
        <f>IF(AND('Mapa final'!$AB$48="Media",'Mapa final'!$AD$48="Catastrófico"),CONCATENATE("R7C",'Mapa final'!$R$48),"")</f>
        <v/>
      </c>
      <c r="AL32" s="38" t="str">
        <f>IF(AND('Mapa final'!$AB$49="Media",'Mapa final'!$AD$49="Catastrófico"),CONCATENATE("R7C",'Mapa final'!$R$49),"")</f>
        <v/>
      </c>
      <c r="AM32" s="39" t="str">
        <f>IF(AND('Mapa final'!$AB$50="Media",'Mapa final'!$AD$50="Catastrófico"),CONCATENATE("R7C",'Mapa final'!$R$50),"")</f>
        <v/>
      </c>
      <c r="AN32" s="65"/>
      <c r="AO32" s="709"/>
      <c r="AP32" s="710"/>
      <c r="AQ32" s="710"/>
      <c r="AR32" s="710"/>
      <c r="AS32" s="710"/>
      <c r="AT32" s="711"/>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0" ht="15" customHeight="1" x14ac:dyDescent="0.3">
      <c r="A33" s="65"/>
      <c r="B33" s="581"/>
      <c r="C33" s="581"/>
      <c r="D33" s="582"/>
      <c r="E33" s="680"/>
      <c r="F33" s="679"/>
      <c r="G33" s="679"/>
      <c r="H33" s="679"/>
      <c r="I33" s="695"/>
      <c r="J33" s="49" t="str">
        <f>IF(AND('Mapa final'!$AB$51="Media",'Mapa final'!$AD$51="Leve"),CONCATENATE("R8C",'Mapa final'!$R$51),"")</f>
        <v/>
      </c>
      <c r="K33" s="50" t="str">
        <f>IF(AND('Mapa final'!$AB$52="Media",'Mapa final'!$AD$52="Leve"),CONCATENATE("R8C",'Mapa final'!$R$52),"")</f>
        <v/>
      </c>
      <c r="L33" s="50" t="str">
        <f>IF(AND('Mapa final'!$AB$53="Media",'Mapa final'!$AD$53="Leve"),CONCATENATE("R8C",'Mapa final'!$R$53),"")</f>
        <v/>
      </c>
      <c r="M33" s="50" t="str">
        <f>IF(AND('Mapa final'!$AB$54="Media",'Mapa final'!$AD$54="Leve"),CONCATENATE("R8C",'Mapa final'!$R$54),"")</f>
        <v/>
      </c>
      <c r="N33" s="50" t="str">
        <f>IF(AND('Mapa final'!$AB$55="Media",'Mapa final'!$AD$55="Leve"),CONCATENATE("R8C",'Mapa final'!$R$55),"")</f>
        <v/>
      </c>
      <c r="O33" s="51" t="str">
        <f>IF(AND('Mapa final'!$AB$56="Media",'Mapa final'!$AD$56="Leve"),CONCATENATE("R8C",'Mapa final'!$R$56),"")</f>
        <v/>
      </c>
      <c r="P33" s="49" t="str">
        <f>IF(AND('Mapa final'!$AB$51="Media",'Mapa final'!$AD$51="Menor"),CONCATENATE("R8C",'Mapa final'!$R$51),"")</f>
        <v/>
      </c>
      <c r="Q33" s="50" t="str">
        <f>IF(AND('Mapa final'!$AB$52="Media",'Mapa final'!$AD$52="Menor"),CONCATENATE("R8C",'Mapa final'!$R$52),"")</f>
        <v/>
      </c>
      <c r="R33" s="50" t="str">
        <f>IF(AND('Mapa final'!$AB$53="Media",'Mapa final'!$AD$53="Menor"),CONCATENATE("R8C",'Mapa final'!$R$53),"")</f>
        <v/>
      </c>
      <c r="S33" s="50" t="str">
        <f>IF(AND('Mapa final'!$AB$54="Media",'Mapa final'!$AD$54="Menor"),CONCATENATE("R8C",'Mapa final'!$R$54),"")</f>
        <v/>
      </c>
      <c r="T33" s="50" t="str">
        <f>IF(AND('Mapa final'!$AB$55="Media",'Mapa final'!$AD$55="Menor"),CONCATENATE("R8C",'Mapa final'!$R$55),"")</f>
        <v/>
      </c>
      <c r="U33" s="51" t="str">
        <f>IF(AND('Mapa final'!$AB$56="Media",'Mapa final'!$AD$56="Menor"),CONCATENATE("R8C",'Mapa final'!$R$56),"")</f>
        <v/>
      </c>
      <c r="V33" s="49" t="str">
        <f>IF(AND('Mapa final'!$AB$51="Media",'Mapa final'!$AD$51="Moderado"),CONCATENATE("R8C",'Mapa final'!$R$51),"")</f>
        <v/>
      </c>
      <c r="W33" s="50" t="str">
        <f>IF(AND('Mapa final'!$AB$52="Media",'Mapa final'!$AD$52="Moderado"),CONCATENATE("R8C",'Mapa final'!$R$52),"")</f>
        <v/>
      </c>
      <c r="X33" s="50" t="str">
        <f>IF(AND('Mapa final'!$AB$53="Media",'Mapa final'!$AD$53="Moderado"),CONCATENATE("R8C",'Mapa final'!$R$53),"")</f>
        <v/>
      </c>
      <c r="Y33" s="50" t="str">
        <f>IF(AND('Mapa final'!$AB$54="Media",'Mapa final'!$AD$54="Moderado"),CONCATENATE("R8C",'Mapa final'!$R$54),"")</f>
        <v/>
      </c>
      <c r="Z33" s="50" t="str">
        <f>IF(AND('Mapa final'!$AB$55="Media",'Mapa final'!$AD$55="Moderado"),CONCATENATE("R8C",'Mapa final'!$R$55),"")</f>
        <v/>
      </c>
      <c r="AA33" s="51" t="str">
        <f>IF(AND('Mapa final'!$AB$56="Media",'Mapa final'!$AD$56="Moderado"),CONCATENATE("R8C",'Mapa final'!$R$56),"")</f>
        <v/>
      </c>
      <c r="AB33" s="34" t="str">
        <f>IF(AND('Mapa final'!$AB$51="Media",'Mapa final'!$AD$51="Mayor"),CONCATENATE("R8C",'Mapa final'!$R$51),"")</f>
        <v/>
      </c>
      <c r="AC33" s="35" t="str">
        <f>IF(AND('Mapa final'!$AB$52="Media",'Mapa final'!$AD$52="Mayor"),CONCATENATE("R8C",'Mapa final'!$R$52),"")</f>
        <v/>
      </c>
      <c r="AD33" s="35" t="str">
        <f>IF(AND('Mapa final'!$AB$53="Media",'Mapa final'!$AD$53="Mayor"),CONCATENATE("R8C",'Mapa final'!$R$53),"")</f>
        <v/>
      </c>
      <c r="AE33" s="35" t="str">
        <f>IF(AND('Mapa final'!$AB$54="Media",'Mapa final'!$AD$54="Mayor"),CONCATENATE("R8C",'Mapa final'!$R$54),"")</f>
        <v/>
      </c>
      <c r="AF33" s="35" t="str">
        <f>IF(AND('Mapa final'!$AB$55="Media",'Mapa final'!$AD$55="Mayor"),CONCATENATE("R8C",'Mapa final'!$R$55),"")</f>
        <v/>
      </c>
      <c r="AG33" s="36" t="str">
        <f>IF(AND('Mapa final'!$AB$56="Media",'Mapa final'!$AD$56="Mayor"),CONCATENATE("R8C",'Mapa final'!$R$56),"")</f>
        <v/>
      </c>
      <c r="AH33" s="37" t="str">
        <f>IF(AND('Mapa final'!$AB$51="Media",'Mapa final'!$AD$51="Catastrófico"),CONCATENATE("R8C",'Mapa final'!$R$51),"")</f>
        <v/>
      </c>
      <c r="AI33" s="38" t="str">
        <f>IF(AND('Mapa final'!$AB$52="Media",'Mapa final'!$AD$52="Catastrófico"),CONCATENATE("R8C",'Mapa final'!$R$52),"")</f>
        <v/>
      </c>
      <c r="AJ33" s="38" t="str">
        <f>IF(AND('Mapa final'!$AB$53="Media",'Mapa final'!$AD$53="Catastrófico"),CONCATENATE("R8C",'Mapa final'!$R$53),"")</f>
        <v/>
      </c>
      <c r="AK33" s="38" t="str">
        <f>IF(AND('Mapa final'!$AB$54="Media",'Mapa final'!$AD$54="Catastrófico"),CONCATENATE("R8C",'Mapa final'!$R$54),"")</f>
        <v/>
      </c>
      <c r="AL33" s="38" t="str">
        <f>IF(AND('Mapa final'!$AB$55="Media",'Mapa final'!$AD$55="Catastrófico"),CONCATENATE("R8C",'Mapa final'!$R$55),"")</f>
        <v/>
      </c>
      <c r="AM33" s="39" t="str">
        <f>IF(AND('Mapa final'!$AB$56="Media",'Mapa final'!$AD$56="Catastrófico"),CONCATENATE("R8C",'Mapa final'!$R$56),"")</f>
        <v/>
      </c>
      <c r="AN33" s="65"/>
      <c r="AO33" s="709"/>
      <c r="AP33" s="710"/>
      <c r="AQ33" s="710"/>
      <c r="AR33" s="710"/>
      <c r="AS33" s="710"/>
      <c r="AT33" s="711"/>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0" ht="15" customHeight="1" x14ac:dyDescent="0.3">
      <c r="A34" s="65"/>
      <c r="B34" s="581"/>
      <c r="C34" s="581"/>
      <c r="D34" s="582"/>
      <c r="E34" s="680"/>
      <c r="F34" s="679"/>
      <c r="G34" s="679"/>
      <c r="H34" s="679"/>
      <c r="I34" s="695"/>
      <c r="J34" s="49" t="str">
        <f>IF(AND('Mapa final'!$AB$57="Media",'Mapa final'!$AD$57="Leve"),CONCATENATE("R9C",'Mapa final'!$R$57),"")</f>
        <v/>
      </c>
      <c r="K34" s="50" t="str">
        <f>IF(AND('Mapa final'!$AB$58="Media",'Mapa final'!$AD$58="Leve"),CONCATENATE("R9C",'Mapa final'!$R$58),"")</f>
        <v/>
      </c>
      <c r="L34" s="50" t="str">
        <f>IF(AND('Mapa final'!$AB$59="Media",'Mapa final'!$AD$59="Leve"),CONCATENATE("R9C",'Mapa final'!$R$59),"")</f>
        <v/>
      </c>
      <c r="M34" s="50" t="str">
        <f>IF(AND('Mapa final'!$AB$60="Media",'Mapa final'!$AD$60="Leve"),CONCATENATE("R9C",'Mapa final'!$R$60),"")</f>
        <v/>
      </c>
      <c r="N34" s="50" t="str">
        <f>IF(AND('Mapa final'!$AB$61="Media",'Mapa final'!$AD$61="Leve"),CONCATENATE("R9C",'Mapa final'!$R$61),"")</f>
        <v/>
      </c>
      <c r="O34" s="51" t="str">
        <f>IF(AND('Mapa final'!$AB$62="Media",'Mapa final'!$AD$62="Leve"),CONCATENATE("R9C",'Mapa final'!$R$62),"")</f>
        <v/>
      </c>
      <c r="P34" s="49" t="str">
        <f>IF(AND('Mapa final'!$AB$57="Media",'Mapa final'!$AD$57="Menor"),CONCATENATE("R9C",'Mapa final'!$R$57),"")</f>
        <v/>
      </c>
      <c r="Q34" s="50" t="str">
        <f>IF(AND('Mapa final'!$AB$58="Media",'Mapa final'!$AD$58="Menor"),CONCATENATE("R9C",'Mapa final'!$R$58),"")</f>
        <v/>
      </c>
      <c r="R34" s="50" t="str">
        <f>IF(AND('Mapa final'!$AB$59="Media",'Mapa final'!$AD$59="Menor"),CONCATENATE("R9C",'Mapa final'!$R$59),"")</f>
        <v/>
      </c>
      <c r="S34" s="50" t="str">
        <f>IF(AND('Mapa final'!$AB$60="Media",'Mapa final'!$AD$60="Menor"),CONCATENATE("R9C",'Mapa final'!$R$60),"")</f>
        <v/>
      </c>
      <c r="T34" s="50" t="str">
        <f>IF(AND('Mapa final'!$AB$61="Media",'Mapa final'!$AD$61="Menor"),CONCATENATE("R9C",'Mapa final'!$R$61),"")</f>
        <v/>
      </c>
      <c r="U34" s="51" t="str">
        <f>IF(AND('Mapa final'!$AB$62="Media",'Mapa final'!$AD$62="Menor"),CONCATENATE("R9C",'Mapa final'!$R$62),"")</f>
        <v/>
      </c>
      <c r="V34" s="49" t="str">
        <f>IF(AND('Mapa final'!$AB$57="Media",'Mapa final'!$AD$57="Moderado"),CONCATENATE("R9C",'Mapa final'!$R$57),"")</f>
        <v/>
      </c>
      <c r="W34" s="50" t="str">
        <f>IF(AND('Mapa final'!$AB$58="Media",'Mapa final'!$AD$58="Moderado"),CONCATENATE("R9C",'Mapa final'!$R$58),"")</f>
        <v/>
      </c>
      <c r="X34" s="50" t="str">
        <f>IF(AND('Mapa final'!$AB$59="Media",'Mapa final'!$AD$59="Moderado"),CONCATENATE("R9C",'Mapa final'!$R$59),"")</f>
        <v/>
      </c>
      <c r="Y34" s="50" t="str">
        <f>IF(AND('Mapa final'!$AB$60="Media",'Mapa final'!$AD$60="Moderado"),CONCATENATE("R9C",'Mapa final'!$R$60),"")</f>
        <v/>
      </c>
      <c r="Z34" s="50" t="str">
        <f>IF(AND('Mapa final'!$AB$61="Media",'Mapa final'!$AD$61="Moderado"),CONCATENATE("R9C",'Mapa final'!$R$61),"")</f>
        <v/>
      </c>
      <c r="AA34" s="51" t="str">
        <f>IF(AND('Mapa final'!$AB$62="Media",'Mapa final'!$AD$62="Moderado"),CONCATENATE("R9C",'Mapa final'!$R$62),"")</f>
        <v/>
      </c>
      <c r="AB34" s="34" t="str">
        <f>IF(AND('Mapa final'!$AB$57="Media",'Mapa final'!$AD$57="Mayor"),CONCATENATE("R9C",'Mapa final'!$R$57),"")</f>
        <v/>
      </c>
      <c r="AC34" s="35" t="str">
        <f>IF(AND('Mapa final'!$AB$58="Media",'Mapa final'!$AD$58="Mayor"),CONCATENATE("R9C",'Mapa final'!$R$58),"")</f>
        <v/>
      </c>
      <c r="AD34" s="35" t="str">
        <f>IF(AND('Mapa final'!$AB$59="Media",'Mapa final'!$AD$59="Mayor"),CONCATENATE("R9C",'Mapa final'!$R$59),"")</f>
        <v/>
      </c>
      <c r="AE34" s="35" t="str">
        <f>IF(AND('Mapa final'!$AB$60="Media",'Mapa final'!$AD$60="Mayor"),CONCATENATE("R9C",'Mapa final'!$R$60),"")</f>
        <v/>
      </c>
      <c r="AF34" s="35" t="str">
        <f>IF(AND('Mapa final'!$AB$61="Media",'Mapa final'!$AD$61="Mayor"),CONCATENATE("R9C",'Mapa final'!$R$61),"")</f>
        <v/>
      </c>
      <c r="AG34" s="36" t="str">
        <f>IF(AND('Mapa final'!$AB$62="Media",'Mapa final'!$AD$62="Mayor"),CONCATENATE("R9C",'Mapa final'!$R$62),"")</f>
        <v/>
      </c>
      <c r="AH34" s="37" t="str">
        <f>IF(AND('Mapa final'!$AB$57="Media",'Mapa final'!$AD$57="Catastrófico"),CONCATENATE("R9C",'Mapa final'!$R$57),"")</f>
        <v/>
      </c>
      <c r="AI34" s="38" t="str">
        <f>IF(AND('Mapa final'!$AB$58="Media",'Mapa final'!$AD$58="Catastrófico"),CONCATENATE("R9C",'Mapa final'!$R$58),"")</f>
        <v/>
      </c>
      <c r="AJ34" s="38" t="str">
        <f>IF(AND('Mapa final'!$AB$59="Media",'Mapa final'!$AD$59="Catastrófico"),CONCATENATE("R9C",'Mapa final'!$R$59),"")</f>
        <v/>
      </c>
      <c r="AK34" s="38" t="str">
        <f>IF(AND('Mapa final'!$AB$60="Media",'Mapa final'!$AD$60="Catastrófico"),CONCATENATE("R9C",'Mapa final'!$R$60),"")</f>
        <v/>
      </c>
      <c r="AL34" s="38" t="str">
        <f>IF(AND('Mapa final'!$AB$61="Media",'Mapa final'!$AD$61="Catastrófico"),CONCATENATE("R9C",'Mapa final'!$R$61),"")</f>
        <v/>
      </c>
      <c r="AM34" s="39" t="str">
        <f>IF(AND('Mapa final'!$AB$62="Media",'Mapa final'!$AD$62="Catastrófico"),CONCATENATE("R9C",'Mapa final'!$R$62),"")</f>
        <v/>
      </c>
      <c r="AN34" s="65"/>
      <c r="AO34" s="709"/>
      <c r="AP34" s="710"/>
      <c r="AQ34" s="710"/>
      <c r="AR34" s="710"/>
      <c r="AS34" s="710"/>
      <c r="AT34" s="711"/>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0" ht="15.75" customHeight="1" thickBot="1" x14ac:dyDescent="0.35">
      <c r="A35" s="65"/>
      <c r="B35" s="581"/>
      <c r="C35" s="581"/>
      <c r="D35" s="582"/>
      <c r="E35" s="681"/>
      <c r="F35" s="682"/>
      <c r="G35" s="682"/>
      <c r="H35" s="682"/>
      <c r="I35" s="696"/>
      <c r="J35" s="49" t="str">
        <f>IF(AND('Mapa final'!$AB$63="Media",'Mapa final'!$AD$63="Leve"),CONCATENATE("R10C",'Mapa final'!$R$63),"")</f>
        <v/>
      </c>
      <c r="K35" s="50" t="str">
        <f>IF(AND('Mapa final'!$AB$64="Media",'Mapa final'!$AD$64="Leve"),CONCATENATE("R10C",'Mapa final'!$R$64),"")</f>
        <v/>
      </c>
      <c r="L35" s="50" t="str">
        <f>IF(AND('Mapa final'!$AB$65="Media",'Mapa final'!$AD$65="Leve"),CONCATENATE("R10C",'Mapa final'!$R$65),"")</f>
        <v/>
      </c>
      <c r="M35" s="50" t="str">
        <f>IF(AND('Mapa final'!$AB$66="Media",'Mapa final'!$AD$66="Leve"),CONCATENATE("R10C",'Mapa final'!$R$66),"")</f>
        <v/>
      </c>
      <c r="N35" s="50" t="str">
        <f>IF(AND('Mapa final'!$AB$67="Media",'Mapa final'!$AD$67="Leve"),CONCATENATE("R10C",'Mapa final'!$R$67),"")</f>
        <v/>
      </c>
      <c r="O35" s="51" t="str">
        <f>IF(AND('Mapa final'!$AB$68="Media",'Mapa final'!$AD$68="Leve"),CONCATENATE("R10C",'Mapa final'!$R$68),"")</f>
        <v/>
      </c>
      <c r="P35" s="49" t="str">
        <f>IF(AND('Mapa final'!$AB$63="Media",'Mapa final'!$AD$63="Menor"),CONCATENATE("R10C",'Mapa final'!$R$63),"")</f>
        <v/>
      </c>
      <c r="Q35" s="50" t="str">
        <f>IF(AND('Mapa final'!$AB$64="Media",'Mapa final'!$AD$64="Menor"),CONCATENATE("R10C",'Mapa final'!$R$64),"")</f>
        <v/>
      </c>
      <c r="R35" s="50" t="str">
        <f>IF(AND('Mapa final'!$AB$65="Media",'Mapa final'!$AD$65="Menor"),CONCATENATE("R10C",'Mapa final'!$R$65),"")</f>
        <v/>
      </c>
      <c r="S35" s="50" t="str">
        <f>IF(AND('Mapa final'!$AB$66="Media",'Mapa final'!$AD$66="Menor"),CONCATENATE("R10C",'Mapa final'!$R$66),"")</f>
        <v/>
      </c>
      <c r="T35" s="50" t="str">
        <f>IF(AND('Mapa final'!$AB$67="Media",'Mapa final'!$AD$67="Menor"),CONCATENATE("R10C",'Mapa final'!$R$67),"")</f>
        <v/>
      </c>
      <c r="U35" s="51" t="str">
        <f>IF(AND('Mapa final'!$AB$68="Media",'Mapa final'!$AD$68="Menor"),CONCATENATE("R10C",'Mapa final'!$R$68),"")</f>
        <v/>
      </c>
      <c r="V35" s="49" t="str">
        <f>IF(AND('Mapa final'!$AB$63="Media",'Mapa final'!$AD$63="Moderado"),CONCATENATE("R10C",'Mapa final'!$R$63),"")</f>
        <v/>
      </c>
      <c r="W35" s="50" t="str">
        <f>IF(AND('Mapa final'!$AB$64="Media",'Mapa final'!$AD$64="Moderado"),CONCATENATE("R10C",'Mapa final'!$R$64),"")</f>
        <v/>
      </c>
      <c r="X35" s="50" t="str">
        <f>IF(AND('Mapa final'!$AB$65="Media",'Mapa final'!$AD$65="Moderado"),CONCATENATE("R10C",'Mapa final'!$R$65),"")</f>
        <v/>
      </c>
      <c r="Y35" s="50" t="str">
        <f>IF(AND('Mapa final'!$AB$66="Media",'Mapa final'!$AD$66="Moderado"),CONCATENATE("R10C",'Mapa final'!$R$66),"")</f>
        <v/>
      </c>
      <c r="Z35" s="50" t="str">
        <f>IF(AND('Mapa final'!$AB$67="Media",'Mapa final'!$AD$67="Moderado"),CONCATENATE("R10C",'Mapa final'!$R$67),"")</f>
        <v/>
      </c>
      <c r="AA35" s="51" t="str">
        <f>IF(AND('Mapa final'!$AB$68="Media",'Mapa final'!$AD$68="Moderado"),CONCATENATE("R10C",'Mapa final'!$R$68),"")</f>
        <v/>
      </c>
      <c r="AB35" s="40" t="str">
        <f>IF(AND('Mapa final'!$AB$63="Media",'Mapa final'!$AD$63="Mayor"),CONCATENATE("R10C",'Mapa final'!$R$63),"")</f>
        <v/>
      </c>
      <c r="AC35" s="41" t="str">
        <f>IF(AND('Mapa final'!$AB$64="Media",'Mapa final'!$AD$64="Mayor"),CONCATENATE("R10C",'Mapa final'!$R$64),"")</f>
        <v/>
      </c>
      <c r="AD35" s="41" t="str">
        <f>IF(AND('Mapa final'!$AB$65="Media",'Mapa final'!$AD$65="Mayor"),CONCATENATE("R10C",'Mapa final'!$R$65),"")</f>
        <v/>
      </c>
      <c r="AE35" s="41" t="str">
        <f>IF(AND('Mapa final'!$AB$66="Media",'Mapa final'!$AD$66="Mayor"),CONCATENATE("R10C",'Mapa final'!$R$66),"")</f>
        <v/>
      </c>
      <c r="AF35" s="41" t="str">
        <f>IF(AND('Mapa final'!$AB$67="Media",'Mapa final'!$AD$67="Mayor"),CONCATENATE("R10C",'Mapa final'!$R$67),"")</f>
        <v/>
      </c>
      <c r="AG35" s="42" t="str">
        <f>IF(AND('Mapa final'!$AB$68="Media",'Mapa final'!$AD$68="Mayor"),CONCATENATE("R10C",'Mapa final'!$R$68),"")</f>
        <v/>
      </c>
      <c r="AH35" s="43" t="str">
        <f>IF(AND('Mapa final'!$AB$63="Media",'Mapa final'!$AD$63="Catastrófico"),CONCATENATE("R10C",'Mapa final'!$R$63),"")</f>
        <v/>
      </c>
      <c r="AI35" s="44" t="str">
        <f>IF(AND('Mapa final'!$AB$64="Media",'Mapa final'!$AD$64="Catastrófico"),CONCATENATE("R10C",'Mapa final'!$R$64),"")</f>
        <v/>
      </c>
      <c r="AJ35" s="44" t="str">
        <f>IF(AND('Mapa final'!$AB$65="Media",'Mapa final'!$AD$65="Catastrófico"),CONCATENATE("R10C",'Mapa final'!$R$65),"")</f>
        <v/>
      </c>
      <c r="AK35" s="44" t="str">
        <f>IF(AND('Mapa final'!$AB$66="Media",'Mapa final'!$AD$66="Catastrófico"),CONCATENATE("R10C",'Mapa final'!$R$66),"")</f>
        <v/>
      </c>
      <c r="AL35" s="44" t="str">
        <f>IF(AND('Mapa final'!$AB$67="Media",'Mapa final'!$AD$67="Catastrófico"),CONCATENATE("R10C",'Mapa final'!$R$67),"")</f>
        <v/>
      </c>
      <c r="AM35" s="45" t="str">
        <f>IF(AND('Mapa final'!$AB$68="Media",'Mapa final'!$AD$68="Catastrófico"),CONCATENATE("R10C",'Mapa final'!$R$68),"")</f>
        <v/>
      </c>
      <c r="AN35" s="65"/>
      <c r="AO35" s="712"/>
      <c r="AP35" s="713"/>
      <c r="AQ35" s="713"/>
      <c r="AR35" s="713"/>
      <c r="AS35" s="713"/>
      <c r="AT35" s="714"/>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0" ht="15" customHeight="1" x14ac:dyDescent="0.3">
      <c r="A36" s="65"/>
      <c r="B36" s="581"/>
      <c r="C36" s="581"/>
      <c r="D36" s="582"/>
      <c r="E36" s="676" t="s">
        <v>109</v>
      </c>
      <c r="F36" s="677"/>
      <c r="G36" s="677"/>
      <c r="H36" s="677"/>
      <c r="I36" s="677"/>
      <c r="J36" s="55" t="str">
        <f>IF(AND('Mapa final'!$AB$10="Baja",'Mapa final'!$AD$10="Leve"),CONCATENATE("R1C",'Mapa final'!$R$10),"")</f>
        <v/>
      </c>
      <c r="K36" s="56" t="str">
        <f>IF(AND('Mapa final'!$AB$11="Baja",'Mapa final'!$AD$11="Leve"),CONCATENATE("R1C",'Mapa final'!$R$11),"")</f>
        <v/>
      </c>
      <c r="L36" s="56" t="str">
        <f>IF(AND('Mapa final'!$AB$12="Baja",'Mapa final'!$AD$12="Leve"),CONCATENATE("R1C",'Mapa final'!$R$12),"")</f>
        <v/>
      </c>
      <c r="M36" s="56" t="str">
        <f>IF(AND('Mapa final'!$AB$13="Baja",'Mapa final'!$AD$13="Leve"),CONCATENATE("R1C",'Mapa final'!$R$13),"")</f>
        <v/>
      </c>
      <c r="N36" s="56" t="str">
        <f>IF(AND('Mapa final'!$AB$14="Baja",'Mapa final'!$AD$14="Leve"),CONCATENATE("R1C",'Mapa final'!$R$14),"")</f>
        <v/>
      </c>
      <c r="O36" s="57" t="str">
        <f>IF(AND('Mapa final'!$AB$15="Baja",'Mapa final'!$AD$15="Leve"),CONCATENATE("R1C",'Mapa final'!$R$15),"")</f>
        <v/>
      </c>
      <c r="P36" s="46" t="str">
        <f>IF(AND('Mapa final'!$AB$10="Baja",'Mapa final'!$AD$10="Menor"),CONCATENATE("R1C",'Mapa final'!$R$10),"")</f>
        <v/>
      </c>
      <c r="Q36" s="47" t="str">
        <f>IF(AND('Mapa final'!$AB$11="Baja",'Mapa final'!$AD$11="Menor"),CONCATENATE("R1C",'Mapa final'!$R$11),"")</f>
        <v/>
      </c>
      <c r="R36" s="47" t="str">
        <f>IF(AND('Mapa final'!$AB$12="Baja",'Mapa final'!$AD$12="Menor"),CONCATENATE("R1C",'Mapa final'!$R$12),"")</f>
        <v/>
      </c>
      <c r="S36" s="47" t="str">
        <f>IF(AND('Mapa final'!$AB$13="Baja",'Mapa final'!$AD$13="Menor"),CONCATENATE("R1C",'Mapa final'!$R$13),"")</f>
        <v/>
      </c>
      <c r="T36" s="47" t="str">
        <f>IF(AND('Mapa final'!$AB$14="Baja",'Mapa final'!$AD$14="Menor"),CONCATENATE("R1C",'Mapa final'!$R$14),"")</f>
        <v/>
      </c>
      <c r="U36" s="48" t="str">
        <f>IF(AND('Mapa final'!$AB$15="Baja",'Mapa final'!$AD$15="Menor"),CONCATENATE("R1C",'Mapa final'!$R$15),"")</f>
        <v/>
      </c>
      <c r="V36" s="46" t="str">
        <f>IF(AND('Mapa final'!$AB$10="Baja",'Mapa final'!$AD$10="Moderado"),CONCATENATE("R1C",'Mapa final'!$R$10),"")</f>
        <v/>
      </c>
      <c r="W36" s="47" t="str">
        <f>IF(AND('Mapa final'!$AB$11="Baja",'Mapa final'!$AD$11="Moderado"),CONCATENATE("R1C",'Mapa final'!$R$11),"")</f>
        <v/>
      </c>
      <c r="X36" s="47" t="str">
        <f>IF(AND('Mapa final'!$AB$12="Baja",'Mapa final'!$AD$12="Moderado"),CONCATENATE("R1C",'Mapa final'!$R$12),"")</f>
        <v/>
      </c>
      <c r="Y36" s="47" t="str">
        <f>IF(AND('Mapa final'!$AB$13="Baja",'Mapa final'!$AD$13="Moderado"),CONCATENATE("R1C",'Mapa final'!$R$13),"")</f>
        <v/>
      </c>
      <c r="Z36" s="47" t="str">
        <f>IF(AND('Mapa final'!$AB$14="Baja",'Mapa final'!$AD$14="Moderado"),CONCATENATE("R1C",'Mapa final'!$R$14),"")</f>
        <v/>
      </c>
      <c r="AA36" s="48" t="str">
        <f>IF(AND('Mapa final'!$AB$15="Baja",'Mapa final'!$AD$15="Moderado"),CONCATENATE("R1C",'Mapa final'!$R$15),"")</f>
        <v/>
      </c>
      <c r="AB36" s="28" t="str">
        <f>IF(AND('Mapa final'!$AB$10="Baja",'Mapa final'!$AD$10="Mayor"),CONCATENATE("R1C",'Mapa final'!$R$10),"")</f>
        <v/>
      </c>
      <c r="AC36" s="29" t="str">
        <f>IF(AND('Mapa final'!$AB$11="Baja",'Mapa final'!$AD$11="Mayor"),CONCATENATE("R1C",'Mapa final'!$R$11),"")</f>
        <v/>
      </c>
      <c r="AD36" s="29" t="str">
        <f>IF(AND('Mapa final'!$AB$12="Baja",'Mapa final'!$AD$12="Mayor"),CONCATENATE("R1C",'Mapa final'!$R$12),"")</f>
        <v/>
      </c>
      <c r="AE36" s="29" t="str">
        <f>IF(AND('Mapa final'!$AB$13="Baja",'Mapa final'!$AD$13="Mayor"),CONCATENATE("R1C",'Mapa final'!$R$13),"")</f>
        <v/>
      </c>
      <c r="AF36" s="29" t="str">
        <f>IF(AND('Mapa final'!$AB$14="Baja",'Mapa final'!$AD$14="Mayor"),CONCATENATE("R1C",'Mapa final'!$R$14),"")</f>
        <v/>
      </c>
      <c r="AG36" s="30" t="str">
        <f>IF(AND('Mapa final'!$AB$15="Baja",'Mapa final'!$AD$15="Mayor"),CONCATENATE("R1C",'Mapa final'!$R$15),"")</f>
        <v/>
      </c>
      <c r="AH36" s="31" t="str">
        <f>IF(AND('Mapa final'!$AB$10="Baja",'Mapa final'!$AD$10="Catastrófico"),CONCATENATE("R1C",'Mapa final'!$R$10),"")</f>
        <v>R1C1</v>
      </c>
      <c r="AI36" s="32" t="str">
        <f>IF(AND('Mapa final'!$AB$11="Baja",'Mapa final'!$AD$11="Catastrófico"),CONCATENATE("R1C",'Mapa final'!$R$11),"")</f>
        <v/>
      </c>
      <c r="AJ36" s="32" t="str">
        <f>IF(AND('Mapa final'!$AB$12="Baja",'Mapa final'!$AD$12="Catastrófico"),CONCATENATE("R1C",'Mapa final'!$R$12),"")</f>
        <v/>
      </c>
      <c r="AK36" s="32" t="str">
        <f>IF(AND('Mapa final'!$AB$13="Baja",'Mapa final'!$AD$13="Catastrófico"),CONCATENATE("R1C",'Mapa final'!$R$13),"")</f>
        <v/>
      </c>
      <c r="AL36" s="32" t="str">
        <f>IF(AND('Mapa final'!$AB$14="Baja",'Mapa final'!$AD$14="Catastrófico"),CONCATENATE("R1C",'Mapa final'!$R$14),"")</f>
        <v/>
      </c>
      <c r="AM36" s="33" t="str">
        <f>IF(AND('Mapa final'!$AB$15="Baja",'Mapa final'!$AD$15="Catastrófico"),CONCATENATE("R1C",'Mapa final'!$R$15),"")</f>
        <v/>
      </c>
      <c r="AN36" s="65"/>
      <c r="AO36" s="697" t="s">
        <v>81</v>
      </c>
      <c r="AP36" s="698"/>
      <c r="AQ36" s="698"/>
      <c r="AR36" s="698"/>
      <c r="AS36" s="698"/>
      <c r="AT36" s="699"/>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80" ht="15" customHeight="1" x14ac:dyDescent="0.3">
      <c r="A37" s="65"/>
      <c r="B37" s="581"/>
      <c r="C37" s="581"/>
      <c r="D37" s="582"/>
      <c r="E37" s="678"/>
      <c r="F37" s="679"/>
      <c r="G37" s="679"/>
      <c r="H37" s="679"/>
      <c r="I37" s="679"/>
      <c r="J37" s="58" t="str">
        <f>IF(AND('Mapa final'!$AB$16="Baja",'Mapa final'!$AD$16="Leve"),CONCATENATE("R2C",'Mapa final'!$R$16),"")</f>
        <v/>
      </c>
      <c r="K37" s="59" t="str">
        <f>IF(AND('Mapa final'!$AB$17="Baja",'Mapa final'!$AD$17="Leve"),CONCATENATE("R2C",'Mapa final'!$R$17),"")</f>
        <v/>
      </c>
      <c r="L37" s="59" t="str">
        <f>IF(AND('Mapa final'!$AB$18="Baja",'Mapa final'!$AD$18="Leve"),CONCATENATE("R2C",'Mapa final'!$R$18),"")</f>
        <v/>
      </c>
      <c r="M37" s="59" t="str">
        <f>IF(AND('Mapa final'!$AB$19="Baja",'Mapa final'!$AD$19="Leve"),CONCATENATE("R2C",'Mapa final'!$R$19),"")</f>
        <v/>
      </c>
      <c r="N37" s="59" t="str">
        <f>IF(AND('Mapa final'!$AB$20="Baja",'Mapa final'!$AD$20="Leve"),CONCATENATE("R2C",'Mapa final'!$R$20),"")</f>
        <v/>
      </c>
      <c r="O37" s="60" t="str">
        <f>IF(AND('Mapa final'!$AB$21="Baja",'Mapa final'!$AD$21="Leve"),CONCATENATE("R2C",'Mapa final'!$R$21),"")</f>
        <v/>
      </c>
      <c r="P37" s="49" t="str">
        <f>IF(AND('Mapa final'!$AB$16="Baja",'Mapa final'!$AD$16="Menor"),CONCATENATE("R2C",'Mapa final'!$R$16),"")</f>
        <v/>
      </c>
      <c r="Q37" s="50" t="str">
        <f>IF(AND('Mapa final'!$AB$17="Baja",'Mapa final'!$AD$17="Menor"),CONCATENATE("R2C",'Mapa final'!$R$17),"")</f>
        <v/>
      </c>
      <c r="R37" s="50" t="str">
        <f>IF(AND('Mapa final'!$AB$18="Baja",'Mapa final'!$AD$18="Menor"),CONCATENATE("R2C",'Mapa final'!$R$18),"")</f>
        <v/>
      </c>
      <c r="S37" s="50" t="str">
        <f>IF(AND('Mapa final'!$AB$19="Baja",'Mapa final'!$AD$19="Menor"),CONCATENATE("R2C",'Mapa final'!$R$19),"")</f>
        <v/>
      </c>
      <c r="T37" s="50" t="str">
        <f>IF(AND('Mapa final'!$AB$20="Baja",'Mapa final'!$AD$20="Menor"),CONCATENATE("R2C",'Mapa final'!$R$20),"")</f>
        <v/>
      </c>
      <c r="U37" s="51" t="str">
        <f>IF(AND('Mapa final'!$AB$21="Baja",'Mapa final'!$AD$21="Menor"),CONCATENATE("R2C",'Mapa final'!$R$21),"")</f>
        <v/>
      </c>
      <c r="V37" s="49" t="str">
        <f>IF(AND('Mapa final'!$AB$16="Baja",'Mapa final'!$AD$16="Moderado"),CONCATENATE("R2C",'Mapa final'!$R$16),"")</f>
        <v/>
      </c>
      <c r="W37" s="50" t="str">
        <f>IF(AND('Mapa final'!$AB$17="Baja",'Mapa final'!$AD$17="Moderado"),CONCATENATE("R2C",'Mapa final'!$R$17),"")</f>
        <v/>
      </c>
      <c r="X37" s="50" t="str">
        <f>IF(AND('Mapa final'!$AB$18="Baja",'Mapa final'!$AD$18="Moderado"),CONCATENATE("R2C",'Mapa final'!$R$18),"")</f>
        <v/>
      </c>
      <c r="Y37" s="50" t="str">
        <f>IF(AND('Mapa final'!$AB$19="Baja",'Mapa final'!$AD$19="Moderado"),CONCATENATE("R2C",'Mapa final'!$R$19),"")</f>
        <v/>
      </c>
      <c r="Z37" s="50" t="str">
        <f>IF(AND('Mapa final'!$AB$20="Baja",'Mapa final'!$AD$20="Moderado"),CONCATENATE("R2C",'Mapa final'!$R$20),"")</f>
        <v/>
      </c>
      <c r="AA37" s="51" t="str">
        <f>IF(AND('Mapa final'!$AB$21="Baja",'Mapa final'!$AD$21="Moderado"),CONCATENATE("R2C",'Mapa final'!$R$21),"")</f>
        <v/>
      </c>
      <c r="AB37" s="34" t="str">
        <f>IF(AND('Mapa final'!$AB$16="Baja",'Mapa final'!$AD$16="Mayor"),CONCATENATE("R2C",'Mapa final'!$R$16),"")</f>
        <v/>
      </c>
      <c r="AC37" s="35" t="str">
        <f>IF(AND('Mapa final'!$AB$17="Baja",'Mapa final'!$AD$17="Mayor"),CONCATENATE("R2C",'Mapa final'!$R$17),"")</f>
        <v/>
      </c>
      <c r="AD37" s="35" t="str">
        <f>IF(AND('Mapa final'!$AB$18="Baja",'Mapa final'!$AD$18="Mayor"),CONCATENATE("R2C",'Mapa final'!$R$18),"")</f>
        <v/>
      </c>
      <c r="AE37" s="35" t="str">
        <f>IF(AND('Mapa final'!$AB$19="Baja",'Mapa final'!$AD$19="Mayor"),CONCATENATE("R2C",'Mapa final'!$R$19),"")</f>
        <v/>
      </c>
      <c r="AF37" s="35" t="str">
        <f>IF(AND('Mapa final'!$AB$20="Baja",'Mapa final'!$AD$20="Mayor"),CONCATENATE("R2C",'Mapa final'!$R$20),"")</f>
        <v/>
      </c>
      <c r="AG37" s="36" t="str">
        <f>IF(AND('Mapa final'!$AB$21="Baja",'Mapa final'!$AD$21="Mayor"),CONCATENATE("R2C",'Mapa final'!$R$21),"")</f>
        <v/>
      </c>
      <c r="AH37" s="37" t="str">
        <f>IF(AND('Mapa final'!$AB$16="Baja",'Mapa final'!$AD$16="Catastrófico"),CONCATENATE("R2C",'Mapa final'!$R$16),"")</f>
        <v/>
      </c>
      <c r="AI37" s="38" t="str">
        <f>IF(AND('Mapa final'!$AB$17="Baja",'Mapa final'!$AD$17="Catastrófico"),CONCATENATE("R2C",'Mapa final'!$R$17),"")</f>
        <v/>
      </c>
      <c r="AJ37" s="38" t="str">
        <f>IF(AND('Mapa final'!$AB$18="Baja",'Mapa final'!$AD$18="Catastrófico"),CONCATENATE("R2C",'Mapa final'!$R$18),"")</f>
        <v/>
      </c>
      <c r="AK37" s="38" t="str">
        <f>IF(AND('Mapa final'!$AB$19="Baja",'Mapa final'!$AD$19="Catastrófico"),CONCATENATE("R2C",'Mapa final'!$R$19),"")</f>
        <v/>
      </c>
      <c r="AL37" s="38" t="str">
        <f>IF(AND('Mapa final'!$AB$20="Baja",'Mapa final'!$AD$20="Catastrófico"),CONCATENATE("R2C",'Mapa final'!$R$20),"")</f>
        <v/>
      </c>
      <c r="AM37" s="39" t="str">
        <f>IF(AND('Mapa final'!$AB$21="Baja",'Mapa final'!$AD$21="Catastrófico"),CONCATENATE("R2C",'Mapa final'!$R$21),"")</f>
        <v/>
      </c>
      <c r="AN37" s="65"/>
      <c r="AO37" s="700"/>
      <c r="AP37" s="701"/>
      <c r="AQ37" s="701"/>
      <c r="AR37" s="701"/>
      <c r="AS37" s="701"/>
      <c r="AT37" s="702"/>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80" ht="15" customHeight="1" x14ac:dyDescent="0.3">
      <c r="A38" s="65"/>
      <c r="B38" s="581"/>
      <c r="C38" s="581"/>
      <c r="D38" s="582"/>
      <c r="E38" s="680"/>
      <c r="F38" s="679"/>
      <c r="G38" s="679"/>
      <c r="H38" s="679"/>
      <c r="I38" s="679"/>
      <c r="J38" s="58" t="str">
        <f>IF(AND('Mapa final'!$AB$22="Baja",'Mapa final'!$AD$22="Leve"),CONCATENATE("R3C",'Mapa final'!$R$22),"")</f>
        <v/>
      </c>
      <c r="K38" s="59" t="str">
        <f>IF(AND('Mapa final'!$AB$23="Baja",'Mapa final'!$AD$23="Leve"),CONCATENATE("R3C",'Mapa final'!$R$23),"")</f>
        <v/>
      </c>
      <c r="L38" s="59" t="str">
        <f>IF(AND('Mapa final'!$AB$24="Baja",'Mapa final'!$AD$24="Leve"),CONCATENATE("R3C",'Mapa final'!$R$24),"")</f>
        <v/>
      </c>
      <c r="M38" s="59" t="str">
        <f>IF(AND('Mapa final'!$AB$25="Baja",'Mapa final'!$AD$25="Leve"),CONCATENATE("R3C",'Mapa final'!$R$25),"")</f>
        <v/>
      </c>
      <c r="N38" s="59" t="str">
        <f>IF(AND('Mapa final'!$AB$26="Baja",'Mapa final'!$AD$26="Leve"),CONCATENATE("R3C",'Mapa final'!$R$26),"")</f>
        <v/>
      </c>
      <c r="O38" s="60" t="str">
        <f>IF(AND('Mapa final'!$AB$27="Baja",'Mapa final'!$AD$27="Leve"),CONCATENATE("R3C",'Mapa final'!$R$27),"")</f>
        <v/>
      </c>
      <c r="P38" s="49" t="str">
        <f>IF(AND('Mapa final'!$AB$22="Baja",'Mapa final'!$AD$22="Menor"),CONCATENATE("R3C",'Mapa final'!$R$22),"")</f>
        <v/>
      </c>
      <c r="Q38" s="50" t="str">
        <f>IF(AND('Mapa final'!$AB$23="Baja",'Mapa final'!$AD$23="Menor"),CONCATENATE("R3C",'Mapa final'!$R$23),"")</f>
        <v/>
      </c>
      <c r="R38" s="50" t="str">
        <f>IF(AND('Mapa final'!$AB$24="Baja",'Mapa final'!$AD$24="Menor"),CONCATENATE("R3C",'Mapa final'!$R$24),"")</f>
        <v/>
      </c>
      <c r="S38" s="50" t="str">
        <f>IF(AND('Mapa final'!$AB$25="Baja",'Mapa final'!$AD$25="Menor"),CONCATENATE("R3C",'Mapa final'!$R$25),"")</f>
        <v/>
      </c>
      <c r="T38" s="50" t="str">
        <f>IF(AND('Mapa final'!$AB$26="Baja",'Mapa final'!$AD$26="Menor"),CONCATENATE("R3C",'Mapa final'!$R$26),"")</f>
        <v/>
      </c>
      <c r="U38" s="51" t="str">
        <f>IF(AND('Mapa final'!$AB$27="Baja",'Mapa final'!$AD$27="Menor"),CONCATENATE("R3C",'Mapa final'!$R$27),"")</f>
        <v/>
      </c>
      <c r="V38" s="49" t="str">
        <f>IF(AND('Mapa final'!$AB$22="Baja",'Mapa final'!$AD$22="Moderado"),CONCATENATE("R3C",'Mapa final'!$R$22),"")</f>
        <v>R3C1</v>
      </c>
      <c r="W38" s="50" t="str">
        <f>IF(AND('Mapa final'!$AB$23="Baja",'Mapa final'!$AD$23="Moderado"),CONCATENATE("R3C",'Mapa final'!$R$23),"")</f>
        <v/>
      </c>
      <c r="X38" s="50" t="str">
        <f>IF(AND('Mapa final'!$AB$24="Baja",'Mapa final'!$AD$24="Moderado"),CONCATENATE("R3C",'Mapa final'!$R$24),"")</f>
        <v/>
      </c>
      <c r="Y38" s="50" t="str">
        <f>IF(AND('Mapa final'!$AB$25="Baja",'Mapa final'!$AD$25="Moderado"),CONCATENATE("R3C",'Mapa final'!$R$25),"")</f>
        <v/>
      </c>
      <c r="Z38" s="50" t="str">
        <f>IF(AND('Mapa final'!$AB$26="Baja",'Mapa final'!$AD$26="Moderado"),CONCATENATE("R3C",'Mapa final'!$R$26),"")</f>
        <v/>
      </c>
      <c r="AA38" s="51" t="str">
        <f>IF(AND('Mapa final'!$AB$27="Baja",'Mapa final'!$AD$27="Moderado"),CONCATENATE("R3C",'Mapa final'!$R$27),"")</f>
        <v/>
      </c>
      <c r="AB38" s="34" t="str">
        <f>IF(AND('Mapa final'!$AB$22="Baja",'Mapa final'!$AD$22="Mayor"),CONCATENATE("R3C",'Mapa final'!$R$22),"")</f>
        <v/>
      </c>
      <c r="AC38" s="35" t="str">
        <f>IF(AND('Mapa final'!$AB$23="Baja",'Mapa final'!$AD$23="Mayor"),CONCATENATE("R3C",'Mapa final'!$R$23),"")</f>
        <v/>
      </c>
      <c r="AD38" s="35" t="str">
        <f>IF(AND('Mapa final'!$AB$24="Baja",'Mapa final'!$AD$24="Mayor"),CONCATENATE("R3C",'Mapa final'!$R$24),"")</f>
        <v/>
      </c>
      <c r="AE38" s="35" t="str">
        <f>IF(AND('Mapa final'!$AB$25="Baja",'Mapa final'!$AD$25="Mayor"),CONCATENATE("R3C",'Mapa final'!$R$25),"")</f>
        <v/>
      </c>
      <c r="AF38" s="35" t="str">
        <f>IF(AND('Mapa final'!$AB$26="Baja",'Mapa final'!$AD$26="Mayor"),CONCATENATE("R3C",'Mapa final'!$R$26),"")</f>
        <v/>
      </c>
      <c r="AG38" s="36" t="str">
        <f>IF(AND('Mapa final'!$AB$27="Baja",'Mapa final'!$AD$27="Mayor"),CONCATENATE("R3C",'Mapa final'!$R$27),"")</f>
        <v/>
      </c>
      <c r="AH38" s="37" t="str">
        <f>IF(AND('Mapa final'!$AB$22="Baja",'Mapa final'!$AD$22="Catastrófico"),CONCATENATE("R3C",'Mapa final'!$R$22),"")</f>
        <v/>
      </c>
      <c r="AI38" s="38" t="str">
        <f>IF(AND('Mapa final'!$AB$23="Baja",'Mapa final'!$AD$23="Catastrófico"),CONCATENATE("R3C",'Mapa final'!$R$23),"")</f>
        <v/>
      </c>
      <c r="AJ38" s="38" t="str">
        <f>IF(AND('Mapa final'!$AB$24="Baja",'Mapa final'!$AD$24="Catastrófico"),CONCATENATE("R3C",'Mapa final'!$R$24),"")</f>
        <v/>
      </c>
      <c r="AK38" s="38" t="str">
        <f>IF(AND('Mapa final'!$AB$25="Baja",'Mapa final'!$AD$25="Catastrófico"),CONCATENATE("R3C",'Mapa final'!$R$25),"")</f>
        <v/>
      </c>
      <c r="AL38" s="38" t="str">
        <f>IF(AND('Mapa final'!$AB$26="Baja",'Mapa final'!$AD$26="Catastrófico"),CONCATENATE("R3C",'Mapa final'!$R$26),"")</f>
        <v/>
      </c>
      <c r="AM38" s="39" t="str">
        <f>IF(AND('Mapa final'!$AB$27="Baja",'Mapa final'!$AD$27="Catastrófico"),CONCATENATE("R3C",'Mapa final'!$R$27),"")</f>
        <v/>
      </c>
      <c r="AN38" s="65"/>
      <c r="AO38" s="700"/>
      <c r="AP38" s="701"/>
      <c r="AQ38" s="701"/>
      <c r="AR38" s="701"/>
      <c r="AS38" s="701"/>
      <c r="AT38" s="702"/>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0" ht="15" customHeight="1" x14ac:dyDescent="0.3">
      <c r="A39" s="65"/>
      <c r="B39" s="581"/>
      <c r="C39" s="581"/>
      <c r="D39" s="582"/>
      <c r="E39" s="680"/>
      <c r="F39" s="679"/>
      <c r="G39" s="679"/>
      <c r="H39" s="679"/>
      <c r="I39" s="679"/>
      <c r="J39" s="58" t="str">
        <f>IF(AND('Mapa final'!$AB$28="Baja",'Mapa final'!$AD$28="Leve"),CONCATENATE("R4C",'Mapa final'!$R$28),"")</f>
        <v/>
      </c>
      <c r="K39" s="59" t="e">
        <f>IF(AND('Mapa final'!#REF!="Baja",'Mapa final'!#REF!="Leve"),CONCATENATE("R4C",'Mapa final'!#REF!),"")</f>
        <v>#REF!</v>
      </c>
      <c r="L39" s="59" t="str">
        <f>IF(AND('Mapa final'!$AB$29="Baja",'Mapa final'!$AD$29="Leve"),CONCATENATE("R4C",'Mapa final'!$R$29),"")</f>
        <v/>
      </c>
      <c r="M39" s="59" t="str">
        <f>IF(AND('Mapa final'!$AB$30="Baja",'Mapa final'!$AD$30="Leve"),CONCATENATE("R4C",'Mapa final'!$R$30),"")</f>
        <v/>
      </c>
      <c r="N39" s="59" t="str">
        <f>IF(AND('Mapa final'!$AB$31="Baja",'Mapa final'!$AD$31="Leve"),CONCATENATE("R4C",'Mapa final'!$R$31),"")</f>
        <v/>
      </c>
      <c r="O39" s="60" t="str">
        <f>IF(AND('Mapa final'!$AB$32="Baja",'Mapa final'!$AD$32="Leve"),CONCATENATE("R4C",'Mapa final'!$R$32),"")</f>
        <v/>
      </c>
      <c r="P39" s="49" t="str">
        <f>IF(AND('Mapa final'!$AB$28="Baja",'Mapa final'!$AD$28="Menor"),CONCATENATE("R4C",'Mapa final'!$R$28),"")</f>
        <v/>
      </c>
      <c r="Q39" s="50" t="e">
        <f>IF(AND('Mapa final'!#REF!="Baja",'Mapa final'!#REF!="Menor"),CONCATENATE("R4C",'Mapa final'!#REF!),"")</f>
        <v>#REF!</v>
      </c>
      <c r="R39" s="50" t="str">
        <f>IF(AND('Mapa final'!$AB$29="Baja",'Mapa final'!$AD$29="Menor"),CONCATENATE("R4C",'Mapa final'!$R$29),"")</f>
        <v/>
      </c>
      <c r="S39" s="50" t="str">
        <f>IF(AND('Mapa final'!$AB$30="Baja",'Mapa final'!$AD$30="Menor"),CONCATENATE("R4C",'Mapa final'!$R$30),"")</f>
        <v/>
      </c>
      <c r="T39" s="50" t="str">
        <f>IF(AND('Mapa final'!$AB$31="Baja",'Mapa final'!$AD$31="Menor"),CONCATENATE("R4C",'Mapa final'!$R$31),"")</f>
        <v/>
      </c>
      <c r="U39" s="51" t="str">
        <f>IF(AND('Mapa final'!$AB$32="Baja",'Mapa final'!$AD$32="Menor"),CONCATENATE("R4C",'Mapa final'!$R$32),"")</f>
        <v/>
      </c>
      <c r="V39" s="49" t="str">
        <f>IF(AND('Mapa final'!$AB$28="Baja",'Mapa final'!$AD$28="Moderado"),CONCATENATE("R4C",'Mapa final'!$R$28),"")</f>
        <v/>
      </c>
      <c r="W39" s="50" t="e">
        <f>IF(AND('Mapa final'!#REF!="Baja",'Mapa final'!#REF!="Moderado"),CONCATENATE("R4C",'Mapa final'!#REF!),"")</f>
        <v>#REF!</v>
      </c>
      <c r="X39" s="50" t="str">
        <f>IF(AND('Mapa final'!$AB$29="Baja",'Mapa final'!$AD$29="Moderado"),CONCATENATE("R4C",'Mapa final'!$R$29),"")</f>
        <v/>
      </c>
      <c r="Y39" s="50" t="str">
        <f>IF(AND('Mapa final'!$AB$30="Baja",'Mapa final'!$AD$30="Moderado"),CONCATENATE("R4C",'Mapa final'!$R$30),"")</f>
        <v/>
      </c>
      <c r="Z39" s="50" t="str">
        <f>IF(AND('Mapa final'!$AB$31="Baja",'Mapa final'!$AD$31="Moderado"),CONCATENATE("R4C",'Mapa final'!$R$31),"")</f>
        <v/>
      </c>
      <c r="AA39" s="51" t="str">
        <f>IF(AND('Mapa final'!$AB$32="Baja",'Mapa final'!$AD$32="Moderado"),CONCATENATE("R4C",'Mapa final'!$R$32),"")</f>
        <v/>
      </c>
      <c r="AB39" s="34" t="str">
        <f>IF(AND('Mapa final'!$AB$28="Baja",'Mapa final'!$AD$28="Mayor"),CONCATENATE("R4C",'Mapa final'!$R$28),"")</f>
        <v/>
      </c>
      <c r="AC39" s="35" t="e">
        <f>IF(AND('Mapa final'!#REF!="Baja",'Mapa final'!#REF!="Mayor"),CONCATENATE("R4C",'Mapa final'!#REF!),"")</f>
        <v>#REF!</v>
      </c>
      <c r="AD39" s="35" t="str">
        <f>IF(AND('Mapa final'!$AB$29="Baja",'Mapa final'!$AD$29="Mayor"),CONCATENATE("R4C",'Mapa final'!$R$29),"")</f>
        <v/>
      </c>
      <c r="AE39" s="35" t="str">
        <f>IF(AND('Mapa final'!$AB$30="Baja",'Mapa final'!$AD$30="Mayor"),CONCATENATE("R4C",'Mapa final'!$R$30),"")</f>
        <v/>
      </c>
      <c r="AF39" s="35" t="str">
        <f>IF(AND('Mapa final'!$AB$31="Baja",'Mapa final'!$AD$31="Mayor"),CONCATENATE("R4C",'Mapa final'!$R$31),"")</f>
        <v/>
      </c>
      <c r="AG39" s="36" t="str">
        <f>IF(AND('Mapa final'!$AB$32="Baja",'Mapa final'!$AD$32="Mayor"),CONCATENATE("R4C",'Mapa final'!$R$32),"")</f>
        <v/>
      </c>
      <c r="AH39" s="37" t="str">
        <f>IF(AND('Mapa final'!$AB$28="Baja",'Mapa final'!$AD$28="Catastrófico"),CONCATENATE("R4C",'Mapa final'!$R$28),"")</f>
        <v/>
      </c>
      <c r="AI39" s="38" t="e">
        <f>IF(AND('Mapa final'!#REF!="Baja",'Mapa final'!#REF!="Catastrófico"),CONCATENATE("R4C",'Mapa final'!#REF!),"")</f>
        <v>#REF!</v>
      </c>
      <c r="AJ39" s="38" t="str">
        <f>IF(AND('Mapa final'!$AB$29="Baja",'Mapa final'!$AD$29="Catastrófico"),CONCATENATE("R4C",'Mapa final'!$R$29),"")</f>
        <v/>
      </c>
      <c r="AK39" s="38" t="str">
        <f>IF(AND('Mapa final'!$AB$30="Baja",'Mapa final'!$AD$30="Catastrófico"),CONCATENATE("R4C",'Mapa final'!$R$30),"")</f>
        <v/>
      </c>
      <c r="AL39" s="38" t="str">
        <f>IF(AND('Mapa final'!$AB$31="Baja",'Mapa final'!$AD$31="Catastrófico"),CONCATENATE("R4C",'Mapa final'!$R$31),"")</f>
        <v/>
      </c>
      <c r="AM39" s="39" t="str">
        <f>IF(AND('Mapa final'!$AB$32="Baja",'Mapa final'!$AD$32="Catastrófico"),CONCATENATE("R4C",'Mapa final'!$R$32),"")</f>
        <v/>
      </c>
      <c r="AN39" s="65"/>
      <c r="AO39" s="700"/>
      <c r="AP39" s="701"/>
      <c r="AQ39" s="701"/>
      <c r="AR39" s="701"/>
      <c r="AS39" s="701"/>
      <c r="AT39" s="702"/>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0" ht="15" customHeight="1" x14ac:dyDescent="0.3">
      <c r="A40" s="65"/>
      <c r="B40" s="581"/>
      <c r="C40" s="581"/>
      <c r="D40" s="582"/>
      <c r="E40" s="680"/>
      <c r="F40" s="679"/>
      <c r="G40" s="679"/>
      <c r="H40" s="679"/>
      <c r="I40" s="679"/>
      <c r="J40" s="58" t="str">
        <f>IF(AND('Mapa final'!$AB$33="Baja",'Mapa final'!$AD$33="Leve"),CONCATENATE("R5C",'Mapa final'!$R$33),"")</f>
        <v/>
      </c>
      <c r="K40" s="59" t="str">
        <f>IF(AND('Mapa final'!$AB$34="Baja",'Mapa final'!$AD$34="Leve"),CONCATENATE("R5C",'Mapa final'!$R$34),"")</f>
        <v/>
      </c>
      <c r="L40" s="59" t="str">
        <f>IF(AND('Mapa final'!$AB$35="Baja",'Mapa final'!$AD$35="Leve"),CONCATENATE("R5C",'Mapa final'!$R$35),"")</f>
        <v/>
      </c>
      <c r="M40" s="59" t="str">
        <f>IF(AND('Mapa final'!$AB$36="Baja",'Mapa final'!$AD$36="Leve"),CONCATENATE("R5C",'Mapa final'!$R$36),"")</f>
        <v/>
      </c>
      <c r="N40" s="59" t="str">
        <f>IF(AND('Mapa final'!$AB$37="Baja",'Mapa final'!$AD$37="Leve"),CONCATENATE("R5C",'Mapa final'!$R$37),"")</f>
        <v/>
      </c>
      <c r="O40" s="60" t="str">
        <f>IF(AND('Mapa final'!$AB$38="Baja",'Mapa final'!$AD$38="Leve"),CONCATENATE("R5C",'Mapa final'!$R$38),"")</f>
        <v/>
      </c>
      <c r="P40" s="49" t="str">
        <f>IF(AND('Mapa final'!$AB$33="Baja",'Mapa final'!$AD$33="Menor"),CONCATENATE("R5C",'Mapa final'!$R$33),"")</f>
        <v>R5C1</v>
      </c>
      <c r="Q40" s="50" t="str">
        <f>IF(AND('Mapa final'!$AB$34="Baja",'Mapa final'!$AD$34="Menor"),CONCATENATE("R5C",'Mapa final'!$R$34),"")</f>
        <v>R5C2</v>
      </c>
      <c r="R40" s="50" t="str">
        <f>IF(AND('Mapa final'!$AB$35="Baja",'Mapa final'!$AD$35="Menor"),CONCATENATE("R5C",'Mapa final'!$R$35),"")</f>
        <v/>
      </c>
      <c r="S40" s="50" t="str">
        <f>IF(AND('Mapa final'!$AB$36="Baja",'Mapa final'!$AD$36="Menor"),CONCATENATE("R5C",'Mapa final'!$R$36),"")</f>
        <v/>
      </c>
      <c r="T40" s="50" t="str">
        <f>IF(AND('Mapa final'!$AB$37="Baja",'Mapa final'!$AD$37="Menor"),CONCATENATE("R5C",'Mapa final'!$R$37),"")</f>
        <v/>
      </c>
      <c r="U40" s="51" t="str">
        <f>IF(AND('Mapa final'!$AB$38="Baja",'Mapa final'!$AD$38="Menor"),CONCATENATE("R5C",'Mapa final'!$R$38),"")</f>
        <v/>
      </c>
      <c r="V40" s="49" t="str">
        <f>IF(AND('Mapa final'!$AB$33="Baja",'Mapa final'!$AD$33="Moderado"),CONCATENATE("R5C",'Mapa final'!$R$33),"")</f>
        <v/>
      </c>
      <c r="W40" s="50" t="str">
        <f>IF(AND('Mapa final'!$AB$34="Baja",'Mapa final'!$AD$34="Moderado"),CONCATENATE("R5C",'Mapa final'!$R$34),"")</f>
        <v/>
      </c>
      <c r="X40" s="50" t="str">
        <f>IF(AND('Mapa final'!$AB$35="Baja",'Mapa final'!$AD$35="Moderado"),CONCATENATE("R5C",'Mapa final'!$R$35),"")</f>
        <v/>
      </c>
      <c r="Y40" s="50" t="str">
        <f>IF(AND('Mapa final'!$AB$36="Baja",'Mapa final'!$AD$36="Moderado"),CONCATENATE("R5C",'Mapa final'!$R$36),"")</f>
        <v/>
      </c>
      <c r="Z40" s="50" t="str">
        <f>IF(AND('Mapa final'!$AB$37="Baja",'Mapa final'!$AD$37="Moderado"),CONCATENATE("R5C",'Mapa final'!$R$37),"")</f>
        <v/>
      </c>
      <c r="AA40" s="51" t="str">
        <f>IF(AND('Mapa final'!$AB$38="Baja",'Mapa final'!$AD$38="Moderado"),CONCATENATE("R5C",'Mapa final'!$R$38),"")</f>
        <v/>
      </c>
      <c r="AB40" s="34" t="str">
        <f>IF(AND('Mapa final'!$AB$33="Baja",'Mapa final'!$AD$33="Mayor"),CONCATENATE("R5C",'Mapa final'!$R$33),"")</f>
        <v/>
      </c>
      <c r="AC40" s="35" t="str">
        <f>IF(AND('Mapa final'!$AB$34="Baja",'Mapa final'!$AD$34="Mayor"),CONCATENATE("R5C",'Mapa final'!$R$34),"")</f>
        <v/>
      </c>
      <c r="AD40" s="35" t="str">
        <f>IF(AND('Mapa final'!$AB$35="Baja",'Mapa final'!$AD$35="Mayor"),CONCATENATE("R5C",'Mapa final'!$R$35),"")</f>
        <v/>
      </c>
      <c r="AE40" s="35" t="str">
        <f>IF(AND('Mapa final'!$AB$36="Baja",'Mapa final'!$AD$36="Mayor"),CONCATENATE("R5C",'Mapa final'!$R$36),"")</f>
        <v/>
      </c>
      <c r="AF40" s="35" t="str">
        <f>IF(AND('Mapa final'!$AB$37="Baja",'Mapa final'!$AD$37="Mayor"),CONCATENATE("R5C",'Mapa final'!$R$37),"")</f>
        <v/>
      </c>
      <c r="AG40" s="36" t="str">
        <f>IF(AND('Mapa final'!$AB$38="Baja",'Mapa final'!$AD$38="Mayor"),CONCATENATE("R5C",'Mapa final'!$R$38),"")</f>
        <v/>
      </c>
      <c r="AH40" s="37" t="str">
        <f>IF(AND('Mapa final'!$AB$33="Baja",'Mapa final'!$AD$33="Catastrófico"),CONCATENATE("R5C",'Mapa final'!$R$33),"")</f>
        <v/>
      </c>
      <c r="AI40" s="38" t="str">
        <f>IF(AND('Mapa final'!$AB$34="Baja",'Mapa final'!$AD$34="Catastrófico"),CONCATENATE("R5C",'Mapa final'!$R$34),"")</f>
        <v/>
      </c>
      <c r="AJ40" s="38" t="str">
        <f>IF(AND('Mapa final'!$AB$35="Baja",'Mapa final'!$AD$35="Catastrófico"),CONCATENATE("R5C",'Mapa final'!$R$35),"")</f>
        <v/>
      </c>
      <c r="AK40" s="38" t="str">
        <f>IF(AND('Mapa final'!$AB$36="Baja",'Mapa final'!$AD$36="Catastrófico"),CONCATENATE("R5C",'Mapa final'!$R$36),"")</f>
        <v/>
      </c>
      <c r="AL40" s="38" t="str">
        <f>IF(AND('Mapa final'!$AB$37="Baja",'Mapa final'!$AD$37="Catastrófico"),CONCATENATE("R5C",'Mapa final'!$R$37),"")</f>
        <v/>
      </c>
      <c r="AM40" s="39" t="str">
        <f>IF(AND('Mapa final'!$AB$38="Baja",'Mapa final'!$AD$38="Catastrófico"),CONCATENATE("R5C",'Mapa final'!$R$38),"")</f>
        <v/>
      </c>
      <c r="AN40" s="65"/>
      <c r="AO40" s="700"/>
      <c r="AP40" s="701"/>
      <c r="AQ40" s="701"/>
      <c r="AR40" s="701"/>
      <c r="AS40" s="701"/>
      <c r="AT40" s="702"/>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80" ht="15" customHeight="1" x14ac:dyDescent="0.3">
      <c r="A41" s="65"/>
      <c r="B41" s="581"/>
      <c r="C41" s="581"/>
      <c r="D41" s="582"/>
      <c r="E41" s="680"/>
      <c r="F41" s="679"/>
      <c r="G41" s="679"/>
      <c r="H41" s="679"/>
      <c r="I41" s="679"/>
      <c r="J41" s="58" t="str">
        <f>IF(AND('Mapa final'!$AB$39="Baja",'Mapa final'!$AD$39="Leve"),CONCATENATE("R6C",'Mapa final'!$R$39),"")</f>
        <v/>
      </c>
      <c r="K41" s="59" t="str">
        <f>IF(AND('Mapa final'!$AB$40="Baja",'Mapa final'!$AD$40="Leve"),CONCATENATE("R6C",'Mapa final'!$R$40),"")</f>
        <v/>
      </c>
      <c r="L41" s="59" t="str">
        <f>IF(AND('Mapa final'!$AB$41="Baja",'Mapa final'!$AD$41="Leve"),CONCATENATE("R6C",'Mapa final'!$R$41),"")</f>
        <v/>
      </c>
      <c r="M41" s="59" t="str">
        <f>IF(AND('Mapa final'!$AB$42="Baja",'Mapa final'!$AD$42="Leve"),CONCATENATE("R6C",'Mapa final'!$R$42),"")</f>
        <v/>
      </c>
      <c r="N41" s="59" t="str">
        <f>IF(AND('Mapa final'!$AB$43="Baja",'Mapa final'!$AD$43="Leve"),CONCATENATE("R6C",'Mapa final'!$R$43),"")</f>
        <v/>
      </c>
      <c r="O41" s="60" t="str">
        <f>IF(AND('Mapa final'!$AB$44="Baja",'Mapa final'!$AD$44="Leve"),CONCATENATE("R6C",'Mapa final'!$R$44),"")</f>
        <v/>
      </c>
      <c r="P41" s="49" t="str">
        <f>IF(AND('Mapa final'!$AB$39="Baja",'Mapa final'!$AD$39="Menor"),CONCATENATE("R6C",'Mapa final'!$R$39),"")</f>
        <v/>
      </c>
      <c r="Q41" s="50" t="str">
        <f>IF(AND('Mapa final'!$AB$40="Baja",'Mapa final'!$AD$40="Menor"),CONCATENATE("R6C",'Mapa final'!$R$40),"")</f>
        <v/>
      </c>
      <c r="R41" s="50" t="str">
        <f>IF(AND('Mapa final'!$AB$41="Baja",'Mapa final'!$AD$41="Menor"),CONCATENATE("R6C",'Mapa final'!$R$41),"")</f>
        <v/>
      </c>
      <c r="S41" s="50" t="str">
        <f>IF(AND('Mapa final'!$AB$42="Baja",'Mapa final'!$AD$42="Menor"),CONCATENATE("R6C",'Mapa final'!$R$42),"")</f>
        <v/>
      </c>
      <c r="T41" s="50" t="str">
        <f>IF(AND('Mapa final'!$AB$43="Baja",'Mapa final'!$AD$43="Menor"),CONCATENATE("R6C",'Mapa final'!$R$43),"")</f>
        <v/>
      </c>
      <c r="U41" s="51" t="str">
        <f>IF(AND('Mapa final'!$AB$44="Baja",'Mapa final'!$AD$44="Menor"),CONCATENATE("R6C",'Mapa final'!$R$44),"")</f>
        <v/>
      </c>
      <c r="V41" s="49" t="str">
        <f>IF(AND('Mapa final'!$AB$39="Baja",'Mapa final'!$AD$39="Moderado"),CONCATENATE("R6C",'Mapa final'!$R$39),"")</f>
        <v/>
      </c>
      <c r="W41" s="50" t="str">
        <f>IF(AND('Mapa final'!$AB$40="Baja",'Mapa final'!$AD$40="Moderado"),CONCATENATE("R6C",'Mapa final'!$R$40),"")</f>
        <v/>
      </c>
      <c r="X41" s="50" t="str">
        <f>IF(AND('Mapa final'!$AB$41="Baja",'Mapa final'!$AD$41="Moderado"),CONCATENATE("R6C",'Mapa final'!$R$41),"")</f>
        <v/>
      </c>
      <c r="Y41" s="50" t="str">
        <f>IF(AND('Mapa final'!$AB$42="Baja",'Mapa final'!$AD$42="Moderado"),CONCATENATE("R6C",'Mapa final'!$R$42),"")</f>
        <v/>
      </c>
      <c r="Z41" s="50" t="str">
        <f>IF(AND('Mapa final'!$AB$43="Baja",'Mapa final'!$AD$43="Moderado"),CONCATENATE("R6C",'Mapa final'!$R$43),"")</f>
        <v/>
      </c>
      <c r="AA41" s="51" t="str">
        <f>IF(AND('Mapa final'!$AB$44="Baja",'Mapa final'!$AD$44="Moderado"),CONCATENATE("R6C",'Mapa final'!$R$44),"")</f>
        <v/>
      </c>
      <c r="AB41" s="34" t="str">
        <f>IF(AND('Mapa final'!$AB$39="Baja",'Mapa final'!$AD$39="Mayor"),CONCATENATE("R6C",'Mapa final'!$R$39),"")</f>
        <v/>
      </c>
      <c r="AC41" s="35" t="str">
        <f>IF(AND('Mapa final'!$AB$40="Baja",'Mapa final'!$AD$40="Mayor"),CONCATENATE("R6C",'Mapa final'!$R$40),"")</f>
        <v/>
      </c>
      <c r="AD41" s="35" t="str">
        <f>IF(AND('Mapa final'!$AB$41="Baja",'Mapa final'!$AD$41="Mayor"),CONCATENATE("R6C",'Mapa final'!$R$41),"")</f>
        <v/>
      </c>
      <c r="AE41" s="35" t="str">
        <f>IF(AND('Mapa final'!$AB$42="Baja",'Mapa final'!$AD$42="Mayor"),CONCATENATE("R6C",'Mapa final'!$R$42),"")</f>
        <v/>
      </c>
      <c r="AF41" s="35" t="str">
        <f>IF(AND('Mapa final'!$AB$43="Baja",'Mapa final'!$AD$43="Mayor"),CONCATENATE("R6C",'Mapa final'!$R$43),"")</f>
        <v/>
      </c>
      <c r="AG41" s="36" t="str">
        <f>IF(AND('Mapa final'!$AB$44="Baja",'Mapa final'!$AD$44="Mayor"),CONCATENATE("R6C",'Mapa final'!$R$44),"")</f>
        <v/>
      </c>
      <c r="AH41" s="37" t="str">
        <f>IF(AND('Mapa final'!$AB$39="Baja",'Mapa final'!$AD$39="Catastrófico"),CONCATENATE("R6C",'Mapa final'!$R$39),"")</f>
        <v/>
      </c>
      <c r="AI41" s="38" t="str">
        <f>IF(AND('Mapa final'!$AB$40="Baja",'Mapa final'!$AD$40="Catastrófico"),CONCATENATE("R6C",'Mapa final'!$R$40),"")</f>
        <v/>
      </c>
      <c r="AJ41" s="38" t="str">
        <f>IF(AND('Mapa final'!$AB$41="Baja",'Mapa final'!$AD$41="Catastrófico"),CONCATENATE("R6C",'Mapa final'!$R$41),"")</f>
        <v/>
      </c>
      <c r="AK41" s="38" t="str">
        <f>IF(AND('Mapa final'!$AB$42="Baja",'Mapa final'!$AD$42="Catastrófico"),CONCATENATE("R6C",'Mapa final'!$R$42),"")</f>
        <v/>
      </c>
      <c r="AL41" s="38" t="str">
        <f>IF(AND('Mapa final'!$AB$43="Baja",'Mapa final'!$AD$43="Catastrófico"),CONCATENATE("R6C",'Mapa final'!$R$43),"")</f>
        <v/>
      </c>
      <c r="AM41" s="39" t="str">
        <f>IF(AND('Mapa final'!$AB$44="Baja",'Mapa final'!$AD$44="Catastrófico"),CONCATENATE("R6C",'Mapa final'!$R$44),"")</f>
        <v/>
      </c>
      <c r="AN41" s="65"/>
      <c r="AO41" s="700"/>
      <c r="AP41" s="701"/>
      <c r="AQ41" s="701"/>
      <c r="AR41" s="701"/>
      <c r="AS41" s="701"/>
      <c r="AT41" s="702"/>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80" ht="15" customHeight="1" x14ac:dyDescent="0.3">
      <c r="A42" s="65"/>
      <c r="B42" s="581"/>
      <c r="C42" s="581"/>
      <c r="D42" s="582"/>
      <c r="E42" s="680"/>
      <c r="F42" s="679"/>
      <c r="G42" s="679"/>
      <c r="H42" s="679"/>
      <c r="I42" s="679"/>
      <c r="J42" s="58" t="str">
        <f>IF(AND('Mapa final'!$AB$45="Baja",'Mapa final'!$AD$45="Leve"),CONCATENATE("R7C",'Mapa final'!$R$45),"")</f>
        <v/>
      </c>
      <c r="K42" s="59" t="str">
        <f>IF(AND('Mapa final'!$AB$46="Baja",'Mapa final'!$AD$46="Leve"),CONCATENATE("R7C",'Mapa final'!$R$46),"")</f>
        <v/>
      </c>
      <c r="L42" s="59" t="str">
        <f>IF(AND('Mapa final'!$AB$47="Baja",'Mapa final'!$AD$47="Leve"),CONCATENATE("R7C",'Mapa final'!$R$47),"")</f>
        <v/>
      </c>
      <c r="M42" s="59" t="str">
        <f>IF(AND('Mapa final'!$AB$48="Baja",'Mapa final'!$AD$48="Leve"),CONCATENATE("R7C",'Mapa final'!$R$48),"")</f>
        <v/>
      </c>
      <c r="N42" s="59" t="str">
        <f>IF(AND('Mapa final'!$AB$49="Baja",'Mapa final'!$AD$49="Leve"),CONCATENATE("R7C",'Mapa final'!$R$49),"")</f>
        <v/>
      </c>
      <c r="O42" s="60" t="str">
        <f>IF(AND('Mapa final'!$AB$50="Baja",'Mapa final'!$AD$50="Leve"),CONCATENATE("R7C",'Mapa final'!$R$50),"")</f>
        <v/>
      </c>
      <c r="P42" s="49" t="str">
        <f>IF(AND('Mapa final'!$AB$45="Baja",'Mapa final'!$AD$45="Menor"),CONCATENATE("R7C",'Mapa final'!$R$45),"")</f>
        <v/>
      </c>
      <c r="Q42" s="50" t="str">
        <f>IF(AND('Mapa final'!$AB$46="Baja",'Mapa final'!$AD$46="Menor"),CONCATENATE("R7C",'Mapa final'!$R$46),"")</f>
        <v/>
      </c>
      <c r="R42" s="50" t="str">
        <f>IF(AND('Mapa final'!$AB$47="Baja",'Mapa final'!$AD$47="Menor"),CONCATENATE("R7C",'Mapa final'!$R$47),"")</f>
        <v/>
      </c>
      <c r="S42" s="50" t="str">
        <f>IF(AND('Mapa final'!$AB$48="Baja",'Mapa final'!$AD$48="Menor"),CONCATENATE("R7C",'Mapa final'!$R$48),"")</f>
        <v/>
      </c>
      <c r="T42" s="50" t="str">
        <f>IF(AND('Mapa final'!$AB$49="Baja",'Mapa final'!$AD$49="Menor"),CONCATENATE("R7C",'Mapa final'!$R$49),"")</f>
        <v/>
      </c>
      <c r="U42" s="51" t="str">
        <f>IF(AND('Mapa final'!$AB$50="Baja",'Mapa final'!$AD$50="Menor"),CONCATENATE("R7C",'Mapa final'!$R$50),"")</f>
        <v/>
      </c>
      <c r="V42" s="49" t="str">
        <f>IF(AND('Mapa final'!$AB$45="Baja",'Mapa final'!$AD$45="Moderado"),CONCATENATE("R7C",'Mapa final'!$R$45),"")</f>
        <v/>
      </c>
      <c r="W42" s="50" t="str">
        <f>IF(AND('Mapa final'!$AB$46="Baja",'Mapa final'!$AD$46="Moderado"),CONCATENATE("R7C",'Mapa final'!$R$46),"")</f>
        <v/>
      </c>
      <c r="X42" s="50" t="str">
        <f>IF(AND('Mapa final'!$AB$47="Baja",'Mapa final'!$AD$47="Moderado"),CONCATENATE("R7C",'Mapa final'!$R$47),"")</f>
        <v/>
      </c>
      <c r="Y42" s="50" t="str">
        <f>IF(AND('Mapa final'!$AB$48="Baja",'Mapa final'!$AD$48="Moderado"),CONCATENATE("R7C",'Mapa final'!$R$48),"")</f>
        <v/>
      </c>
      <c r="Z42" s="50" t="str">
        <f>IF(AND('Mapa final'!$AB$49="Baja",'Mapa final'!$AD$49="Moderado"),CONCATENATE("R7C",'Mapa final'!$R$49),"")</f>
        <v/>
      </c>
      <c r="AA42" s="51" t="str">
        <f>IF(AND('Mapa final'!$AB$50="Baja",'Mapa final'!$AD$50="Moderado"),CONCATENATE("R7C",'Mapa final'!$R$50),"")</f>
        <v/>
      </c>
      <c r="AB42" s="34" t="str">
        <f>IF(AND('Mapa final'!$AB$45="Baja",'Mapa final'!$AD$45="Mayor"),CONCATENATE("R7C",'Mapa final'!$R$45),"")</f>
        <v/>
      </c>
      <c r="AC42" s="35" t="str">
        <f>IF(AND('Mapa final'!$AB$46="Baja",'Mapa final'!$AD$46="Mayor"),CONCATENATE("R7C",'Mapa final'!$R$46),"")</f>
        <v/>
      </c>
      <c r="AD42" s="35" t="str">
        <f>IF(AND('Mapa final'!$AB$47="Baja",'Mapa final'!$AD$47="Mayor"),CONCATENATE("R7C",'Mapa final'!$R$47),"")</f>
        <v/>
      </c>
      <c r="AE42" s="35" t="str">
        <f>IF(AND('Mapa final'!$AB$48="Baja",'Mapa final'!$AD$48="Mayor"),CONCATENATE("R7C",'Mapa final'!$R$48),"")</f>
        <v/>
      </c>
      <c r="AF42" s="35" t="str">
        <f>IF(AND('Mapa final'!$AB$49="Baja",'Mapa final'!$AD$49="Mayor"),CONCATENATE("R7C",'Mapa final'!$R$49),"")</f>
        <v/>
      </c>
      <c r="AG42" s="36" t="str">
        <f>IF(AND('Mapa final'!$AB$50="Baja",'Mapa final'!$AD$50="Mayor"),CONCATENATE("R7C",'Mapa final'!$R$50),"")</f>
        <v/>
      </c>
      <c r="AH42" s="37" t="str">
        <f>IF(AND('Mapa final'!$AB$45="Baja",'Mapa final'!$AD$45="Catastrófico"),CONCATENATE("R7C",'Mapa final'!$R$45),"")</f>
        <v/>
      </c>
      <c r="AI42" s="38" t="str">
        <f>IF(AND('Mapa final'!$AB$46="Baja",'Mapa final'!$AD$46="Catastrófico"),CONCATENATE("R7C",'Mapa final'!$R$46),"")</f>
        <v/>
      </c>
      <c r="AJ42" s="38" t="str">
        <f>IF(AND('Mapa final'!$AB$47="Baja",'Mapa final'!$AD$47="Catastrófico"),CONCATENATE("R7C",'Mapa final'!$R$47),"")</f>
        <v/>
      </c>
      <c r="AK42" s="38" t="str">
        <f>IF(AND('Mapa final'!$AB$48="Baja",'Mapa final'!$AD$48="Catastrófico"),CONCATENATE("R7C",'Mapa final'!$R$48),"")</f>
        <v/>
      </c>
      <c r="AL42" s="38" t="str">
        <f>IF(AND('Mapa final'!$AB$49="Baja",'Mapa final'!$AD$49="Catastrófico"),CONCATENATE("R7C",'Mapa final'!$R$49),"")</f>
        <v/>
      </c>
      <c r="AM42" s="39" t="str">
        <f>IF(AND('Mapa final'!$AB$50="Baja",'Mapa final'!$AD$50="Catastrófico"),CONCATENATE("R7C",'Mapa final'!$R$50),"")</f>
        <v/>
      </c>
      <c r="AN42" s="65"/>
      <c r="AO42" s="700"/>
      <c r="AP42" s="701"/>
      <c r="AQ42" s="701"/>
      <c r="AR42" s="701"/>
      <c r="AS42" s="701"/>
      <c r="AT42" s="702"/>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80" ht="15" customHeight="1" x14ac:dyDescent="0.3">
      <c r="A43" s="65"/>
      <c r="B43" s="581"/>
      <c r="C43" s="581"/>
      <c r="D43" s="582"/>
      <c r="E43" s="680"/>
      <c r="F43" s="679"/>
      <c r="G43" s="679"/>
      <c r="H43" s="679"/>
      <c r="I43" s="679"/>
      <c r="J43" s="58" t="str">
        <f>IF(AND('Mapa final'!$AB$51="Baja",'Mapa final'!$AD$51="Leve"),CONCATENATE("R8C",'Mapa final'!$R$51),"")</f>
        <v/>
      </c>
      <c r="K43" s="59" t="str">
        <f>IF(AND('Mapa final'!$AB$52="Baja",'Mapa final'!$AD$52="Leve"),CONCATENATE("R8C",'Mapa final'!$R$52),"")</f>
        <v/>
      </c>
      <c r="L43" s="59" t="str">
        <f>IF(AND('Mapa final'!$AB$53="Baja",'Mapa final'!$AD$53="Leve"),CONCATENATE("R8C",'Mapa final'!$R$53),"")</f>
        <v/>
      </c>
      <c r="M43" s="59" t="str">
        <f>IF(AND('Mapa final'!$AB$54="Baja",'Mapa final'!$AD$54="Leve"),CONCATENATE("R8C",'Mapa final'!$R$54),"")</f>
        <v/>
      </c>
      <c r="N43" s="59" t="str">
        <f>IF(AND('Mapa final'!$AB$55="Baja",'Mapa final'!$AD$55="Leve"),CONCATENATE("R8C",'Mapa final'!$R$55),"")</f>
        <v/>
      </c>
      <c r="O43" s="60" t="str">
        <f>IF(AND('Mapa final'!$AB$56="Baja",'Mapa final'!$AD$56="Leve"),CONCATENATE("R8C",'Mapa final'!$R$56),"")</f>
        <v/>
      </c>
      <c r="P43" s="49" t="str">
        <f>IF(AND('Mapa final'!$AB$51="Baja",'Mapa final'!$AD$51="Menor"),CONCATENATE("R8C",'Mapa final'!$R$51),"")</f>
        <v/>
      </c>
      <c r="Q43" s="50" t="str">
        <f>IF(AND('Mapa final'!$AB$52="Baja",'Mapa final'!$AD$52="Menor"),CONCATENATE("R8C",'Mapa final'!$R$52),"")</f>
        <v/>
      </c>
      <c r="R43" s="50" t="str">
        <f>IF(AND('Mapa final'!$AB$53="Baja",'Mapa final'!$AD$53="Menor"),CONCATENATE("R8C",'Mapa final'!$R$53),"")</f>
        <v/>
      </c>
      <c r="S43" s="50" t="str">
        <f>IF(AND('Mapa final'!$AB$54="Baja",'Mapa final'!$AD$54="Menor"),CONCATENATE("R8C",'Mapa final'!$R$54),"")</f>
        <v/>
      </c>
      <c r="T43" s="50" t="str">
        <f>IF(AND('Mapa final'!$AB$55="Baja",'Mapa final'!$AD$55="Menor"),CONCATENATE("R8C",'Mapa final'!$R$55),"")</f>
        <v/>
      </c>
      <c r="U43" s="51" t="str">
        <f>IF(AND('Mapa final'!$AB$56="Baja",'Mapa final'!$AD$56="Menor"),CONCATENATE("R8C",'Mapa final'!$R$56),"")</f>
        <v/>
      </c>
      <c r="V43" s="49" t="str">
        <f>IF(AND('Mapa final'!$AB$51="Baja",'Mapa final'!$AD$51="Moderado"),CONCATENATE("R8C",'Mapa final'!$R$51),"")</f>
        <v/>
      </c>
      <c r="W43" s="50" t="str">
        <f>IF(AND('Mapa final'!$AB$52="Baja",'Mapa final'!$AD$52="Moderado"),CONCATENATE("R8C",'Mapa final'!$R$52),"")</f>
        <v/>
      </c>
      <c r="X43" s="50" t="str">
        <f>IF(AND('Mapa final'!$AB$53="Baja",'Mapa final'!$AD$53="Moderado"),CONCATENATE("R8C",'Mapa final'!$R$53),"")</f>
        <v/>
      </c>
      <c r="Y43" s="50" t="str">
        <f>IF(AND('Mapa final'!$AB$54="Baja",'Mapa final'!$AD$54="Moderado"),CONCATENATE("R8C",'Mapa final'!$R$54),"")</f>
        <v/>
      </c>
      <c r="Z43" s="50" t="str">
        <f>IF(AND('Mapa final'!$AB$55="Baja",'Mapa final'!$AD$55="Moderado"),CONCATENATE("R8C",'Mapa final'!$R$55),"")</f>
        <v/>
      </c>
      <c r="AA43" s="51" t="str">
        <f>IF(AND('Mapa final'!$AB$56="Baja",'Mapa final'!$AD$56="Moderado"),CONCATENATE("R8C",'Mapa final'!$R$56),"")</f>
        <v/>
      </c>
      <c r="AB43" s="34" t="str">
        <f>IF(AND('Mapa final'!$AB$51="Baja",'Mapa final'!$AD$51="Mayor"),CONCATENATE("R8C",'Mapa final'!$R$51),"")</f>
        <v/>
      </c>
      <c r="AC43" s="35" t="str">
        <f>IF(AND('Mapa final'!$AB$52="Baja",'Mapa final'!$AD$52="Mayor"),CONCATENATE("R8C",'Mapa final'!$R$52),"")</f>
        <v/>
      </c>
      <c r="AD43" s="35" t="str">
        <f>IF(AND('Mapa final'!$AB$53="Baja",'Mapa final'!$AD$53="Mayor"),CONCATENATE("R8C",'Mapa final'!$R$53),"")</f>
        <v/>
      </c>
      <c r="AE43" s="35" t="str">
        <f>IF(AND('Mapa final'!$AB$54="Baja",'Mapa final'!$AD$54="Mayor"),CONCATENATE("R8C",'Mapa final'!$R$54),"")</f>
        <v/>
      </c>
      <c r="AF43" s="35" t="str">
        <f>IF(AND('Mapa final'!$AB$55="Baja",'Mapa final'!$AD$55="Mayor"),CONCATENATE("R8C",'Mapa final'!$R$55),"")</f>
        <v/>
      </c>
      <c r="AG43" s="36" t="str">
        <f>IF(AND('Mapa final'!$AB$56="Baja",'Mapa final'!$AD$56="Mayor"),CONCATENATE("R8C",'Mapa final'!$R$56),"")</f>
        <v/>
      </c>
      <c r="AH43" s="37" t="str">
        <f>IF(AND('Mapa final'!$AB$51="Baja",'Mapa final'!$AD$51="Catastrófico"),CONCATENATE("R8C",'Mapa final'!$R$51),"")</f>
        <v/>
      </c>
      <c r="AI43" s="38" t="str">
        <f>IF(AND('Mapa final'!$AB$52="Baja",'Mapa final'!$AD$52="Catastrófico"),CONCATENATE("R8C",'Mapa final'!$R$52),"")</f>
        <v/>
      </c>
      <c r="AJ43" s="38" t="str">
        <f>IF(AND('Mapa final'!$AB$53="Baja",'Mapa final'!$AD$53="Catastrófico"),CONCATENATE("R8C",'Mapa final'!$R$53),"")</f>
        <v/>
      </c>
      <c r="AK43" s="38" t="str">
        <f>IF(AND('Mapa final'!$AB$54="Baja",'Mapa final'!$AD$54="Catastrófico"),CONCATENATE("R8C",'Mapa final'!$R$54),"")</f>
        <v/>
      </c>
      <c r="AL43" s="38" t="str">
        <f>IF(AND('Mapa final'!$AB$55="Baja",'Mapa final'!$AD$55="Catastrófico"),CONCATENATE("R8C",'Mapa final'!$R$55),"")</f>
        <v/>
      </c>
      <c r="AM43" s="39" t="str">
        <f>IF(AND('Mapa final'!$AB$56="Baja",'Mapa final'!$AD$56="Catastrófico"),CONCATENATE("R8C",'Mapa final'!$R$56),"")</f>
        <v/>
      </c>
      <c r="AN43" s="65"/>
      <c r="AO43" s="700"/>
      <c r="AP43" s="701"/>
      <c r="AQ43" s="701"/>
      <c r="AR43" s="701"/>
      <c r="AS43" s="701"/>
      <c r="AT43" s="702"/>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80" ht="15" customHeight="1" x14ac:dyDescent="0.3">
      <c r="A44" s="65"/>
      <c r="B44" s="581"/>
      <c r="C44" s="581"/>
      <c r="D44" s="582"/>
      <c r="E44" s="680"/>
      <c r="F44" s="679"/>
      <c r="G44" s="679"/>
      <c r="H44" s="679"/>
      <c r="I44" s="679"/>
      <c r="J44" s="58" t="str">
        <f>IF(AND('Mapa final'!$AB$57="Baja",'Mapa final'!$AD$57="Leve"),CONCATENATE("R9C",'Mapa final'!$R$57),"")</f>
        <v/>
      </c>
      <c r="K44" s="59" t="str">
        <f>IF(AND('Mapa final'!$AB$58="Baja",'Mapa final'!$AD$58="Leve"),CONCATENATE("R9C",'Mapa final'!$R$58),"")</f>
        <v/>
      </c>
      <c r="L44" s="59" t="str">
        <f>IF(AND('Mapa final'!$AB$59="Baja",'Mapa final'!$AD$59="Leve"),CONCATENATE("R9C",'Mapa final'!$R$59),"")</f>
        <v/>
      </c>
      <c r="M44" s="59" t="str">
        <f>IF(AND('Mapa final'!$AB$60="Baja",'Mapa final'!$AD$60="Leve"),CONCATENATE("R9C",'Mapa final'!$R$60),"")</f>
        <v/>
      </c>
      <c r="N44" s="59" t="str">
        <f>IF(AND('Mapa final'!$AB$61="Baja",'Mapa final'!$AD$61="Leve"),CONCATENATE("R9C",'Mapa final'!$R$61),"")</f>
        <v/>
      </c>
      <c r="O44" s="60" t="str">
        <f>IF(AND('Mapa final'!$AB$62="Baja",'Mapa final'!$AD$62="Leve"),CONCATENATE("R9C",'Mapa final'!$R$62),"")</f>
        <v/>
      </c>
      <c r="P44" s="49" t="str">
        <f>IF(AND('Mapa final'!$AB$57="Baja",'Mapa final'!$AD$57="Menor"),CONCATENATE("R9C",'Mapa final'!$R$57),"")</f>
        <v/>
      </c>
      <c r="Q44" s="50" t="str">
        <f>IF(AND('Mapa final'!$AB$58="Baja",'Mapa final'!$AD$58="Menor"),CONCATENATE("R9C",'Mapa final'!$R$58),"")</f>
        <v/>
      </c>
      <c r="R44" s="50" t="str">
        <f>IF(AND('Mapa final'!$AB$59="Baja",'Mapa final'!$AD$59="Menor"),CONCATENATE("R9C",'Mapa final'!$R$59),"")</f>
        <v/>
      </c>
      <c r="S44" s="50" t="str">
        <f>IF(AND('Mapa final'!$AB$60="Baja",'Mapa final'!$AD$60="Menor"),CONCATENATE("R9C",'Mapa final'!$R$60),"")</f>
        <v/>
      </c>
      <c r="T44" s="50" t="str">
        <f>IF(AND('Mapa final'!$AB$61="Baja",'Mapa final'!$AD$61="Menor"),CONCATENATE("R9C",'Mapa final'!$R$61),"")</f>
        <v/>
      </c>
      <c r="U44" s="51" t="str">
        <f>IF(AND('Mapa final'!$AB$62="Baja",'Mapa final'!$AD$62="Menor"),CONCATENATE("R9C",'Mapa final'!$R$62),"")</f>
        <v/>
      </c>
      <c r="V44" s="49" t="str">
        <f>IF(AND('Mapa final'!$AB$57="Baja",'Mapa final'!$AD$57="Moderado"),CONCATENATE("R9C",'Mapa final'!$R$57),"")</f>
        <v/>
      </c>
      <c r="W44" s="50" t="str">
        <f>IF(AND('Mapa final'!$AB$58="Baja",'Mapa final'!$AD$58="Moderado"),CONCATENATE("R9C",'Mapa final'!$R$58),"")</f>
        <v/>
      </c>
      <c r="X44" s="50" t="str">
        <f>IF(AND('Mapa final'!$AB$59="Baja",'Mapa final'!$AD$59="Moderado"),CONCATENATE("R9C",'Mapa final'!$R$59),"")</f>
        <v/>
      </c>
      <c r="Y44" s="50" t="str">
        <f>IF(AND('Mapa final'!$AB$60="Baja",'Mapa final'!$AD$60="Moderado"),CONCATENATE("R9C",'Mapa final'!$R$60),"")</f>
        <v/>
      </c>
      <c r="Z44" s="50" t="str">
        <f>IF(AND('Mapa final'!$AB$61="Baja",'Mapa final'!$AD$61="Moderado"),CONCATENATE("R9C",'Mapa final'!$R$61),"")</f>
        <v/>
      </c>
      <c r="AA44" s="51" t="str">
        <f>IF(AND('Mapa final'!$AB$62="Baja",'Mapa final'!$AD$62="Moderado"),CONCATENATE("R9C",'Mapa final'!$R$62),"")</f>
        <v/>
      </c>
      <c r="AB44" s="34" t="str">
        <f>IF(AND('Mapa final'!$AB$57="Baja",'Mapa final'!$AD$57="Mayor"),CONCATENATE("R9C",'Mapa final'!$R$57),"")</f>
        <v/>
      </c>
      <c r="AC44" s="35" t="str">
        <f>IF(AND('Mapa final'!$AB$58="Baja",'Mapa final'!$AD$58="Mayor"),CONCATENATE("R9C",'Mapa final'!$R$58),"")</f>
        <v/>
      </c>
      <c r="AD44" s="35" t="str">
        <f>IF(AND('Mapa final'!$AB$59="Baja",'Mapa final'!$AD$59="Mayor"),CONCATENATE("R9C",'Mapa final'!$R$59),"")</f>
        <v/>
      </c>
      <c r="AE44" s="35" t="str">
        <f>IF(AND('Mapa final'!$AB$60="Baja",'Mapa final'!$AD$60="Mayor"),CONCATENATE("R9C",'Mapa final'!$R$60),"")</f>
        <v/>
      </c>
      <c r="AF44" s="35" t="str">
        <f>IF(AND('Mapa final'!$AB$61="Baja",'Mapa final'!$AD$61="Mayor"),CONCATENATE("R9C",'Mapa final'!$R$61),"")</f>
        <v/>
      </c>
      <c r="AG44" s="36" t="str">
        <f>IF(AND('Mapa final'!$AB$62="Baja",'Mapa final'!$AD$62="Mayor"),CONCATENATE("R9C",'Mapa final'!$R$62),"")</f>
        <v/>
      </c>
      <c r="AH44" s="37" t="str">
        <f>IF(AND('Mapa final'!$AB$57="Baja",'Mapa final'!$AD$57="Catastrófico"),CONCATENATE("R9C",'Mapa final'!$R$57),"")</f>
        <v/>
      </c>
      <c r="AI44" s="38" t="str">
        <f>IF(AND('Mapa final'!$AB$58="Baja",'Mapa final'!$AD$58="Catastrófico"),CONCATENATE("R9C",'Mapa final'!$R$58),"")</f>
        <v/>
      </c>
      <c r="AJ44" s="38" t="str">
        <f>IF(AND('Mapa final'!$AB$59="Baja",'Mapa final'!$AD$59="Catastrófico"),CONCATENATE("R9C",'Mapa final'!$R$59),"")</f>
        <v/>
      </c>
      <c r="AK44" s="38" t="str">
        <f>IF(AND('Mapa final'!$AB$60="Baja",'Mapa final'!$AD$60="Catastrófico"),CONCATENATE("R9C",'Mapa final'!$R$60),"")</f>
        <v/>
      </c>
      <c r="AL44" s="38" t="str">
        <f>IF(AND('Mapa final'!$AB$61="Baja",'Mapa final'!$AD$61="Catastrófico"),CONCATENATE("R9C",'Mapa final'!$R$61),"")</f>
        <v/>
      </c>
      <c r="AM44" s="39" t="str">
        <f>IF(AND('Mapa final'!$AB$62="Baja",'Mapa final'!$AD$62="Catastrófico"),CONCATENATE("R9C",'Mapa final'!$R$62),"")</f>
        <v/>
      </c>
      <c r="AN44" s="65"/>
      <c r="AO44" s="700"/>
      <c r="AP44" s="701"/>
      <c r="AQ44" s="701"/>
      <c r="AR44" s="701"/>
      <c r="AS44" s="701"/>
      <c r="AT44" s="702"/>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80" ht="15.75" customHeight="1" thickBot="1" x14ac:dyDescent="0.35">
      <c r="A45" s="65"/>
      <c r="B45" s="581"/>
      <c r="C45" s="581"/>
      <c r="D45" s="582"/>
      <c r="E45" s="681"/>
      <c r="F45" s="682"/>
      <c r="G45" s="682"/>
      <c r="H45" s="682"/>
      <c r="I45" s="682"/>
      <c r="J45" s="61" t="str">
        <f>IF(AND('Mapa final'!$AB$63="Baja",'Mapa final'!$AD$63="Leve"),CONCATENATE("R10C",'Mapa final'!$R$63),"")</f>
        <v/>
      </c>
      <c r="K45" s="62" t="str">
        <f>IF(AND('Mapa final'!$AB$64="Baja",'Mapa final'!$AD$64="Leve"),CONCATENATE("R10C",'Mapa final'!$R$64),"")</f>
        <v/>
      </c>
      <c r="L45" s="62" t="str">
        <f>IF(AND('Mapa final'!$AB$65="Baja",'Mapa final'!$AD$65="Leve"),CONCATENATE("R10C",'Mapa final'!$R$65),"")</f>
        <v/>
      </c>
      <c r="M45" s="62" t="str">
        <f>IF(AND('Mapa final'!$AB$66="Baja",'Mapa final'!$AD$66="Leve"),CONCATENATE("R10C",'Mapa final'!$R$66),"")</f>
        <v/>
      </c>
      <c r="N45" s="62" t="str">
        <f>IF(AND('Mapa final'!$AB$67="Baja",'Mapa final'!$AD$67="Leve"),CONCATENATE("R10C",'Mapa final'!$R$67),"")</f>
        <v/>
      </c>
      <c r="O45" s="63" t="str">
        <f>IF(AND('Mapa final'!$AB$68="Baja",'Mapa final'!$AD$68="Leve"),CONCATENATE("R10C",'Mapa final'!$R$68),"")</f>
        <v/>
      </c>
      <c r="P45" s="49" t="str">
        <f>IF(AND('Mapa final'!$AB$63="Baja",'Mapa final'!$AD$63="Menor"),CONCATENATE("R10C",'Mapa final'!$R$63),"")</f>
        <v/>
      </c>
      <c r="Q45" s="50" t="str">
        <f>IF(AND('Mapa final'!$AB$64="Baja",'Mapa final'!$AD$64="Menor"),CONCATENATE("R10C",'Mapa final'!$R$64),"")</f>
        <v/>
      </c>
      <c r="R45" s="50" t="str">
        <f>IF(AND('Mapa final'!$AB$65="Baja",'Mapa final'!$AD$65="Menor"),CONCATENATE("R10C",'Mapa final'!$R$65),"")</f>
        <v/>
      </c>
      <c r="S45" s="50" t="str">
        <f>IF(AND('Mapa final'!$AB$66="Baja",'Mapa final'!$AD$66="Menor"),CONCATENATE("R10C",'Mapa final'!$R$66),"")</f>
        <v/>
      </c>
      <c r="T45" s="50" t="str">
        <f>IF(AND('Mapa final'!$AB$67="Baja",'Mapa final'!$AD$67="Menor"),CONCATENATE("R10C",'Mapa final'!$R$67),"")</f>
        <v/>
      </c>
      <c r="U45" s="51" t="str">
        <f>IF(AND('Mapa final'!$AB$68="Baja",'Mapa final'!$AD$68="Menor"),CONCATENATE("R10C",'Mapa final'!$R$68),"")</f>
        <v/>
      </c>
      <c r="V45" s="52" t="str">
        <f>IF(AND('Mapa final'!$AB$63="Baja",'Mapa final'!$AD$63="Moderado"),CONCATENATE("R10C",'Mapa final'!$R$63),"")</f>
        <v/>
      </c>
      <c r="W45" s="53" t="str">
        <f>IF(AND('Mapa final'!$AB$64="Baja",'Mapa final'!$AD$64="Moderado"),CONCATENATE("R10C",'Mapa final'!$R$64),"")</f>
        <v/>
      </c>
      <c r="X45" s="53" t="str">
        <f>IF(AND('Mapa final'!$AB$65="Baja",'Mapa final'!$AD$65="Moderado"),CONCATENATE("R10C",'Mapa final'!$R$65),"")</f>
        <v/>
      </c>
      <c r="Y45" s="53" t="str">
        <f>IF(AND('Mapa final'!$AB$66="Baja",'Mapa final'!$AD$66="Moderado"),CONCATENATE("R10C",'Mapa final'!$R$66),"")</f>
        <v/>
      </c>
      <c r="Z45" s="53" t="str">
        <f>IF(AND('Mapa final'!$AB$67="Baja",'Mapa final'!$AD$67="Moderado"),CONCATENATE("R10C",'Mapa final'!$R$67),"")</f>
        <v/>
      </c>
      <c r="AA45" s="54" t="str">
        <f>IF(AND('Mapa final'!$AB$68="Baja",'Mapa final'!$AD$68="Moderado"),CONCATENATE("R10C",'Mapa final'!$R$68),"")</f>
        <v/>
      </c>
      <c r="AB45" s="40" t="str">
        <f>IF(AND('Mapa final'!$AB$63="Baja",'Mapa final'!$AD$63="Mayor"),CONCATENATE("R10C",'Mapa final'!$R$63),"")</f>
        <v/>
      </c>
      <c r="AC45" s="41" t="str">
        <f>IF(AND('Mapa final'!$AB$64="Baja",'Mapa final'!$AD$64="Mayor"),CONCATENATE("R10C",'Mapa final'!$R$64),"")</f>
        <v/>
      </c>
      <c r="AD45" s="41" t="str">
        <f>IF(AND('Mapa final'!$AB$65="Baja",'Mapa final'!$AD$65="Mayor"),CONCATENATE("R10C",'Mapa final'!$R$65),"")</f>
        <v/>
      </c>
      <c r="AE45" s="41" t="str">
        <f>IF(AND('Mapa final'!$AB$66="Baja",'Mapa final'!$AD$66="Mayor"),CONCATENATE("R10C",'Mapa final'!$R$66),"")</f>
        <v/>
      </c>
      <c r="AF45" s="41" t="str">
        <f>IF(AND('Mapa final'!$AB$67="Baja",'Mapa final'!$AD$67="Mayor"),CONCATENATE("R10C",'Mapa final'!$R$67),"")</f>
        <v/>
      </c>
      <c r="AG45" s="42" t="str">
        <f>IF(AND('Mapa final'!$AB$68="Baja",'Mapa final'!$AD$68="Mayor"),CONCATENATE("R10C",'Mapa final'!$R$68),"")</f>
        <v/>
      </c>
      <c r="AH45" s="43" t="str">
        <f>IF(AND('Mapa final'!$AB$63="Baja",'Mapa final'!$AD$63="Catastrófico"),CONCATENATE("R10C",'Mapa final'!$R$63),"")</f>
        <v/>
      </c>
      <c r="AI45" s="44" t="str">
        <f>IF(AND('Mapa final'!$AB$64="Baja",'Mapa final'!$AD$64="Catastrófico"),CONCATENATE("R10C",'Mapa final'!$R$64),"")</f>
        <v/>
      </c>
      <c r="AJ45" s="44" t="str">
        <f>IF(AND('Mapa final'!$AB$65="Baja",'Mapa final'!$AD$65="Catastrófico"),CONCATENATE("R10C",'Mapa final'!$R$65),"")</f>
        <v/>
      </c>
      <c r="AK45" s="44" t="str">
        <f>IF(AND('Mapa final'!$AB$66="Baja",'Mapa final'!$AD$66="Catastrófico"),CONCATENATE("R10C",'Mapa final'!$R$66),"")</f>
        <v/>
      </c>
      <c r="AL45" s="44" t="str">
        <f>IF(AND('Mapa final'!$AB$67="Baja",'Mapa final'!$AD$67="Catastrófico"),CONCATENATE("R10C",'Mapa final'!$R$67),"")</f>
        <v/>
      </c>
      <c r="AM45" s="45" t="str">
        <f>IF(AND('Mapa final'!$AB$68="Baja",'Mapa final'!$AD$68="Catastrófico"),CONCATENATE("R10C",'Mapa final'!$R$68),"")</f>
        <v/>
      </c>
      <c r="AN45" s="65"/>
      <c r="AO45" s="703"/>
      <c r="AP45" s="704"/>
      <c r="AQ45" s="704"/>
      <c r="AR45" s="704"/>
      <c r="AS45" s="704"/>
      <c r="AT45" s="705"/>
    </row>
    <row r="46" spans="1:80" ht="46.5" customHeight="1" x14ac:dyDescent="0.45">
      <c r="A46" s="65"/>
      <c r="B46" s="581"/>
      <c r="C46" s="581"/>
      <c r="D46" s="582"/>
      <c r="E46" s="676" t="s">
        <v>108</v>
      </c>
      <c r="F46" s="677"/>
      <c r="G46" s="677"/>
      <c r="H46" s="677"/>
      <c r="I46" s="694"/>
      <c r="J46" s="55" t="str">
        <f>IF(AND('Mapa final'!$AB$10="Muy Baja",'Mapa final'!$AD$10="Leve"),CONCATENATE("R1C",'Mapa final'!$R$10),"")</f>
        <v/>
      </c>
      <c r="K46" s="56" t="str">
        <f>IF(AND('Mapa final'!$AB$11="Muy Baja",'Mapa final'!$AD$11="Leve"),CONCATENATE("R1C",'Mapa final'!$R$11),"")</f>
        <v/>
      </c>
      <c r="L46" s="56" t="str">
        <f>IF(AND('Mapa final'!$AB$12="Muy Baja",'Mapa final'!$AD$12="Leve"),CONCATENATE("R1C",'Mapa final'!$R$12),"")</f>
        <v/>
      </c>
      <c r="M46" s="56" t="str">
        <f>IF(AND('Mapa final'!$AB$13="Muy Baja",'Mapa final'!$AD$13="Leve"),CONCATENATE("R1C",'Mapa final'!$R$13),"")</f>
        <v/>
      </c>
      <c r="N46" s="56" t="str">
        <f>IF(AND('Mapa final'!$AB$14="Muy Baja",'Mapa final'!$AD$14="Leve"),CONCATENATE("R1C",'Mapa final'!$R$14),"")</f>
        <v/>
      </c>
      <c r="O46" s="57" t="str">
        <f>IF(AND('Mapa final'!$AB$15="Muy Baja",'Mapa final'!$AD$15="Leve"),CONCATENATE("R1C",'Mapa final'!$R$15),"")</f>
        <v/>
      </c>
      <c r="P46" s="55" t="str">
        <f>IF(AND('Mapa final'!$AB$10="Muy Baja",'Mapa final'!$AD$10="Menor"),CONCATENATE("R1C",'Mapa final'!$R$10),"")</f>
        <v/>
      </c>
      <c r="Q46" s="56" t="str">
        <f>IF(AND('Mapa final'!$AB$11="Muy Baja",'Mapa final'!$AD$11="Menor"),CONCATENATE("R1C",'Mapa final'!$R$11),"")</f>
        <v/>
      </c>
      <c r="R46" s="56" t="str">
        <f>IF(AND('Mapa final'!$AB$12="Muy Baja",'Mapa final'!$AD$12="Menor"),CONCATENATE("R1C",'Mapa final'!$R$12),"")</f>
        <v/>
      </c>
      <c r="S46" s="56" t="str">
        <f>IF(AND('Mapa final'!$AB$13="Muy Baja",'Mapa final'!$AD$13="Menor"),CONCATENATE("R1C",'Mapa final'!$R$13),"")</f>
        <v/>
      </c>
      <c r="T46" s="56" t="str">
        <f>IF(AND('Mapa final'!$AB$14="Muy Baja",'Mapa final'!$AD$14="Menor"),CONCATENATE("R1C",'Mapa final'!$R$14),"")</f>
        <v/>
      </c>
      <c r="U46" s="57" t="str">
        <f>IF(AND('Mapa final'!$AB$15="Muy Baja",'Mapa final'!$AD$15="Menor"),CONCATENATE("R1C",'Mapa final'!$R$15),"")</f>
        <v/>
      </c>
      <c r="V46" s="46" t="str">
        <f>IF(AND('Mapa final'!$AB$10="Muy Baja",'Mapa final'!$AD$10="Moderado"),CONCATENATE("R1C",'Mapa final'!$R$10),"")</f>
        <v/>
      </c>
      <c r="W46" s="64" t="str">
        <f>IF(AND('Mapa final'!$AB$11="Muy Baja",'Mapa final'!$AD$11="Moderado"),CONCATENATE("R1C",'Mapa final'!$R$11),"")</f>
        <v/>
      </c>
      <c r="X46" s="47" t="str">
        <f>IF(AND('Mapa final'!$AB$12="Muy Baja",'Mapa final'!$AD$12="Moderado"),CONCATENATE("R1C",'Mapa final'!$R$12),"")</f>
        <v/>
      </c>
      <c r="Y46" s="47" t="str">
        <f>IF(AND('Mapa final'!$AB$13="Muy Baja",'Mapa final'!$AD$13="Moderado"),CONCATENATE("R1C",'Mapa final'!$R$13),"")</f>
        <v/>
      </c>
      <c r="Z46" s="47" t="str">
        <f>IF(AND('Mapa final'!$AB$14="Muy Baja",'Mapa final'!$AD$14="Moderado"),CONCATENATE("R1C",'Mapa final'!$R$14),"")</f>
        <v/>
      </c>
      <c r="AA46" s="48" t="str">
        <f>IF(AND('Mapa final'!$AB$15="Muy Baja",'Mapa final'!$AD$15="Moderado"),CONCATENATE("R1C",'Mapa final'!$R$15),"")</f>
        <v/>
      </c>
      <c r="AB46" s="28" t="str">
        <f>IF(AND('Mapa final'!$AB$10="Muy Baja",'Mapa final'!$AD$10="Mayor"),CONCATENATE("R1C",'Mapa final'!$R$10),"")</f>
        <v/>
      </c>
      <c r="AC46" s="29" t="str">
        <f>IF(AND('Mapa final'!$AB$11="Muy Baja",'Mapa final'!$AD$11="Mayor"),CONCATENATE("R1C",'Mapa final'!$R$11),"")</f>
        <v/>
      </c>
      <c r="AD46" s="29" t="str">
        <f>IF(AND('Mapa final'!$AB$12="Muy Baja",'Mapa final'!$AD$12="Mayor"),CONCATENATE("R1C",'Mapa final'!$R$12),"")</f>
        <v/>
      </c>
      <c r="AE46" s="29" t="str">
        <f>IF(AND('Mapa final'!$AB$13="Muy Baja",'Mapa final'!$AD$13="Mayor"),CONCATENATE("R1C",'Mapa final'!$R$13),"")</f>
        <v/>
      </c>
      <c r="AF46" s="29" t="str">
        <f>IF(AND('Mapa final'!$AB$14="Muy Baja",'Mapa final'!$AD$14="Mayor"),CONCATENATE("R1C",'Mapa final'!$R$14),"")</f>
        <v/>
      </c>
      <c r="AG46" s="30" t="str">
        <f>IF(AND('Mapa final'!$AB$15="Muy Baja",'Mapa final'!$AD$15="Mayor"),CONCATENATE("R1C",'Mapa final'!$R$15),"")</f>
        <v/>
      </c>
      <c r="AH46" s="31" t="str">
        <f>IF(AND('Mapa final'!$AB$10="Muy Baja",'Mapa final'!$AD$10="Catastrófico"),CONCATENATE("R1C",'Mapa final'!$R$10),"")</f>
        <v/>
      </c>
      <c r="AI46" s="32" t="str">
        <f>IF(AND('Mapa final'!$AB$11="Muy Baja",'Mapa final'!$AD$11="Catastrófico"),CONCATENATE("R1C",'Mapa final'!$R$11),"")</f>
        <v/>
      </c>
      <c r="AJ46" s="32" t="str">
        <f>IF(AND('Mapa final'!$AB$12="Muy Baja",'Mapa final'!$AD$12="Catastrófico"),CONCATENATE("R1C",'Mapa final'!$R$12),"")</f>
        <v/>
      </c>
      <c r="AK46" s="32" t="str">
        <f>IF(AND('Mapa final'!$AB$13="Muy Baja",'Mapa final'!$AD$13="Catastrófico"),CONCATENATE("R1C",'Mapa final'!$R$13),"")</f>
        <v/>
      </c>
      <c r="AL46" s="32" t="str">
        <f>IF(AND('Mapa final'!$AB$14="Muy Baja",'Mapa final'!$AD$14="Catastrófico"),CONCATENATE("R1C",'Mapa final'!$R$14),"")</f>
        <v/>
      </c>
      <c r="AM46" s="33" t="str">
        <f>IF(AND('Mapa final'!$AB$15="Muy Baja",'Mapa final'!$AD$15="Catastrófico"),CONCATENATE("R1C",'Mapa final'!$R$15),"")</f>
        <v/>
      </c>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ht="46.5" customHeight="1" x14ac:dyDescent="0.3">
      <c r="A47" s="65"/>
      <c r="B47" s="581"/>
      <c r="C47" s="581"/>
      <c r="D47" s="582"/>
      <c r="E47" s="678"/>
      <c r="F47" s="679"/>
      <c r="G47" s="679"/>
      <c r="H47" s="679"/>
      <c r="I47" s="695"/>
      <c r="J47" s="58" t="str">
        <f>IF(AND('Mapa final'!$AB$16="Muy Baja",'Mapa final'!$AD$16="Leve"),CONCATENATE("R2C",'Mapa final'!$R$16),"")</f>
        <v/>
      </c>
      <c r="K47" s="59" t="str">
        <f>IF(AND('Mapa final'!$AB$17="Muy Baja",'Mapa final'!$AD$17="Leve"),CONCATENATE("R2C",'Mapa final'!$R$17),"")</f>
        <v/>
      </c>
      <c r="L47" s="59" t="str">
        <f>IF(AND('Mapa final'!$AB$18="Muy Baja",'Mapa final'!$AD$18="Leve"),CONCATENATE("R2C",'Mapa final'!$R$18),"")</f>
        <v/>
      </c>
      <c r="M47" s="59" t="str">
        <f>IF(AND('Mapa final'!$AB$19="Muy Baja",'Mapa final'!$AD$19="Leve"),CONCATENATE("R2C",'Mapa final'!$R$19),"")</f>
        <v/>
      </c>
      <c r="N47" s="59" t="str">
        <f>IF(AND('Mapa final'!$AB$20="Muy Baja",'Mapa final'!$AD$20="Leve"),CONCATENATE("R2C",'Mapa final'!$R$20),"")</f>
        <v/>
      </c>
      <c r="O47" s="60" t="str">
        <f>IF(AND('Mapa final'!$AB$21="Muy Baja",'Mapa final'!$AD$21="Leve"),CONCATENATE("R2C",'Mapa final'!$R$21),"")</f>
        <v/>
      </c>
      <c r="P47" s="58" t="str">
        <f>IF(AND('Mapa final'!$AB$16="Muy Baja",'Mapa final'!$AD$16="Menor"),CONCATENATE("R2C",'Mapa final'!$R$16),"")</f>
        <v/>
      </c>
      <c r="Q47" s="59" t="str">
        <f>IF(AND('Mapa final'!$AB$17="Muy Baja",'Mapa final'!$AD$17="Menor"),CONCATENATE("R2C",'Mapa final'!$R$17),"")</f>
        <v/>
      </c>
      <c r="R47" s="59" t="str">
        <f>IF(AND('Mapa final'!$AB$18="Muy Baja",'Mapa final'!$AD$18="Menor"),CONCATENATE("R2C",'Mapa final'!$R$18),"")</f>
        <v/>
      </c>
      <c r="S47" s="59" t="str">
        <f>IF(AND('Mapa final'!$AB$19="Muy Baja",'Mapa final'!$AD$19="Menor"),CONCATENATE("R2C",'Mapa final'!$R$19),"")</f>
        <v/>
      </c>
      <c r="T47" s="59" t="str">
        <f>IF(AND('Mapa final'!$AB$20="Muy Baja",'Mapa final'!$AD$20="Menor"),CONCATENATE("R2C",'Mapa final'!$R$20),"")</f>
        <v/>
      </c>
      <c r="U47" s="60" t="str">
        <f>IF(AND('Mapa final'!$AB$21="Muy Baja",'Mapa final'!$AD$21="Menor"),CONCATENATE("R2C",'Mapa final'!$R$21),"")</f>
        <v/>
      </c>
      <c r="V47" s="49" t="str">
        <f>IF(AND('Mapa final'!$AB$16="Muy Baja",'Mapa final'!$AD$16="Moderado"),CONCATENATE("R2C",'Mapa final'!$R$16),"")</f>
        <v/>
      </c>
      <c r="W47" s="50" t="str">
        <f>IF(AND('Mapa final'!$AB$17="Muy Baja",'Mapa final'!$AD$17="Moderado"),CONCATENATE("R2C",'Mapa final'!$R$17),"")</f>
        <v/>
      </c>
      <c r="X47" s="50" t="str">
        <f>IF(AND('Mapa final'!$AB$18="Muy Baja",'Mapa final'!$AD$18="Moderado"),CONCATENATE("R2C",'Mapa final'!$R$18),"")</f>
        <v/>
      </c>
      <c r="Y47" s="50" t="str">
        <f>IF(AND('Mapa final'!$AB$19="Muy Baja",'Mapa final'!$AD$19="Moderado"),CONCATENATE("R2C",'Mapa final'!$R$19),"")</f>
        <v/>
      </c>
      <c r="Z47" s="50" t="str">
        <f>IF(AND('Mapa final'!$AB$20="Muy Baja",'Mapa final'!$AD$20="Moderado"),CONCATENATE("R2C",'Mapa final'!$R$20),"")</f>
        <v/>
      </c>
      <c r="AA47" s="51" t="str">
        <f>IF(AND('Mapa final'!$AB$21="Muy Baja",'Mapa final'!$AD$21="Moderado"),CONCATENATE("R2C",'Mapa final'!$R$21),"")</f>
        <v/>
      </c>
      <c r="AB47" s="34" t="str">
        <f>IF(AND('Mapa final'!$AB$16="Muy Baja",'Mapa final'!$AD$16="Mayor"),CONCATENATE("R2C",'Mapa final'!$R$16),"")</f>
        <v/>
      </c>
      <c r="AC47" s="35" t="str">
        <f>IF(AND('Mapa final'!$AB$17="Muy Baja",'Mapa final'!$AD$17="Mayor"),CONCATENATE("R2C",'Mapa final'!$R$17),"")</f>
        <v/>
      </c>
      <c r="AD47" s="35" t="str">
        <f>IF(AND('Mapa final'!$AB$18="Muy Baja",'Mapa final'!$AD$18="Mayor"),CONCATENATE("R2C",'Mapa final'!$R$18),"")</f>
        <v/>
      </c>
      <c r="AE47" s="35" t="str">
        <f>IF(AND('Mapa final'!$AB$19="Muy Baja",'Mapa final'!$AD$19="Mayor"),CONCATENATE("R2C",'Mapa final'!$R$19),"")</f>
        <v/>
      </c>
      <c r="AF47" s="35" t="str">
        <f>IF(AND('Mapa final'!$AB$20="Muy Baja",'Mapa final'!$AD$20="Mayor"),CONCATENATE("R2C",'Mapa final'!$R$20),"")</f>
        <v/>
      </c>
      <c r="AG47" s="36" t="str">
        <f>IF(AND('Mapa final'!$AB$21="Muy Baja",'Mapa final'!$AD$21="Mayor"),CONCATENATE("R2C",'Mapa final'!$R$21),"")</f>
        <v/>
      </c>
      <c r="AH47" s="37" t="str">
        <f>IF(AND('Mapa final'!$AB$16="Muy Baja",'Mapa final'!$AD$16="Catastrófico"),CONCATENATE("R2C",'Mapa final'!$R$16),"")</f>
        <v/>
      </c>
      <c r="AI47" s="38" t="str">
        <f>IF(AND('Mapa final'!$AB$17="Muy Baja",'Mapa final'!$AD$17="Catastrófico"),CONCATENATE("R2C",'Mapa final'!$R$17),"")</f>
        <v/>
      </c>
      <c r="AJ47" s="38" t="str">
        <f>IF(AND('Mapa final'!$AB$18="Muy Baja",'Mapa final'!$AD$18="Catastrófico"),CONCATENATE("R2C",'Mapa final'!$R$18),"")</f>
        <v/>
      </c>
      <c r="AK47" s="38" t="str">
        <f>IF(AND('Mapa final'!$AB$19="Muy Baja",'Mapa final'!$AD$19="Catastrófico"),CONCATENATE("R2C",'Mapa final'!$R$19),"")</f>
        <v/>
      </c>
      <c r="AL47" s="38" t="str">
        <f>IF(AND('Mapa final'!$AB$20="Muy Baja",'Mapa final'!$AD$20="Catastrófico"),CONCATENATE("R2C",'Mapa final'!$R$20),"")</f>
        <v/>
      </c>
      <c r="AM47" s="39" t="str">
        <f>IF(AND('Mapa final'!$AB$21="Muy Baja",'Mapa final'!$AD$21="Catastrófico"),CONCATENATE("R2C",'Mapa final'!$R$21),"")</f>
        <v/>
      </c>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ht="15" customHeight="1" x14ac:dyDescent="0.3">
      <c r="A48" s="65"/>
      <c r="B48" s="581"/>
      <c r="C48" s="581"/>
      <c r="D48" s="582"/>
      <c r="E48" s="678"/>
      <c r="F48" s="679"/>
      <c r="G48" s="679"/>
      <c r="H48" s="679"/>
      <c r="I48" s="695"/>
      <c r="J48" s="58" t="str">
        <f>IF(AND('Mapa final'!$AB$22="Muy Baja",'Mapa final'!$AD$22="Leve"),CONCATENATE("R3C",'Mapa final'!$R$22),"")</f>
        <v/>
      </c>
      <c r="K48" s="59" t="str">
        <f>IF(AND('Mapa final'!$AB$23="Muy Baja",'Mapa final'!$AD$23="Leve"),CONCATENATE("R3C",'Mapa final'!$R$23),"")</f>
        <v/>
      </c>
      <c r="L48" s="59" t="str">
        <f>IF(AND('Mapa final'!$AB$24="Muy Baja",'Mapa final'!$AD$24="Leve"),CONCATENATE("R3C",'Mapa final'!$R$24),"")</f>
        <v/>
      </c>
      <c r="M48" s="59" t="str">
        <f>IF(AND('Mapa final'!$AB$25="Muy Baja",'Mapa final'!$AD$25="Leve"),CONCATENATE("R3C",'Mapa final'!$R$25),"")</f>
        <v/>
      </c>
      <c r="N48" s="59" t="str">
        <f>IF(AND('Mapa final'!$AB$26="Muy Baja",'Mapa final'!$AD$26="Leve"),CONCATENATE("R3C",'Mapa final'!$R$26),"")</f>
        <v/>
      </c>
      <c r="O48" s="60" t="str">
        <f>IF(AND('Mapa final'!$AB$27="Muy Baja",'Mapa final'!$AD$27="Leve"),CONCATENATE("R3C",'Mapa final'!$R$27),"")</f>
        <v/>
      </c>
      <c r="P48" s="58" t="str">
        <f>IF(AND('Mapa final'!$AB$22="Muy Baja",'Mapa final'!$AD$22="Menor"),CONCATENATE("R3C",'Mapa final'!$R$22),"")</f>
        <v/>
      </c>
      <c r="Q48" s="59" t="str">
        <f>IF(AND('Mapa final'!$AB$23="Muy Baja",'Mapa final'!$AD$23="Menor"),CONCATENATE("R3C",'Mapa final'!$R$23),"")</f>
        <v/>
      </c>
      <c r="R48" s="59" t="str">
        <f>IF(AND('Mapa final'!$AB$24="Muy Baja",'Mapa final'!$AD$24="Menor"),CONCATENATE("R3C",'Mapa final'!$R$24),"")</f>
        <v/>
      </c>
      <c r="S48" s="59" t="str">
        <f>IF(AND('Mapa final'!$AB$25="Muy Baja",'Mapa final'!$AD$25="Menor"),CONCATENATE("R3C",'Mapa final'!$R$25),"")</f>
        <v/>
      </c>
      <c r="T48" s="59" t="str">
        <f>IF(AND('Mapa final'!$AB$26="Muy Baja",'Mapa final'!$AD$26="Menor"),CONCATENATE("R3C",'Mapa final'!$R$26),"")</f>
        <v/>
      </c>
      <c r="U48" s="60" t="str">
        <f>IF(AND('Mapa final'!$AB$27="Muy Baja",'Mapa final'!$AD$27="Menor"),CONCATENATE("R3C",'Mapa final'!$R$27),"")</f>
        <v/>
      </c>
      <c r="V48" s="49" t="str">
        <f>IF(AND('Mapa final'!$AB$22="Muy Baja",'Mapa final'!$AD$22="Moderado"),CONCATENATE("R3C",'Mapa final'!$R$22),"")</f>
        <v/>
      </c>
      <c r="W48" s="50" t="str">
        <f>IF(AND('Mapa final'!$AB$23="Muy Baja",'Mapa final'!$AD$23="Moderado"),CONCATENATE("R3C",'Mapa final'!$R$23),"")</f>
        <v/>
      </c>
      <c r="X48" s="50" t="str">
        <f>IF(AND('Mapa final'!$AB$24="Muy Baja",'Mapa final'!$AD$24="Moderado"),CONCATENATE("R3C",'Mapa final'!$R$24),"")</f>
        <v/>
      </c>
      <c r="Y48" s="50" t="str">
        <f>IF(AND('Mapa final'!$AB$25="Muy Baja",'Mapa final'!$AD$25="Moderado"),CONCATENATE("R3C",'Mapa final'!$R$25),"")</f>
        <v/>
      </c>
      <c r="Z48" s="50" t="str">
        <f>IF(AND('Mapa final'!$AB$26="Muy Baja",'Mapa final'!$AD$26="Moderado"),CONCATENATE("R3C",'Mapa final'!$R$26),"")</f>
        <v/>
      </c>
      <c r="AA48" s="51" t="str">
        <f>IF(AND('Mapa final'!$AB$27="Muy Baja",'Mapa final'!$AD$27="Moderado"),CONCATENATE("R3C",'Mapa final'!$R$27),"")</f>
        <v/>
      </c>
      <c r="AB48" s="34" t="str">
        <f>IF(AND('Mapa final'!$AB$22="Muy Baja",'Mapa final'!$AD$22="Mayor"),CONCATENATE("R3C",'Mapa final'!$R$22),"")</f>
        <v/>
      </c>
      <c r="AC48" s="35" t="str">
        <f>IF(AND('Mapa final'!$AB$23="Muy Baja",'Mapa final'!$AD$23="Mayor"),CONCATENATE("R3C",'Mapa final'!$R$23),"")</f>
        <v/>
      </c>
      <c r="AD48" s="35" t="str">
        <f>IF(AND('Mapa final'!$AB$24="Muy Baja",'Mapa final'!$AD$24="Mayor"),CONCATENATE("R3C",'Mapa final'!$R$24),"")</f>
        <v/>
      </c>
      <c r="AE48" s="35" t="str">
        <f>IF(AND('Mapa final'!$AB$25="Muy Baja",'Mapa final'!$AD$25="Mayor"),CONCATENATE("R3C",'Mapa final'!$R$25),"")</f>
        <v/>
      </c>
      <c r="AF48" s="35" t="str">
        <f>IF(AND('Mapa final'!$AB$26="Muy Baja",'Mapa final'!$AD$26="Mayor"),CONCATENATE("R3C",'Mapa final'!$R$26),"")</f>
        <v/>
      </c>
      <c r="AG48" s="36" t="str">
        <f>IF(AND('Mapa final'!$AB$27="Muy Baja",'Mapa final'!$AD$27="Mayor"),CONCATENATE("R3C",'Mapa final'!$R$27),"")</f>
        <v/>
      </c>
      <c r="AH48" s="37" t="str">
        <f>IF(AND('Mapa final'!$AB$22="Muy Baja",'Mapa final'!$AD$22="Catastrófico"),CONCATENATE("R3C",'Mapa final'!$R$22),"")</f>
        <v/>
      </c>
      <c r="AI48" s="38" t="str">
        <f>IF(AND('Mapa final'!$AB$23="Muy Baja",'Mapa final'!$AD$23="Catastrófico"),CONCATENATE("R3C",'Mapa final'!$R$23),"")</f>
        <v/>
      </c>
      <c r="AJ48" s="38" t="str">
        <f>IF(AND('Mapa final'!$AB$24="Muy Baja",'Mapa final'!$AD$24="Catastrófico"),CONCATENATE("R3C",'Mapa final'!$R$24),"")</f>
        <v/>
      </c>
      <c r="AK48" s="38" t="str">
        <f>IF(AND('Mapa final'!$AB$25="Muy Baja",'Mapa final'!$AD$25="Catastrófico"),CONCATENATE("R3C",'Mapa final'!$R$25),"")</f>
        <v/>
      </c>
      <c r="AL48" s="38" t="str">
        <f>IF(AND('Mapa final'!$AB$26="Muy Baja",'Mapa final'!$AD$26="Catastrófico"),CONCATENATE("R3C",'Mapa final'!$R$26),"")</f>
        <v/>
      </c>
      <c r="AM48" s="39" t="str">
        <f>IF(AND('Mapa final'!$AB$27="Muy Baja",'Mapa final'!$AD$27="Catastrófico"),CONCATENATE("R3C",'Mapa final'!$R$27),"")</f>
        <v/>
      </c>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ht="15" customHeight="1" x14ac:dyDescent="0.3">
      <c r="A49" s="65"/>
      <c r="B49" s="581"/>
      <c r="C49" s="581"/>
      <c r="D49" s="582"/>
      <c r="E49" s="680"/>
      <c r="F49" s="679"/>
      <c r="G49" s="679"/>
      <c r="H49" s="679"/>
      <c r="I49" s="695"/>
      <c r="J49" s="58" t="str">
        <f>IF(AND('Mapa final'!$AB$28="Muy Baja",'Mapa final'!$AD$28="Leve"),CONCATENATE("R4C",'Mapa final'!$R$28),"")</f>
        <v>R4C1</v>
      </c>
      <c r="K49" s="59" t="e">
        <f>IF(AND('Mapa final'!#REF!="Muy Baja",'Mapa final'!#REF!="Leve"),CONCATENATE("R4C",'Mapa final'!#REF!),"")</f>
        <v>#REF!</v>
      </c>
      <c r="L49" s="59" t="str">
        <f>IF(AND('Mapa final'!$AB$29="Muy Baja",'Mapa final'!$AD$29="Leve"),CONCATENATE("R4C",'Mapa final'!$R$29),"")</f>
        <v/>
      </c>
      <c r="M49" s="59" t="str">
        <f>IF(AND('Mapa final'!$AB$30="Muy Baja",'Mapa final'!$AD$30="Leve"),CONCATENATE("R4C",'Mapa final'!$R$30),"")</f>
        <v/>
      </c>
      <c r="N49" s="59" t="str">
        <f>IF(AND('Mapa final'!$AB$31="Muy Baja",'Mapa final'!$AD$31="Leve"),CONCATENATE("R4C",'Mapa final'!$R$31),"")</f>
        <v/>
      </c>
      <c r="O49" s="60" t="str">
        <f>IF(AND('Mapa final'!$AB$32="Muy Baja",'Mapa final'!$AD$32="Leve"),CONCATENATE("R4C",'Mapa final'!$R$32),"")</f>
        <v/>
      </c>
      <c r="P49" s="58" t="str">
        <f>IF(AND('Mapa final'!$AB$28="Muy Baja",'Mapa final'!$AD$28="Menor"),CONCATENATE("R4C",'Mapa final'!$R$28),"")</f>
        <v/>
      </c>
      <c r="Q49" s="59" t="e">
        <f>IF(AND('Mapa final'!#REF!="Muy Baja",'Mapa final'!#REF!="Menor"),CONCATENATE("R4C",'Mapa final'!#REF!),"")</f>
        <v>#REF!</v>
      </c>
      <c r="R49" s="59" t="str">
        <f>IF(AND('Mapa final'!$AB$29="Muy Baja",'Mapa final'!$AD$29="Menor"),CONCATENATE("R4C",'Mapa final'!$R$29),"")</f>
        <v/>
      </c>
      <c r="S49" s="59" t="str">
        <f>IF(AND('Mapa final'!$AB$30="Muy Baja",'Mapa final'!$AD$30="Menor"),CONCATENATE("R4C",'Mapa final'!$R$30),"")</f>
        <v/>
      </c>
      <c r="T49" s="59" t="str">
        <f>IF(AND('Mapa final'!$AB$31="Muy Baja",'Mapa final'!$AD$31="Menor"),CONCATENATE("R4C",'Mapa final'!$R$31),"")</f>
        <v/>
      </c>
      <c r="U49" s="60" t="str">
        <f>IF(AND('Mapa final'!$AB$32="Muy Baja",'Mapa final'!$AD$32="Menor"),CONCATENATE("R4C",'Mapa final'!$R$32),"")</f>
        <v/>
      </c>
      <c r="V49" s="49" t="str">
        <f>IF(AND('Mapa final'!$AB$28="Muy Baja",'Mapa final'!$AD$28="Moderado"),CONCATENATE("R4C",'Mapa final'!$R$28),"")</f>
        <v/>
      </c>
      <c r="W49" s="50" t="e">
        <f>IF(AND('Mapa final'!#REF!="Muy Baja",'Mapa final'!#REF!="Moderado"),CONCATENATE("R4C",'Mapa final'!#REF!),"")</f>
        <v>#REF!</v>
      </c>
      <c r="X49" s="50" t="str">
        <f>IF(AND('Mapa final'!$AB$29="Muy Baja",'Mapa final'!$AD$29="Moderado"),CONCATENATE("R4C",'Mapa final'!$R$29),"")</f>
        <v/>
      </c>
      <c r="Y49" s="50" t="str">
        <f>IF(AND('Mapa final'!$AB$30="Muy Baja",'Mapa final'!$AD$30="Moderado"),CONCATENATE("R4C",'Mapa final'!$R$30),"")</f>
        <v/>
      </c>
      <c r="Z49" s="50" t="str">
        <f>IF(AND('Mapa final'!$AB$31="Muy Baja",'Mapa final'!$AD$31="Moderado"),CONCATENATE("R4C",'Mapa final'!$R$31),"")</f>
        <v/>
      </c>
      <c r="AA49" s="51" t="str">
        <f>IF(AND('Mapa final'!$AB$32="Muy Baja",'Mapa final'!$AD$32="Moderado"),CONCATENATE("R4C",'Mapa final'!$R$32),"")</f>
        <v/>
      </c>
      <c r="AB49" s="34" t="str">
        <f>IF(AND('Mapa final'!$AB$28="Muy Baja",'Mapa final'!$AD$28="Mayor"),CONCATENATE("R4C",'Mapa final'!$R$28),"")</f>
        <v/>
      </c>
      <c r="AC49" s="35" t="e">
        <f>IF(AND('Mapa final'!#REF!="Muy Baja",'Mapa final'!#REF!="Mayor"),CONCATENATE("R4C",'Mapa final'!#REF!),"")</f>
        <v>#REF!</v>
      </c>
      <c r="AD49" s="35" t="str">
        <f>IF(AND('Mapa final'!$AB$29="Muy Baja",'Mapa final'!$AD$29="Mayor"),CONCATENATE("R4C",'Mapa final'!$R$29),"")</f>
        <v/>
      </c>
      <c r="AE49" s="35" t="str">
        <f>IF(AND('Mapa final'!$AB$30="Muy Baja",'Mapa final'!$AD$30="Mayor"),CONCATENATE("R4C",'Mapa final'!$R$30),"")</f>
        <v/>
      </c>
      <c r="AF49" s="35" t="str">
        <f>IF(AND('Mapa final'!$AB$31="Muy Baja",'Mapa final'!$AD$31="Mayor"),CONCATENATE("R4C",'Mapa final'!$R$31),"")</f>
        <v/>
      </c>
      <c r="AG49" s="36" t="str">
        <f>IF(AND('Mapa final'!$AB$32="Muy Baja",'Mapa final'!$AD$32="Mayor"),CONCATENATE("R4C",'Mapa final'!$R$32),"")</f>
        <v/>
      </c>
      <c r="AH49" s="37" t="str">
        <f>IF(AND('Mapa final'!$AB$28="Muy Baja",'Mapa final'!$AD$28="Catastrófico"),CONCATENATE("R4C",'Mapa final'!$R$28),"")</f>
        <v/>
      </c>
      <c r="AI49" s="38" t="e">
        <f>IF(AND('Mapa final'!#REF!="Muy Baja",'Mapa final'!#REF!="Catastrófico"),CONCATENATE("R4C",'Mapa final'!#REF!),"")</f>
        <v>#REF!</v>
      </c>
      <c r="AJ49" s="38" t="str">
        <f>IF(AND('Mapa final'!$AB$29="Muy Baja",'Mapa final'!$AD$29="Catastrófico"),CONCATENATE("R4C",'Mapa final'!$R$29),"")</f>
        <v/>
      </c>
      <c r="AK49" s="38" t="str">
        <f>IF(AND('Mapa final'!$AB$30="Muy Baja",'Mapa final'!$AD$30="Catastrófico"),CONCATENATE("R4C",'Mapa final'!$R$30),"")</f>
        <v/>
      </c>
      <c r="AL49" s="38" t="str">
        <f>IF(AND('Mapa final'!$AB$31="Muy Baja",'Mapa final'!$AD$31="Catastrófico"),CONCATENATE("R4C",'Mapa final'!$R$31),"")</f>
        <v/>
      </c>
      <c r="AM49" s="39" t="str">
        <f>IF(AND('Mapa final'!$AB$32="Muy Baja",'Mapa final'!$AD$32="Catastrófico"),CONCATENATE("R4C",'Mapa final'!$R$32),"")</f>
        <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ht="15" customHeight="1" x14ac:dyDescent="0.3">
      <c r="A50" s="65"/>
      <c r="B50" s="581"/>
      <c r="C50" s="581"/>
      <c r="D50" s="582"/>
      <c r="E50" s="680"/>
      <c r="F50" s="679"/>
      <c r="G50" s="679"/>
      <c r="H50" s="679"/>
      <c r="I50" s="695"/>
      <c r="J50" s="58" t="str">
        <f>IF(AND('Mapa final'!$AB$33="Muy Baja",'Mapa final'!$AD$33="Leve"),CONCATENATE("R5C",'Mapa final'!$R$33),"")</f>
        <v/>
      </c>
      <c r="K50" s="59" t="str">
        <f>IF(AND('Mapa final'!$AB$34="Muy Baja",'Mapa final'!$AD$34="Leve"),CONCATENATE("R5C",'Mapa final'!$R$34),"")</f>
        <v/>
      </c>
      <c r="L50" s="59" t="str">
        <f>IF(AND('Mapa final'!$AB$35="Muy Baja",'Mapa final'!$AD$35="Leve"),CONCATENATE("R5C",'Mapa final'!$R$35),"")</f>
        <v/>
      </c>
      <c r="M50" s="59" t="str">
        <f>IF(AND('Mapa final'!$AB$36="Muy Baja",'Mapa final'!$AD$36="Leve"),CONCATENATE("R5C",'Mapa final'!$R$36),"")</f>
        <v/>
      </c>
      <c r="N50" s="59" t="str">
        <f>IF(AND('Mapa final'!$AB$37="Muy Baja",'Mapa final'!$AD$37="Leve"),CONCATENATE("R5C",'Mapa final'!$R$37),"")</f>
        <v/>
      </c>
      <c r="O50" s="60" t="str">
        <f>IF(AND('Mapa final'!$AB$38="Muy Baja",'Mapa final'!$AD$38="Leve"),CONCATENATE("R5C",'Mapa final'!$R$38),"")</f>
        <v/>
      </c>
      <c r="P50" s="58" t="str">
        <f>IF(AND('Mapa final'!$AB$33="Muy Baja",'Mapa final'!$AD$33="Menor"),CONCATENATE("R5C",'Mapa final'!$R$33),"")</f>
        <v/>
      </c>
      <c r="Q50" s="59" t="str">
        <f>IF(AND('Mapa final'!$AB$34="Muy Baja",'Mapa final'!$AD$34="Menor"),CONCATENATE("R5C",'Mapa final'!$R$34),"")</f>
        <v/>
      </c>
      <c r="R50" s="59" t="str">
        <f>IF(AND('Mapa final'!$AB$35="Muy Baja",'Mapa final'!$AD$35="Menor"),CONCATENATE("R5C",'Mapa final'!$R$35),"")</f>
        <v/>
      </c>
      <c r="S50" s="59" t="str">
        <f>IF(AND('Mapa final'!$AB$36="Muy Baja",'Mapa final'!$AD$36="Menor"),CONCATENATE("R5C",'Mapa final'!$R$36),"")</f>
        <v/>
      </c>
      <c r="T50" s="59" t="str">
        <f>IF(AND('Mapa final'!$AB$37="Muy Baja",'Mapa final'!$AD$37="Menor"),CONCATENATE("R5C",'Mapa final'!$R$37),"")</f>
        <v/>
      </c>
      <c r="U50" s="60" t="str">
        <f>IF(AND('Mapa final'!$AB$38="Muy Baja",'Mapa final'!$AD$38="Menor"),CONCATENATE("R5C",'Mapa final'!$R$38),"")</f>
        <v/>
      </c>
      <c r="V50" s="49" t="str">
        <f>IF(AND('Mapa final'!$AB$33="Muy Baja",'Mapa final'!$AD$33="Moderado"),CONCATENATE("R5C",'Mapa final'!$R$33),"")</f>
        <v/>
      </c>
      <c r="W50" s="50" t="str">
        <f>IF(AND('Mapa final'!$AB$34="Muy Baja",'Mapa final'!$AD$34="Moderado"),CONCATENATE("R5C",'Mapa final'!$R$34),"")</f>
        <v/>
      </c>
      <c r="X50" s="50" t="str">
        <f>IF(AND('Mapa final'!$AB$35="Muy Baja",'Mapa final'!$AD$35="Moderado"),CONCATENATE("R5C",'Mapa final'!$R$35),"")</f>
        <v/>
      </c>
      <c r="Y50" s="50" t="str">
        <f>IF(AND('Mapa final'!$AB$36="Muy Baja",'Mapa final'!$AD$36="Moderado"),CONCATENATE("R5C",'Mapa final'!$R$36),"")</f>
        <v/>
      </c>
      <c r="Z50" s="50" t="str">
        <f>IF(AND('Mapa final'!$AB$37="Muy Baja",'Mapa final'!$AD$37="Moderado"),CONCATENATE("R5C",'Mapa final'!$R$37),"")</f>
        <v/>
      </c>
      <c r="AA50" s="51" t="str">
        <f>IF(AND('Mapa final'!$AB$38="Muy Baja",'Mapa final'!$AD$38="Moderado"),CONCATENATE("R5C",'Mapa final'!$R$38),"")</f>
        <v/>
      </c>
      <c r="AB50" s="34" t="str">
        <f>IF(AND('Mapa final'!$AB$33="Muy Baja",'Mapa final'!$AD$33="Mayor"),CONCATENATE("R5C",'Mapa final'!$R$33),"")</f>
        <v/>
      </c>
      <c r="AC50" s="35" t="str">
        <f>IF(AND('Mapa final'!$AB$34="Muy Baja",'Mapa final'!$AD$34="Mayor"),CONCATENATE("R5C",'Mapa final'!$R$34),"")</f>
        <v/>
      </c>
      <c r="AD50" s="35" t="str">
        <f>IF(AND('Mapa final'!$AB$35="Muy Baja",'Mapa final'!$AD$35="Mayor"),CONCATENATE("R5C",'Mapa final'!$R$35),"")</f>
        <v/>
      </c>
      <c r="AE50" s="35" t="str">
        <f>IF(AND('Mapa final'!$AB$36="Muy Baja",'Mapa final'!$AD$36="Mayor"),CONCATENATE("R5C",'Mapa final'!$R$36),"")</f>
        <v/>
      </c>
      <c r="AF50" s="35" t="str">
        <f>IF(AND('Mapa final'!$AB$37="Muy Baja",'Mapa final'!$AD$37="Mayor"),CONCATENATE("R5C",'Mapa final'!$R$37),"")</f>
        <v/>
      </c>
      <c r="AG50" s="36" t="str">
        <f>IF(AND('Mapa final'!$AB$38="Muy Baja",'Mapa final'!$AD$38="Mayor"),CONCATENATE("R5C",'Mapa final'!$R$38),"")</f>
        <v/>
      </c>
      <c r="AH50" s="37" t="str">
        <f>IF(AND('Mapa final'!$AB$33="Muy Baja",'Mapa final'!$AD$33="Catastrófico"),CONCATENATE("R5C",'Mapa final'!$R$33),"")</f>
        <v/>
      </c>
      <c r="AI50" s="38" t="str">
        <f>IF(AND('Mapa final'!$AB$34="Muy Baja",'Mapa final'!$AD$34="Catastrófico"),CONCATENATE("R5C",'Mapa final'!$R$34),"")</f>
        <v/>
      </c>
      <c r="AJ50" s="38" t="str">
        <f>IF(AND('Mapa final'!$AB$35="Muy Baja",'Mapa final'!$AD$35="Catastrófico"),CONCATENATE("R5C",'Mapa final'!$R$35),"")</f>
        <v/>
      </c>
      <c r="AK50" s="38" t="str">
        <f>IF(AND('Mapa final'!$AB$36="Muy Baja",'Mapa final'!$AD$36="Catastrófico"),CONCATENATE("R5C",'Mapa final'!$R$36),"")</f>
        <v/>
      </c>
      <c r="AL50" s="38" t="str">
        <f>IF(AND('Mapa final'!$AB$37="Muy Baja",'Mapa final'!$AD$37="Catastrófico"),CONCATENATE("R5C",'Mapa final'!$R$37),"")</f>
        <v/>
      </c>
      <c r="AM50" s="39" t="str">
        <f>IF(AND('Mapa final'!$AB$38="Muy Baja",'Mapa final'!$AD$38="Catastrófico"),CONCATENATE("R5C",'Mapa final'!$R$38),"")</f>
        <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customHeight="1" x14ac:dyDescent="0.3">
      <c r="A51" s="65"/>
      <c r="B51" s="581"/>
      <c r="C51" s="581"/>
      <c r="D51" s="582"/>
      <c r="E51" s="680"/>
      <c r="F51" s="679"/>
      <c r="G51" s="679"/>
      <c r="H51" s="679"/>
      <c r="I51" s="695"/>
      <c r="J51" s="58" t="str">
        <f>IF(AND('Mapa final'!$AB$39="Muy Baja",'Mapa final'!$AD$39="Leve"),CONCATENATE("R6C",'Mapa final'!$R$39),"")</f>
        <v/>
      </c>
      <c r="K51" s="59" t="str">
        <f>IF(AND('Mapa final'!$AB$40="Muy Baja",'Mapa final'!$AD$40="Leve"),CONCATENATE("R6C",'Mapa final'!$R$40),"")</f>
        <v/>
      </c>
      <c r="L51" s="59" t="str">
        <f>IF(AND('Mapa final'!$AB$41="Muy Baja",'Mapa final'!$AD$41="Leve"),CONCATENATE("R6C",'Mapa final'!$R$41),"")</f>
        <v/>
      </c>
      <c r="M51" s="59" t="str">
        <f>IF(AND('Mapa final'!$AB$42="Muy Baja",'Mapa final'!$AD$42="Leve"),CONCATENATE("R6C",'Mapa final'!$R$42),"")</f>
        <v/>
      </c>
      <c r="N51" s="59" t="str">
        <f>IF(AND('Mapa final'!$AB$43="Muy Baja",'Mapa final'!$AD$43="Leve"),CONCATENATE("R6C",'Mapa final'!$R$43),"")</f>
        <v/>
      </c>
      <c r="O51" s="60" t="str">
        <f>IF(AND('Mapa final'!$AB$44="Muy Baja",'Mapa final'!$AD$44="Leve"),CONCATENATE("R6C",'Mapa final'!$R$44),"")</f>
        <v/>
      </c>
      <c r="P51" s="58" t="str">
        <f>IF(AND('Mapa final'!$AB$39="Muy Baja",'Mapa final'!$AD$39="Menor"),CONCATENATE("R6C",'Mapa final'!$R$39),"")</f>
        <v/>
      </c>
      <c r="Q51" s="59" t="str">
        <f>IF(AND('Mapa final'!$AB$40="Muy Baja",'Mapa final'!$AD$40="Menor"),CONCATENATE("R6C",'Mapa final'!$R$40),"")</f>
        <v/>
      </c>
      <c r="R51" s="59" t="str">
        <f>IF(AND('Mapa final'!$AB$41="Muy Baja",'Mapa final'!$AD$41="Menor"),CONCATENATE("R6C",'Mapa final'!$R$41),"")</f>
        <v/>
      </c>
      <c r="S51" s="59" t="str">
        <f>IF(AND('Mapa final'!$AB$42="Muy Baja",'Mapa final'!$AD$42="Menor"),CONCATENATE("R6C",'Mapa final'!$R$42),"")</f>
        <v/>
      </c>
      <c r="T51" s="59" t="str">
        <f>IF(AND('Mapa final'!$AB$43="Muy Baja",'Mapa final'!$AD$43="Menor"),CONCATENATE("R6C",'Mapa final'!$R$43),"")</f>
        <v/>
      </c>
      <c r="U51" s="60" t="str">
        <f>IF(AND('Mapa final'!$AB$44="Muy Baja",'Mapa final'!$AD$44="Menor"),CONCATENATE("R6C",'Mapa final'!$R$44),"")</f>
        <v/>
      </c>
      <c r="V51" s="49" t="str">
        <f>IF(AND('Mapa final'!$AB$39="Muy Baja",'Mapa final'!$AD$39="Moderado"),CONCATENATE("R6C",'Mapa final'!$R$39),"")</f>
        <v/>
      </c>
      <c r="W51" s="50" t="str">
        <f>IF(AND('Mapa final'!$AB$40="Muy Baja",'Mapa final'!$AD$40="Moderado"),CONCATENATE("R6C",'Mapa final'!$R$40),"")</f>
        <v/>
      </c>
      <c r="X51" s="50" t="str">
        <f>IF(AND('Mapa final'!$AB$41="Muy Baja",'Mapa final'!$AD$41="Moderado"),CONCATENATE("R6C",'Mapa final'!$R$41),"")</f>
        <v/>
      </c>
      <c r="Y51" s="50" t="str">
        <f>IF(AND('Mapa final'!$AB$42="Muy Baja",'Mapa final'!$AD$42="Moderado"),CONCATENATE("R6C",'Mapa final'!$R$42),"")</f>
        <v/>
      </c>
      <c r="Z51" s="50" t="str">
        <f>IF(AND('Mapa final'!$AB$43="Muy Baja",'Mapa final'!$AD$43="Moderado"),CONCATENATE("R6C",'Mapa final'!$R$43),"")</f>
        <v/>
      </c>
      <c r="AA51" s="51" t="str">
        <f>IF(AND('Mapa final'!$AB$44="Muy Baja",'Mapa final'!$AD$44="Moderado"),CONCATENATE("R6C",'Mapa final'!$R$44),"")</f>
        <v/>
      </c>
      <c r="AB51" s="34" t="str">
        <f>IF(AND('Mapa final'!$AB$39="Muy Baja",'Mapa final'!$AD$39="Mayor"),CONCATENATE("R6C",'Mapa final'!$R$39),"")</f>
        <v/>
      </c>
      <c r="AC51" s="35" t="str">
        <f>IF(AND('Mapa final'!$AB$40="Muy Baja",'Mapa final'!$AD$40="Mayor"),CONCATENATE("R6C",'Mapa final'!$R$40),"")</f>
        <v/>
      </c>
      <c r="AD51" s="35" t="str">
        <f>IF(AND('Mapa final'!$AB$41="Muy Baja",'Mapa final'!$AD$41="Mayor"),CONCATENATE("R6C",'Mapa final'!$R$41),"")</f>
        <v/>
      </c>
      <c r="AE51" s="35" t="str">
        <f>IF(AND('Mapa final'!$AB$42="Muy Baja",'Mapa final'!$AD$42="Mayor"),CONCATENATE("R6C",'Mapa final'!$R$42),"")</f>
        <v/>
      </c>
      <c r="AF51" s="35" t="str">
        <f>IF(AND('Mapa final'!$AB$43="Muy Baja",'Mapa final'!$AD$43="Mayor"),CONCATENATE("R6C",'Mapa final'!$R$43),"")</f>
        <v/>
      </c>
      <c r="AG51" s="36" t="str">
        <f>IF(AND('Mapa final'!$AB$44="Muy Baja",'Mapa final'!$AD$44="Mayor"),CONCATENATE("R6C",'Mapa final'!$R$44),"")</f>
        <v/>
      </c>
      <c r="AH51" s="37" t="str">
        <f>IF(AND('Mapa final'!$AB$39="Muy Baja",'Mapa final'!$AD$39="Catastrófico"),CONCATENATE("R6C",'Mapa final'!$R$39),"")</f>
        <v/>
      </c>
      <c r="AI51" s="38" t="str">
        <f>IF(AND('Mapa final'!$AB$40="Muy Baja",'Mapa final'!$AD$40="Catastrófico"),CONCATENATE("R6C",'Mapa final'!$R$40),"")</f>
        <v/>
      </c>
      <c r="AJ51" s="38" t="str">
        <f>IF(AND('Mapa final'!$AB$41="Muy Baja",'Mapa final'!$AD$41="Catastrófico"),CONCATENATE("R6C",'Mapa final'!$R$41),"")</f>
        <v/>
      </c>
      <c r="AK51" s="38" t="str">
        <f>IF(AND('Mapa final'!$AB$42="Muy Baja",'Mapa final'!$AD$42="Catastrófico"),CONCATENATE("R6C",'Mapa final'!$R$42),"")</f>
        <v/>
      </c>
      <c r="AL51" s="38" t="str">
        <f>IF(AND('Mapa final'!$AB$43="Muy Baja",'Mapa final'!$AD$43="Catastrófico"),CONCATENATE("R6C",'Mapa final'!$R$43),"")</f>
        <v/>
      </c>
      <c r="AM51" s="39" t="str">
        <f>IF(AND('Mapa final'!$AB$44="Muy Baja",'Mapa final'!$AD$44="Catastrófico"),CONCATENATE("R6C",'Mapa final'!$R$44),"")</f>
        <v/>
      </c>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ht="15" customHeight="1" x14ac:dyDescent="0.3">
      <c r="A52" s="65"/>
      <c r="B52" s="581"/>
      <c r="C52" s="581"/>
      <c r="D52" s="582"/>
      <c r="E52" s="680"/>
      <c r="F52" s="679"/>
      <c r="G52" s="679"/>
      <c r="H52" s="679"/>
      <c r="I52" s="695"/>
      <c r="J52" s="58" t="str">
        <f>IF(AND('Mapa final'!$AB$45="Muy Baja",'Mapa final'!$AD$45="Leve"),CONCATENATE("R7C",'Mapa final'!$R$45),"")</f>
        <v/>
      </c>
      <c r="K52" s="59" t="str">
        <f>IF(AND('Mapa final'!$AB$46="Muy Baja",'Mapa final'!$AD$46="Leve"),CONCATENATE("R7C",'Mapa final'!$R$46),"")</f>
        <v/>
      </c>
      <c r="L52" s="59" t="str">
        <f>IF(AND('Mapa final'!$AB$47="Muy Baja",'Mapa final'!$AD$47="Leve"),CONCATENATE("R7C",'Mapa final'!$R$47),"")</f>
        <v/>
      </c>
      <c r="M52" s="59" t="str">
        <f>IF(AND('Mapa final'!$AB$48="Muy Baja",'Mapa final'!$AD$48="Leve"),CONCATENATE("R7C",'Mapa final'!$R$48),"")</f>
        <v/>
      </c>
      <c r="N52" s="59" t="str">
        <f>IF(AND('Mapa final'!$AB$49="Muy Baja",'Mapa final'!$AD$49="Leve"),CONCATENATE("R7C",'Mapa final'!$R$49),"")</f>
        <v/>
      </c>
      <c r="O52" s="60" t="str">
        <f>IF(AND('Mapa final'!$AB$50="Muy Baja",'Mapa final'!$AD$50="Leve"),CONCATENATE("R7C",'Mapa final'!$R$50),"")</f>
        <v/>
      </c>
      <c r="P52" s="58" t="str">
        <f>IF(AND('Mapa final'!$AB$45="Muy Baja",'Mapa final'!$AD$45="Menor"),CONCATENATE("R7C",'Mapa final'!$R$45),"")</f>
        <v/>
      </c>
      <c r="Q52" s="59" t="str">
        <f>IF(AND('Mapa final'!$AB$46="Muy Baja",'Mapa final'!$AD$46="Menor"),CONCATENATE("R7C",'Mapa final'!$R$46),"")</f>
        <v/>
      </c>
      <c r="R52" s="59" t="str">
        <f>IF(AND('Mapa final'!$AB$47="Muy Baja",'Mapa final'!$AD$47="Menor"),CONCATENATE("R7C",'Mapa final'!$R$47),"")</f>
        <v/>
      </c>
      <c r="S52" s="59" t="str">
        <f>IF(AND('Mapa final'!$AB$48="Muy Baja",'Mapa final'!$AD$48="Menor"),CONCATENATE("R7C",'Mapa final'!$R$48),"")</f>
        <v/>
      </c>
      <c r="T52" s="59" t="str">
        <f>IF(AND('Mapa final'!$AB$49="Muy Baja",'Mapa final'!$AD$49="Menor"),CONCATENATE("R7C",'Mapa final'!$R$49),"")</f>
        <v/>
      </c>
      <c r="U52" s="60" t="str">
        <f>IF(AND('Mapa final'!$AB$50="Muy Baja",'Mapa final'!$AD$50="Menor"),CONCATENATE("R7C",'Mapa final'!$R$50),"")</f>
        <v/>
      </c>
      <c r="V52" s="49" t="str">
        <f>IF(AND('Mapa final'!$AB$45="Muy Baja",'Mapa final'!$AD$45="Moderado"),CONCATENATE("R7C",'Mapa final'!$R$45),"")</f>
        <v/>
      </c>
      <c r="W52" s="50" t="str">
        <f>IF(AND('Mapa final'!$AB$46="Muy Baja",'Mapa final'!$AD$46="Moderado"),CONCATENATE("R7C",'Mapa final'!$R$46),"")</f>
        <v/>
      </c>
      <c r="X52" s="50" t="str">
        <f>IF(AND('Mapa final'!$AB$47="Muy Baja",'Mapa final'!$AD$47="Moderado"),CONCATENATE("R7C",'Mapa final'!$R$47),"")</f>
        <v/>
      </c>
      <c r="Y52" s="50" t="str">
        <f>IF(AND('Mapa final'!$AB$48="Muy Baja",'Mapa final'!$AD$48="Moderado"),CONCATENATE("R7C",'Mapa final'!$R$48),"")</f>
        <v/>
      </c>
      <c r="Z52" s="50" t="str">
        <f>IF(AND('Mapa final'!$AB$49="Muy Baja",'Mapa final'!$AD$49="Moderado"),CONCATENATE("R7C",'Mapa final'!$R$49),"")</f>
        <v/>
      </c>
      <c r="AA52" s="51" t="str">
        <f>IF(AND('Mapa final'!$AB$50="Muy Baja",'Mapa final'!$AD$50="Moderado"),CONCATENATE("R7C",'Mapa final'!$R$50),"")</f>
        <v/>
      </c>
      <c r="AB52" s="34" t="str">
        <f>IF(AND('Mapa final'!$AB$45="Muy Baja",'Mapa final'!$AD$45="Mayor"),CONCATENATE("R7C",'Mapa final'!$R$45),"")</f>
        <v/>
      </c>
      <c r="AC52" s="35" t="str">
        <f>IF(AND('Mapa final'!$AB$46="Muy Baja",'Mapa final'!$AD$46="Mayor"),CONCATENATE("R7C",'Mapa final'!$R$46),"")</f>
        <v/>
      </c>
      <c r="AD52" s="35" t="str">
        <f>IF(AND('Mapa final'!$AB$47="Muy Baja",'Mapa final'!$AD$47="Mayor"),CONCATENATE("R7C",'Mapa final'!$R$47),"")</f>
        <v/>
      </c>
      <c r="AE52" s="35" t="str">
        <f>IF(AND('Mapa final'!$AB$48="Muy Baja",'Mapa final'!$AD$48="Mayor"),CONCATENATE("R7C",'Mapa final'!$R$48),"")</f>
        <v/>
      </c>
      <c r="AF52" s="35" t="str">
        <f>IF(AND('Mapa final'!$AB$49="Muy Baja",'Mapa final'!$AD$49="Mayor"),CONCATENATE("R7C",'Mapa final'!$R$49),"")</f>
        <v/>
      </c>
      <c r="AG52" s="36" t="str">
        <f>IF(AND('Mapa final'!$AB$50="Muy Baja",'Mapa final'!$AD$50="Mayor"),CONCATENATE("R7C",'Mapa final'!$R$50),"")</f>
        <v/>
      </c>
      <c r="AH52" s="37" t="str">
        <f>IF(AND('Mapa final'!$AB$45="Muy Baja",'Mapa final'!$AD$45="Catastrófico"),CONCATENATE("R7C",'Mapa final'!$R$45),"")</f>
        <v/>
      </c>
      <c r="AI52" s="38" t="str">
        <f>IF(AND('Mapa final'!$AB$46="Muy Baja",'Mapa final'!$AD$46="Catastrófico"),CONCATENATE("R7C",'Mapa final'!$R$46),"")</f>
        <v/>
      </c>
      <c r="AJ52" s="38" t="str">
        <f>IF(AND('Mapa final'!$AB$47="Muy Baja",'Mapa final'!$AD$47="Catastrófico"),CONCATENATE("R7C",'Mapa final'!$R$47),"")</f>
        <v/>
      </c>
      <c r="AK52" s="38" t="str">
        <f>IF(AND('Mapa final'!$AB$48="Muy Baja",'Mapa final'!$AD$48="Catastrófico"),CONCATENATE("R7C",'Mapa final'!$R$48),"")</f>
        <v/>
      </c>
      <c r="AL52" s="38" t="str">
        <f>IF(AND('Mapa final'!$AB$49="Muy Baja",'Mapa final'!$AD$49="Catastrófico"),CONCATENATE("R7C",'Mapa final'!$R$49),"")</f>
        <v/>
      </c>
      <c r="AM52" s="39" t="str">
        <f>IF(AND('Mapa final'!$AB$50="Muy Baja",'Mapa final'!$AD$50="Catastrófico"),CONCATENATE("R7C",'Mapa final'!$R$50),"")</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581"/>
      <c r="C53" s="581"/>
      <c r="D53" s="582"/>
      <c r="E53" s="680"/>
      <c r="F53" s="679"/>
      <c r="G53" s="679"/>
      <c r="H53" s="679"/>
      <c r="I53" s="695"/>
      <c r="J53" s="58" t="str">
        <f>IF(AND('Mapa final'!$AB$51="Muy Baja",'Mapa final'!$AD$51="Leve"),CONCATENATE("R8C",'Mapa final'!$R$51),"")</f>
        <v/>
      </c>
      <c r="K53" s="59" t="str">
        <f>IF(AND('Mapa final'!$AB$52="Muy Baja",'Mapa final'!$AD$52="Leve"),CONCATENATE("R8C",'Mapa final'!$R$52),"")</f>
        <v/>
      </c>
      <c r="L53" s="59" t="str">
        <f>IF(AND('Mapa final'!$AB$53="Muy Baja",'Mapa final'!$AD$53="Leve"),CONCATENATE("R8C",'Mapa final'!$R$53),"")</f>
        <v/>
      </c>
      <c r="M53" s="59" t="str">
        <f>IF(AND('Mapa final'!$AB$54="Muy Baja",'Mapa final'!$AD$54="Leve"),CONCATENATE("R8C",'Mapa final'!$R$54),"")</f>
        <v/>
      </c>
      <c r="N53" s="59" t="str">
        <f>IF(AND('Mapa final'!$AB$55="Muy Baja",'Mapa final'!$AD$55="Leve"),CONCATENATE("R8C",'Mapa final'!$R$55),"")</f>
        <v/>
      </c>
      <c r="O53" s="60" t="str">
        <f>IF(AND('Mapa final'!$AB$56="Muy Baja",'Mapa final'!$AD$56="Leve"),CONCATENATE("R8C",'Mapa final'!$R$56),"")</f>
        <v/>
      </c>
      <c r="P53" s="58" t="str">
        <f>IF(AND('Mapa final'!$AB$51="Muy Baja",'Mapa final'!$AD$51="Menor"),CONCATENATE("R8C",'Mapa final'!$R$51),"")</f>
        <v/>
      </c>
      <c r="Q53" s="59" t="str">
        <f>IF(AND('Mapa final'!$AB$52="Muy Baja",'Mapa final'!$AD$52="Menor"),CONCATENATE("R8C",'Mapa final'!$R$52),"")</f>
        <v/>
      </c>
      <c r="R53" s="59" t="str">
        <f>IF(AND('Mapa final'!$AB$53="Muy Baja",'Mapa final'!$AD$53="Menor"),CONCATENATE("R8C",'Mapa final'!$R$53),"")</f>
        <v/>
      </c>
      <c r="S53" s="59" t="str">
        <f>IF(AND('Mapa final'!$AB$54="Muy Baja",'Mapa final'!$AD$54="Menor"),CONCATENATE("R8C",'Mapa final'!$R$54),"")</f>
        <v/>
      </c>
      <c r="T53" s="59" t="str">
        <f>IF(AND('Mapa final'!$AB$55="Muy Baja",'Mapa final'!$AD$55="Menor"),CONCATENATE("R8C",'Mapa final'!$R$55),"")</f>
        <v/>
      </c>
      <c r="U53" s="60" t="str">
        <f>IF(AND('Mapa final'!$AB$56="Muy Baja",'Mapa final'!$AD$56="Menor"),CONCATENATE("R8C",'Mapa final'!$R$56),"")</f>
        <v/>
      </c>
      <c r="V53" s="49" t="str">
        <f>IF(AND('Mapa final'!$AB$51="Muy Baja",'Mapa final'!$AD$51="Moderado"),CONCATENATE("R8C",'Mapa final'!$R$51),"")</f>
        <v/>
      </c>
      <c r="W53" s="50" t="str">
        <f>IF(AND('Mapa final'!$AB$52="Muy Baja",'Mapa final'!$AD$52="Moderado"),CONCATENATE("R8C",'Mapa final'!$R$52),"")</f>
        <v/>
      </c>
      <c r="X53" s="50" t="str">
        <f>IF(AND('Mapa final'!$AB$53="Muy Baja",'Mapa final'!$AD$53="Moderado"),CONCATENATE("R8C",'Mapa final'!$R$53),"")</f>
        <v/>
      </c>
      <c r="Y53" s="50" t="str">
        <f>IF(AND('Mapa final'!$AB$54="Muy Baja",'Mapa final'!$AD$54="Moderado"),CONCATENATE("R8C",'Mapa final'!$R$54),"")</f>
        <v/>
      </c>
      <c r="Z53" s="50" t="str">
        <f>IF(AND('Mapa final'!$AB$55="Muy Baja",'Mapa final'!$AD$55="Moderado"),CONCATENATE("R8C",'Mapa final'!$R$55),"")</f>
        <v/>
      </c>
      <c r="AA53" s="51" t="str">
        <f>IF(AND('Mapa final'!$AB$56="Muy Baja",'Mapa final'!$AD$56="Moderado"),CONCATENATE("R8C",'Mapa final'!$R$56),"")</f>
        <v/>
      </c>
      <c r="AB53" s="34" t="str">
        <f>IF(AND('Mapa final'!$AB$51="Muy Baja",'Mapa final'!$AD$51="Mayor"),CONCATENATE("R8C",'Mapa final'!$R$51),"")</f>
        <v/>
      </c>
      <c r="AC53" s="35" t="str">
        <f>IF(AND('Mapa final'!$AB$52="Muy Baja",'Mapa final'!$AD$52="Mayor"),CONCATENATE("R8C",'Mapa final'!$R$52),"")</f>
        <v/>
      </c>
      <c r="AD53" s="35" t="str">
        <f>IF(AND('Mapa final'!$AB$53="Muy Baja",'Mapa final'!$AD$53="Mayor"),CONCATENATE("R8C",'Mapa final'!$R$53),"")</f>
        <v/>
      </c>
      <c r="AE53" s="35" t="str">
        <f>IF(AND('Mapa final'!$AB$54="Muy Baja",'Mapa final'!$AD$54="Mayor"),CONCATENATE("R8C",'Mapa final'!$R$54),"")</f>
        <v/>
      </c>
      <c r="AF53" s="35" t="str">
        <f>IF(AND('Mapa final'!$AB$55="Muy Baja",'Mapa final'!$AD$55="Mayor"),CONCATENATE("R8C",'Mapa final'!$R$55),"")</f>
        <v/>
      </c>
      <c r="AG53" s="36" t="str">
        <f>IF(AND('Mapa final'!$AB$56="Muy Baja",'Mapa final'!$AD$56="Mayor"),CONCATENATE("R8C",'Mapa final'!$R$56),"")</f>
        <v/>
      </c>
      <c r="AH53" s="37" t="str">
        <f>IF(AND('Mapa final'!$AB$51="Muy Baja",'Mapa final'!$AD$51="Catastrófico"),CONCATENATE("R8C",'Mapa final'!$R$51),"")</f>
        <v/>
      </c>
      <c r="AI53" s="38" t="str">
        <f>IF(AND('Mapa final'!$AB$52="Muy Baja",'Mapa final'!$AD$52="Catastrófico"),CONCATENATE("R8C",'Mapa final'!$R$52),"")</f>
        <v/>
      </c>
      <c r="AJ53" s="38" t="str">
        <f>IF(AND('Mapa final'!$AB$53="Muy Baja",'Mapa final'!$AD$53="Catastrófico"),CONCATENATE("R8C",'Mapa final'!$R$53),"")</f>
        <v/>
      </c>
      <c r="AK53" s="38" t="str">
        <f>IF(AND('Mapa final'!$AB$54="Muy Baja",'Mapa final'!$AD$54="Catastrófico"),CONCATENATE("R8C",'Mapa final'!$R$54),"")</f>
        <v/>
      </c>
      <c r="AL53" s="38" t="str">
        <f>IF(AND('Mapa final'!$AB$55="Muy Baja",'Mapa final'!$AD$55="Catastrófico"),CONCATENATE("R8C",'Mapa final'!$R$55),"")</f>
        <v/>
      </c>
      <c r="AM53" s="39" t="str">
        <f>IF(AND('Mapa final'!$AB$56="Muy Baja",'Mapa final'!$AD$56="Catastrófico"),CONCATENATE("R8C",'Mapa final'!$R$56),"")</f>
        <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581"/>
      <c r="C54" s="581"/>
      <c r="D54" s="582"/>
      <c r="E54" s="680"/>
      <c r="F54" s="679"/>
      <c r="G54" s="679"/>
      <c r="H54" s="679"/>
      <c r="I54" s="695"/>
      <c r="J54" s="58" t="str">
        <f>IF(AND('Mapa final'!$AB$57="Muy Baja",'Mapa final'!$AD$57="Leve"),CONCATENATE("R9C",'Mapa final'!$R$57),"")</f>
        <v/>
      </c>
      <c r="K54" s="59" t="str">
        <f>IF(AND('Mapa final'!$AB$58="Muy Baja",'Mapa final'!$AD$58="Leve"),CONCATENATE("R9C",'Mapa final'!$R$58),"")</f>
        <v/>
      </c>
      <c r="L54" s="59" t="str">
        <f>IF(AND('Mapa final'!$AB$59="Muy Baja",'Mapa final'!$AD$59="Leve"),CONCATENATE("R9C",'Mapa final'!$R$59),"")</f>
        <v/>
      </c>
      <c r="M54" s="59" t="str">
        <f>IF(AND('Mapa final'!$AB$60="Muy Baja",'Mapa final'!$AD$60="Leve"),CONCATENATE("R9C",'Mapa final'!$R$60),"")</f>
        <v/>
      </c>
      <c r="N54" s="59" t="str">
        <f>IF(AND('Mapa final'!$AB$61="Muy Baja",'Mapa final'!$AD$61="Leve"),CONCATENATE("R9C",'Mapa final'!$R$61),"")</f>
        <v/>
      </c>
      <c r="O54" s="60" t="str">
        <f>IF(AND('Mapa final'!$AB$62="Muy Baja",'Mapa final'!$AD$62="Leve"),CONCATENATE("R9C",'Mapa final'!$R$62),"")</f>
        <v/>
      </c>
      <c r="P54" s="58" t="str">
        <f>IF(AND('Mapa final'!$AB$57="Muy Baja",'Mapa final'!$AD$57="Menor"),CONCATENATE("R9C",'Mapa final'!$R$57),"")</f>
        <v/>
      </c>
      <c r="Q54" s="59" t="str">
        <f>IF(AND('Mapa final'!$AB$58="Muy Baja",'Mapa final'!$AD$58="Menor"),CONCATENATE("R9C",'Mapa final'!$R$58),"")</f>
        <v/>
      </c>
      <c r="R54" s="59" t="str">
        <f>IF(AND('Mapa final'!$AB$59="Muy Baja",'Mapa final'!$AD$59="Menor"),CONCATENATE("R9C",'Mapa final'!$R$59),"")</f>
        <v/>
      </c>
      <c r="S54" s="59" t="str">
        <f>IF(AND('Mapa final'!$AB$60="Muy Baja",'Mapa final'!$AD$60="Menor"),CONCATENATE("R9C",'Mapa final'!$R$60),"")</f>
        <v/>
      </c>
      <c r="T54" s="59" t="str">
        <f>IF(AND('Mapa final'!$AB$61="Muy Baja",'Mapa final'!$AD$61="Menor"),CONCATENATE("R9C",'Mapa final'!$R$61),"")</f>
        <v/>
      </c>
      <c r="U54" s="60" t="str">
        <f>IF(AND('Mapa final'!$AB$62="Muy Baja",'Mapa final'!$AD$62="Menor"),CONCATENATE("R9C",'Mapa final'!$R$62),"")</f>
        <v/>
      </c>
      <c r="V54" s="49" t="str">
        <f>IF(AND('Mapa final'!$AB$57="Muy Baja",'Mapa final'!$AD$57="Moderado"),CONCATENATE("R9C",'Mapa final'!$R$57),"")</f>
        <v/>
      </c>
      <c r="W54" s="50" t="str">
        <f>IF(AND('Mapa final'!$AB$58="Muy Baja",'Mapa final'!$AD$58="Moderado"),CONCATENATE("R9C",'Mapa final'!$R$58),"")</f>
        <v/>
      </c>
      <c r="X54" s="50" t="str">
        <f>IF(AND('Mapa final'!$AB$59="Muy Baja",'Mapa final'!$AD$59="Moderado"),CONCATENATE("R9C",'Mapa final'!$R$59),"")</f>
        <v/>
      </c>
      <c r="Y54" s="50" t="str">
        <f>IF(AND('Mapa final'!$AB$60="Muy Baja",'Mapa final'!$AD$60="Moderado"),CONCATENATE("R9C",'Mapa final'!$R$60),"")</f>
        <v/>
      </c>
      <c r="Z54" s="50" t="str">
        <f>IF(AND('Mapa final'!$AB$61="Muy Baja",'Mapa final'!$AD$61="Moderado"),CONCATENATE("R9C",'Mapa final'!$R$61),"")</f>
        <v/>
      </c>
      <c r="AA54" s="51" t="str">
        <f>IF(AND('Mapa final'!$AB$62="Muy Baja",'Mapa final'!$AD$62="Moderado"),CONCATENATE("R9C",'Mapa final'!$R$62),"")</f>
        <v/>
      </c>
      <c r="AB54" s="34" t="str">
        <f>IF(AND('Mapa final'!$AB$57="Muy Baja",'Mapa final'!$AD$57="Mayor"),CONCATENATE("R9C",'Mapa final'!$R$57),"")</f>
        <v/>
      </c>
      <c r="AC54" s="35" t="str">
        <f>IF(AND('Mapa final'!$AB$58="Muy Baja",'Mapa final'!$AD$58="Mayor"),CONCATENATE("R9C",'Mapa final'!$R$58),"")</f>
        <v/>
      </c>
      <c r="AD54" s="35" t="str">
        <f>IF(AND('Mapa final'!$AB$59="Muy Baja",'Mapa final'!$AD$59="Mayor"),CONCATENATE("R9C",'Mapa final'!$R$59),"")</f>
        <v/>
      </c>
      <c r="AE54" s="35" t="str">
        <f>IF(AND('Mapa final'!$AB$60="Muy Baja",'Mapa final'!$AD$60="Mayor"),CONCATENATE("R9C",'Mapa final'!$R$60),"")</f>
        <v/>
      </c>
      <c r="AF54" s="35" t="str">
        <f>IF(AND('Mapa final'!$AB$61="Muy Baja",'Mapa final'!$AD$61="Mayor"),CONCATENATE("R9C",'Mapa final'!$R$61),"")</f>
        <v/>
      </c>
      <c r="AG54" s="36" t="str">
        <f>IF(AND('Mapa final'!$AB$62="Muy Baja",'Mapa final'!$AD$62="Mayor"),CONCATENATE("R9C",'Mapa final'!$R$62),"")</f>
        <v/>
      </c>
      <c r="AH54" s="37" t="str">
        <f>IF(AND('Mapa final'!$AB$57="Muy Baja",'Mapa final'!$AD$57="Catastrófico"),CONCATENATE("R9C",'Mapa final'!$R$57),"")</f>
        <v/>
      </c>
      <c r="AI54" s="38" t="str">
        <f>IF(AND('Mapa final'!$AB$58="Muy Baja",'Mapa final'!$AD$58="Catastrófico"),CONCATENATE("R9C",'Mapa final'!$R$58),"")</f>
        <v/>
      </c>
      <c r="AJ54" s="38" t="str">
        <f>IF(AND('Mapa final'!$AB$59="Muy Baja",'Mapa final'!$AD$59="Catastrófico"),CONCATENATE("R9C",'Mapa final'!$R$59),"")</f>
        <v/>
      </c>
      <c r="AK54" s="38" t="str">
        <f>IF(AND('Mapa final'!$AB$60="Muy Baja",'Mapa final'!$AD$60="Catastrófico"),CONCATENATE("R9C",'Mapa final'!$R$60),"")</f>
        <v/>
      </c>
      <c r="AL54" s="38" t="str">
        <f>IF(AND('Mapa final'!$AB$61="Muy Baja",'Mapa final'!$AD$61="Catastrófico"),CONCATENATE("R9C",'Mapa final'!$R$61),"")</f>
        <v/>
      </c>
      <c r="AM54" s="39" t="str">
        <f>IF(AND('Mapa final'!$AB$62="Muy Baja",'Mapa final'!$AD$62="Catastrófico"),CONCATENATE("R9C",'Mapa final'!$R$62),"")</f>
        <v/>
      </c>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ht="15.75" customHeight="1" thickBot="1" x14ac:dyDescent="0.35">
      <c r="A55" s="65"/>
      <c r="B55" s="581"/>
      <c r="C55" s="581"/>
      <c r="D55" s="582"/>
      <c r="E55" s="681"/>
      <c r="F55" s="682"/>
      <c r="G55" s="682"/>
      <c r="H55" s="682"/>
      <c r="I55" s="696"/>
      <c r="J55" s="61" t="str">
        <f>IF(AND('Mapa final'!$AB$63="Muy Baja",'Mapa final'!$AD$63="Leve"),CONCATENATE("R10C",'Mapa final'!$R$63),"")</f>
        <v/>
      </c>
      <c r="K55" s="62" t="str">
        <f>IF(AND('Mapa final'!$AB$64="Muy Baja",'Mapa final'!$AD$64="Leve"),CONCATENATE("R10C",'Mapa final'!$R$64),"")</f>
        <v/>
      </c>
      <c r="L55" s="62" t="str">
        <f>IF(AND('Mapa final'!$AB$65="Muy Baja",'Mapa final'!$AD$65="Leve"),CONCATENATE("R10C",'Mapa final'!$R$65),"")</f>
        <v/>
      </c>
      <c r="M55" s="62" t="str">
        <f>IF(AND('Mapa final'!$AB$66="Muy Baja",'Mapa final'!$AD$66="Leve"),CONCATENATE("R10C",'Mapa final'!$R$66),"")</f>
        <v/>
      </c>
      <c r="N55" s="62" t="str">
        <f>IF(AND('Mapa final'!$AB$67="Muy Baja",'Mapa final'!$AD$67="Leve"),CONCATENATE("R10C",'Mapa final'!$R$67),"")</f>
        <v/>
      </c>
      <c r="O55" s="63" t="str">
        <f>IF(AND('Mapa final'!$AB$68="Muy Baja",'Mapa final'!$AD$68="Leve"),CONCATENATE("R10C",'Mapa final'!$R$68),"")</f>
        <v/>
      </c>
      <c r="P55" s="61" t="str">
        <f>IF(AND('Mapa final'!$AB$63="Muy Baja",'Mapa final'!$AD$63="Menor"),CONCATENATE("R10C",'Mapa final'!$R$63),"")</f>
        <v/>
      </c>
      <c r="Q55" s="62" t="str">
        <f>IF(AND('Mapa final'!$AB$64="Muy Baja",'Mapa final'!$AD$64="Menor"),CONCATENATE("R10C",'Mapa final'!$R$64),"")</f>
        <v/>
      </c>
      <c r="R55" s="62" t="str">
        <f>IF(AND('Mapa final'!$AB$65="Muy Baja",'Mapa final'!$AD$65="Menor"),CONCATENATE("R10C",'Mapa final'!$R$65),"")</f>
        <v/>
      </c>
      <c r="S55" s="62" t="str">
        <f>IF(AND('Mapa final'!$AB$66="Muy Baja",'Mapa final'!$AD$66="Menor"),CONCATENATE("R10C",'Mapa final'!$R$66),"")</f>
        <v/>
      </c>
      <c r="T55" s="62" t="str">
        <f>IF(AND('Mapa final'!$AB$67="Muy Baja",'Mapa final'!$AD$67="Menor"),CONCATENATE("R10C",'Mapa final'!$R$67),"")</f>
        <v/>
      </c>
      <c r="U55" s="63" t="str">
        <f>IF(AND('Mapa final'!$AB$68="Muy Baja",'Mapa final'!$AD$68="Menor"),CONCATENATE("R10C",'Mapa final'!$R$68),"")</f>
        <v/>
      </c>
      <c r="V55" s="52" t="str">
        <f>IF(AND('Mapa final'!$AB$63="Muy Baja",'Mapa final'!$AD$63="Moderado"),CONCATENATE("R10C",'Mapa final'!$R$63),"")</f>
        <v/>
      </c>
      <c r="W55" s="53" t="str">
        <f>IF(AND('Mapa final'!$AB$64="Muy Baja",'Mapa final'!$AD$64="Moderado"),CONCATENATE("R10C",'Mapa final'!$R$64),"")</f>
        <v/>
      </c>
      <c r="X55" s="53" t="str">
        <f>IF(AND('Mapa final'!$AB$65="Muy Baja",'Mapa final'!$AD$65="Moderado"),CONCATENATE("R10C",'Mapa final'!$R$65),"")</f>
        <v/>
      </c>
      <c r="Y55" s="53" t="str">
        <f>IF(AND('Mapa final'!$AB$66="Muy Baja",'Mapa final'!$AD$66="Moderado"),CONCATENATE("R10C",'Mapa final'!$R$66),"")</f>
        <v/>
      </c>
      <c r="Z55" s="53" t="str">
        <f>IF(AND('Mapa final'!$AB$67="Muy Baja",'Mapa final'!$AD$67="Moderado"),CONCATENATE("R10C",'Mapa final'!$R$67),"")</f>
        <v/>
      </c>
      <c r="AA55" s="54" t="str">
        <f>IF(AND('Mapa final'!$AB$68="Muy Baja",'Mapa final'!$AD$68="Moderado"),CONCATENATE("R10C",'Mapa final'!$R$68),"")</f>
        <v/>
      </c>
      <c r="AB55" s="40" t="str">
        <f>IF(AND('Mapa final'!$AB$63="Muy Baja",'Mapa final'!$AD$63="Mayor"),CONCATENATE("R10C",'Mapa final'!$R$63),"")</f>
        <v/>
      </c>
      <c r="AC55" s="41" t="str">
        <f>IF(AND('Mapa final'!$AB$64="Muy Baja",'Mapa final'!$AD$64="Mayor"),CONCATENATE("R10C",'Mapa final'!$R$64),"")</f>
        <v/>
      </c>
      <c r="AD55" s="41" t="str">
        <f>IF(AND('Mapa final'!$AB$65="Muy Baja",'Mapa final'!$AD$65="Mayor"),CONCATENATE("R10C",'Mapa final'!$R$65),"")</f>
        <v/>
      </c>
      <c r="AE55" s="41" t="str">
        <f>IF(AND('Mapa final'!$AB$66="Muy Baja",'Mapa final'!$AD$66="Mayor"),CONCATENATE("R10C",'Mapa final'!$R$66),"")</f>
        <v/>
      </c>
      <c r="AF55" s="41" t="str">
        <f>IF(AND('Mapa final'!$AB$67="Muy Baja",'Mapa final'!$AD$67="Mayor"),CONCATENATE("R10C",'Mapa final'!$R$67),"")</f>
        <v/>
      </c>
      <c r="AG55" s="42" t="str">
        <f>IF(AND('Mapa final'!$AB$68="Muy Baja",'Mapa final'!$AD$68="Mayor"),CONCATENATE("R10C",'Mapa final'!$R$68),"")</f>
        <v/>
      </c>
      <c r="AH55" s="43" t="str">
        <f>IF(AND('Mapa final'!$AB$63="Muy Baja",'Mapa final'!$AD$63="Catastrófico"),CONCATENATE("R10C",'Mapa final'!$R$63),"")</f>
        <v/>
      </c>
      <c r="AI55" s="44" t="str">
        <f>IF(AND('Mapa final'!$AB$64="Muy Baja",'Mapa final'!$AD$64="Catastrófico"),CONCATENATE("R10C",'Mapa final'!$R$64),"")</f>
        <v/>
      </c>
      <c r="AJ55" s="44" t="str">
        <f>IF(AND('Mapa final'!$AB$65="Muy Baja",'Mapa final'!$AD$65="Catastrófico"),CONCATENATE("R10C",'Mapa final'!$R$65),"")</f>
        <v/>
      </c>
      <c r="AK55" s="44" t="str">
        <f>IF(AND('Mapa final'!$AB$66="Muy Baja",'Mapa final'!$AD$66="Catastrófico"),CONCATENATE("R10C",'Mapa final'!$R$66),"")</f>
        <v/>
      </c>
      <c r="AL55" s="44" t="str">
        <f>IF(AND('Mapa final'!$AB$67="Muy Baja",'Mapa final'!$AD$67="Catastrófico"),CONCATENATE("R10C",'Mapa final'!$R$67),"")</f>
        <v/>
      </c>
      <c r="AM55" s="45" t="str">
        <f>IF(AND('Mapa final'!$AB$68="Muy Baja",'Mapa final'!$AD$68="Catastrófico"),CONCATENATE("R10C",'Mapa final'!$R$68),"")</f>
        <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76" t="s">
        <v>107</v>
      </c>
      <c r="K56" s="677"/>
      <c r="L56" s="677"/>
      <c r="M56" s="677"/>
      <c r="N56" s="677"/>
      <c r="O56" s="694"/>
      <c r="P56" s="676" t="s">
        <v>106</v>
      </c>
      <c r="Q56" s="677"/>
      <c r="R56" s="677"/>
      <c r="S56" s="677"/>
      <c r="T56" s="677"/>
      <c r="U56" s="694"/>
      <c r="V56" s="676" t="s">
        <v>105</v>
      </c>
      <c r="W56" s="677"/>
      <c r="X56" s="677"/>
      <c r="Y56" s="677"/>
      <c r="Z56" s="677"/>
      <c r="AA56" s="694"/>
      <c r="AB56" s="676" t="s">
        <v>104</v>
      </c>
      <c r="AC56" s="715"/>
      <c r="AD56" s="677"/>
      <c r="AE56" s="677"/>
      <c r="AF56" s="677"/>
      <c r="AG56" s="694"/>
      <c r="AH56" s="676" t="s">
        <v>103</v>
      </c>
      <c r="AI56" s="677"/>
      <c r="AJ56" s="677"/>
      <c r="AK56" s="677"/>
      <c r="AL56" s="677"/>
      <c r="AM56" s="694"/>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80"/>
      <c r="K57" s="679"/>
      <c r="L57" s="679"/>
      <c r="M57" s="679"/>
      <c r="N57" s="679"/>
      <c r="O57" s="695"/>
      <c r="P57" s="680"/>
      <c r="Q57" s="679"/>
      <c r="R57" s="679"/>
      <c r="S57" s="679"/>
      <c r="T57" s="679"/>
      <c r="U57" s="695"/>
      <c r="V57" s="680"/>
      <c r="W57" s="679"/>
      <c r="X57" s="679"/>
      <c r="Y57" s="679"/>
      <c r="Z57" s="679"/>
      <c r="AA57" s="695"/>
      <c r="AB57" s="680"/>
      <c r="AC57" s="679"/>
      <c r="AD57" s="679"/>
      <c r="AE57" s="679"/>
      <c r="AF57" s="679"/>
      <c r="AG57" s="695"/>
      <c r="AH57" s="680"/>
      <c r="AI57" s="679"/>
      <c r="AJ57" s="679"/>
      <c r="AK57" s="679"/>
      <c r="AL57" s="679"/>
      <c r="AM57" s="69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80"/>
      <c r="K58" s="679"/>
      <c r="L58" s="679"/>
      <c r="M58" s="679"/>
      <c r="N58" s="679"/>
      <c r="O58" s="695"/>
      <c r="P58" s="680"/>
      <c r="Q58" s="679"/>
      <c r="R58" s="679"/>
      <c r="S58" s="679"/>
      <c r="T58" s="679"/>
      <c r="U58" s="695"/>
      <c r="V58" s="680"/>
      <c r="W58" s="679"/>
      <c r="X58" s="679"/>
      <c r="Y58" s="679"/>
      <c r="Z58" s="679"/>
      <c r="AA58" s="695"/>
      <c r="AB58" s="680"/>
      <c r="AC58" s="679"/>
      <c r="AD58" s="679"/>
      <c r="AE58" s="679"/>
      <c r="AF58" s="679"/>
      <c r="AG58" s="695"/>
      <c r="AH58" s="680"/>
      <c r="AI58" s="679"/>
      <c r="AJ58" s="679"/>
      <c r="AK58" s="679"/>
      <c r="AL58" s="679"/>
      <c r="AM58" s="69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80"/>
      <c r="K59" s="679"/>
      <c r="L59" s="679"/>
      <c r="M59" s="679"/>
      <c r="N59" s="679"/>
      <c r="O59" s="695"/>
      <c r="P59" s="680"/>
      <c r="Q59" s="679"/>
      <c r="R59" s="679"/>
      <c r="S59" s="679"/>
      <c r="T59" s="679"/>
      <c r="U59" s="695"/>
      <c r="V59" s="680"/>
      <c r="W59" s="679"/>
      <c r="X59" s="679"/>
      <c r="Y59" s="679"/>
      <c r="Z59" s="679"/>
      <c r="AA59" s="695"/>
      <c r="AB59" s="680"/>
      <c r="AC59" s="679"/>
      <c r="AD59" s="679"/>
      <c r="AE59" s="679"/>
      <c r="AF59" s="679"/>
      <c r="AG59" s="695"/>
      <c r="AH59" s="680"/>
      <c r="AI59" s="679"/>
      <c r="AJ59" s="679"/>
      <c r="AK59" s="679"/>
      <c r="AL59" s="679"/>
      <c r="AM59" s="69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80"/>
      <c r="K60" s="679"/>
      <c r="L60" s="679"/>
      <c r="M60" s="679"/>
      <c r="N60" s="679"/>
      <c r="O60" s="695"/>
      <c r="P60" s="680"/>
      <c r="Q60" s="679"/>
      <c r="R60" s="679"/>
      <c r="S60" s="679"/>
      <c r="T60" s="679"/>
      <c r="U60" s="695"/>
      <c r="V60" s="680"/>
      <c r="W60" s="679"/>
      <c r="X60" s="679"/>
      <c r="Y60" s="679"/>
      <c r="Z60" s="679"/>
      <c r="AA60" s="695"/>
      <c r="AB60" s="680"/>
      <c r="AC60" s="679"/>
      <c r="AD60" s="679"/>
      <c r="AE60" s="679"/>
      <c r="AF60" s="679"/>
      <c r="AG60" s="695"/>
      <c r="AH60" s="680"/>
      <c r="AI60" s="679"/>
      <c r="AJ60" s="679"/>
      <c r="AK60" s="679"/>
      <c r="AL60" s="679"/>
      <c r="AM60" s="69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ht="15" thickBot="1" x14ac:dyDescent="0.35">
      <c r="A61" s="65"/>
      <c r="B61" s="65"/>
      <c r="C61" s="65"/>
      <c r="D61" s="65"/>
      <c r="E61" s="65"/>
      <c r="F61" s="65"/>
      <c r="G61" s="65"/>
      <c r="H61" s="65"/>
      <c r="I61" s="65"/>
      <c r="J61" s="681"/>
      <c r="K61" s="682"/>
      <c r="L61" s="682"/>
      <c r="M61" s="682"/>
      <c r="N61" s="682"/>
      <c r="O61" s="696"/>
      <c r="P61" s="681"/>
      <c r="Q61" s="682"/>
      <c r="R61" s="682"/>
      <c r="S61" s="682"/>
      <c r="T61" s="682"/>
      <c r="U61" s="696"/>
      <c r="V61" s="681"/>
      <c r="W61" s="682"/>
      <c r="X61" s="682"/>
      <c r="Y61" s="682"/>
      <c r="Z61" s="682"/>
      <c r="AA61" s="696"/>
      <c r="AB61" s="681"/>
      <c r="AC61" s="682"/>
      <c r="AD61" s="682"/>
      <c r="AE61" s="682"/>
      <c r="AF61" s="682"/>
      <c r="AG61" s="696"/>
      <c r="AH61" s="681"/>
      <c r="AI61" s="682"/>
      <c r="AJ61" s="682"/>
      <c r="AK61" s="682"/>
      <c r="AL61" s="682"/>
      <c r="AM61" s="696"/>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row>
    <row r="63" spans="1:80" ht="15" customHeight="1" x14ac:dyDescent="0.3">
      <c r="A63" s="6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5"/>
      <c r="AV63" s="65"/>
      <c r="AW63" s="65"/>
      <c r="AX63" s="65"/>
      <c r="AY63" s="65"/>
      <c r="AZ63" s="65"/>
      <c r="BA63" s="65"/>
      <c r="BB63" s="65"/>
      <c r="BC63" s="65"/>
      <c r="BD63" s="65"/>
      <c r="BE63" s="65"/>
      <c r="BF63" s="65"/>
      <c r="BG63" s="65"/>
      <c r="BH63" s="65"/>
    </row>
    <row r="64" spans="1:80" ht="15" customHeight="1" x14ac:dyDescent="0.3">
      <c r="A64" s="6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5"/>
      <c r="AV64" s="65"/>
      <c r="AW64" s="65"/>
      <c r="AX64" s="65"/>
      <c r="AY64" s="65"/>
      <c r="AZ64" s="65"/>
      <c r="BA64" s="65"/>
      <c r="BB64" s="65"/>
      <c r="BC64" s="65"/>
      <c r="BD64" s="65"/>
      <c r="BE64" s="65"/>
      <c r="BF64" s="65"/>
      <c r="BG64" s="65"/>
      <c r="BH64" s="65"/>
    </row>
    <row r="65" spans="1:6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6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6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6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6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6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6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6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6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6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6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6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6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6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x14ac:dyDescent="0.3">
      <c r="A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x14ac:dyDescent="0.3">
      <c r="A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x14ac:dyDescent="0.3">
      <c r="A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x14ac:dyDescent="0.3">
      <c r="A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x14ac:dyDescent="0.3">
      <c r="A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x14ac:dyDescent="0.3">
      <c r="A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x14ac:dyDescent="0.3">
      <c r="A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x14ac:dyDescent="0.3">
      <c r="A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x14ac:dyDescent="0.3">
      <c r="A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x14ac:dyDescent="0.3">
      <c r="A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x14ac:dyDescent="0.3">
      <c r="A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x14ac:dyDescent="0.3">
      <c r="A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x14ac:dyDescent="0.3">
      <c r="A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x14ac:dyDescent="0.3">
      <c r="A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x14ac:dyDescent="0.3">
      <c r="A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x14ac:dyDescent="0.3">
      <c r="A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x14ac:dyDescent="0.3">
      <c r="A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x14ac:dyDescent="0.3">
      <c r="A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x14ac:dyDescent="0.3">
      <c r="A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x14ac:dyDescent="0.3">
      <c r="A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x14ac:dyDescent="0.3">
      <c r="A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x14ac:dyDescent="0.3">
      <c r="A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x14ac:dyDescent="0.3">
      <c r="A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x14ac:dyDescent="0.3">
      <c r="A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x14ac:dyDescent="0.3">
      <c r="A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x14ac:dyDescent="0.3">
      <c r="A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x14ac:dyDescent="0.3">
      <c r="A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x14ac:dyDescent="0.3">
      <c r="A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x14ac:dyDescent="0.3">
      <c r="A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x14ac:dyDescent="0.3">
      <c r="A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x14ac:dyDescent="0.3">
      <c r="A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x14ac:dyDescent="0.3">
      <c r="A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x14ac:dyDescent="0.3">
      <c r="A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x14ac:dyDescent="0.3">
      <c r="A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x14ac:dyDescent="0.3">
      <c r="A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x14ac:dyDescent="0.3">
      <c r="A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x14ac:dyDescent="0.3">
      <c r="A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x14ac:dyDescent="0.3">
      <c r="A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x14ac:dyDescent="0.3">
      <c r="A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x14ac:dyDescent="0.3">
      <c r="A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x14ac:dyDescent="0.3">
      <c r="A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x14ac:dyDescent="0.3">
      <c r="A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x14ac:dyDescent="0.3">
      <c r="A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x14ac:dyDescent="0.3">
      <c r="A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x14ac:dyDescent="0.3">
      <c r="A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x14ac:dyDescent="0.3">
      <c r="A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x14ac:dyDescent="0.3">
      <c r="A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x14ac:dyDescent="0.3">
      <c r="A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x14ac:dyDescent="0.3">
      <c r="A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x14ac:dyDescent="0.3">
      <c r="A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x14ac:dyDescent="0.3">
      <c r="A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x14ac:dyDescent="0.3">
      <c r="A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x14ac:dyDescent="0.3">
      <c r="A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x14ac:dyDescent="0.3">
      <c r="A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x14ac:dyDescent="0.3">
      <c r="A245" s="65"/>
    </row>
    <row r="246" spans="1:60" x14ac:dyDescent="0.3">
      <c r="A246" s="65"/>
    </row>
    <row r="247" spans="1:60" x14ac:dyDescent="0.3">
      <c r="A247" s="65"/>
    </row>
    <row r="248" spans="1:60" x14ac:dyDescent="0.3">
      <c r="A248" s="65"/>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sheetPr>
  <dimension ref="A1:AK55"/>
  <sheetViews>
    <sheetView zoomScale="66" zoomScaleNormal="66" workbookViewId="0">
      <selection activeCell="C8" sqref="C8"/>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5"/>
      <c r="B1" s="716" t="s">
        <v>55</v>
      </c>
      <c r="C1" s="716"/>
      <c r="D1" s="716"/>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7" x14ac:dyDescent="0.3">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7" ht="25.2" x14ac:dyDescent="0.3">
      <c r="A3" s="65"/>
      <c r="B3" s="10"/>
      <c r="C3" s="11" t="s">
        <v>52</v>
      </c>
      <c r="D3" s="11"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7" ht="50.4" x14ac:dyDescent="0.3">
      <c r="A4" s="65"/>
      <c r="B4" s="12" t="s">
        <v>51</v>
      </c>
      <c r="C4" s="13" t="s">
        <v>97</v>
      </c>
      <c r="D4" s="14">
        <v>0.2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7" ht="50.4" x14ac:dyDescent="0.3">
      <c r="A5" s="65"/>
      <c r="B5" s="15" t="s">
        <v>53</v>
      </c>
      <c r="C5" s="16" t="s">
        <v>98</v>
      </c>
      <c r="D5" s="17">
        <v>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7" ht="50.4" x14ac:dyDescent="0.3">
      <c r="A6" s="65"/>
      <c r="B6" s="18" t="s">
        <v>102</v>
      </c>
      <c r="C6" s="16" t="s">
        <v>99</v>
      </c>
      <c r="D6" s="17">
        <v>0.6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7" ht="75.599999999999994" x14ac:dyDescent="0.3">
      <c r="A7" s="65"/>
      <c r="B7" s="19" t="s">
        <v>6</v>
      </c>
      <c r="C7" s="16" t="s">
        <v>100</v>
      </c>
      <c r="D7" s="17">
        <v>0.8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7" ht="50.4" x14ac:dyDescent="0.3">
      <c r="A8" s="65"/>
      <c r="B8" s="20" t="s">
        <v>54</v>
      </c>
      <c r="C8" s="16" t="s">
        <v>101</v>
      </c>
      <c r="D8" s="17">
        <v>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7" x14ac:dyDescent="0.3">
      <c r="A9" s="65"/>
      <c r="B9" s="87"/>
      <c r="C9" s="87"/>
      <c r="D9" s="8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x14ac:dyDescent="0.3">
      <c r="A10" s="65"/>
      <c r="B10" s="88"/>
      <c r="C10" s="87"/>
      <c r="D10" s="87"/>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7" x14ac:dyDescent="0.3">
      <c r="A11" s="65"/>
      <c r="B11" s="87"/>
      <c r="C11" s="87"/>
      <c r="D11" s="8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x14ac:dyDescent="0.3">
      <c r="A12" s="65"/>
      <c r="B12" s="87"/>
      <c r="C12" s="87"/>
      <c r="D12" s="8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1:37" x14ac:dyDescent="0.3">
      <c r="A13" s="65"/>
      <c r="B13" s="87"/>
      <c r="C13" s="87"/>
      <c r="D13" s="8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1:37" x14ac:dyDescent="0.3">
      <c r="A14" s="65"/>
      <c r="B14" s="87"/>
      <c r="C14" s="87"/>
      <c r="D14" s="8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1:37" x14ac:dyDescent="0.3">
      <c r="A15" s="65"/>
      <c r="B15" s="87"/>
      <c r="C15" s="87"/>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7" x14ac:dyDescent="0.3">
      <c r="A16" s="65"/>
      <c r="B16" s="87"/>
      <c r="C16" s="87"/>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x14ac:dyDescent="0.3">
      <c r="A17" s="65"/>
      <c r="B17" s="87"/>
      <c r="C17" s="87"/>
      <c r="D17" s="8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7" x14ac:dyDescent="0.3">
      <c r="A18" s="65"/>
      <c r="B18" s="87"/>
      <c r="C18" s="87"/>
      <c r="D18" s="8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1:37"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7"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7"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7"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7"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7"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37"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31" x14ac:dyDescent="0.3">
      <c r="A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x14ac:dyDescent="0.3">
      <c r="A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x14ac:dyDescent="0.3">
      <c r="A35" s="65"/>
    </row>
    <row r="36" spans="1:31" x14ac:dyDescent="0.3">
      <c r="A36" s="65"/>
    </row>
    <row r="37" spans="1:31" x14ac:dyDescent="0.3">
      <c r="A37" s="65"/>
    </row>
    <row r="38" spans="1:31" x14ac:dyDescent="0.3">
      <c r="A38" s="65"/>
    </row>
    <row r="39" spans="1:31" x14ac:dyDescent="0.3">
      <c r="A39" s="65"/>
    </row>
    <row r="40" spans="1:31" x14ac:dyDescent="0.3">
      <c r="A40" s="65"/>
    </row>
    <row r="41" spans="1:31" x14ac:dyDescent="0.3">
      <c r="A41" s="65"/>
    </row>
    <row r="42" spans="1:31" x14ac:dyDescent="0.3">
      <c r="A42" s="65"/>
    </row>
    <row r="43" spans="1:31" x14ac:dyDescent="0.3">
      <c r="A43" s="65"/>
    </row>
    <row r="44" spans="1:31" x14ac:dyDescent="0.3">
      <c r="A44" s="65"/>
    </row>
    <row r="45" spans="1:31" x14ac:dyDescent="0.3">
      <c r="A45" s="65"/>
    </row>
    <row r="46" spans="1:31" x14ac:dyDescent="0.3">
      <c r="A46" s="65"/>
    </row>
    <row r="47" spans="1:31" x14ac:dyDescent="0.3">
      <c r="A47" s="65"/>
    </row>
    <row r="48" spans="1:31" x14ac:dyDescent="0.3">
      <c r="A48" s="65"/>
    </row>
    <row r="49" spans="1:1" x14ac:dyDescent="0.3">
      <c r="A49" s="65"/>
    </row>
    <row r="50" spans="1:1" x14ac:dyDescent="0.3">
      <c r="A50" s="65"/>
    </row>
    <row r="51" spans="1:1" x14ac:dyDescent="0.3">
      <c r="A51" s="65"/>
    </row>
    <row r="52" spans="1:1" x14ac:dyDescent="0.3">
      <c r="A52" s="65"/>
    </row>
    <row r="53" spans="1:1" x14ac:dyDescent="0.3">
      <c r="A53" s="65"/>
    </row>
    <row r="54" spans="1:1" x14ac:dyDescent="0.3">
      <c r="A54" s="65"/>
    </row>
    <row r="55" spans="1:1" x14ac:dyDescent="0.3">
      <c r="A55" s="6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6" tint="-0.249977111117893"/>
  </sheetPr>
  <dimension ref="A1:U224"/>
  <sheetViews>
    <sheetView zoomScale="70" zoomScaleNormal="70" workbookViewId="0">
      <selection activeCell="D7" sqref="D7"/>
    </sheetView>
  </sheetViews>
  <sheetFormatPr baseColWidth="10" defaultColWidth="11.44140625" defaultRowHeight="14.4" x14ac:dyDescent="0.3"/>
  <cols>
    <col min="1" max="1" width="11.44140625" style="21"/>
    <col min="2" max="2" width="40.44140625" style="21" customWidth="1"/>
    <col min="3" max="3" width="74.88671875" style="21" customWidth="1"/>
    <col min="4" max="4" width="135" style="21" bestFit="1" customWidth="1"/>
    <col min="5" max="5" width="137.88671875" style="21" customWidth="1"/>
    <col min="6" max="16384" width="11.44140625" style="21"/>
  </cols>
  <sheetData>
    <row r="1" spans="1:21" ht="32.4" x14ac:dyDescent="0.3">
      <c r="A1" s="87"/>
      <c r="B1" s="717" t="s">
        <v>62</v>
      </c>
      <c r="C1" s="717"/>
      <c r="D1" s="717"/>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30" x14ac:dyDescent="0.3">
      <c r="A3" s="87"/>
      <c r="B3" s="86"/>
      <c r="C3" s="120" t="s">
        <v>56</v>
      </c>
      <c r="D3" s="120" t="s">
        <v>57</v>
      </c>
      <c r="E3" s="87"/>
      <c r="F3" s="87"/>
      <c r="G3" s="87"/>
      <c r="H3" s="87"/>
      <c r="I3" s="87"/>
      <c r="J3" s="87"/>
      <c r="K3" s="87"/>
      <c r="L3" s="87"/>
      <c r="M3" s="87"/>
      <c r="N3" s="87"/>
      <c r="O3" s="87"/>
      <c r="P3" s="87"/>
      <c r="Q3" s="87"/>
      <c r="R3" s="87"/>
      <c r="S3" s="87"/>
      <c r="T3" s="87"/>
      <c r="U3" s="87"/>
    </row>
    <row r="4" spans="1:21" ht="32.4" x14ac:dyDescent="0.3">
      <c r="A4" s="87" t="s">
        <v>82</v>
      </c>
      <c r="B4" s="121" t="s">
        <v>96</v>
      </c>
      <c r="C4" s="122" t="s">
        <v>205</v>
      </c>
      <c r="D4" s="123" t="s">
        <v>92</v>
      </c>
      <c r="E4" s="87"/>
      <c r="F4" s="87"/>
      <c r="G4" s="87"/>
      <c r="H4" s="87"/>
      <c r="I4" s="87"/>
      <c r="J4" s="87"/>
      <c r="K4" s="87"/>
      <c r="L4" s="87"/>
      <c r="M4" s="87"/>
      <c r="N4" s="87"/>
      <c r="O4" s="87"/>
      <c r="P4" s="87"/>
      <c r="Q4" s="87"/>
      <c r="R4" s="87"/>
      <c r="S4" s="87"/>
      <c r="T4" s="87"/>
      <c r="U4" s="87"/>
    </row>
    <row r="5" spans="1:21" ht="64.8" x14ac:dyDescent="0.3">
      <c r="A5" s="87" t="s">
        <v>83</v>
      </c>
      <c r="B5" s="124" t="s">
        <v>58</v>
      </c>
      <c r="C5" s="125" t="s">
        <v>206</v>
      </c>
      <c r="D5" s="126" t="s">
        <v>93</v>
      </c>
      <c r="E5" s="87"/>
      <c r="F5" s="87"/>
      <c r="G5" s="87"/>
      <c r="H5" s="87"/>
      <c r="I5" s="87"/>
      <c r="J5" s="87"/>
      <c r="K5" s="87"/>
      <c r="L5" s="87"/>
      <c r="M5" s="87"/>
      <c r="N5" s="87"/>
      <c r="O5" s="87"/>
      <c r="P5" s="87"/>
      <c r="Q5" s="87"/>
      <c r="R5" s="87"/>
      <c r="S5" s="87"/>
      <c r="T5" s="87"/>
      <c r="U5" s="87"/>
    </row>
    <row r="6" spans="1:21" ht="64.8" x14ac:dyDescent="0.3">
      <c r="A6" s="87" t="s">
        <v>80</v>
      </c>
      <c r="B6" s="127" t="s">
        <v>59</v>
      </c>
      <c r="C6" s="125" t="s">
        <v>210</v>
      </c>
      <c r="D6" s="126" t="s">
        <v>95</v>
      </c>
      <c r="E6" s="87"/>
      <c r="F6" s="87"/>
      <c r="G6" s="87"/>
      <c r="H6" s="87"/>
      <c r="I6" s="87"/>
      <c r="J6" s="87"/>
      <c r="K6" s="87"/>
      <c r="L6" s="87"/>
      <c r="M6" s="87"/>
      <c r="N6" s="87"/>
      <c r="O6" s="87"/>
      <c r="P6" s="87"/>
      <c r="Q6" s="87"/>
      <c r="R6" s="87"/>
      <c r="S6" s="87"/>
      <c r="T6" s="87"/>
      <c r="U6" s="87"/>
    </row>
    <row r="7" spans="1:21" ht="97.2" x14ac:dyDescent="0.3">
      <c r="A7" s="87" t="s">
        <v>7</v>
      </c>
      <c r="B7" s="128" t="s">
        <v>60</v>
      </c>
      <c r="C7" s="125" t="s">
        <v>211</v>
      </c>
      <c r="D7" s="126" t="s">
        <v>94</v>
      </c>
      <c r="E7" s="87"/>
      <c r="F7" s="87"/>
      <c r="G7" s="87"/>
      <c r="H7" s="87"/>
      <c r="I7" s="87"/>
      <c r="J7" s="87"/>
      <c r="K7" s="87"/>
      <c r="L7" s="87"/>
      <c r="M7" s="87"/>
      <c r="N7" s="87"/>
      <c r="O7" s="87"/>
      <c r="P7" s="87"/>
      <c r="Q7" s="87"/>
      <c r="R7" s="87"/>
      <c r="S7" s="87"/>
      <c r="T7" s="87"/>
      <c r="U7" s="87"/>
    </row>
    <row r="8" spans="1:21" ht="64.8" x14ac:dyDescent="0.3">
      <c r="A8" s="87" t="s">
        <v>84</v>
      </c>
      <c r="B8" s="129" t="s">
        <v>61</v>
      </c>
      <c r="C8" s="125" t="s">
        <v>207</v>
      </c>
      <c r="D8" s="126" t="s">
        <v>113</v>
      </c>
      <c r="E8" s="87"/>
      <c r="F8" s="87"/>
      <c r="G8" s="87"/>
      <c r="H8" s="87"/>
      <c r="I8" s="87"/>
      <c r="J8" s="87"/>
      <c r="K8" s="87"/>
      <c r="L8" s="87"/>
      <c r="M8" s="87"/>
      <c r="N8" s="87"/>
      <c r="O8" s="87"/>
      <c r="P8" s="87"/>
      <c r="Q8" s="87"/>
      <c r="R8" s="87"/>
      <c r="S8" s="87"/>
      <c r="T8" s="87"/>
      <c r="U8" s="87"/>
    </row>
    <row r="9" spans="1:21" s="22" customFormat="1" ht="20.399999999999999" x14ac:dyDescent="0.3">
      <c r="A9" s="85"/>
      <c r="B9" s="85"/>
      <c r="C9" s="132"/>
      <c r="D9" s="132"/>
      <c r="E9" s="85"/>
      <c r="F9" s="85"/>
      <c r="G9" s="85"/>
      <c r="H9" s="85"/>
      <c r="I9" s="85"/>
      <c r="J9" s="85"/>
      <c r="K9" s="85"/>
      <c r="L9" s="85"/>
      <c r="M9" s="85"/>
      <c r="N9" s="85"/>
      <c r="O9" s="85"/>
      <c r="P9" s="85"/>
      <c r="Q9" s="85"/>
      <c r="R9" s="85"/>
      <c r="S9" s="85"/>
      <c r="T9" s="85"/>
      <c r="U9" s="85"/>
    </row>
    <row r="10" spans="1:21" s="22" customFormat="1" x14ac:dyDescent="0.3">
      <c r="A10" s="85"/>
      <c r="B10" s="133"/>
      <c r="C10" s="133"/>
      <c r="D10" s="133"/>
      <c r="E10" s="85"/>
      <c r="F10" s="85"/>
      <c r="G10" s="85"/>
      <c r="H10" s="85"/>
      <c r="I10" s="85"/>
      <c r="J10" s="85"/>
      <c r="K10" s="85"/>
      <c r="L10" s="85"/>
      <c r="M10" s="85"/>
      <c r="N10" s="85"/>
      <c r="O10" s="85"/>
      <c r="P10" s="85"/>
      <c r="Q10" s="85"/>
      <c r="R10" s="85"/>
      <c r="S10" s="85"/>
      <c r="T10" s="85"/>
      <c r="U10" s="85"/>
    </row>
    <row r="11" spans="1:21" s="22" customFormat="1" x14ac:dyDescent="0.3">
      <c r="A11" s="85"/>
      <c r="B11" s="85" t="s">
        <v>90</v>
      </c>
      <c r="C11" s="85" t="s">
        <v>209</v>
      </c>
      <c r="D11" s="85" t="s">
        <v>143</v>
      </c>
      <c r="E11" s="85"/>
      <c r="F11" s="85"/>
      <c r="G11" s="85"/>
      <c r="H11" s="85"/>
      <c r="I11" s="85"/>
      <c r="J11" s="85"/>
      <c r="K11" s="85"/>
      <c r="L11" s="85"/>
      <c r="M11" s="85"/>
      <c r="N11" s="85"/>
      <c r="O11" s="85"/>
      <c r="P11" s="85"/>
      <c r="Q11" s="85"/>
      <c r="R11" s="85"/>
      <c r="S11" s="85"/>
      <c r="T11" s="85"/>
      <c r="U11" s="85"/>
    </row>
    <row r="12" spans="1:21" s="22" customFormat="1" x14ac:dyDescent="0.3">
      <c r="A12" s="85"/>
      <c r="B12" s="85" t="s">
        <v>88</v>
      </c>
      <c r="C12" s="85" t="s">
        <v>208</v>
      </c>
      <c r="D12" s="85" t="s">
        <v>144</v>
      </c>
      <c r="E12" s="85"/>
      <c r="F12" s="85"/>
      <c r="G12" s="85"/>
      <c r="H12" s="85"/>
      <c r="I12" s="85"/>
      <c r="J12" s="85"/>
      <c r="K12" s="85"/>
      <c r="L12" s="85"/>
      <c r="M12" s="85"/>
      <c r="N12" s="85"/>
      <c r="O12" s="85"/>
      <c r="P12" s="85"/>
      <c r="Q12" s="85"/>
      <c r="R12" s="85"/>
      <c r="S12" s="85"/>
      <c r="T12" s="85"/>
      <c r="U12" s="85"/>
    </row>
    <row r="13" spans="1:21" s="22" customFormat="1" x14ac:dyDescent="0.3">
      <c r="A13" s="85"/>
      <c r="B13" s="85"/>
      <c r="C13" s="85" t="s">
        <v>212</v>
      </c>
      <c r="D13" s="85" t="s">
        <v>145</v>
      </c>
      <c r="E13" s="85"/>
      <c r="F13" s="85"/>
      <c r="G13" s="85"/>
      <c r="H13" s="85"/>
      <c r="I13" s="85"/>
      <c r="J13" s="85"/>
      <c r="K13" s="85"/>
      <c r="L13" s="85"/>
      <c r="M13" s="85"/>
      <c r="N13" s="85"/>
      <c r="O13" s="85"/>
      <c r="P13" s="85"/>
      <c r="Q13" s="85"/>
      <c r="R13" s="85"/>
      <c r="S13" s="85"/>
      <c r="T13" s="85"/>
      <c r="U13" s="85"/>
    </row>
    <row r="14" spans="1:21" s="22" customFormat="1" x14ac:dyDescent="0.3">
      <c r="A14" s="85"/>
      <c r="B14" s="85"/>
      <c r="C14" s="85" t="s">
        <v>214</v>
      </c>
      <c r="D14" s="85" t="s">
        <v>146</v>
      </c>
      <c r="E14" s="85"/>
      <c r="F14" s="85"/>
      <c r="G14" s="85"/>
      <c r="H14" s="85"/>
      <c r="I14" s="85"/>
      <c r="J14" s="85"/>
      <c r="K14" s="85"/>
      <c r="L14" s="85"/>
      <c r="M14" s="85"/>
      <c r="N14" s="85"/>
      <c r="O14" s="85"/>
      <c r="P14" s="85"/>
      <c r="Q14" s="85"/>
      <c r="R14" s="85"/>
      <c r="S14" s="85"/>
      <c r="T14" s="85"/>
      <c r="U14" s="85"/>
    </row>
    <row r="15" spans="1:21" s="22" customFormat="1" x14ac:dyDescent="0.3">
      <c r="A15" s="85"/>
      <c r="B15" s="85"/>
      <c r="C15" s="85" t="s">
        <v>213</v>
      </c>
      <c r="D15" s="85" t="s">
        <v>147</v>
      </c>
      <c r="E15" s="85"/>
      <c r="F15" s="85"/>
      <c r="G15" s="85"/>
      <c r="H15" s="85"/>
      <c r="I15" s="85"/>
      <c r="J15" s="85"/>
      <c r="K15" s="85"/>
      <c r="L15" s="85"/>
      <c r="M15" s="85"/>
      <c r="N15" s="85"/>
      <c r="O15" s="85"/>
      <c r="P15" s="85"/>
      <c r="Q15" s="85"/>
      <c r="R15" s="85"/>
      <c r="S15" s="85"/>
      <c r="T15" s="85"/>
      <c r="U15" s="85"/>
    </row>
    <row r="16" spans="1:21" s="22" customFormat="1" x14ac:dyDescent="0.3">
      <c r="A16" s="85"/>
      <c r="B16" s="85"/>
      <c r="C16" s="85"/>
      <c r="D16" s="85"/>
      <c r="E16" s="85"/>
      <c r="F16" s="85"/>
      <c r="G16" s="85"/>
      <c r="H16" s="85"/>
      <c r="I16" s="85"/>
      <c r="J16" s="85"/>
      <c r="K16" s="85"/>
      <c r="L16" s="85"/>
      <c r="M16" s="85"/>
      <c r="N16" s="85"/>
      <c r="O16" s="85"/>
    </row>
    <row r="17" spans="1:15" s="22" customFormat="1" x14ac:dyDescent="0.3">
      <c r="A17" s="85"/>
      <c r="B17" s="85"/>
      <c r="C17" s="85"/>
      <c r="D17" s="85"/>
      <c r="E17" s="85"/>
      <c r="F17" s="85"/>
      <c r="G17" s="85"/>
      <c r="H17" s="85"/>
      <c r="I17" s="85"/>
      <c r="J17" s="85"/>
      <c r="K17" s="85"/>
      <c r="L17" s="85"/>
      <c r="M17" s="85"/>
      <c r="N17" s="85"/>
      <c r="O17" s="85"/>
    </row>
    <row r="18" spans="1:15" s="22" customFormat="1" x14ac:dyDescent="0.3">
      <c r="A18" s="85"/>
      <c r="B18" s="85"/>
      <c r="C18" s="85"/>
      <c r="D18" s="85"/>
      <c r="E18" s="85"/>
      <c r="F18" s="85"/>
      <c r="G18" s="85"/>
      <c r="H18" s="85"/>
      <c r="I18" s="85"/>
      <c r="J18" s="85"/>
      <c r="K18" s="85"/>
      <c r="L18" s="85"/>
      <c r="M18" s="85"/>
      <c r="N18" s="85"/>
      <c r="O18" s="85"/>
    </row>
    <row r="19" spans="1:15" s="22" customFormat="1" x14ac:dyDescent="0.3">
      <c r="A19" s="85"/>
      <c r="B19" s="85"/>
      <c r="C19" s="85"/>
      <c r="D19" s="85"/>
      <c r="E19" s="85"/>
      <c r="F19" s="85"/>
      <c r="G19" s="85"/>
      <c r="H19" s="85"/>
      <c r="I19" s="85"/>
      <c r="J19" s="85"/>
      <c r="K19" s="85"/>
      <c r="L19" s="85"/>
      <c r="M19" s="85"/>
      <c r="N19" s="85"/>
      <c r="O19" s="85"/>
    </row>
    <row r="20" spans="1:15" s="22" customFormat="1" x14ac:dyDescent="0.3">
      <c r="A20" s="85"/>
      <c r="B20" s="85"/>
      <c r="C20" s="85"/>
      <c r="D20" s="85"/>
      <c r="E20" s="85"/>
      <c r="F20" s="85"/>
      <c r="G20" s="85"/>
      <c r="H20" s="85"/>
      <c r="I20" s="85"/>
      <c r="J20" s="85"/>
      <c r="K20" s="85"/>
      <c r="L20" s="85"/>
      <c r="M20" s="85"/>
      <c r="N20" s="85"/>
      <c r="O20" s="85"/>
    </row>
    <row r="21" spans="1:15" s="22" customFormat="1" x14ac:dyDescent="0.3">
      <c r="A21" s="85"/>
      <c r="B21" s="85"/>
      <c r="C21" s="85"/>
      <c r="D21" s="85"/>
      <c r="E21" s="85"/>
      <c r="F21" s="85"/>
      <c r="G21" s="85"/>
      <c r="H21" s="85"/>
      <c r="I21" s="85"/>
      <c r="J21" s="85"/>
      <c r="K21" s="85"/>
      <c r="L21" s="85"/>
      <c r="M21" s="85"/>
      <c r="N21" s="85"/>
      <c r="O21" s="85"/>
    </row>
    <row r="22" spans="1:15" s="22" customFormat="1" ht="20.399999999999999" x14ac:dyDescent="0.3">
      <c r="A22" s="85"/>
      <c r="B22" s="85"/>
      <c r="C22" s="132"/>
      <c r="D22" s="132"/>
      <c r="E22" s="85"/>
      <c r="F22" s="85"/>
      <c r="G22" s="85"/>
      <c r="H22" s="85"/>
      <c r="I22" s="85"/>
      <c r="J22" s="85"/>
      <c r="K22" s="85"/>
      <c r="L22" s="85"/>
      <c r="M22" s="85"/>
      <c r="N22" s="85"/>
      <c r="O22" s="85"/>
    </row>
    <row r="23" spans="1:15" s="22" customFormat="1" ht="20.399999999999999" x14ac:dyDescent="0.3">
      <c r="A23" s="85"/>
      <c r="B23" s="85"/>
      <c r="C23" s="132"/>
      <c r="D23" s="132"/>
      <c r="E23" s="85"/>
      <c r="F23" s="85"/>
      <c r="G23" s="85"/>
      <c r="H23" s="85"/>
      <c r="I23" s="85"/>
      <c r="J23" s="85"/>
      <c r="K23" s="85"/>
      <c r="L23" s="85"/>
      <c r="M23" s="85"/>
      <c r="N23" s="85"/>
      <c r="O23" s="85"/>
    </row>
    <row r="24" spans="1:15" s="22" customFormat="1" ht="20.399999999999999" x14ac:dyDescent="0.3">
      <c r="A24" s="85"/>
      <c r="B24" s="85"/>
      <c r="C24" s="132"/>
      <c r="D24" s="132"/>
      <c r="E24" s="85"/>
      <c r="F24" s="85"/>
      <c r="G24" s="85"/>
      <c r="H24" s="85"/>
      <c r="I24" s="85"/>
      <c r="J24" s="85"/>
      <c r="K24" s="85"/>
      <c r="L24" s="85"/>
      <c r="M24" s="85"/>
      <c r="N24" s="85"/>
      <c r="O24" s="85"/>
    </row>
    <row r="25" spans="1:15" s="22" customFormat="1" ht="20.399999999999999" x14ac:dyDescent="0.3">
      <c r="A25" s="85"/>
      <c r="B25" s="85"/>
      <c r="C25" s="132"/>
      <c r="D25" s="132"/>
      <c r="E25" s="85"/>
      <c r="F25" s="85"/>
      <c r="G25" s="85"/>
      <c r="H25" s="85"/>
      <c r="I25" s="85"/>
      <c r="J25" s="85"/>
      <c r="K25" s="85"/>
      <c r="L25" s="85"/>
      <c r="M25" s="85"/>
      <c r="N25" s="85"/>
      <c r="O25" s="85"/>
    </row>
    <row r="26" spans="1:15" s="22" customFormat="1" ht="20.399999999999999" x14ac:dyDescent="0.3">
      <c r="A26" s="85"/>
      <c r="B26" s="85"/>
      <c r="C26" s="132"/>
      <c r="D26" s="132"/>
      <c r="E26" s="85"/>
      <c r="F26" s="85"/>
      <c r="G26" s="85"/>
      <c r="H26" s="85"/>
      <c r="I26" s="85"/>
      <c r="J26" s="85"/>
      <c r="K26" s="85"/>
      <c r="L26" s="85"/>
      <c r="M26" s="85"/>
      <c r="N26" s="85"/>
      <c r="O26" s="85"/>
    </row>
    <row r="27" spans="1:15" s="22" customFormat="1" ht="20.399999999999999" x14ac:dyDescent="0.3">
      <c r="A27" s="85"/>
      <c r="B27" s="85"/>
      <c r="C27" s="132"/>
      <c r="D27" s="132"/>
      <c r="E27" s="85"/>
      <c r="F27" s="85"/>
      <c r="G27" s="85"/>
      <c r="H27" s="85"/>
      <c r="I27" s="85"/>
      <c r="J27" s="85"/>
      <c r="K27" s="85"/>
      <c r="L27" s="85"/>
      <c r="M27" s="85"/>
      <c r="N27" s="85"/>
      <c r="O27" s="85"/>
    </row>
    <row r="28" spans="1:15" s="22" customFormat="1" ht="20.399999999999999" x14ac:dyDescent="0.3">
      <c r="A28" s="85"/>
      <c r="B28" s="85"/>
      <c r="C28" s="132"/>
      <c r="D28" s="132"/>
      <c r="E28" s="85"/>
      <c r="F28" s="85"/>
      <c r="G28" s="85"/>
      <c r="H28" s="85"/>
      <c r="I28" s="85"/>
      <c r="J28" s="85"/>
      <c r="K28" s="85"/>
      <c r="L28" s="85"/>
      <c r="M28" s="85"/>
      <c r="N28" s="85"/>
      <c r="O28" s="85"/>
    </row>
    <row r="29" spans="1:15" s="22" customFormat="1" ht="20.399999999999999" x14ac:dyDescent="0.3">
      <c r="A29" s="85"/>
      <c r="B29" s="85"/>
      <c r="C29" s="132"/>
      <c r="D29" s="132"/>
      <c r="E29" s="85"/>
      <c r="F29" s="85"/>
      <c r="G29" s="85"/>
      <c r="H29" s="85"/>
      <c r="I29" s="85"/>
      <c r="J29" s="85"/>
      <c r="K29" s="85"/>
      <c r="L29" s="85"/>
      <c r="M29" s="85"/>
      <c r="N29" s="85"/>
      <c r="O29" s="85"/>
    </row>
    <row r="30" spans="1:15" s="22" customFormat="1" ht="20.399999999999999" x14ac:dyDescent="0.3">
      <c r="A30" s="85"/>
      <c r="B30" s="85"/>
      <c r="C30" s="132"/>
      <c r="D30" s="132"/>
      <c r="E30" s="85"/>
      <c r="F30" s="85"/>
      <c r="G30" s="85"/>
      <c r="H30" s="85"/>
      <c r="I30" s="85"/>
      <c r="J30" s="85"/>
      <c r="K30" s="85"/>
      <c r="L30" s="85"/>
      <c r="M30" s="85"/>
      <c r="N30" s="85"/>
      <c r="O30" s="85"/>
    </row>
    <row r="31" spans="1:15" s="22" customFormat="1" ht="20.399999999999999" x14ac:dyDescent="0.3">
      <c r="A31" s="85"/>
      <c r="B31" s="85"/>
      <c r="C31" s="132"/>
      <c r="D31" s="132"/>
      <c r="E31" s="85"/>
      <c r="F31" s="85"/>
      <c r="G31" s="85"/>
      <c r="H31" s="85"/>
      <c r="I31" s="85"/>
      <c r="J31" s="85"/>
      <c r="K31" s="85"/>
      <c r="L31" s="85"/>
      <c r="M31" s="85"/>
      <c r="N31" s="85"/>
      <c r="O31" s="85"/>
    </row>
    <row r="32" spans="1:15" s="22" customFormat="1" ht="20.399999999999999" x14ac:dyDescent="0.3">
      <c r="A32" s="85"/>
      <c r="B32" s="85"/>
      <c r="C32" s="132"/>
      <c r="D32" s="132"/>
      <c r="E32" s="85"/>
      <c r="F32" s="85"/>
      <c r="G32" s="85"/>
      <c r="H32" s="85"/>
      <c r="I32" s="85"/>
      <c r="J32" s="85"/>
      <c r="K32" s="85"/>
      <c r="L32" s="85"/>
      <c r="M32" s="85"/>
      <c r="N32" s="85"/>
      <c r="O32" s="85"/>
    </row>
    <row r="33" spans="1:15" s="22" customFormat="1" ht="20.399999999999999" x14ac:dyDescent="0.3">
      <c r="A33" s="85"/>
      <c r="B33" s="85"/>
      <c r="C33" s="132"/>
      <c r="D33" s="132"/>
      <c r="E33" s="85"/>
      <c r="F33" s="85"/>
      <c r="G33" s="85"/>
      <c r="H33" s="85"/>
      <c r="I33" s="85"/>
      <c r="J33" s="85"/>
      <c r="K33" s="85"/>
      <c r="L33" s="85"/>
      <c r="M33" s="85"/>
      <c r="N33" s="85"/>
      <c r="O33" s="85"/>
    </row>
    <row r="34" spans="1:15" s="22" customFormat="1" ht="20.399999999999999" x14ac:dyDescent="0.3">
      <c r="A34" s="85"/>
      <c r="B34" s="85"/>
      <c r="C34" s="132"/>
      <c r="D34" s="132"/>
      <c r="E34" s="85"/>
      <c r="F34" s="85"/>
      <c r="G34" s="85"/>
      <c r="H34" s="85"/>
      <c r="I34" s="85"/>
      <c r="J34" s="85"/>
      <c r="K34" s="85"/>
      <c r="L34" s="85"/>
      <c r="M34" s="85"/>
      <c r="N34" s="85"/>
      <c r="O34" s="85"/>
    </row>
    <row r="35" spans="1:15" s="22" customFormat="1" ht="20.399999999999999" x14ac:dyDescent="0.3">
      <c r="A35" s="85"/>
      <c r="B35" s="85"/>
      <c r="C35" s="132"/>
      <c r="D35" s="132"/>
      <c r="E35" s="85"/>
      <c r="F35" s="85"/>
      <c r="G35" s="85"/>
      <c r="H35" s="85"/>
      <c r="I35" s="85"/>
      <c r="J35" s="85"/>
      <c r="K35" s="85"/>
      <c r="L35" s="85"/>
      <c r="M35" s="85"/>
      <c r="N35" s="85"/>
      <c r="O35" s="85"/>
    </row>
    <row r="36" spans="1:15" s="22" customFormat="1" ht="20.399999999999999" x14ac:dyDescent="0.3">
      <c r="A36" s="85"/>
      <c r="B36" s="85"/>
      <c r="C36" s="132"/>
      <c r="D36" s="132"/>
      <c r="E36" s="85"/>
      <c r="F36" s="85"/>
      <c r="G36" s="85"/>
      <c r="H36" s="85"/>
      <c r="I36" s="85"/>
      <c r="J36" s="85"/>
      <c r="K36" s="85"/>
      <c r="L36" s="85"/>
      <c r="M36" s="85"/>
      <c r="N36" s="85"/>
      <c r="O36" s="85"/>
    </row>
    <row r="37" spans="1:15" s="22" customFormat="1" ht="20.399999999999999" x14ac:dyDescent="0.3">
      <c r="A37" s="85"/>
      <c r="B37" s="85"/>
      <c r="C37" s="132"/>
      <c r="D37" s="132"/>
      <c r="E37" s="85"/>
      <c r="F37" s="85"/>
      <c r="G37" s="85"/>
      <c r="H37" s="85"/>
      <c r="I37" s="85"/>
      <c r="J37" s="85"/>
      <c r="K37" s="85"/>
      <c r="L37" s="85"/>
      <c r="M37" s="85"/>
      <c r="N37" s="85"/>
      <c r="O37" s="85"/>
    </row>
    <row r="38" spans="1:15" s="22" customFormat="1" ht="20.399999999999999" x14ac:dyDescent="0.3">
      <c r="A38" s="85"/>
      <c r="B38" s="85"/>
      <c r="C38" s="132"/>
      <c r="D38" s="132"/>
      <c r="E38" s="85"/>
      <c r="F38" s="85"/>
      <c r="G38" s="85"/>
      <c r="H38" s="85"/>
      <c r="I38" s="85"/>
      <c r="J38" s="85"/>
      <c r="K38" s="85"/>
      <c r="L38" s="85"/>
      <c r="M38" s="85"/>
      <c r="N38" s="85"/>
      <c r="O38" s="85"/>
    </row>
    <row r="39" spans="1:15" s="22" customFormat="1" ht="20.399999999999999" x14ac:dyDescent="0.3">
      <c r="A39" s="85"/>
      <c r="B39" s="85"/>
      <c r="C39" s="132"/>
      <c r="D39" s="132"/>
      <c r="E39" s="85"/>
      <c r="F39" s="85"/>
      <c r="G39" s="85"/>
      <c r="H39" s="85"/>
      <c r="I39" s="85"/>
      <c r="J39" s="85"/>
      <c r="K39" s="85"/>
      <c r="L39" s="85"/>
      <c r="M39" s="85"/>
      <c r="N39" s="85"/>
      <c r="O39" s="85"/>
    </row>
    <row r="40" spans="1:15" s="22" customFormat="1" ht="20.399999999999999" x14ac:dyDescent="0.3">
      <c r="A40" s="85"/>
      <c r="B40" s="85"/>
      <c r="C40" s="132"/>
      <c r="D40" s="132"/>
      <c r="E40" s="85"/>
      <c r="F40" s="85"/>
      <c r="G40" s="85"/>
      <c r="H40" s="85"/>
      <c r="I40" s="85"/>
      <c r="J40" s="85"/>
      <c r="K40" s="85"/>
      <c r="L40" s="85"/>
      <c r="M40" s="85"/>
      <c r="N40" s="85"/>
      <c r="O40" s="85"/>
    </row>
    <row r="41" spans="1:15" s="22" customFormat="1" ht="20.399999999999999" x14ac:dyDescent="0.3">
      <c r="A41" s="85"/>
      <c r="B41" s="85"/>
      <c r="C41" s="132"/>
      <c r="D41" s="132"/>
      <c r="E41" s="85"/>
      <c r="F41" s="85"/>
      <c r="G41" s="85"/>
      <c r="H41" s="85"/>
      <c r="I41" s="85"/>
      <c r="J41" s="85"/>
      <c r="K41" s="85"/>
      <c r="L41" s="85"/>
      <c r="M41" s="85"/>
      <c r="N41" s="85"/>
      <c r="O41" s="85"/>
    </row>
    <row r="42" spans="1:15" s="22" customFormat="1" ht="20.399999999999999" x14ac:dyDescent="0.3">
      <c r="A42" s="85"/>
      <c r="B42" s="85"/>
      <c r="C42" s="132"/>
      <c r="D42" s="132"/>
      <c r="E42" s="85"/>
      <c r="F42" s="85"/>
      <c r="G42" s="85"/>
      <c r="H42" s="85"/>
      <c r="I42" s="85"/>
      <c r="J42" s="85"/>
      <c r="K42" s="85"/>
      <c r="L42" s="85"/>
      <c r="M42" s="85"/>
      <c r="N42" s="85"/>
      <c r="O42" s="85"/>
    </row>
    <row r="43" spans="1:15" s="22" customFormat="1" ht="20.399999999999999" x14ac:dyDescent="0.3">
      <c r="A43" s="85"/>
      <c r="B43" s="85"/>
      <c r="C43" s="132"/>
      <c r="D43" s="132"/>
      <c r="E43" s="85"/>
      <c r="F43" s="85"/>
      <c r="G43" s="85"/>
      <c r="H43" s="85"/>
      <c r="I43" s="85"/>
      <c r="J43" s="85"/>
      <c r="K43" s="85"/>
      <c r="L43" s="85"/>
      <c r="M43" s="85"/>
      <c r="N43" s="85"/>
      <c r="O43" s="85"/>
    </row>
    <row r="44" spans="1:15" s="22" customFormat="1" ht="20.399999999999999" x14ac:dyDescent="0.3">
      <c r="A44" s="85"/>
      <c r="B44" s="85"/>
      <c r="C44" s="132"/>
      <c r="D44" s="132"/>
      <c r="E44" s="85"/>
      <c r="F44" s="85"/>
      <c r="G44" s="85"/>
      <c r="H44" s="85"/>
      <c r="I44" s="85"/>
      <c r="J44" s="85"/>
      <c r="K44" s="85"/>
      <c r="L44" s="85"/>
      <c r="M44" s="85"/>
      <c r="N44" s="85"/>
      <c r="O44" s="85"/>
    </row>
    <row r="45" spans="1:15" s="22" customFormat="1" ht="20.399999999999999" x14ac:dyDescent="0.3">
      <c r="A45" s="85"/>
      <c r="B45" s="85"/>
      <c r="C45" s="132"/>
      <c r="D45" s="132"/>
      <c r="E45" s="85"/>
      <c r="F45" s="85"/>
      <c r="G45" s="85"/>
      <c r="H45" s="85"/>
      <c r="I45" s="85"/>
      <c r="J45" s="85"/>
      <c r="K45" s="85"/>
      <c r="L45" s="85"/>
      <c r="M45" s="85"/>
      <c r="N45" s="85"/>
      <c r="O45" s="85"/>
    </row>
    <row r="46" spans="1:15" s="22" customFormat="1" ht="20.399999999999999" x14ac:dyDescent="0.3">
      <c r="A46" s="85"/>
      <c r="B46" s="85"/>
      <c r="C46" s="132"/>
      <c r="D46" s="132"/>
      <c r="E46" s="85"/>
      <c r="F46" s="85"/>
      <c r="G46" s="85"/>
      <c r="H46" s="85"/>
      <c r="I46" s="85"/>
      <c r="J46" s="85"/>
      <c r="K46" s="85"/>
      <c r="L46" s="85"/>
      <c r="M46" s="85"/>
      <c r="N46" s="85"/>
      <c r="O46" s="85"/>
    </row>
    <row r="47" spans="1:15" s="22" customFormat="1" ht="20.399999999999999" x14ac:dyDescent="0.3">
      <c r="A47" s="85"/>
      <c r="B47" s="85"/>
      <c r="C47" s="132"/>
      <c r="D47" s="132"/>
      <c r="E47" s="85"/>
      <c r="F47" s="85"/>
      <c r="G47" s="85"/>
      <c r="H47" s="85"/>
      <c r="I47" s="85"/>
      <c r="J47" s="85"/>
      <c r="K47" s="85"/>
      <c r="L47" s="85"/>
      <c r="M47" s="85"/>
      <c r="N47" s="85"/>
      <c r="O47" s="85"/>
    </row>
    <row r="48" spans="1:15" s="22" customFormat="1" ht="20.399999999999999" x14ac:dyDescent="0.3">
      <c r="A48" s="85"/>
      <c r="B48" s="85"/>
      <c r="C48" s="132"/>
      <c r="D48" s="132"/>
      <c r="E48" s="85"/>
      <c r="F48" s="85"/>
      <c r="G48" s="85"/>
      <c r="H48" s="85"/>
      <c r="I48" s="85"/>
      <c r="J48" s="85"/>
      <c r="K48" s="85"/>
      <c r="L48" s="85"/>
      <c r="M48" s="85"/>
      <c r="N48" s="85"/>
      <c r="O48" s="85"/>
    </row>
    <row r="49" spans="1:15" s="22" customFormat="1" ht="20.399999999999999" x14ac:dyDescent="0.3">
      <c r="A49" s="85"/>
      <c r="B49" s="85"/>
      <c r="C49" s="132"/>
      <c r="D49" s="132"/>
      <c r="E49" s="85"/>
      <c r="F49" s="85"/>
      <c r="G49" s="85"/>
      <c r="H49" s="85"/>
      <c r="I49" s="85"/>
      <c r="J49" s="85"/>
      <c r="K49" s="85"/>
      <c r="L49" s="85"/>
      <c r="M49" s="85"/>
      <c r="N49" s="85"/>
      <c r="O49" s="85"/>
    </row>
    <row r="50" spans="1:15" s="22" customFormat="1" ht="20.399999999999999" x14ac:dyDescent="0.3">
      <c r="A50" s="85"/>
      <c r="B50" s="85"/>
      <c r="C50" s="132"/>
      <c r="D50" s="132"/>
      <c r="E50" s="85"/>
      <c r="F50" s="85"/>
      <c r="G50" s="85"/>
      <c r="H50" s="85"/>
      <c r="I50" s="85"/>
      <c r="J50" s="85"/>
      <c r="K50" s="85"/>
      <c r="L50" s="85"/>
      <c r="M50" s="85"/>
      <c r="N50" s="85"/>
      <c r="O50" s="85"/>
    </row>
    <row r="51" spans="1:15" s="22" customFormat="1" ht="20.399999999999999" x14ac:dyDescent="0.3">
      <c r="A51" s="85"/>
      <c r="B51" s="85"/>
      <c r="C51" s="132"/>
      <c r="D51" s="132"/>
      <c r="E51" s="85"/>
      <c r="F51" s="85"/>
      <c r="G51" s="85"/>
      <c r="H51" s="85"/>
      <c r="I51" s="85"/>
      <c r="J51" s="85"/>
      <c r="K51" s="85"/>
      <c r="L51" s="85"/>
      <c r="M51" s="85"/>
      <c r="N51" s="85"/>
      <c r="O51" s="85"/>
    </row>
    <row r="52" spans="1:15" s="22" customFormat="1" ht="20.399999999999999" x14ac:dyDescent="0.3">
      <c r="A52" s="85"/>
      <c r="C52" s="134"/>
      <c r="D52" s="134"/>
    </row>
    <row r="53" spans="1:15" s="22" customFormat="1" ht="20.399999999999999" x14ac:dyDescent="0.3">
      <c r="A53" s="85"/>
      <c r="C53" s="134"/>
      <c r="D53" s="134"/>
    </row>
    <row r="54" spans="1:15" s="22" customFormat="1" ht="20.399999999999999" x14ac:dyDescent="0.3">
      <c r="A54" s="85"/>
      <c r="C54" s="134"/>
      <c r="D54" s="134"/>
    </row>
    <row r="55" spans="1:15" s="22" customFormat="1" ht="20.399999999999999" x14ac:dyDescent="0.3">
      <c r="A55" s="85"/>
      <c r="C55" s="134"/>
      <c r="D55" s="134"/>
    </row>
    <row r="56" spans="1:15" s="22" customFormat="1" ht="20.399999999999999" x14ac:dyDescent="0.3">
      <c r="A56" s="85"/>
      <c r="C56" s="134"/>
      <c r="D56" s="134"/>
    </row>
    <row r="57" spans="1:15" s="22" customFormat="1" ht="20.399999999999999" x14ac:dyDescent="0.3">
      <c r="A57" s="85"/>
      <c r="C57" s="134"/>
      <c r="D57" s="134"/>
    </row>
    <row r="58" spans="1:15" s="22" customFormat="1" ht="20.399999999999999" x14ac:dyDescent="0.3">
      <c r="A58" s="85"/>
      <c r="C58" s="134"/>
      <c r="D58" s="134"/>
    </row>
    <row r="59" spans="1:15" s="22" customFormat="1" ht="20.399999999999999" x14ac:dyDescent="0.3">
      <c r="A59" s="85"/>
      <c r="C59" s="134"/>
      <c r="D59" s="134"/>
    </row>
    <row r="60" spans="1:15" s="22" customFormat="1" ht="20.399999999999999" x14ac:dyDescent="0.3">
      <c r="A60" s="85"/>
      <c r="C60" s="134"/>
      <c r="D60" s="134"/>
    </row>
    <row r="61" spans="1:15" s="22" customFormat="1" ht="20.399999999999999" x14ac:dyDescent="0.3">
      <c r="A61" s="85"/>
      <c r="C61" s="134"/>
      <c r="D61" s="134"/>
    </row>
    <row r="62" spans="1:15" s="22" customFormat="1" ht="20.399999999999999" x14ac:dyDescent="0.3">
      <c r="A62" s="85"/>
      <c r="C62" s="134"/>
      <c r="D62" s="134"/>
    </row>
    <row r="63" spans="1:15" s="22" customFormat="1" ht="20.399999999999999" x14ac:dyDescent="0.3">
      <c r="A63" s="85"/>
      <c r="C63" s="134"/>
      <c r="D63" s="134"/>
    </row>
    <row r="64" spans="1:15" s="22" customFormat="1" ht="20.399999999999999" x14ac:dyDescent="0.3">
      <c r="A64" s="85"/>
      <c r="C64" s="134"/>
      <c r="D64" s="134"/>
    </row>
    <row r="65" spans="1:4" s="22" customFormat="1" ht="20.399999999999999" x14ac:dyDescent="0.3">
      <c r="A65" s="85"/>
      <c r="C65" s="134"/>
      <c r="D65" s="134"/>
    </row>
    <row r="66" spans="1:4" s="22" customFormat="1" ht="20.399999999999999" x14ac:dyDescent="0.3">
      <c r="A66" s="85"/>
      <c r="C66" s="134"/>
      <c r="D66" s="134"/>
    </row>
    <row r="67" spans="1:4" s="22" customFormat="1" ht="20.399999999999999" x14ac:dyDescent="0.3">
      <c r="A67" s="85"/>
      <c r="C67" s="134"/>
      <c r="D67" s="134"/>
    </row>
    <row r="68" spans="1:4" s="22" customFormat="1" ht="20.399999999999999" x14ac:dyDescent="0.3">
      <c r="A68" s="85"/>
      <c r="C68" s="134"/>
      <c r="D68" s="134"/>
    </row>
    <row r="69" spans="1:4" s="22" customFormat="1" ht="20.399999999999999" x14ac:dyDescent="0.3">
      <c r="A69" s="85"/>
      <c r="C69" s="134"/>
      <c r="D69" s="134"/>
    </row>
    <row r="70" spans="1:4" s="22" customFormat="1" ht="20.399999999999999" x14ac:dyDescent="0.3">
      <c r="A70" s="85"/>
      <c r="C70" s="134"/>
      <c r="D70" s="134"/>
    </row>
    <row r="71" spans="1:4" s="22" customFormat="1" ht="20.399999999999999" x14ac:dyDescent="0.3">
      <c r="A71" s="85"/>
      <c r="C71" s="134"/>
      <c r="D71" s="134"/>
    </row>
    <row r="72" spans="1:4" s="22" customFormat="1" ht="20.399999999999999" x14ac:dyDescent="0.3">
      <c r="A72" s="85"/>
      <c r="C72" s="134"/>
      <c r="D72" s="134"/>
    </row>
    <row r="73" spans="1:4" s="22" customFormat="1" ht="20.399999999999999" x14ac:dyDescent="0.3">
      <c r="A73" s="85"/>
      <c r="C73" s="134"/>
      <c r="D73" s="134"/>
    </row>
    <row r="74" spans="1:4" s="22" customFormat="1" ht="20.399999999999999" x14ac:dyDescent="0.3">
      <c r="A74" s="85"/>
      <c r="C74" s="134"/>
      <c r="D74" s="134"/>
    </row>
    <row r="75" spans="1:4" s="22" customFormat="1" ht="20.399999999999999" x14ac:dyDescent="0.3">
      <c r="A75" s="85"/>
      <c r="C75" s="134"/>
      <c r="D75" s="134"/>
    </row>
    <row r="76" spans="1:4" s="22" customFormat="1" ht="20.399999999999999" x14ac:dyDescent="0.3">
      <c r="A76" s="85"/>
      <c r="C76" s="134"/>
      <c r="D76" s="134"/>
    </row>
    <row r="77" spans="1:4" s="22" customFormat="1" ht="20.399999999999999" x14ac:dyDescent="0.3">
      <c r="A77" s="85"/>
      <c r="C77" s="134"/>
      <c r="D77" s="134"/>
    </row>
    <row r="78" spans="1:4" s="22" customFormat="1" ht="20.399999999999999" x14ac:dyDescent="0.3">
      <c r="A78" s="85"/>
      <c r="C78" s="134"/>
      <c r="D78" s="134"/>
    </row>
    <row r="79" spans="1:4" s="22" customFormat="1" ht="20.399999999999999" x14ac:dyDescent="0.3">
      <c r="A79" s="85"/>
      <c r="C79" s="134"/>
      <c r="D79" s="134"/>
    </row>
    <row r="80" spans="1:4" s="22" customFormat="1" ht="20.399999999999999" x14ac:dyDescent="0.3">
      <c r="A80" s="85"/>
      <c r="C80" s="134"/>
      <c r="D80" s="134"/>
    </row>
    <row r="81" spans="1:4" s="22" customFormat="1" ht="20.399999999999999" x14ac:dyDescent="0.3">
      <c r="A81" s="85"/>
      <c r="C81" s="134"/>
      <c r="D81" s="134"/>
    </row>
    <row r="82" spans="1:4" s="22" customFormat="1" ht="20.399999999999999" x14ac:dyDescent="0.3">
      <c r="A82" s="85"/>
      <c r="C82" s="134"/>
      <c r="D82" s="134"/>
    </row>
    <row r="83" spans="1:4" s="22" customFormat="1" ht="20.399999999999999" x14ac:dyDescent="0.3">
      <c r="A83" s="85"/>
      <c r="C83" s="134"/>
      <c r="D83" s="134"/>
    </row>
    <row r="84" spans="1:4" s="22" customFormat="1" ht="20.399999999999999" x14ac:dyDescent="0.3">
      <c r="A84" s="85"/>
      <c r="C84" s="134"/>
      <c r="D84" s="134"/>
    </row>
    <row r="85" spans="1:4" s="22" customFormat="1" ht="20.399999999999999" x14ac:dyDescent="0.3">
      <c r="A85" s="85"/>
      <c r="C85" s="134"/>
      <c r="D85" s="134"/>
    </row>
    <row r="86" spans="1:4" s="22" customFormat="1" ht="20.399999999999999" x14ac:dyDescent="0.3">
      <c r="A86" s="85"/>
      <c r="C86" s="134"/>
      <c r="D86" s="134"/>
    </row>
    <row r="87" spans="1:4" s="22" customFormat="1" ht="20.399999999999999" x14ac:dyDescent="0.3">
      <c r="A87" s="85"/>
      <c r="C87" s="134"/>
      <c r="D87" s="134"/>
    </row>
    <row r="88" spans="1:4" s="22" customFormat="1" ht="20.399999999999999" x14ac:dyDescent="0.3">
      <c r="A88" s="85"/>
      <c r="C88" s="134"/>
      <c r="D88" s="134"/>
    </row>
    <row r="89" spans="1:4" s="22" customFormat="1" ht="20.399999999999999" x14ac:dyDescent="0.3">
      <c r="A89" s="85"/>
      <c r="C89" s="134"/>
      <c r="D89" s="134"/>
    </row>
    <row r="90" spans="1:4" s="22" customFormat="1" ht="20.399999999999999" x14ac:dyDescent="0.3">
      <c r="A90" s="85"/>
      <c r="C90" s="134"/>
      <c r="D90" s="134"/>
    </row>
    <row r="91" spans="1:4" s="22" customFormat="1" ht="20.399999999999999" x14ac:dyDescent="0.3">
      <c r="A91" s="85"/>
      <c r="C91" s="134"/>
      <c r="D91" s="134"/>
    </row>
    <row r="92" spans="1:4" s="22" customFormat="1" ht="20.399999999999999" x14ac:dyDescent="0.3">
      <c r="A92" s="85"/>
      <c r="C92" s="134"/>
      <c r="D92" s="134"/>
    </row>
    <row r="93" spans="1:4" s="22" customFormat="1" ht="20.399999999999999" x14ac:dyDescent="0.3">
      <c r="A93" s="85"/>
      <c r="C93" s="134"/>
      <c r="D93" s="134"/>
    </row>
    <row r="94" spans="1:4" s="22" customFormat="1" ht="20.399999999999999" x14ac:dyDescent="0.3">
      <c r="A94" s="85"/>
      <c r="C94" s="134"/>
      <c r="D94" s="134"/>
    </row>
    <row r="95" spans="1:4" s="22" customFormat="1" ht="20.399999999999999" x14ac:dyDescent="0.3">
      <c r="A95" s="85"/>
      <c r="C95" s="134"/>
      <c r="D95" s="134"/>
    </row>
    <row r="96" spans="1:4" s="22" customFormat="1" ht="20.399999999999999" x14ac:dyDescent="0.3">
      <c r="A96" s="85"/>
      <c r="C96" s="134"/>
      <c r="D96" s="134"/>
    </row>
    <row r="97" spans="1:4" s="22" customFormat="1" ht="20.399999999999999" x14ac:dyDescent="0.3">
      <c r="A97" s="85"/>
      <c r="C97" s="134"/>
      <c r="D97" s="134"/>
    </row>
    <row r="98" spans="1:4" s="22" customFormat="1" ht="20.399999999999999" x14ac:dyDescent="0.3">
      <c r="A98" s="85"/>
      <c r="C98" s="134"/>
      <c r="D98" s="134"/>
    </row>
    <row r="99" spans="1:4" s="22" customFormat="1" ht="20.399999999999999" x14ac:dyDescent="0.3">
      <c r="A99" s="85"/>
      <c r="C99" s="134"/>
      <c r="D99" s="134"/>
    </row>
    <row r="100" spans="1:4" s="22" customFormat="1" ht="20.399999999999999" x14ac:dyDescent="0.3">
      <c r="A100" s="85"/>
      <c r="C100" s="134"/>
      <c r="D100" s="134"/>
    </row>
    <row r="101" spans="1:4" s="22" customFormat="1" ht="20.399999999999999" x14ac:dyDescent="0.3">
      <c r="A101" s="85"/>
      <c r="C101" s="134"/>
      <c r="D101" s="134"/>
    </row>
    <row r="102" spans="1:4" s="22" customFormat="1" ht="20.399999999999999" x14ac:dyDescent="0.3">
      <c r="A102" s="85"/>
      <c r="C102" s="134"/>
      <c r="D102" s="134"/>
    </row>
    <row r="103" spans="1:4" s="22" customFormat="1" ht="20.399999999999999" x14ac:dyDescent="0.3">
      <c r="A103" s="85"/>
      <c r="C103" s="134"/>
      <c r="D103" s="134"/>
    </row>
    <row r="104" spans="1:4" s="22" customFormat="1" ht="20.399999999999999" x14ac:dyDescent="0.3">
      <c r="A104" s="85"/>
      <c r="C104" s="134"/>
      <c r="D104" s="134"/>
    </row>
    <row r="105" spans="1:4" s="22" customFormat="1" ht="20.399999999999999" x14ac:dyDescent="0.3">
      <c r="A105" s="85"/>
      <c r="C105" s="134"/>
      <c r="D105" s="134"/>
    </row>
    <row r="106" spans="1:4" s="22" customFormat="1" ht="20.399999999999999" x14ac:dyDescent="0.3">
      <c r="A106" s="85"/>
      <c r="C106" s="134"/>
      <c r="D106" s="134"/>
    </row>
    <row r="107" spans="1:4" s="22" customFormat="1" ht="20.399999999999999" x14ac:dyDescent="0.3">
      <c r="A107" s="85"/>
      <c r="C107" s="134"/>
      <c r="D107" s="134"/>
    </row>
    <row r="108" spans="1:4" s="22" customFormat="1" ht="20.399999999999999" x14ac:dyDescent="0.3">
      <c r="A108" s="85"/>
      <c r="C108" s="134"/>
      <c r="D108" s="134"/>
    </row>
    <row r="109" spans="1:4" s="22" customFormat="1" ht="20.399999999999999" x14ac:dyDescent="0.3">
      <c r="A109" s="85"/>
      <c r="C109" s="134"/>
      <c r="D109" s="134"/>
    </row>
    <row r="110" spans="1:4" s="22" customFormat="1" ht="20.399999999999999" x14ac:dyDescent="0.3">
      <c r="A110" s="85"/>
      <c r="C110" s="134"/>
      <c r="D110" s="134"/>
    </row>
    <row r="111" spans="1:4" s="22" customFormat="1" ht="20.399999999999999" x14ac:dyDescent="0.3">
      <c r="A111" s="85"/>
      <c r="C111" s="134"/>
      <c r="D111" s="134"/>
    </row>
    <row r="112" spans="1:4" s="22" customFormat="1" ht="20.399999999999999" x14ac:dyDescent="0.3">
      <c r="A112" s="85"/>
      <c r="C112" s="134"/>
      <c r="D112" s="134"/>
    </row>
    <row r="113" spans="1:4" s="22" customFormat="1" ht="20.399999999999999" x14ac:dyDescent="0.3">
      <c r="A113" s="85"/>
      <c r="C113" s="134"/>
      <c r="D113" s="134"/>
    </row>
    <row r="114" spans="1:4" s="22" customFormat="1" ht="20.399999999999999" x14ac:dyDescent="0.3">
      <c r="A114" s="85"/>
      <c r="C114" s="134"/>
      <c r="D114" s="134"/>
    </row>
    <row r="115" spans="1:4" s="22" customFormat="1" ht="20.399999999999999" x14ac:dyDescent="0.3">
      <c r="A115" s="85"/>
      <c r="C115" s="134"/>
      <c r="D115" s="134"/>
    </row>
    <row r="116" spans="1:4" s="22" customFormat="1" ht="20.399999999999999" x14ac:dyDescent="0.3">
      <c r="A116" s="85"/>
      <c r="C116" s="134"/>
      <c r="D116" s="134"/>
    </row>
    <row r="117" spans="1:4" s="22" customFormat="1" ht="20.399999999999999" x14ac:dyDescent="0.3">
      <c r="A117" s="85"/>
      <c r="C117" s="134"/>
      <c r="D117" s="134"/>
    </row>
    <row r="118" spans="1:4" s="22" customFormat="1" ht="20.399999999999999" x14ac:dyDescent="0.3">
      <c r="A118" s="85"/>
      <c r="C118" s="134"/>
      <c r="D118" s="134"/>
    </row>
    <row r="119" spans="1:4" s="22" customFormat="1" ht="20.399999999999999" x14ac:dyDescent="0.3">
      <c r="A119" s="85"/>
      <c r="C119" s="134"/>
      <c r="D119" s="134"/>
    </row>
    <row r="120" spans="1:4" s="22" customFormat="1" ht="20.399999999999999" x14ac:dyDescent="0.3">
      <c r="A120" s="85"/>
      <c r="C120" s="134"/>
      <c r="D120" s="134"/>
    </row>
    <row r="121" spans="1:4" s="22" customFormat="1" ht="20.399999999999999" x14ac:dyDescent="0.3">
      <c r="A121" s="85"/>
      <c r="C121" s="134"/>
      <c r="D121" s="134"/>
    </row>
    <row r="122" spans="1:4" s="22" customFormat="1" ht="20.399999999999999" x14ac:dyDescent="0.3">
      <c r="A122" s="85"/>
      <c r="C122" s="134"/>
      <c r="D122" s="134"/>
    </row>
    <row r="123" spans="1:4" s="22" customFormat="1" ht="20.399999999999999" x14ac:dyDescent="0.3">
      <c r="A123" s="85"/>
      <c r="C123" s="134"/>
      <c r="D123" s="134"/>
    </row>
    <row r="124" spans="1:4" s="22" customFormat="1" ht="20.399999999999999" x14ac:dyDescent="0.3">
      <c r="A124" s="85"/>
      <c r="C124" s="134"/>
      <c r="D124" s="134"/>
    </row>
    <row r="125" spans="1:4" s="22" customFormat="1" ht="20.399999999999999" x14ac:dyDescent="0.3">
      <c r="A125" s="85"/>
      <c r="C125" s="134"/>
      <c r="D125" s="134"/>
    </row>
    <row r="126" spans="1:4" s="22" customFormat="1" ht="20.399999999999999" x14ac:dyDescent="0.3">
      <c r="A126" s="85"/>
      <c r="C126" s="134"/>
      <c r="D126" s="134"/>
    </row>
    <row r="127" spans="1:4" s="22" customFormat="1" ht="20.399999999999999" x14ac:dyDescent="0.3">
      <c r="A127" s="85"/>
      <c r="C127" s="134"/>
      <c r="D127" s="134"/>
    </row>
    <row r="128" spans="1:4" s="22" customFormat="1" ht="20.399999999999999" x14ac:dyDescent="0.3">
      <c r="A128" s="85"/>
      <c r="C128" s="134"/>
      <c r="D128" s="134"/>
    </row>
    <row r="129" spans="1:4" s="22" customFormat="1" ht="20.399999999999999" x14ac:dyDescent="0.3">
      <c r="A129" s="85"/>
      <c r="C129" s="134"/>
      <c r="D129" s="134"/>
    </row>
    <row r="130" spans="1:4" s="22" customFormat="1" ht="20.399999999999999" x14ac:dyDescent="0.3">
      <c r="A130" s="85"/>
      <c r="C130" s="134"/>
      <c r="D130" s="134"/>
    </row>
    <row r="131" spans="1:4" s="22" customFormat="1" ht="20.399999999999999" x14ac:dyDescent="0.3">
      <c r="A131" s="85"/>
      <c r="C131" s="134"/>
      <c r="D131" s="134"/>
    </row>
    <row r="132" spans="1:4" s="22" customFormat="1" ht="20.399999999999999" x14ac:dyDescent="0.3">
      <c r="A132" s="85"/>
      <c r="C132" s="134"/>
      <c r="D132" s="134"/>
    </row>
    <row r="133" spans="1:4" s="22" customFormat="1" ht="20.399999999999999" x14ac:dyDescent="0.3">
      <c r="A133" s="85"/>
      <c r="C133" s="134"/>
      <c r="D133" s="134"/>
    </row>
    <row r="134" spans="1:4" s="22" customFormat="1" ht="20.399999999999999" x14ac:dyDescent="0.3">
      <c r="A134" s="85"/>
      <c r="C134" s="134"/>
      <c r="D134" s="134"/>
    </row>
    <row r="135" spans="1:4" s="22" customFormat="1" ht="20.399999999999999" x14ac:dyDescent="0.3">
      <c r="A135" s="85"/>
      <c r="C135" s="134"/>
      <c r="D135" s="134"/>
    </row>
    <row r="136" spans="1:4" s="22" customFormat="1" ht="20.399999999999999" x14ac:dyDescent="0.3">
      <c r="A136" s="85"/>
      <c r="C136" s="134"/>
      <c r="D136" s="134"/>
    </row>
    <row r="137" spans="1:4" s="22" customFormat="1" ht="20.399999999999999" x14ac:dyDescent="0.3">
      <c r="A137" s="85"/>
      <c r="C137" s="134"/>
      <c r="D137" s="134"/>
    </row>
    <row r="138" spans="1:4" s="22" customFormat="1" ht="20.399999999999999" x14ac:dyDescent="0.3">
      <c r="A138" s="85"/>
      <c r="C138" s="134"/>
      <c r="D138" s="134"/>
    </row>
    <row r="139" spans="1:4" s="22" customFormat="1" ht="20.399999999999999" x14ac:dyDescent="0.3">
      <c r="A139" s="85"/>
      <c r="C139" s="134"/>
      <c r="D139" s="134"/>
    </row>
    <row r="140" spans="1:4" s="22" customFormat="1" ht="20.399999999999999" x14ac:dyDescent="0.3">
      <c r="A140" s="85"/>
      <c r="C140" s="134"/>
      <c r="D140" s="134"/>
    </row>
    <row r="141" spans="1:4" s="22" customFormat="1" ht="20.399999999999999" x14ac:dyDescent="0.3">
      <c r="A141" s="85"/>
      <c r="C141" s="134"/>
      <c r="D141" s="134"/>
    </row>
    <row r="142" spans="1:4" s="22" customFormat="1" ht="20.399999999999999" x14ac:dyDescent="0.3">
      <c r="A142" s="85"/>
      <c r="C142" s="134"/>
      <c r="D142" s="134"/>
    </row>
    <row r="143" spans="1:4" s="22" customFormat="1" ht="20.399999999999999" x14ac:dyDescent="0.3">
      <c r="A143" s="85"/>
      <c r="C143" s="134"/>
      <c r="D143" s="134"/>
    </row>
    <row r="144" spans="1:4" s="22" customFormat="1" ht="20.399999999999999" x14ac:dyDescent="0.3">
      <c r="A144" s="85"/>
      <c r="C144" s="134"/>
      <c r="D144" s="134"/>
    </row>
    <row r="145" spans="1:4" s="22" customFormat="1" ht="20.399999999999999" x14ac:dyDescent="0.3">
      <c r="A145" s="85"/>
      <c r="C145" s="134"/>
      <c r="D145" s="134"/>
    </row>
    <row r="146" spans="1:4" s="22" customFormat="1" ht="20.399999999999999" x14ac:dyDescent="0.3">
      <c r="A146" s="85"/>
      <c r="C146" s="134"/>
      <c r="D146" s="134"/>
    </row>
    <row r="147" spans="1:4" s="22" customFormat="1" ht="20.399999999999999" x14ac:dyDescent="0.3">
      <c r="A147" s="85"/>
      <c r="C147" s="134"/>
      <c r="D147" s="134"/>
    </row>
    <row r="148" spans="1:4" s="22" customFormat="1" ht="20.399999999999999" x14ac:dyDescent="0.3">
      <c r="A148" s="85"/>
      <c r="C148" s="134"/>
      <c r="D148" s="134"/>
    </row>
    <row r="149" spans="1:4" s="22" customFormat="1" ht="20.399999999999999" x14ac:dyDescent="0.3">
      <c r="A149" s="85"/>
      <c r="C149" s="134"/>
      <c r="D149" s="134"/>
    </row>
    <row r="150" spans="1:4" s="22" customFormat="1" ht="20.399999999999999" x14ac:dyDescent="0.3">
      <c r="A150" s="85"/>
      <c r="C150" s="134"/>
      <c r="D150" s="134"/>
    </row>
    <row r="151" spans="1:4" s="22" customFormat="1" ht="20.399999999999999" x14ac:dyDescent="0.3">
      <c r="A151" s="85"/>
      <c r="C151" s="134"/>
      <c r="D151" s="134"/>
    </row>
    <row r="152" spans="1:4" s="22" customFormat="1" ht="20.399999999999999" x14ac:dyDescent="0.3">
      <c r="A152" s="85"/>
      <c r="C152" s="134"/>
      <c r="D152" s="134"/>
    </row>
    <row r="153" spans="1:4" s="22" customFormat="1" ht="20.399999999999999" x14ac:dyDescent="0.3">
      <c r="A153" s="85"/>
      <c r="C153" s="134"/>
      <c r="D153" s="134"/>
    </row>
    <row r="154" spans="1:4" s="22" customFormat="1" ht="20.399999999999999" x14ac:dyDescent="0.3">
      <c r="A154" s="85"/>
      <c r="C154" s="134"/>
      <c r="D154" s="134"/>
    </row>
    <row r="155" spans="1:4" s="22" customFormat="1" ht="20.399999999999999" x14ac:dyDescent="0.3">
      <c r="A155" s="85"/>
      <c r="C155" s="134"/>
      <c r="D155" s="134"/>
    </row>
    <row r="156" spans="1:4" s="22" customFormat="1" ht="20.399999999999999" x14ac:dyDescent="0.3">
      <c r="A156" s="85"/>
      <c r="C156" s="134"/>
      <c r="D156" s="134"/>
    </row>
    <row r="157" spans="1:4" s="22" customFormat="1" ht="20.399999999999999" x14ac:dyDescent="0.3">
      <c r="A157" s="85"/>
      <c r="C157" s="134"/>
      <c r="D157" s="134"/>
    </row>
    <row r="158" spans="1:4" s="22" customFormat="1" ht="20.399999999999999" x14ac:dyDescent="0.3">
      <c r="A158" s="85"/>
      <c r="C158" s="134"/>
      <c r="D158" s="134"/>
    </row>
    <row r="159" spans="1:4" s="22" customFormat="1" ht="20.399999999999999" x14ac:dyDescent="0.3">
      <c r="A159" s="85"/>
      <c r="C159" s="134"/>
      <c r="D159" s="134"/>
    </row>
    <row r="160" spans="1:4" s="22" customFormat="1" ht="20.399999999999999" x14ac:dyDescent="0.3">
      <c r="A160" s="85"/>
      <c r="C160" s="134"/>
      <c r="D160" s="134"/>
    </row>
    <row r="161" spans="1:4" s="22" customFormat="1" ht="20.399999999999999" x14ac:dyDescent="0.3">
      <c r="A161" s="85"/>
      <c r="C161" s="134"/>
      <c r="D161" s="134"/>
    </row>
    <row r="162" spans="1:4" s="22" customFormat="1" ht="20.399999999999999" x14ac:dyDescent="0.3">
      <c r="A162" s="85"/>
      <c r="C162" s="134"/>
      <c r="D162" s="134"/>
    </row>
    <row r="163" spans="1:4" s="22" customFormat="1" ht="20.399999999999999" x14ac:dyDescent="0.3">
      <c r="A163" s="85"/>
      <c r="C163" s="134"/>
      <c r="D163" s="134"/>
    </row>
    <row r="164" spans="1:4" s="22" customFormat="1" ht="20.399999999999999" x14ac:dyDescent="0.3">
      <c r="A164" s="85"/>
      <c r="C164" s="134"/>
      <c r="D164" s="134"/>
    </row>
    <row r="165" spans="1:4" s="22" customFormat="1" ht="20.399999999999999" x14ac:dyDescent="0.3">
      <c r="A165" s="85"/>
      <c r="C165" s="134"/>
      <c r="D165" s="134"/>
    </row>
    <row r="166" spans="1:4" s="22" customFormat="1" ht="20.399999999999999" x14ac:dyDescent="0.3">
      <c r="A166" s="85"/>
      <c r="C166" s="134"/>
      <c r="D166" s="134"/>
    </row>
    <row r="167" spans="1:4" s="22" customFormat="1" ht="20.399999999999999" x14ac:dyDescent="0.3">
      <c r="A167" s="85"/>
      <c r="C167" s="134"/>
      <c r="D167" s="134"/>
    </row>
    <row r="168" spans="1:4" s="22" customFormat="1" ht="20.399999999999999" x14ac:dyDescent="0.3">
      <c r="A168" s="85"/>
      <c r="C168" s="134"/>
      <c r="D168" s="134"/>
    </row>
    <row r="169" spans="1:4" s="22" customFormat="1" ht="20.399999999999999" x14ac:dyDescent="0.3">
      <c r="A169" s="85"/>
      <c r="C169" s="134"/>
      <c r="D169" s="134"/>
    </row>
    <row r="170" spans="1:4" s="22" customFormat="1" ht="20.399999999999999" x14ac:dyDescent="0.3">
      <c r="A170" s="85"/>
      <c r="C170" s="134"/>
      <c r="D170" s="134"/>
    </row>
    <row r="171" spans="1:4" s="22" customFormat="1" ht="20.399999999999999" x14ac:dyDescent="0.3">
      <c r="A171" s="85"/>
      <c r="C171" s="134"/>
      <c r="D171" s="134"/>
    </row>
    <row r="172" spans="1:4" s="22" customFormat="1" ht="20.399999999999999" x14ac:dyDescent="0.3">
      <c r="A172" s="85"/>
      <c r="C172" s="134"/>
      <c r="D172" s="134"/>
    </row>
    <row r="173" spans="1:4" s="22" customFormat="1" ht="20.399999999999999" x14ac:dyDescent="0.3">
      <c r="A173" s="85"/>
      <c r="C173" s="134"/>
      <c r="D173" s="134"/>
    </row>
    <row r="174" spans="1:4" s="22" customFormat="1" ht="20.399999999999999" x14ac:dyDescent="0.3">
      <c r="A174" s="85"/>
      <c r="C174" s="134"/>
      <c r="D174" s="134"/>
    </row>
    <row r="175" spans="1:4" s="22" customFormat="1" ht="20.399999999999999" x14ac:dyDescent="0.3">
      <c r="A175" s="85"/>
      <c r="C175" s="134"/>
      <c r="D175" s="134"/>
    </row>
    <row r="176" spans="1:4" s="22" customFormat="1" ht="20.399999999999999" x14ac:dyDescent="0.3">
      <c r="A176" s="85"/>
      <c r="C176" s="134"/>
      <c r="D176" s="134"/>
    </row>
    <row r="177" spans="1:4" s="22" customFormat="1" ht="20.399999999999999" x14ac:dyDescent="0.3">
      <c r="A177" s="85"/>
      <c r="C177" s="134"/>
      <c r="D177" s="134"/>
    </row>
    <row r="178" spans="1:4" s="22" customFormat="1" ht="20.399999999999999" x14ac:dyDescent="0.3">
      <c r="A178" s="85"/>
      <c r="C178" s="134"/>
      <c r="D178" s="134"/>
    </row>
    <row r="179" spans="1:4" s="22" customFormat="1" ht="20.399999999999999" x14ac:dyDescent="0.3">
      <c r="A179" s="85"/>
      <c r="C179" s="134"/>
      <c r="D179" s="134"/>
    </row>
    <row r="180" spans="1:4" s="22" customFormat="1" ht="20.399999999999999" x14ac:dyDescent="0.3">
      <c r="A180" s="85"/>
      <c r="C180" s="134"/>
      <c r="D180" s="134"/>
    </row>
    <row r="181" spans="1:4" s="22" customFormat="1" ht="20.399999999999999" x14ac:dyDescent="0.3">
      <c r="A181" s="85"/>
      <c r="C181" s="134"/>
      <c r="D181" s="134"/>
    </row>
    <row r="182" spans="1:4" s="22" customFormat="1" ht="20.399999999999999" x14ac:dyDescent="0.3">
      <c r="A182" s="85"/>
      <c r="C182" s="134"/>
      <c r="D182" s="134"/>
    </row>
    <row r="183" spans="1:4" s="22" customFormat="1" ht="20.399999999999999" x14ac:dyDescent="0.3">
      <c r="A183" s="85"/>
      <c r="C183" s="134"/>
      <c r="D183" s="134"/>
    </row>
    <row r="184" spans="1:4" s="22" customFormat="1" ht="20.399999999999999" x14ac:dyDescent="0.3">
      <c r="A184" s="85"/>
      <c r="C184" s="134"/>
      <c r="D184" s="134"/>
    </row>
    <row r="185" spans="1:4" s="22" customFormat="1" ht="20.399999999999999" x14ac:dyDescent="0.3">
      <c r="A185" s="85"/>
      <c r="C185" s="134"/>
      <c r="D185" s="134"/>
    </row>
    <row r="186" spans="1:4" s="22" customFormat="1" ht="20.399999999999999" x14ac:dyDescent="0.3">
      <c r="A186" s="85"/>
      <c r="C186" s="134"/>
      <c r="D186" s="134"/>
    </row>
    <row r="187" spans="1:4" s="22" customFormat="1" ht="20.399999999999999" x14ac:dyDescent="0.3">
      <c r="A187" s="85"/>
      <c r="C187" s="134"/>
      <c r="D187" s="134"/>
    </row>
    <row r="188" spans="1:4" s="22" customFormat="1" ht="20.399999999999999" x14ac:dyDescent="0.3">
      <c r="A188" s="85"/>
      <c r="C188" s="134"/>
      <c r="D188" s="134"/>
    </row>
    <row r="189" spans="1:4" s="22" customFormat="1" ht="20.399999999999999" x14ac:dyDescent="0.3">
      <c r="A189" s="85"/>
      <c r="C189" s="134"/>
      <c r="D189" s="134"/>
    </row>
    <row r="190" spans="1:4" s="22" customFormat="1" ht="20.399999999999999" x14ac:dyDescent="0.3">
      <c r="A190" s="85"/>
      <c r="C190" s="134"/>
      <c r="D190" s="134"/>
    </row>
    <row r="191" spans="1:4" s="22" customFormat="1" ht="20.399999999999999" x14ac:dyDescent="0.3">
      <c r="A191" s="85"/>
      <c r="C191" s="134"/>
      <c r="D191" s="134"/>
    </row>
    <row r="192" spans="1:4" s="22" customFormat="1" ht="20.399999999999999" x14ac:dyDescent="0.3">
      <c r="A192" s="85"/>
      <c r="C192" s="134"/>
      <c r="D192" s="134"/>
    </row>
    <row r="193" spans="1:4" s="22" customFormat="1" ht="20.399999999999999" x14ac:dyDescent="0.3">
      <c r="A193" s="85"/>
      <c r="C193" s="134"/>
      <c r="D193" s="134"/>
    </row>
    <row r="194" spans="1:4" s="22" customFormat="1" ht="20.399999999999999" x14ac:dyDescent="0.3">
      <c r="A194" s="85"/>
      <c r="C194" s="134"/>
      <c r="D194" s="134"/>
    </row>
    <row r="195" spans="1:4" s="22" customFormat="1" ht="20.399999999999999" x14ac:dyDescent="0.3">
      <c r="A195" s="85"/>
      <c r="C195" s="134"/>
      <c r="D195" s="134"/>
    </row>
    <row r="196" spans="1:4" s="22" customFormat="1" ht="20.399999999999999" x14ac:dyDescent="0.3">
      <c r="A196" s="85"/>
      <c r="C196" s="134"/>
      <c r="D196" s="134"/>
    </row>
    <row r="197" spans="1:4" s="22" customFormat="1" ht="20.399999999999999" x14ac:dyDescent="0.3">
      <c r="A197" s="85"/>
      <c r="C197" s="134"/>
      <c r="D197" s="134"/>
    </row>
    <row r="198" spans="1:4" s="22" customFormat="1" ht="20.399999999999999" x14ac:dyDescent="0.3">
      <c r="A198" s="85"/>
      <c r="C198" s="134"/>
      <c r="D198" s="134"/>
    </row>
    <row r="199" spans="1:4" s="22" customFormat="1" ht="20.399999999999999" x14ac:dyDescent="0.3">
      <c r="A199" s="85"/>
      <c r="C199" s="134"/>
      <c r="D199" s="134"/>
    </row>
    <row r="200" spans="1:4" s="22" customFormat="1" ht="20.399999999999999" x14ac:dyDescent="0.3">
      <c r="A200" s="85"/>
      <c r="C200" s="134"/>
      <c r="D200" s="134"/>
    </row>
    <row r="201" spans="1:4" s="22" customFormat="1" ht="20.399999999999999" x14ac:dyDescent="0.3">
      <c r="A201" s="85"/>
      <c r="C201" s="134"/>
      <c r="D201" s="134"/>
    </row>
    <row r="202" spans="1:4" s="22" customFormat="1" ht="20.399999999999999" x14ac:dyDescent="0.3">
      <c r="A202" s="85"/>
      <c r="C202" s="134"/>
      <c r="D202" s="134"/>
    </row>
    <row r="203" spans="1:4" s="22" customFormat="1" ht="20.399999999999999" x14ac:dyDescent="0.3">
      <c r="A203" s="85"/>
      <c r="C203" s="134"/>
      <c r="D203" s="134"/>
    </row>
    <row r="204" spans="1:4" s="22" customFormat="1" ht="20.399999999999999" x14ac:dyDescent="0.3">
      <c r="A204" s="85"/>
      <c r="C204" s="134"/>
      <c r="D204" s="134"/>
    </row>
    <row r="205" spans="1:4" s="22" customFormat="1" ht="20.399999999999999" x14ac:dyDescent="0.3">
      <c r="A205" s="85"/>
      <c r="C205" s="134"/>
      <c r="D205" s="134"/>
    </row>
    <row r="206" spans="1:4" s="22" customFormat="1" ht="20.399999999999999" x14ac:dyDescent="0.3">
      <c r="A206" s="85"/>
      <c r="C206" s="134"/>
      <c r="D206" s="134"/>
    </row>
    <row r="207" spans="1:4" s="22" customFormat="1" ht="20.399999999999999" x14ac:dyDescent="0.3">
      <c r="A207" s="85"/>
      <c r="C207" s="134"/>
      <c r="D207" s="134"/>
    </row>
    <row r="208" spans="1:4" s="22" customFormat="1" x14ac:dyDescent="0.3">
      <c r="A208" s="85"/>
    </row>
    <row r="209" spans="1:8" s="22" customFormat="1" ht="20.399999999999999" x14ac:dyDescent="0.3">
      <c r="A209" s="85"/>
      <c r="B209" s="135" t="s">
        <v>87</v>
      </c>
      <c r="C209" s="135" t="s">
        <v>140</v>
      </c>
      <c r="D209" s="136" t="s">
        <v>87</v>
      </c>
      <c r="E209" s="136" t="s">
        <v>140</v>
      </c>
    </row>
    <row r="210" spans="1:8" s="22" customFormat="1" ht="42" x14ac:dyDescent="0.4">
      <c r="A210" s="85"/>
      <c r="B210" s="137" t="s">
        <v>89</v>
      </c>
      <c r="C210" s="137" t="s">
        <v>205</v>
      </c>
      <c r="D210" s="22" t="s">
        <v>89</v>
      </c>
      <c r="F210" s="22" t="str">
        <f>IF(NOT(ISBLANK(D210)),D210,IF(NOT(ISBLANK(E210)),"     "&amp;E210,FALSE))</f>
        <v>Afectación Económica o presupuestal</v>
      </c>
      <c r="G210" s="22" t="s">
        <v>89</v>
      </c>
      <c r="H210" s="22" t="str">
        <f>IF(NOT(ISERROR(MATCH(G210,_xlfn.ANCHORARRAY(B221),0))),F223&amp;"Por favor no seleccionar los criterios de impacto",G210)</f>
        <v>❌Por favor no seleccionar los criterios de impacto</v>
      </c>
    </row>
    <row r="211" spans="1:8" s="22" customFormat="1" ht="42" x14ac:dyDescent="0.4">
      <c r="A211" s="85"/>
      <c r="B211" s="137" t="s">
        <v>89</v>
      </c>
      <c r="C211" s="137" t="s">
        <v>206</v>
      </c>
      <c r="E211" s="22" t="s">
        <v>205</v>
      </c>
      <c r="F211" s="22" t="str">
        <f t="shared" ref="F211:F221" si="0">IF(NOT(ISBLANK(D211)),D211,IF(NOT(ISBLANK(E211)),"     "&amp;E211,FALSE))</f>
        <v xml:space="preserve">     Afectación menor a 200 SMLMV</v>
      </c>
    </row>
    <row r="212" spans="1:8" s="22" customFormat="1" ht="42" x14ac:dyDescent="0.4">
      <c r="A212" s="85"/>
      <c r="B212" s="137" t="s">
        <v>89</v>
      </c>
      <c r="C212" s="137" t="s">
        <v>210</v>
      </c>
      <c r="E212" s="22" t="s">
        <v>206</v>
      </c>
      <c r="F212" s="22" t="str">
        <f t="shared" si="0"/>
        <v xml:space="preserve">     Entre 200 y 1000 SMLMV</v>
      </c>
    </row>
    <row r="213" spans="1:8" s="22" customFormat="1" ht="42" x14ac:dyDescent="0.4">
      <c r="A213" s="85"/>
      <c r="B213" s="137" t="s">
        <v>89</v>
      </c>
      <c r="C213" s="137" t="s">
        <v>211</v>
      </c>
      <c r="E213" s="22" t="s">
        <v>210</v>
      </c>
      <c r="F213" s="22" t="str">
        <f t="shared" si="0"/>
        <v xml:space="preserve">     Entre 1000 y 5000 SMLMV </v>
      </c>
    </row>
    <row r="214" spans="1:8" s="22" customFormat="1" ht="42" x14ac:dyDescent="0.4">
      <c r="A214" s="85"/>
      <c r="B214" s="137" t="s">
        <v>89</v>
      </c>
      <c r="C214" s="137" t="s">
        <v>207</v>
      </c>
      <c r="E214" s="22" t="s">
        <v>211</v>
      </c>
      <c r="F214" s="22" t="str">
        <f t="shared" si="0"/>
        <v xml:space="preserve">     Entre 5000 y 10000 SMLMV</v>
      </c>
    </row>
    <row r="215" spans="1:8" s="22" customFormat="1" ht="21" x14ac:dyDescent="0.4">
      <c r="A215" s="85"/>
      <c r="B215" s="137" t="s">
        <v>57</v>
      </c>
      <c r="C215" s="137" t="s">
        <v>92</v>
      </c>
      <c r="E215" s="22" t="s">
        <v>207</v>
      </c>
      <c r="F215" s="22" t="str">
        <f t="shared" si="0"/>
        <v xml:space="preserve">     Mayor a 10000 SMLMV</v>
      </c>
    </row>
    <row r="216" spans="1:8" s="22" customFormat="1" ht="63" x14ac:dyDescent="0.4">
      <c r="A216" s="85"/>
      <c r="B216" s="137" t="s">
        <v>57</v>
      </c>
      <c r="C216" s="137" t="s">
        <v>93</v>
      </c>
      <c r="D216" s="22" t="s">
        <v>57</v>
      </c>
      <c r="F216" s="22" t="str">
        <f t="shared" si="0"/>
        <v>Pérdida Reputacional</v>
      </c>
    </row>
    <row r="217" spans="1:8" s="22" customFormat="1" ht="42" x14ac:dyDescent="0.4">
      <c r="A217" s="85"/>
      <c r="B217" s="137" t="s">
        <v>57</v>
      </c>
      <c r="C217" s="137" t="s">
        <v>95</v>
      </c>
      <c r="E217" s="22" t="s">
        <v>92</v>
      </c>
      <c r="F217" s="22" t="str">
        <f>IF(NOT(ISBLANK(D217)),D217,IF(NOT(ISBLANK(E217)),"     "&amp;E217,FALSE))</f>
        <v xml:space="preserve">     El riesgo afecta la imagen de alguna área de la organización</v>
      </c>
    </row>
    <row r="218" spans="1:8" s="22" customFormat="1" ht="63" x14ac:dyDescent="0.4">
      <c r="A218" s="85"/>
      <c r="B218" s="137" t="s">
        <v>57</v>
      </c>
      <c r="C218" s="137"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4">
      <c r="A219" s="85"/>
      <c r="B219" s="137" t="s">
        <v>57</v>
      </c>
      <c r="C219" s="137" t="s">
        <v>113</v>
      </c>
      <c r="E219" s="22" t="s">
        <v>95</v>
      </c>
      <c r="F219" s="22" t="str">
        <f t="shared" si="0"/>
        <v xml:space="preserve">     El riesgo afecta la imagen de la entidad con algunos usuarios de relevancia frente al logro de los objetivos</v>
      </c>
    </row>
    <row r="220" spans="1:8" s="22" customFormat="1" x14ac:dyDescent="0.3">
      <c r="A220" s="85"/>
      <c r="E220" s="22" t="s">
        <v>94</v>
      </c>
      <c r="F220" s="22" t="str">
        <f t="shared" si="0"/>
        <v xml:space="preserve">     El riesgo afecta la imagen de de la entidad con efecto publicitario sostenido a nivel de sector administrativo, nivel departamental o municipal</v>
      </c>
    </row>
    <row r="221" spans="1:8" s="22" customFormat="1" x14ac:dyDescent="0.3">
      <c r="A221" s="85"/>
      <c r="B221" s="22" t="str">
        <f t="array" ref="B221:B223">_xlfn.UNIQUE(Tabla1[[#All],[Criterios]])</f>
        <v>Criterios</v>
      </c>
      <c r="E221" s="22" t="s">
        <v>113</v>
      </c>
      <c r="F221" s="22" t="str">
        <f t="shared" si="0"/>
        <v xml:space="preserve">     El riesgo afecta la imagen de la entidad a nivel nacional, con efecto publicitarios sostenible a nivel país</v>
      </c>
    </row>
    <row r="222" spans="1:8" s="22" customFormat="1" x14ac:dyDescent="0.3">
      <c r="A222" s="85"/>
      <c r="B222" s="22" t="str">
        <v>Afectación Económica o presupuestal</v>
      </c>
    </row>
    <row r="223" spans="1:8" s="22" customFormat="1" x14ac:dyDescent="0.3">
      <c r="B223" s="22" t="str">
        <v>Pérdida Reputacional</v>
      </c>
      <c r="F223" s="138" t="s">
        <v>141</v>
      </c>
    </row>
    <row r="224" spans="1:8" s="22" customFormat="1" x14ac:dyDescent="0.3">
      <c r="F224" s="138"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7" tint="-0.249977111117893"/>
  </sheetPr>
  <dimension ref="B1:F16"/>
  <sheetViews>
    <sheetView topLeftCell="A7" workbookViewId="0">
      <selection activeCell="J9" sqref="J9"/>
    </sheetView>
  </sheetViews>
  <sheetFormatPr baseColWidth="10" defaultColWidth="14.33203125" defaultRowHeight="13.8" x14ac:dyDescent="0.3"/>
  <cols>
    <col min="1" max="2" width="14.33203125" style="70"/>
    <col min="3" max="3" width="17" style="70" customWidth="1"/>
    <col min="4" max="4" width="14.33203125" style="70"/>
    <col min="5" max="5" width="46" style="70" customWidth="1"/>
    <col min="6" max="16384" width="14.33203125" style="70"/>
  </cols>
  <sheetData>
    <row r="1" spans="2:6" ht="24" customHeight="1" thickBot="1" x14ac:dyDescent="0.35">
      <c r="B1" s="718" t="s">
        <v>77</v>
      </c>
      <c r="C1" s="719"/>
      <c r="D1" s="719"/>
      <c r="E1" s="719"/>
      <c r="F1" s="720"/>
    </row>
    <row r="2" spans="2:6" ht="16.2" thickBot="1" x14ac:dyDescent="0.35">
      <c r="B2" s="71"/>
      <c r="C2" s="71"/>
      <c r="D2" s="71"/>
      <c r="E2" s="71"/>
      <c r="F2" s="71"/>
    </row>
    <row r="3" spans="2:6" ht="16.2" thickBot="1" x14ac:dyDescent="0.35">
      <c r="B3" s="722" t="s">
        <v>63</v>
      </c>
      <c r="C3" s="723"/>
      <c r="D3" s="723"/>
      <c r="E3" s="83" t="s">
        <v>64</v>
      </c>
      <c r="F3" s="84" t="s">
        <v>65</v>
      </c>
    </row>
    <row r="4" spans="2:6" ht="31.2" x14ac:dyDescent="0.3">
      <c r="B4" s="724" t="s">
        <v>66</v>
      </c>
      <c r="C4" s="726" t="s">
        <v>13</v>
      </c>
      <c r="D4" s="72" t="s">
        <v>14</v>
      </c>
      <c r="E4" s="73" t="s">
        <v>67</v>
      </c>
      <c r="F4" s="74">
        <v>0.25</v>
      </c>
    </row>
    <row r="5" spans="2:6" ht="46.8" x14ac:dyDescent="0.3">
      <c r="B5" s="725"/>
      <c r="C5" s="727"/>
      <c r="D5" s="75" t="s">
        <v>15</v>
      </c>
      <c r="E5" s="76" t="s">
        <v>68</v>
      </c>
      <c r="F5" s="77">
        <v>0.15</v>
      </c>
    </row>
    <row r="6" spans="2:6" ht="46.8" x14ac:dyDescent="0.3">
      <c r="B6" s="725"/>
      <c r="C6" s="727"/>
      <c r="D6" s="75" t="s">
        <v>16</v>
      </c>
      <c r="E6" s="76" t="s">
        <v>69</v>
      </c>
      <c r="F6" s="77">
        <v>0.1</v>
      </c>
    </row>
    <row r="7" spans="2:6" ht="62.4" x14ac:dyDescent="0.3">
      <c r="B7" s="725"/>
      <c r="C7" s="727" t="s">
        <v>17</v>
      </c>
      <c r="D7" s="75" t="s">
        <v>10</v>
      </c>
      <c r="E7" s="76" t="s">
        <v>70</v>
      </c>
      <c r="F7" s="77">
        <v>0.25</v>
      </c>
    </row>
    <row r="8" spans="2:6" ht="31.2" x14ac:dyDescent="0.3">
      <c r="B8" s="725"/>
      <c r="C8" s="727"/>
      <c r="D8" s="75" t="s">
        <v>9</v>
      </c>
      <c r="E8" s="76" t="s">
        <v>71</v>
      </c>
      <c r="F8" s="77">
        <v>0.15</v>
      </c>
    </row>
    <row r="9" spans="2:6" ht="46.8" x14ac:dyDescent="0.3">
      <c r="B9" s="725" t="s">
        <v>151</v>
      </c>
      <c r="C9" s="727" t="s">
        <v>18</v>
      </c>
      <c r="D9" s="75" t="s">
        <v>19</v>
      </c>
      <c r="E9" s="76" t="s">
        <v>72</v>
      </c>
      <c r="F9" s="78" t="s">
        <v>73</v>
      </c>
    </row>
    <row r="10" spans="2:6" ht="46.8" x14ac:dyDescent="0.3">
      <c r="B10" s="725"/>
      <c r="C10" s="727"/>
      <c r="D10" s="75" t="s">
        <v>20</v>
      </c>
      <c r="E10" s="76" t="s">
        <v>74</v>
      </c>
      <c r="F10" s="78" t="s">
        <v>73</v>
      </c>
    </row>
    <row r="11" spans="2:6" ht="46.8" x14ac:dyDescent="0.3">
      <c r="B11" s="725"/>
      <c r="C11" s="727" t="s">
        <v>21</v>
      </c>
      <c r="D11" s="75" t="s">
        <v>22</v>
      </c>
      <c r="E11" s="76" t="s">
        <v>75</v>
      </c>
      <c r="F11" s="78" t="s">
        <v>73</v>
      </c>
    </row>
    <row r="12" spans="2:6" ht="46.8" x14ac:dyDescent="0.3">
      <c r="B12" s="725"/>
      <c r="C12" s="727"/>
      <c r="D12" s="75" t="s">
        <v>23</v>
      </c>
      <c r="E12" s="76" t="s">
        <v>76</v>
      </c>
      <c r="F12" s="78" t="s">
        <v>73</v>
      </c>
    </row>
    <row r="13" spans="2:6" ht="31.2" x14ac:dyDescent="0.3">
      <c r="B13" s="725"/>
      <c r="C13" s="727" t="s">
        <v>24</v>
      </c>
      <c r="D13" s="75" t="s">
        <v>114</v>
      </c>
      <c r="E13" s="76" t="s">
        <v>117</v>
      </c>
      <c r="F13" s="78" t="s">
        <v>73</v>
      </c>
    </row>
    <row r="14" spans="2:6" ht="16.2" thickBot="1" x14ac:dyDescent="0.35">
      <c r="B14" s="728"/>
      <c r="C14" s="729"/>
      <c r="D14" s="79" t="s">
        <v>115</v>
      </c>
      <c r="E14" s="80" t="s">
        <v>116</v>
      </c>
      <c r="F14" s="81" t="s">
        <v>73</v>
      </c>
    </row>
    <row r="15" spans="2:6" ht="49.5" customHeight="1" x14ac:dyDescent="0.3">
      <c r="B15" s="721" t="s">
        <v>148</v>
      </c>
      <c r="C15" s="721"/>
      <c r="D15" s="721"/>
      <c r="E15" s="721"/>
      <c r="F15" s="721"/>
    </row>
    <row r="16" spans="2:6" ht="27" customHeight="1" x14ac:dyDescent="0.3">
      <c r="B16" s="8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21"/>
  <sheetViews>
    <sheetView workbookViewId="0"/>
  </sheetViews>
  <sheetFormatPr baseColWidth="10" defaultColWidth="11.44140625" defaultRowHeight="13.8" x14ac:dyDescent="0.3"/>
  <cols>
    <col min="1" max="1" width="32.886718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2024-10-31T00:54:11Z</cp:lastPrinted>
  <dcterms:created xsi:type="dcterms:W3CDTF">2020-03-24T23:12:47Z</dcterms:created>
  <dcterms:modified xsi:type="dcterms:W3CDTF">2024-11-20T05:02:28Z</dcterms:modified>
</cp:coreProperties>
</file>