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 DE CORRUPCIÓN 2025\"/>
    </mc:Choice>
  </mc:AlternateContent>
  <bookViews>
    <workbookView xWindow="0" yWindow="0" windowWidth="28800" windowHeight="11730" activeTab="1"/>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 r:id="rId15"/>
    <externalReference r:id="rId16"/>
  </externalReferences>
  <calcPr calcId="191029"/>
  <pivotCaches>
    <pivotCache cacheId="0"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 l="1"/>
  <c r="C5" i="1"/>
  <c r="C4" i="1"/>
  <c r="A6" i="23"/>
  <c r="S28" i="22"/>
  <c r="R28" i="22"/>
  <c r="B28" i="22"/>
  <c r="S27" i="22"/>
  <c r="R27" i="22"/>
  <c r="B27" i="22"/>
  <c r="S26" i="22"/>
  <c r="R26" i="22"/>
  <c r="B26" i="22"/>
  <c r="S25" i="22"/>
  <c r="R25" i="22"/>
  <c r="B25" i="22"/>
  <c r="S24" i="22"/>
  <c r="R24" i="22"/>
  <c r="B24" i="22"/>
  <c r="S23" i="22"/>
  <c r="R23" i="22"/>
  <c r="B23" i="22"/>
  <c r="S22" i="22"/>
  <c r="R22" i="22"/>
  <c r="B22" i="22"/>
  <c r="S21" i="22"/>
  <c r="R21" i="22"/>
  <c r="B21" i="22"/>
  <c r="S20" i="22"/>
  <c r="R20" i="22"/>
  <c r="B20" i="22"/>
  <c r="S19" i="22"/>
  <c r="R19" i="22"/>
  <c r="B19" i="22"/>
  <c r="S18" i="22"/>
  <c r="R18" i="22"/>
  <c r="B18" i="22"/>
  <c r="S17" i="22"/>
  <c r="R17" i="22"/>
  <c r="B17" i="22"/>
  <c r="S16" i="22"/>
  <c r="R16" i="22"/>
  <c r="B16" i="22"/>
  <c r="S15" i="22"/>
  <c r="R15" i="22"/>
  <c r="B15" i="22"/>
  <c r="S14" i="22"/>
  <c r="R14" i="22"/>
  <c r="B14" i="22"/>
  <c r="S13" i="22"/>
  <c r="R13" i="22"/>
  <c r="B13" i="22"/>
  <c r="S12" i="22"/>
  <c r="R12" i="22"/>
  <c r="B12" i="22"/>
  <c r="S11" i="22"/>
  <c r="R11" i="22"/>
  <c r="B11" i="22"/>
  <c r="A7" i="22"/>
  <c r="A6" i="22"/>
  <c r="A1" i="23"/>
  <c r="S40" i="22"/>
  <c r="R40" i="22"/>
  <c r="S39" i="22"/>
  <c r="R39" i="22"/>
  <c r="S38" i="22"/>
  <c r="R38" i="22"/>
  <c r="S37" i="22"/>
  <c r="R37" i="22"/>
  <c r="S36" i="22"/>
  <c r="R36" i="22"/>
  <c r="S35" i="22"/>
  <c r="R35" i="22"/>
  <c r="B1" i="22"/>
  <c r="N14" i="1"/>
  <c r="L13" i="1" l="1"/>
  <c r="S41" i="22"/>
  <c r="S42" i="22" s="1"/>
  <c r="W16" i="1"/>
  <c r="T16" i="1"/>
  <c r="W15" i="1"/>
  <c r="T15" i="1"/>
  <c r="W14" i="1"/>
  <c r="T14" i="1"/>
  <c r="W13" i="1"/>
  <c r="T13" i="1"/>
  <c r="AE16" i="1" l="1"/>
  <c r="AD16" i="1" s="1"/>
  <c r="AA16" i="1"/>
  <c r="AA13" i="1"/>
  <c r="AA14" i="1"/>
  <c r="AC16" i="1" l="1"/>
  <c r="AB16" i="1"/>
  <c r="AF16" i="1" s="1"/>
  <c r="AC14" i="1"/>
  <c r="AB14" i="1"/>
  <c r="AC13" i="1"/>
  <c r="AB13" i="1"/>
  <c r="K10" i="1" l="1"/>
  <c r="K15" i="1"/>
  <c r="L15" i="1" s="1"/>
  <c r="AA15" i="1" s="1"/>
  <c r="W12" i="1"/>
  <c r="W11" i="1"/>
  <c r="N16" i="1"/>
  <c r="AC15" i="1" l="1"/>
  <c r="AB15" i="1"/>
  <c r="T11" i="1" l="1"/>
  <c r="F217" i="13"/>
  <c r="T12" i="1"/>
  <c r="W10" i="1" l="1"/>
  <c r="T10" i="1"/>
  <c r="L10" i="1" l="1"/>
  <c r="F221" i="13" l="1"/>
  <c r="F211" i="13"/>
  <c r="F212" i="13"/>
  <c r="F213" i="13"/>
  <c r="F214" i="13"/>
  <c r="F215" i="13"/>
  <c r="F216" i="13"/>
  <c r="F218" i="13"/>
  <c r="F219" i="13"/>
  <c r="F220" i="13"/>
  <c r="F210" i="13"/>
  <c r="N12" i="1"/>
  <c r="B221" i="13" a="1"/>
  <c r="N11"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2" i="1" l="1"/>
  <c r="AC12"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13" i="1" s="1"/>
  <c r="O13" i="1" s="1"/>
  <c r="P13" i="1" l="1"/>
  <c r="Q13" i="1"/>
  <c r="N15" i="1"/>
  <c r="O15"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R30" i="18"/>
  <c r="AD38" i="18"/>
  <c r="AD22" i="18"/>
  <c r="AE13" i="1"/>
  <c r="L30" i="18"/>
  <c r="AJ14" i="18"/>
  <c r="L14" i="18"/>
  <c r="X38" i="18"/>
  <c r="L22" i="18"/>
  <c r="AD30" i="18"/>
  <c r="AJ22" i="18"/>
  <c r="X14" i="18"/>
  <c r="X6" i="18"/>
  <c r="R22" i="18"/>
  <c r="L6" i="18"/>
  <c r="X22" i="18"/>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15" i="1"/>
  <c r="AE15" i="1" s="1"/>
  <c r="AD15" i="1" s="1"/>
  <c r="Q15"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F15" i="1" l="1"/>
  <c r="AH8" i="19"/>
  <c r="AB48" i="19"/>
  <c r="V8" i="19"/>
  <c r="AH48" i="19"/>
  <c r="AH18" i="19"/>
  <c r="V18" i="19"/>
  <c r="J38" i="19"/>
  <c r="P18" i="19"/>
  <c r="J28" i="19"/>
  <c r="J48" i="19"/>
  <c r="V28" i="19"/>
  <c r="AB8" i="19"/>
  <c r="P28" i="19"/>
  <c r="AB28" i="19"/>
  <c r="V38" i="19"/>
  <c r="AH28" i="19"/>
  <c r="AB38" i="19"/>
  <c r="V48" i="19"/>
  <c r="P8" i="19"/>
  <c r="P38" i="19"/>
  <c r="AH38" i="19"/>
  <c r="P48" i="19"/>
  <c r="AB18" i="19"/>
  <c r="J8" i="19"/>
  <c r="J18" i="19"/>
  <c r="AD13" i="1"/>
  <c r="AF13" i="1" s="1"/>
  <c r="AE14" i="1"/>
  <c r="AD14" i="1" s="1"/>
  <c r="AF14" i="1" s="1"/>
  <c r="AD10" i="1"/>
  <c r="P36" i="19" s="1"/>
  <c r="P47" i="19" l="1"/>
  <c r="J47" i="19"/>
  <c r="AB7" i="19"/>
  <c r="J17" i="19"/>
  <c r="AB37" i="19"/>
  <c r="AB17" i="19"/>
  <c r="P27" i="19"/>
  <c r="AH17" i="19"/>
  <c r="V47" i="19"/>
  <c r="AH27" i="19"/>
  <c r="V37" i="19"/>
  <c r="P37" i="19"/>
  <c r="V17" i="19"/>
  <c r="AH37" i="19"/>
  <c r="J37" i="19"/>
  <c r="J7" i="19"/>
  <c r="V27" i="19"/>
  <c r="P17" i="19"/>
  <c r="J27" i="19"/>
  <c r="P7" i="19"/>
  <c r="AB27" i="19"/>
  <c r="AH7" i="19"/>
  <c r="AH47" i="19"/>
  <c r="AB47" i="19"/>
  <c r="V7" i="19"/>
  <c r="J26" i="19"/>
  <c r="V26" i="19"/>
  <c r="AH16" i="19"/>
  <c r="J46" i="19"/>
  <c r="J6" i="19"/>
  <c r="V16" i="19"/>
  <c r="AH26" i="19"/>
  <c r="AB6" i="19"/>
  <c r="J16" i="19"/>
  <c r="P6" i="19"/>
  <c r="P46" i="19"/>
  <c r="AF10" i="1"/>
  <c r="AB16" i="19"/>
  <c r="AH36" i="19"/>
  <c r="AB46" i="19"/>
  <c r="V46" i="19"/>
  <c r="P16" i="19"/>
  <c r="AH46" i="19"/>
  <c r="J36" i="19"/>
  <c r="P26" i="19"/>
  <c r="AB26" i="19"/>
  <c r="AH6" i="19"/>
  <c r="V36" i="19"/>
  <c r="AB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<sst xmlns="http://schemas.openxmlformats.org/spreadsheetml/2006/main" count="558" uniqueCount="392">
  <si>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</si>
  <si>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</si>
  <si>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</si>
  <si>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</si>
  <si>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</si>
  <si>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</si>
  <si>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</si>
  <si>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</si>
  <si>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</si>
  <si>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</si>
  <si>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</si>
  <si>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</si>
  <si>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</si>
  <si>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</si>
  <si>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</si>
  <si>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</si>
  <si>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</si>
  <si>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</si>
  <si>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</si>
  <si>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</si>
  <si>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</si>
  <si>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</si>
  <si>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</si>
  <si>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</si>
  <si>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</si>
  <si>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</si>
  <si>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</si>
  <si>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</si>
  <si>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</si>
  <si>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</si>
  <si>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</si>
  <si>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</si>
  <si>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</si>
  <si>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</si>
  <si>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</si>
  <si>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</si>
  <si>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</si>
  <si>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</si>
  <si>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</si>
  <si>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</si>
  <si>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</si>
  <si>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</si>
  <si>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</si>
  <si>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</si>
  <si>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</si>
  <si>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</si>
  <si>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</si>
  <si>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</si>
  <si>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</si>
  <si>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</si>
  <si>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</si>
  <si>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</si>
  <si>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</si>
  <si>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</si>
  <si>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</si>
  <si>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</si>
  <si>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</si>
  <si>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</si>
  <si>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</si>
  <si>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</si>
  <si>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</si>
  <si>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</si>
  <si>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</si>
  <si>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</si>
  <si>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</si>
  <si>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</si>
  <si>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</si>
  <si>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</si>
  <si>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</si>
  <si>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</si>
  <si>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</si>
  <si>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</si>
  <si>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</si>
  <si>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</si>
  <si>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</si>
  <si>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</si>
  <si>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</si>
  <si>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</si>
  <si>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</si>
  <si>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</si>
  <si>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</si>
  <si>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</si>
  <si>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</si>
  <si>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</si>
  <si>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</si>
  <si>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</si>
  <si>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</si>
  <si>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</si>
  <si>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</si>
  <si>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</si>
  <si>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</si>
  <si>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</si>
  <si>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</si>
  <si>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</si>
  <si>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</si>
  <si>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</si>
  <si>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</si>
  <si>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</si>
  <si>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</si>
  <si>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</si>
  <si>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</si>
  <si>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</si>
  <si>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</si>
  <si>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</si>
  <si>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</si>
  <si>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</si>
  <si>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</si>
  <si>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</si>
  <si>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</si>
  <si>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</si>
  <si>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</si>
  <si>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</si>
  <si>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</si>
  <si>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</si>
  <si>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</si>
  <si>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</si>
  <si>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</si>
  <si>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</si>
  <si>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</si>
  <si>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</si>
  <si>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</si>
  <si>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</si>
  <si>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</si>
  <si>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</si>
  <si>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</si>
  <si>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</si>
  <si>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</si>
  <si>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</si>
  <si>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</si>
  <si>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</si>
  <si>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</si>
  <si>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</si>
  <si>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</si>
  <si>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</si>
  <si>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</si>
  <si>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</si>
  <si>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</si>
  <si>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</si>
  <si>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</si>
  <si>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</si>
  <si>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</si>
  <si>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</si>
  <si>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</si>
  <si>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</si>
  <si>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</si>
  <si>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</si>
  <si>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</si>
  <si>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</si>
  <si>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</si>
  <si>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</si>
  <si>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</si>
  <si>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</si>
  <si>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</si>
  <si>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</si>
  <si>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</si>
  <si>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</si>
  <si>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</si>
  <si>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</si>
  <si>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</si>
  <si>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</si>
  <si>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</si>
  <si>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</si>
  <si>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</si>
  <si>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</si>
  <si>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</si>
  <si>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</si>
  <si>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</si>
  <si>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</si>
  <si>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</si>
  <si>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</si>
  <si>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</si>
  <si>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</si>
  <si>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</si>
  <si>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</si>
  <si>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</si>
  <si>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</si>
  <si>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</si>
  <si>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</si>
  <si>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</si>
  <si>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</si>
  <si>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</si>
  <si>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</si>
  <si>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</si>
  <si>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</si>
  <si>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</si>
  <si>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</si>
  <si>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</si>
  <si>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</si>
  <si>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</si>
  <si>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</si>
  <si>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</si>
  <si>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</si>
  <si>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</si>
  <si>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</si>
  <si>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</si>
  <si>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</si>
  <si>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</si>
  <si>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</si>
  <si>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</si>
  <si>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</si>
  <si>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</si>
  <si>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</si>
  <si>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</si>
  <si>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</si>
  <si>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</si>
  <si>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</si>
  <si>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</si>
  <si>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</si>
  <si>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</si>
  <si>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</si>
  <si>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</si>
  <si>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</si>
  <si>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</si>
  <si>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</si>
  <si>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</si>
  <si>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</si>
  <si>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</si>
  <si>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</si>
  <si>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</si>
  <si>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</si>
  <si>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</si>
  <si>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</si>
  <si>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</si>
  <si>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</si>
  <si>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OTROS</t>
  </si>
  <si>
    <t xml:space="preserve">Versión: </t>
  </si>
  <si>
    <t xml:space="preserve">Fecha: </t>
  </si>
  <si>
    <t xml:space="preserve">Pagina:  </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</si>
  <si>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</si>
  <si>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</si>
  <si>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</si>
  <si>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</si>
  <si>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</si>
  <si>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</si>
  <si>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</si>
  <si>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</si>
  <si>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</si>
  <si>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</si>
  <si>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</si>
  <si>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</si>
  <si>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</si>
  <si>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</si>
  <si>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</si>
  <si>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</si>
  <si>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</si>
  <si>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</si>
  <si>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</si>
  <si>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</si>
  <si>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</si>
  <si>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</si>
  <si>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</si>
  <si>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</si>
  <si>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</si>
  <si>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</si>
  <si>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</si>
  <si>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</si>
  <si>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</si>
  <si>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</si>
  <si>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</si>
  <si>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</si>
  <si>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</si>
  <si>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</si>
  <si>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 xml:space="preserve">Codigo: </t>
  </si>
  <si>
    <t>Tipo de Riesgos</t>
  </si>
  <si>
    <t xml:space="preserve">PROCESO: SISTEMA INTEGRADO DE GESTIÓN </t>
  </si>
  <si>
    <t>Codigo:FOR-029-PRO-SIG-01</t>
  </si>
  <si>
    <t>Versión: 01</t>
  </si>
  <si>
    <t>Fecha: 21/02/2024</t>
  </si>
  <si>
    <t>Pagina:  1 de 1</t>
  </si>
  <si>
    <t>Fecha:21/02/2024</t>
  </si>
  <si>
    <t>PROCESO: Gestión Educativa</t>
  </si>
  <si>
    <t>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</si>
  <si>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LEGALES Y REGLAMENTARIOS</t>
  </si>
  <si>
    <t>Cambios normativos en lo que concierne a la implementación de politicas educativas nacionales</t>
  </si>
  <si>
    <t>TECNOLOGÍA (integridad de datos, disponibilidad de datos y sistemas, desarrollo, producción, mantenimiento de sistemas de información)</t>
  </si>
  <si>
    <t>Base de datos desactualizada o con información erronea</t>
  </si>
  <si>
    <t>COMUNICACIÓN ENTRE LOS PROCESOS</t>
  </si>
  <si>
    <t>falta de comunicación oportuna con otros procesos, que genera demora en respuestas de PQR y requerimientos de entes de control</t>
  </si>
  <si>
    <t>Cese de actividades por parte de la comunidad educativa</t>
  </si>
  <si>
    <t>PERSONAL DE LA ENTIDAD (Capacidad del personal, políticas de manejo del talento humano, idoneidad)</t>
  </si>
  <si>
    <t>Personal insuficiente para la implementación de las estrategias y polìticas educativas Nacionales</t>
  </si>
  <si>
    <t>Codigo:FOR-13-PRO-SIG-04</t>
  </si>
  <si>
    <t>Falta de articulacion adecuada con los otros procesos de la Administración</t>
  </si>
  <si>
    <t>Entorno Socio- Economico Perjudicial para Niños, Niñas y Jovenes paa el normal desarrollo de los procesos educativos</t>
  </si>
  <si>
    <t>Talento humano en condiciones de salud y edad que no permiten el desarrollo satisfactorio de las actidades academicas.</t>
  </si>
  <si>
    <t>Cambios de Gobierno</t>
  </si>
  <si>
    <t>ESTRATÉGICOS</t>
  </si>
  <si>
    <t>Falta de liderazgo y compromiso por parte de las Directivas de algunas Insituciones Educativas</t>
  </si>
  <si>
    <t>Deficiencias e interrupción en los sistemas de información del Ministerio de Educación</t>
  </si>
  <si>
    <t>Exclusion y discriminacion por parte del docente y compañeros hacia el educando.</t>
  </si>
  <si>
    <t>Declaratoria de Calamidad producto de Pandemias o Catastrofes Naturales</t>
  </si>
  <si>
    <t>COMMUNICACIÓN INTERNA</t>
  </si>
  <si>
    <t>Falta de mayor difusión e interiorización del manual de convivencia escolar</t>
  </si>
  <si>
    <t>Deficiencia en las estrategias de comunicación con los Padres de Familia y Alumnos</t>
  </si>
  <si>
    <t>Obsolesencia en algunos equipos tecnologicos para el desarrollo de las actividades</t>
  </si>
  <si>
    <t>FACTORES GEOGRÁFICOS (ubicación, espacio,topografía, clima, recursos naturales, etc.)</t>
  </si>
  <si>
    <t>Ubicaciòn de sedes educativas en zonas de dificil acceso que genera difultad en la prestaciòn del servicio educativo</t>
  </si>
  <si>
    <t xml:space="preserve">Falta de legalizaciòn de predios </t>
  </si>
  <si>
    <t>1. Poco liderazgo y compromiso por parte de las Directivas de algunas Insituciones Educativas Oficiales</t>
  </si>
  <si>
    <t>1.Procesos Certificados por el ICONTEC</t>
  </si>
  <si>
    <t>2.Falta de controles efectivos en la ejecución de los recursos de los Fondos de Servicio Educativo.</t>
  </si>
  <si>
    <t>2.Mejoramiento constante del ISCE en todos los niveles.</t>
  </si>
  <si>
    <t>3. Oferta insuficiente en el sector rural en los niveles de secundaria y media</t>
  </si>
  <si>
    <t>3.Recursos continuos para el pago de nomina  que garantizan la prestación y continuidad básica del servicio educativo.</t>
  </si>
  <si>
    <t>4. Talento humano en condiciones de salud y edad que no permiten el desarrollo satisfactorio de las actividades academicas.</t>
  </si>
  <si>
    <t>4. Personal de planta con nivele académico adecuado y experiencia laboral.</t>
  </si>
  <si>
    <t>5. . Falta de formación en valores eticos</t>
  </si>
  <si>
    <t>5.Funcionarios con experiencia en procesos de auditorias</t>
  </si>
  <si>
    <t>6.Falta de actualización sobre normatividad vigente.</t>
  </si>
  <si>
    <t>6. personal de planta cualificado  e idoneo</t>
  </si>
  <si>
    <t>7. Recursos insuficientes para atender las necesidades de las Instituciones Educativas Oficiales, en personal, equipos, infraestructura.</t>
  </si>
  <si>
    <t>7. Nuevo plan de desarrollo aprobado</t>
  </si>
  <si>
    <t>8. Incumplimiento en los tiempos legales en los tramites.</t>
  </si>
  <si>
    <t xml:space="preserve">8. Apoyo del talento humano de la Alcaldía </t>
  </si>
  <si>
    <t xml:space="preserve">9. se evidencian relaciones de amistad entre servidores y tramitadores </t>
  </si>
  <si>
    <t>10. Practicas pedagogicas no se ajustan a las necesidades de los estudiantes</t>
  </si>
  <si>
    <t>1. Distinas fuentes de financiación externa para el desarrollo de inversion en proyectos educativos</t>
  </si>
  <si>
    <t xml:space="preserve">D6O1 Actualización y capacitaciónes permanentes  sobre normativad y politicas del sector educativo </t>
  </si>
  <si>
    <t>2.  Ley general de la educación y sus decretos reglamentarios, generan bases claras  para la formulación y el desarrollo pedagógico del aula.</t>
  </si>
  <si>
    <t>D10, O2 Desarrollar practicas pedagicoas innovadoras</t>
  </si>
  <si>
    <t>3. Fortalecimiento de la Estrategia de Inclusión en todos los niveles educativos y dirigido a todas las poblaciones.</t>
  </si>
  <si>
    <t>D3O3, Desarrollo de estategias de inclusión en el sector rural</t>
  </si>
  <si>
    <t>4. Apoyo del Ministerio de Educación para el desarrollo de estrategias en el ente territorial</t>
  </si>
  <si>
    <t>D1O4, Implementacion de acciones con el MEN para el desarrollo de esucleas de liderazgo de los rectores</t>
  </si>
  <si>
    <t>5. Apoyo Personal para atención de estudiantes con discapacidad en las Instituciones Educativas oficiales</t>
  </si>
  <si>
    <t>D10 O4-5, establecimiento de estrategias para los estudiantes con discapacidad</t>
  </si>
  <si>
    <t>6. Implementación de modelos flexibles, teniendo en cuenta la nueva problemática de salud mundial</t>
  </si>
  <si>
    <t>D10, O6-7 ; Desarrollo de modelos pedagogicos en base a plataformas y equipos tecnologicos</t>
  </si>
  <si>
    <t>7. Disponibilidad de plataformas y equipos tecnológicos de apoyo al componente pedagógico de las Instituciones Educativas</t>
  </si>
  <si>
    <t xml:space="preserve">8. Implementación del modelo de Gestión de Educación  Inicial </t>
  </si>
  <si>
    <t>D4 O8 Implementar la educación inicial de manera integral en la parte educativa</t>
  </si>
  <si>
    <t>1 .Deficiencia de recursos para la implementaciòn de las polìticas educativas Nacionales</t>
  </si>
  <si>
    <t xml:space="preserve">D1 -10 A1-2 Realizar investigación previamente para determinar su remisión o no a Control Disciplinario </t>
  </si>
  <si>
    <t>F7  A1 Gestionar y racionalizar recursos para el cumplimiento del nuevo plan de desarrollo</t>
  </si>
  <si>
    <t>2. Cambios normativos en politica educativa</t>
  </si>
  <si>
    <t>F4 A2, Capacitación al personal de planta en nuevas politicas eductaivas de nivel nacional</t>
  </si>
  <si>
    <t>Alto nivel de desempleo en ibagué ,bajos ingresos y pérdida de empleo.</t>
  </si>
  <si>
    <t>A1-2 D8  Convocar de manera  extraordinaria al Comité Directivo Ampliado de la SEM a fin de tomar medidas que permitan  corregir las inconsistencias de matrículas  presentadas en I:E.</t>
  </si>
  <si>
    <t>El entorno social afecta los comportamientos de los estudiantes, los problemas juveniles como drogas, embarazos, riñas, bulling, exclusiòn, baja autoestima  etc.</t>
  </si>
  <si>
    <t>D8A6 Convocar de manera  extrahordinaria al Comité Directivo Ampliado de la SEM a fin de tomar medidas que permitan asegurar el cumplimiento de requisitos para el funcionamiento de las I:E Privadas .</t>
  </si>
  <si>
    <t xml:space="preserve"> Los problemas económicos de las familias desencadenan situaciones de violencia intrafamiliar</t>
  </si>
  <si>
    <t>D1 -8 A 1-2Remitir a la Secretaría  Administrativa de la Alcaldía, Control Disciplinario para inicio de investigaciones disciplinarias e inicio de acciones administrativas a que haya lugar</t>
  </si>
  <si>
    <t>6. proliferación de Instituciones privadas sin el lleno de requisitos para su funcionamiento</t>
  </si>
  <si>
    <t>A1-2 D8-1Convocar de manera  extrahordinaria al Comité Directivo Ampliado de la SEM a fin de tomar medidas que permitan garantizar el acceso del Servicio Educativo Integral.</t>
  </si>
  <si>
    <t>EL PROCESO INICIA CON LA PLANEACIÓN DE LAS ACTIVIDADES, CONTINÚA CON LA GESTIÓN DE LA COBERTURA, LA GESTIÓN DE LA CALIDAD EDUCATIVA, LA INSPECCIÒN Y VIGILANCIA CON EL SEGUIMIENTO Y EVALUACIÓN, PARA LA OBTENCIÓN DE LOS OBJETIVOS PROPUESTOS.</t>
  </si>
  <si>
    <t>Sanciones del Ente regulador e Inconformismo de la comunidad</t>
  </si>
  <si>
    <t>Deficiente prestación de servicio educativo por Incumplimiento de condiciones basicas</t>
  </si>
  <si>
    <t>Recursos humanos, tecnicos, administrativos y financieros insuficientes para lograr satisfacer las necesidades de los NNA beneficiarios del servicio educativo oficial</t>
  </si>
  <si>
    <t>Posibilidad de afectación  reputacional por Sanciones del Ente regulador e Inconformismo de la comunidad debido a deficiente prestación de servicio educativo por Incumplimiento de condiciones basicas</t>
  </si>
  <si>
    <t>Actividades de Cobertura, calidad e inspección educativa</t>
  </si>
  <si>
    <t>Gestión</t>
  </si>
  <si>
    <t>El (la) Secretario (a) de educación y sus directores revisan las actividades y validan el cumplimiento del plan de acción de manera trimestral, con el fin de verificar posbiles desviaciones a la planeación. Dejando como evidencia el monitoreo y envío del plan de acción a planeación.</t>
  </si>
  <si>
    <t>El (la) Secretario de Educación y sus directores, semestralmente o cuando se requiera, comunican a los rectores de IE oficiales los lineamientos y pautas basados en normatividad vigente , mediante reuniones y la pagina WEB, dejando como evidencia comunicados oficiales y/o planillas de asistencia</t>
  </si>
  <si>
    <t xml:space="preserve">El (la) Secretario (a) de educación y sus directores a principio a año revisan las necesidades de recursos humanos, tecnicos, administrativos y financieros con el fin de ser incluidos en el Plan Anual de Adquisiciones para el cumplimiento del plan de acción institucional, dejando como evidencia el PAA y Plan de Acción de la vigencia
</t>
  </si>
  <si>
    <t>Contratar personal a traves de ordenes de prestación de servicios (100 personas) para cumplir las metas que hacen parte del servicio educativo</t>
  </si>
  <si>
    <t xml:space="preserve">Secretario de Educación </t>
  </si>
  <si>
    <t>Asignación de recursos en el POAI y Plan de acción,  conforme las metas del Plan de Desarrollo Municipal.</t>
  </si>
  <si>
    <t>Dos (2) capacitaciones al personal directivo sobre la gestion educativa</t>
  </si>
  <si>
    <t>Dirección de Calidad y Dirección  Administrativa y Financiera</t>
  </si>
  <si>
    <t>Hallazgos por parte de entes de control y/o quejas de las partes interesada</t>
  </si>
  <si>
    <t>Niñas y Niños sin acceso al sistema educativo oficial</t>
  </si>
  <si>
    <t>Falta de implementación de metodologias flexibles</t>
  </si>
  <si>
    <t>Posibilidad de afectación reputacional por hallazgos por parte del ente de control y/o quejas de las partes interesadas debido a Niñas y Niños sin acceso al sistema educativo oficial</t>
  </si>
  <si>
    <t>Actividades de Cobertura ( Acceso y Permanencia)</t>
  </si>
  <si>
    <t>Desconocimieto e infracción de normatividad relacionado con acceso al servicio educativo oficial</t>
  </si>
  <si>
    <t>El (la) Secretario (a) de educación y sus directores con el soporte del equipo tecnico, tiendo como base la matricula resgistrada en el SIMAT , realizan un proceso de auditoría de matricula dejando como evidencia el informe</t>
  </si>
  <si>
    <t>El (la) Secretario (a) de educación y sus directores, de manera trimestralmente revisan, consolidan, hacen seguimiento y reportan el normograma institucional dejando como evidencia la matriz y el correo de envío</t>
  </si>
  <si>
    <t>Adopción de una (1) estrategia de  metodología flexible para manejo de población  en condición de vulnerabilidad</t>
  </si>
  <si>
    <t>Direccion de Cobertura</t>
  </si>
  <si>
    <t>Dos (2) capacitaciones al personal directivo sobre normatividad y la gestión educativa en el ingreso de niños, niñas y adolescentes al sistema educativo</t>
  </si>
  <si>
    <t>sobrecostos en precios de bienes y/o servicios contratados por la entidad</t>
  </si>
  <si>
    <t>Deficiencias en los estudios previos</t>
  </si>
  <si>
    <t>Deficiencia en el seguimiento de la etapa precontractual y contractual</t>
  </si>
  <si>
    <t>Posibilidad de perdida economica y reputacional, debido a Hallazgos por parte de entes de control y/o quejas de las partes interesada por sobrecostos en precios de bienes y/o servicios contratados por la entidad</t>
  </si>
  <si>
    <t>FISCAL</t>
  </si>
  <si>
    <t>Actividades de Cobertura, suministro de alimentos a estudiantes</t>
  </si>
  <si>
    <t>a la fecha de febrero se han relaizado 47 contratos de prestacion de servicios.</t>
  </si>
  <si>
    <t>como a la fecha no se tiene  aprobado el plan de desarrollo, se sigue con el presupuesto 2023.</t>
  </si>
  <si>
    <t>Con circular 0064 de febrero 12 de 2024, se realizo taller de cierre de vigencia fiscal .</t>
  </si>
  <si>
    <t xml:space="preserve">sin avance </t>
  </si>
  <si>
    <t>fecha de Seguimiento</t>
  </si>
  <si>
    <t>01/042024 -  ACTA No. 01</t>
  </si>
  <si>
    <t>03/052024 -  ACTA No. 02</t>
  </si>
  <si>
    <t xml:space="preserve">Estado </t>
  </si>
  <si>
    <t>a la fecha de febrero se han relaizado 67  contratos de prestacion de servicios.</t>
  </si>
  <si>
    <t>02/07024 -  ACTA No. 03</t>
  </si>
  <si>
    <t>02/072024 -  ACTA No. 03</t>
  </si>
  <si>
    <t>02/0752024 -  ACTA No. 03</t>
  </si>
  <si>
    <t xml:space="preserve"> . Con circular 0210 de abril 30 de 2024. se realizo taller en GERENCIA PUBLICA - a Rectores y Coordinadores.</t>
  </si>
  <si>
    <t>Mediante Resolucion NO. 1700-0523 del 3 de Abril de 2024, se reconocen los Centros de Atencion Especializada CAE.</t>
  </si>
  <si>
    <t xml:space="preserve">Mediante Circular 000093 de Febrero 26 de 2024, se realizo Asistencia Tecnica Establecimientos Educativos. </t>
  </si>
  <si>
    <t>a la fecha de febrero se han relaizado 98 contratos de prestacion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</si>
</sst>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9"/>
      <name val="Arial"/>
      <family val="2"/>
    </font>
    <font>
      <sz val="9"/>
      <color theme="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00B0F0"/>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thin">
        <color indexed="64"/>
      </right>
      <top style="dashed">
        <color theme="9" tint="-0.24994659260841701"/>
      </top>
      <bottom/>
      <diagonal/>
    </border>
    <border>
      <left style="dashed">
        <color theme="9" tint="-0.24994659260841701"/>
      </left>
      <right style="thin">
        <color indexed="64"/>
      </right>
      <top/>
      <bottom/>
      <diagonal/>
    </border>
    <border>
      <left style="dashed">
        <color theme="9" tint="-0.24994659260841701"/>
      </left>
      <right style="thin">
        <color indexed="64"/>
      </right>
      <top/>
      <bottom style="dashed">
        <color theme="9" tint="-0.24994659260841701"/>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2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0" fillId="3" borderId="93" xfId="0" applyFill="1" applyBorder="1" applyAlignment="1" applyProtection="1">
      <alignment horizontal="center" vertical="top"/>
      <protection locked="0"/>
    </xf>
    <xf numFmtId="0" fontId="0" fillId="3" borderId="94" xfId="0" applyFill="1" applyBorder="1" applyAlignment="1" applyProtection="1">
      <alignment vertical="top"/>
      <protection locked="0"/>
    </xf>
    <xf numFmtId="0" fontId="0" fillId="3" borderId="94" xfId="0" applyFill="1" applyBorder="1"/>
    <xf numFmtId="0" fontId="27" fillId="0" borderId="75" xfId="0" applyFont="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0" fontId="27" fillId="0" borderId="33" xfId="0" applyFont="1" applyBorder="1" applyAlignment="1" applyProtection="1">
      <alignment horizontal="center" vertical="center" wrapText="1"/>
      <protection locked="0"/>
    </xf>
    <xf numFmtId="14" fontId="27" fillId="0" borderId="33" xfId="0" applyNumberFormat="1"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75"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protection locked="0"/>
    </xf>
    <xf numFmtId="0" fontId="24" fillId="2" borderId="0" xfId="0" applyFont="1" applyFill="1" applyAlignment="1">
      <alignment horizontal="center" vertical="center"/>
    </xf>
    <xf numFmtId="0" fontId="27" fillId="3" borderId="0" xfId="0" applyFont="1" applyFill="1" applyAlignment="1" applyProtection="1">
      <alignment horizontal="left" vertical="center"/>
      <protection locked="0"/>
    </xf>
    <xf numFmtId="0" fontId="27" fillId="3" borderId="0" xfId="0" applyFont="1" applyFill="1" applyAlignment="1" applyProtection="1">
      <alignment horizontal="left" vertical="center" wrapText="1"/>
      <protection locked="0"/>
    </xf>
    <xf numFmtId="0" fontId="4" fillId="2" borderId="0" xfId="0" applyFont="1" applyFill="1" applyAlignment="1">
      <alignment horizontal="center" vertical="center" wrapText="1"/>
    </xf>
    <xf numFmtId="0" fontId="1" fillId="0" borderId="0" xfId="0" applyFont="1" applyAlignment="1" applyProtection="1">
      <alignment horizontal="center" vertical="top"/>
      <protection locked="0"/>
    </xf>
    <xf numFmtId="0" fontId="1" fillId="0" borderId="0" xfId="0" applyFont="1" applyAlignment="1">
      <alignment horizontal="left" vertical="center" wrapText="1"/>
    </xf>
    <xf numFmtId="0" fontId="4" fillId="2" borderId="33" xfId="0" applyFont="1" applyFill="1" applyBorder="1" applyAlignment="1">
      <alignment horizontal="center" vertical="center" wrapText="1"/>
    </xf>
    <xf numFmtId="0" fontId="61" fillId="13" borderId="33" xfId="0" applyFont="1" applyFill="1" applyBorder="1" applyAlignment="1">
      <alignment horizontal="left" vertical="center" wrapText="1"/>
    </xf>
    <xf numFmtId="0" fontId="61" fillId="13" borderId="78" xfId="0" applyFont="1" applyFill="1" applyBorder="1" applyAlignment="1">
      <alignment horizontal="left" vertical="center" wrapText="1"/>
    </xf>
    <xf numFmtId="0" fontId="61" fillId="13" borderId="33" xfId="0" applyFont="1" applyFill="1" applyBorder="1" applyAlignment="1">
      <alignment horizontal="left" vertical="center"/>
    </xf>
    <xf numFmtId="0" fontId="61" fillId="5" borderId="33" xfId="0" applyFont="1" applyFill="1" applyBorder="1" applyAlignment="1">
      <alignment horizontal="left" vertical="center" wrapText="1"/>
    </xf>
    <xf numFmtId="0" fontId="61" fillId="5" borderId="78" xfId="0" applyFont="1" applyFill="1" applyBorder="1" applyAlignment="1">
      <alignment horizontal="left" vertical="center" wrapText="1"/>
    </xf>
    <xf numFmtId="0" fontId="65" fillId="5" borderId="33" xfId="0" applyFont="1" applyFill="1" applyBorder="1" applyAlignment="1">
      <alignment horizontal="left" vertical="center" wrapText="1"/>
    </xf>
    <xf numFmtId="0" fontId="61" fillId="21" borderId="79" xfId="0" applyFont="1" applyFill="1" applyBorder="1" applyAlignment="1">
      <alignment horizontal="left" vertical="center" wrapText="1"/>
    </xf>
    <xf numFmtId="0" fontId="61" fillId="21" borderId="33" xfId="0" applyFont="1" applyFill="1" applyBorder="1" applyAlignment="1">
      <alignment horizontal="left" vertical="center" wrapText="1"/>
    </xf>
    <xf numFmtId="0" fontId="61" fillId="21" borderId="38"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xf>
    <xf numFmtId="0" fontId="38" fillId="3" borderId="0" xfId="0" applyFont="1" applyFill="1" applyAlignment="1">
      <alignment horizontal="left"/>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61" fillId="0" borderId="33" xfId="0" applyFont="1" applyBorder="1" applyAlignment="1">
      <alignment horizontal="left" wrapText="1"/>
    </xf>
    <xf numFmtId="0" fontId="61" fillId="0" borderId="90" xfId="0" applyFont="1" applyBorder="1" applyAlignment="1" applyProtection="1">
      <alignment vertical="center" wrapText="1"/>
      <protection locked="0"/>
    </xf>
    <xf numFmtId="0" fontId="61" fillId="0" borderId="88" xfId="0" applyFont="1" applyBorder="1" applyAlignment="1" applyProtection="1">
      <alignment vertical="center" wrapText="1"/>
      <protection locked="0"/>
    </xf>
    <xf numFmtId="0" fontId="61" fillId="0" borderId="33" xfId="0" applyFont="1" applyBorder="1" applyAlignment="1">
      <alignment horizontal="left" vertical="top" wrapText="1"/>
    </xf>
    <xf numFmtId="0" fontId="38" fillId="3" borderId="33" xfId="0" applyFont="1" applyFill="1" applyBorder="1" applyAlignment="1" applyProtection="1">
      <alignment horizontal="left" vertical="center" wrapText="1"/>
      <protection locked="0"/>
    </xf>
    <xf numFmtId="0" fontId="73" fillId="3" borderId="33"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38" fillId="0" borderId="92" xfId="0" applyFont="1" applyBorder="1" applyAlignment="1" applyProtection="1">
      <alignment vertical="center" wrapText="1"/>
      <protection locked="0"/>
    </xf>
    <xf numFmtId="0" fontId="38" fillId="0" borderId="99" xfId="0" applyFont="1" applyBorder="1" applyAlignment="1" applyProtection="1">
      <alignment vertical="center" wrapText="1"/>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66" fillId="13" borderId="92" xfId="0" applyFont="1" applyFill="1" applyBorder="1" applyAlignment="1" applyProtection="1">
      <alignment vertical="center" wrapText="1"/>
      <protection locked="0"/>
    </xf>
    <xf numFmtId="0" fontId="66" fillId="13" borderId="99" xfId="0" applyFont="1" applyFill="1" applyBorder="1" applyAlignment="1" applyProtection="1">
      <alignment vertical="center" wrapText="1"/>
      <protection locked="0"/>
    </xf>
    <xf numFmtId="0" fontId="66" fillId="0" borderId="92" xfId="0" applyFont="1" applyBorder="1" applyAlignment="1" applyProtection="1">
      <alignment vertical="center" wrapText="1"/>
      <protection locked="0"/>
    </xf>
    <xf numFmtId="0" fontId="66" fillId="0" borderId="99" xfId="0" applyFont="1" applyBorder="1" applyAlignment="1" applyProtection="1">
      <alignment vertical="center" wrapText="1"/>
      <protection locked="0"/>
    </xf>
    <xf numFmtId="0" fontId="38" fillId="3" borderId="95" xfId="0" applyFont="1" applyFill="1" applyBorder="1" applyAlignment="1" applyProtection="1">
      <alignment horizontal="left" vertical="center"/>
      <protection locked="0"/>
    </xf>
    <xf numFmtId="0" fontId="38" fillId="3" borderId="33" xfId="0" applyFont="1" applyFill="1" applyBorder="1" applyAlignment="1" applyProtection="1">
      <alignment vertical="center" wrapText="1"/>
      <protection locked="0"/>
    </xf>
    <xf numFmtId="0" fontId="73" fillId="3" borderId="92" xfId="0" applyFont="1" applyFill="1" applyBorder="1" applyAlignment="1" applyProtection="1">
      <alignment horizontal="left" vertical="center" wrapText="1"/>
      <protection locked="0"/>
    </xf>
    <xf numFmtId="0" fontId="73" fillId="3" borderId="99" xfId="0" applyFont="1" applyFill="1" applyBorder="1" applyAlignment="1" applyProtection="1">
      <alignment horizontal="left" vertical="center" wrapText="1"/>
      <protection locked="0"/>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9"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38" fillId="3" borderId="92" xfId="0" applyFont="1" applyFill="1" applyBorder="1" applyAlignment="1">
      <alignment horizontal="justify" vertical="center"/>
    </xf>
    <xf numFmtId="0" fontId="38" fillId="3" borderId="99" xfId="0" applyFont="1" applyFill="1" applyBorder="1" applyAlignment="1">
      <alignment horizontal="justify" vertical="center"/>
    </xf>
    <xf numFmtId="0" fontId="38" fillId="3" borderId="33" xfId="0" applyFont="1" applyFill="1" applyBorder="1" applyAlignment="1">
      <alignment horizontal="justify" vertical="center"/>
    </xf>
    <xf numFmtId="0" fontId="38" fillId="3" borderId="81" xfId="0" applyFont="1" applyFill="1" applyBorder="1" applyAlignment="1" applyProtection="1">
      <alignment horizontal="left" vertical="center" wrapText="1"/>
      <protection locked="0"/>
    </xf>
    <xf numFmtId="0" fontId="73" fillId="3" borderId="81" xfId="0" applyFont="1" applyFill="1" applyBorder="1" applyAlignment="1" applyProtection="1">
      <alignment horizontal="left" vertical="center" wrapText="1"/>
      <protection locked="0"/>
    </xf>
    <xf numFmtId="0" fontId="74" fillId="3" borderId="92" xfId="0" applyFont="1" applyFill="1" applyBorder="1" applyAlignment="1" applyProtection="1">
      <alignment horizontal="left" vertical="center" wrapText="1"/>
      <protection locked="0"/>
    </xf>
    <xf numFmtId="0" fontId="74" fillId="3" borderId="99" xfId="0" applyFont="1" applyFill="1" applyBorder="1" applyAlignment="1" applyProtection="1">
      <alignment horizontal="left" vertical="center" wrapText="1"/>
      <protection locked="0"/>
    </xf>
    <xf numFmtId="0" fontId="74" fillId="3" borderId="33" xfId="0" applyFont="1" applyFill="1" applyBorder="1" applyAlignment="1" applyProtection="1">
      <alignment horizontal="left" vertical="center"/>
      <protection locked="0"/>
    </xf>
    <xf numFmtId="0" fontId="38" fillId="0" borderId="33" xfId="0" applyFont="1" applyBorder="1" applyAlignment="1" applyProtection="1">
      <alignment horizontal="left" vertical="center"/>
      <protection locked="0"/>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74" fillId="3" borderId="92" xfId="0" applyFont="1" applyFill="1" applyBorder="1" applyAlignment="1" applyProtection="1">
      <alignment vertical="center" wrapText="1"/>
      <protection locked="0"/>
    </xf>
    <xf numFmtId="0" fontId="74" fillId="3" borderId="99" xfId="0" applyFont="1" applyFill="1" applyBorder="1" applyAlignment="1" applyProtection="1">
      <alignment vertical="center" wrapText="1"/>
      <protection locked="0"/>
    </xf>
    <xf numFmtId="0" fontId="74" fillId="3" borderId="33" xfId="0" applyFont="1" applyFill="1" applyBorder="1" applyAlignment="1">
      <alignment horizontal="justify" vertical="center" wrapText="1"/>
    </xf>
    <xf numFmtId="0" fontId="75" fillId="3" borderId="92" xfId="0" applyFont="1" applyFill="1" applyBorder="1" applyAlignment="1">
      <alignment vertical="center" wrapText="1"/>
    </xf>
    <xf numFmtId="0" fontId="75" fillId="3" borderId="99" xfId="0" applyFont="1" applyFill="1" applyBorder="1" applyAlignment="1">
      <alignment vertical="center" wrapText="1"/>
    </xf>
    <xf numFmtId="0" fontId="74" fillId="3" borderId="92" xfId="0" applyFont="1" applyFill="1" applyBorder="1" applyAlignment="1">
      <alignment horizontal="justify" vertical="center" wrapText="1"/>
    </xf>
    <xf numFmtId="0" fontId="74" fillId="3" borderId="81" xfId="0" applyFont="1" applyFill="1" applyBorder="1" applyAlignment="1">
      <alignment horizontal="justify" vertical="center" wrapText="1"/>
    </xf>
    <xf numFmtId="0" fontId="74" fillId="3" borderId="99" xfId="0" applyFont="1" applyFill="1" applyBorder="1" applyAlignment="1">
      <alignment horizontal="justify" vertical="center" wrapText="1"/>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27" fillId="3" borderId="100" xfId="0" applyFont="1" applyFill="1" applyBorder="1" applyAlignment="1">
      <alignment horizontal="center" vertical="center" wrapText="1"/>
    </xf>
    <xf numFmtId="0" fontId="27" fillId="3" borderId="102" xfId="0" applyFont="1" applyFill="1" applyBorder="1" applyAlignment="1">
      <alignment horizontal="center" vertical="center" wrapText="1"/>
    </xf>
    <xf numFmtId="0" fontId="1" fillId="0" borderId="103"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wrapText="1"/>
      <protection locked="0"/>
    </xf>
    <xf numFmtId="0" fontId="2" fillId="0" borderId="100"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2" fillId="0" borderId="100" xfId="0" applyFont="1" applyBorder="1" applyAlignment="1" applyProtection="1">
      <alignment horizontal="center" vertical="top" wrapText="1"/>
      <protection locked="0"/>
    </xf>
    <xf numFmtId="0" fontId="2" fillId="0" borderId="101" xfId="0" applyFont="1" applyBorder="1" applyAlignment="1" applyProtection="1">
      <alignment horizontal="center" vertical="top" wrapText="1"/>
      <protection locked="0"/>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4"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27" fillId="0" borderId="103" xfId="0" applyFont="1" applyBorder="1" applyAlignment="1" applyProtection="1">
      <alignment horizontal="center" vertical="top" wrapText="1"/>
      <protection locked="0"/>
    </xf>
    <xf numFmtId="0" fontId="27" fillId="0" borderId="104"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27" fillId="0" borderId="4"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0" fontId="27" fillId="0" borderId="105" xfId="0" applyFont="1" applyBorder="1" applyAlignment="1" applyProtection="1">
      <alignment horizontal="center" vertical="top" textRotation="90"/>
      <protection locked="0"/>
    </xf>
    <xf numFmtId="0" fontId="27" fillId="0" borderId="106" xfId="0" applyFont="1" applyBorder="1" applyAlignment="1" applyProtection="1">
      <alignment horizontal="center" vertical="top" textRotation="90"/>
      <protection locked="0"/>
    </xf>
    <xf numFmtId="0" fontId="27" fillId="0" borderId="107" xfId="0" applyFont="1" applyBorder="1" applyAlignment="1" applyProtection="1">
      <alignment horizontal="center" vertical="top" textRotation="90"/>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9">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png"/><Relationship Id="rId1" Type="http://schemas.openxmlformats.org/officeDocument/2006/relationships/image" Target="../media/image3.png"/><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314325</xdr:colOff>
      <xdr:row>0</xdr:row>
      <xdr:rowOff>47625</xdr:rowOff>
    </xdr:from>
    <xdr:to>
      <xdr:col>0</xdr:col>
      <xdr:colOff>1628140</xdr:colOff>
      <xdr:row>3</xdr:row>
      <xdr:rowOff>50165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47625"/>
          <a:ext cx="1313815" cy="5740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twoCellAnchor editAs="oneCell">
    <xdr:from>
      <xdr:col>19</xdr:col>
      <xdr:colOff>635000</xdr:colOff>
      <xdr:row>10</xdr:row>
      <xdr:rowOff>63500</xdr:rowOff>
    </xdr:from>
    <xdr:to>
      <xdr:col>19</xdr:col>
      <xdr:colOff>876300</xdr:colOff>
      <xdr:row>10</xdr:row>
      <xdr:rowOff>457200</xdr:rowOff>
    </xdr:to>
    <xdr:sp macro="" textlink="">
      <xdr:nvSpPr>
        <xdr:cNvPr id="2" name="CheckBox1" hidden="1">
          <a:extLst>
            <a:ext uri="{63B3BB69-23CF-44E3-9099-C40C66FF867C}">
              <a14:compatExt xmlns:a14="http://schemas.microsoft.com/office/drawing/2010/main" spid="_x0000_s3073"/>
            </a:ext>
            <a:ext uri="{FF2B5EF4-FFF2-40B4-BE49-F238E27FC236}">
              <a16:creationId xmlns:a16="http://schemas.microsoft.com/office/drawing/2014/main" id="{E36C19BC-EF2C-4C7B-9A15-3C603FDAC323}"/>
            </a:ext>
          </a:extLst>
        </xdr:cNvPr>
        <xdr:cNvSpPr/>
      </xdr:nvSpPr>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11</xdr:row>
      <xdr:rowOff>165100</xdr:rowOff>
    </xdr:from>
    <xdr:to>
      <xdr:col>19</xdr:col>
      <xdr:colOff>901700</xdr:colOff>
      <xdr:row>11</xdr:row>
      <xdr:rowOff>419100</xdr:rowOff>
    </xdr:to>
    <xdr:sp macro="" textlink="">
      <xdr:nvSpPr>
        <xdr:cNvPr id="8" name="CheckBox2" hidden="1">
          <a:extLst>
            <a:ext uri="{63B3BB69-23CF-44E3-9099-C40C66FF867C}">
              <a14:compatExt xmlns:a14="http://schemas.microsoft.com/office/drawing/2010/main" spid="_x0000_s3074"/>
            </a:ext>
            <a:ext uri="{FF2B5EF4-FFF2-40B4-BE49-F238E27FC236}">
              <a16:creationId xmlns:a16="http://schemas.microsoft.com/office/drawing/2014/main" id="{60220E70-398D-4CC9-9B6E-5CB2FDCD975B}"/>
            </a:ext>
          </a:extLst>
        </xdr:cNvPr>
        <xdr:cNvSpPr/>
      </xdr:nvSpPr>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12</xdr:row>
      <xdr:rowOff>165100</xdr:rowOff>
    </xdr:from>
    <xdr:to>
      <xdr:col>19</xdr:col>
      <xdr:colOff>901700</xdr:colOff>
      <xdr:row>12</xdr:row>
      <xdr:rowOff>419100</xdr:rowOff>
    </xdr:to>
    <xdr:sp macro="" textlink="">
      <xdr:nvSpPr>
        <xdr:cNvPr id="9" name="CheckBox3" hidden="1">
          <a:extLst>
            <a:ext uri="{63B3BB69-23CF-44E3-9099-C40C66FF867C}">
              <a14:compatExt xmlns:a14="http://schemas.microsoft.com/office/drawing/2010/main" spid="_x0000_s3075"/>
            </a:ext>
            <a:ext uri="{FF2B5EF4-FFF2-40B4-BE49-F238E27FC236}">
              <a16:creationId xmlns:a16="http://schemas.microsoft.com/office/drawing/2014/main" id="{EA686133-E5D1-4517-9833-B87546E8275E}"/>
            </a:ext>
          </a:extLst>
        </xdr:cNvPr>
        <xdr:cNvSpPr/>
      </xdr:nvSpPr>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13</xdr:row>
      <xdr:rowOff>165100</xdr:rowOff>
    </xdr:from>
    <xdr:to>
      <xdr:col>19</xdr:col>
      <xdr:colOff>901700</xdr:colOff>
      <xdr:row>13</xdr:row>
      <xdr:rowOff>419100</xdr:rowOff>
    </xdr:to>
    <xdr:sp macro="" textlink="">
      <xdr:nvSpPr>
        <xdr:cNvPr id="10" name="CheckBox4" hidden="1">
          <a:extLst>
            <a:ext uri="{63B3BB69-23CF-44E3-9099-C40C66FF867C}">
              <a14:compatExt xmlns:a14="http://schemas.microsoft.com/office/drawing/2010/main" spid="_x0000_s3076"/>
            </a:ext>
            <a:ext uri="{FF2B5EF4-FFF2-40B4-BE49-F238E27FC236}">
              <a16:creationId xmlns:a16="http://schemas.microsoft.com/office/drawing/2014/main" id="{6F603BB5-81EB-4329-B78D-BB151C64FB61}"/>
            </a:ext>
          </a:extLst>
        </xdr:cNvPr>
        <xdr:cNvSpPr/>
      </xdr:nvSpPr>
      <xdr:spPr bwMode="auto">
        <a:xfrm>
          <a:off x="11499850" y="5670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14</xdr:row>
      <xdr:rowOff>177800</xdr:rowOff>
    </xdr:from>
    <xdr:to>
      <xdr:col>19</xdr:col>
      <xdr:colOff>901700</xdr:colOff>
      <xdr:row>14</xdr:row>
      <xdr:rowOff>431800</xdr:rowOff>
    </xdr:to>
    <xdr:sp macro="" textlink="">
      <xdr:nvSpPr>
        <xdr:cNvPr id="11" name="CheckBox5" hidden="1">
          <a:extLst>
            <a:ext uri="{63B3BB69-23CF-44E3-9099-C40C66FF867C}">
              <a14:compatExt xmlns:a14="http://schemas.microsoft.com/office/drawing/2010/main" spid="_x0000_s3077"/>
            </a:ext>
            <a:ext uri="{FF2B5EF4-FFF2-40B4-BE49-F238E27FC236}">
              <a16:creationId xmlns:a16="http://schemas.microsoft.com/office/drawing/2014/main" id="{D2E63C9E-1926-4147-B39E-A0B6FD1F42EC}"/>
            </a:ext>
          </a:extLst>
        </xdr:cNvPr>
        <xdr:cNvSpPr/>
      </xdr:nvSpPr>
      <xdr:spPr bwMode="auto">
        <a:xfrm>
          <a:off x="11499850" y="61880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15</xdr:row>
      <xdr:rowOff>165100</xdr:rowOff>
    </xdr:from>
    <xdr:to>
      <xdr:col>19</xdr:col>
      <xdr:colOff>901700</xdr:colOff>
      <xdr:row>15</xdr:row>
      <xdr:rowOff>419100</xdr:rowOff>
    </xdr:to>
    <xdr:sp macro="" textlink="">
      <xdr:nvSpPr>
        <xdr:cNvPr id="12" name="CheckBox6" hidden="1">
          <a:extLst>
            <a:ext uri="{63B3BB69-23CF-44E3-9099-C40C66FF867C}">
              <a14:compatExt xmlns:a14="http://schemas.microsoft.com/office/drawing/2010/main" spid="_x0000_s3078"/>
            </a:ext>
            <a:ext uri="{FF2B5EF4-FFF2-40B4-BE49-F238E27FC236}">
              <a16:creationId xmlns:a16="http://schemas.microsoft.com/office/drawing/2014/main" id="{71F2AF07-A0FF-48B1-9D3A-F2854321640A}"/>
            </a:ext>
          </a:extLst>
        </xdr:cNvPr>
        <xdr:cNvSpPr/>
      </xdr:nvSpPr>
      <xdr:spPr bwMode="auto">
        <a:xfrm>
          <a:off x="11499850" y="66802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16</xdr:row>
      <xdr:rowOff>165100</xdr:rowOff>
    </xdr:from>
    <xdr:to>
      <xdr:col>19</xdr:col>
      <xdr:colOff>901700</xdr:colOff>
      <xdr:row>16</xdr:row>
      <xdr:rowOff>419100</xdr:rowOff>
    </xdr:to>
    <xdr:sp macro="" textlink="">
      <xdr:nvSpPr>
        <xdr:cNvPr id="13" name="CheckBox7" hidden="1">
          <a:extLst>
            <a:ext uri="{63B3BB69-23CF-44E3-9099-C40C66FF867C}">
              <a14:compatExt xmlns:a14="http://schemas.microsoft.com/office/drawing/2010/main" spid="_x0000_s3079"/>
            </a:ext>
            <a:ext uri="{FF2B5EF4-FFF2-40B4-BE49-F238E27FC236}">
              <a16:creationId xmlns:a16="http://schemas.microsoft.com/office/drawing/2014/main" id="{DA6521DF-2B80-41E5-AE5E-1808B68AEC5D}"/>
            </a:ext>
          </a:extLst>
        </xdr:cNvPr>
        <xdr:cNvSpPr/>
      </xdr:nvSpPr>
      <xdr:spPr bwMode="auto">
        <a:xfrm>
          <a:off x="11499850" y="71850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17</xdr:row>
      <xdr:rowOff>165100</xdr:rowOff>
    </xdr:from>
    <xdr:to>
      <xdr:col>19</xdr:col>
      <xdr:colOff>901700</xdr:colOff>
      <xdr:row>17</xdr:row>
      <xdr:rowOff>419100</xdr:rowOff>
    </xdr:to>
    <xdr:sp macro="" textlink="">
      <xdr:nvSpPr>
        <xdr:cNvPr id="14" name="CheckBox8" hidden="1">
          <a:extLst>
            <a:ext uri="{63B3BB69-23CF-44E3-9099-C40C66FF867C}">
              <a14:compatExt xmlns:a14="http://schemas.microsoft.com/office/drawing/2010/main" spid="_x0000_s3080"/>
            </a:ext>
            <a:ext uri="{FF2B5EF4-FFF2-40B4-BE49-F238E27FC236}">
              <a16:creationId xmlns:a16="http://schemas.microsoft.com/office/drawing/2014/main" id="{FA5DEE87-C68E-4AA9-A8BB-AEDC5FEDBEC3}"/>
            </a:ext>
          </a:extLst>
        </xdr:cNvPr>
        <xdr:cNvSpPr/>
      </xdr:nvSpPr>
      <xdr:spPr bwMode="auto">
        <a:xfrm>
          <a:off x="11499850" y="7689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18</xdr:row>
      <xdr:rowOff>165100</xdr:rowOff>
    </xdr:from>
    <xdr:to>
      <xdr:col>19</xdr:col>
      <xdr:colOff>901700</xdr:colOff>
      <xdr:row>18</xdr:row>
      <xdr:rowOff>419100</xdr:rowOff>
    </xdr:to>
    <xdr:sp macro="" textlink="">
      <xdr:nvSpPr>
        <xdr:cNvPr id="15" name="CheckBox9" hidden="1">
          <a:extLst>
            <a:ext uri="{63B3BB69-23CF-44E3-9099-C40C66FF867C}">
              <a14:compatExt xmlns:a14="http://schemas.microsoft.com/office/drawing/2010/main" spid="_x0000_s3081"/>
            </a:ext>
            <a:ext uri="{FF2B5EF4-FFF2-40B4-BE49-F238E27FC236}">
              <a16:creationId xmlns:a16="http://schemas.microsoft.com/office/drawing/2014/main" id="{D5FB144B-A70A-4EC6-9C39-9F8D0223F7C4}"/>
            </a:ext>
          </a:extLst>
        </xdr:cNvPr>
        <xdr:cNvSpPr/>
      </xdr:nvSpPr>
      <xdr:spPr bwMode="auto">
        <a:xfrm>
          <a:off x="11499850" y="82804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19</xdr:row>
      <xdr:rowOff>165100</xdr:rowOff>
    </xdr:from>
    <xdr:to>
      <xdr:col>19</xdr:col>
      <xdr:colOff>901700</xdr:colOff>
      <xdr:row>19</xdr:row>
      <xdr:rowOff>419100</xdr:rowOff>
    </xdr:to>
    <xdr:sp macro="" textlink="">
      <xdr:nvSpPr>
        <xdr:cNvPr id="16" name="CheckBox10" hidden="1">
          <a:extLst>
            <a:ext uri="{63B3BB69-23CF-44E3-9099-C40C66FF867C}">
              <a14:compatExt xmlns:a14="http://schemas.microsoft.com/office/drawing/2010/main" spid="_x0000_s3082"/>
            </a:ext>
            <a:ext uri="{FF2B5EF4-FFF2-40B4-BE49-F238E27FC236}">
              <a16:creationId xmlns:a16="http://schemas.microsoft.com/office/drawing/2014/main" id="{261EBBEC-690A-43E0-B48F-8D8B972AFFA6}"/>
            </a:ext>
          </a:extLst>
        </xdr:cNvPr>
        <xdr:cNvSpPr/>
      </xdr:nvSpPr>
      <xdr:spPr bwMode="auto">
        <a:xfrm>
          <a:off x="11499850" y="88804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20</xdr:row>
      <xdr:rowOff>165100</xdr:rowOff>
    </xdr:from>
    <xdr:to>
      <xdr:col>19</xdr:col>
      <xdr:colOff>901700</xdr:colOff>
      <xdr:row>20</xdr:row>
      <xdr:rowOff>419100</xdr:rowOff>
    </xdr:to>
    <xdr:sp macro="" textlink="">
      <xdr:nvSpPr>
        <xdr:cNvPr id="17" name="CheckBox11" hidden="1">
          <a:extLst>
            <a:ext uri="{63B3BB69-23CF-44E3-9099-C40C66FF867C}">
              <a14:compatExt xmlns:a14="http://schemas.microsoft.com/office/drawing/2010/main" spid="_x0000_s3083"/>
            </a:ext>
            <a:ext uri="{FF2B5EF4-FFF2-40B4-BE49-F238E27FC236}">
              <a16:creationId xmlns:a16="http://schemas.microsoft.com/office/drawing/2014/main" id="{6727963B-D3E9-4159-ACBD-8923713D2551}"/>
            </a:ext>
          </a:extLst>
        </xdr:cNvPr>
        <xdr:cNvSpPr/>
      </xdr:nvSpPr>
      <xdr:spPr bwMode="auto">
        <a:xfrm>
          <a:off x="11499850" y="9385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21</xdr:row>
      <xdr:rowOff>165100</xdr:rowOff>
    </xdr:from>
    <xdr:to>
      <xdr:col>19</xdr:col>
      <xdr:colOff>901700</xdr:colOff>
      <xdr:row>21</xdr:row>
      <xdr:rowOff>419100</xdr:rowOff>
    </xdr:to>
    <xdr:sp macro="" textlink="">
      <xdr:nvSpPr>
        <xdr:cNvPr id="18" name="CheckBox12" hidden="1">
          <a:extLst>
            <a:ext uri="{63B3BB69-23CF-44E3-9099-C40C66FF867C}">
              <a14:compatExt xmlns:a14="http://schemas.microsoft.com/office/drawing/2010/main" spid="_x0000_s3084"/>
            </a:ext>
            <a:ext uri="{FF2B5EF4-FFF2-40B4-BE49-F238E27FC236}">
              <a16:creationId xmlns:a16="http://schemas.microsoft.com/office/drawing/2014/main" id="{40AF61D9-89F1-48C6-A677-3774C7F2E2CB}"/>
            </a:ext>
          </a:extLst>
        </xdr:cNvPr>
        <xdr:cNvSpPr/>
      </xdr:nvSpPr>
      <xdr:spPr bwMode="auto">
        <a:xfrm>
          <a:off x="11499850" y="98901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22</xdr:row>
      <xdr:rowOff>165100</xdr:rowOff>
    </xdr:from>
    <xdr:to>
      <xdr:col>19</xdr:col>
      <xdr:colOff>901700</xdr:colOff>
      <xdr:row>22</xdr:row>
      <xdr:rowOff>419100</xdr:rowOff>
    </xdr:to>
    <xdr:sp macro="" textlink="">
      <xdr:nvSpPr>
        <xdr:cNvPr id="19" name="CheckBox13" hidden="1">
          <a:extLst>
            <a:ext uri="{63B3BB69-23CF-44E3-9099-C40C66FF867C}">
              <a14:compatExt xmlns:a14="http://schemas.microsoft.com/office/drawing/2010/main" spid="_x0000_s3085"/>
            </a:ext>
            <a:ext uri="{FF2B5EF4-FFF2-40B4-BE49-F238E27FC236}">
              <a16:creationId xmlns:a16="http://schemas.microsoft.com/office/drawing/2014/main" id="{9E7E543B-8F3E-4F79-8BE3-0568726B02A3}"/>
            </a:ext>
          </a:extLst>
        </xdr:cNvPr>
        <xdr:cNvSpPr/>
      </xdr:nvSpPr>
      <xdr:spPr bwMode="auto">
        <a:xfrm>
          <a:off x="11499850" y="104711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23</xdr:row>
      <xdr:rowOff>165100</xdr:rowOff>
    </xdr:from>
    <xdr:to>
      <xdr:col>19</xdr:col>
      <xdr:colOff>901700</xdr:colOff>
      <xdr:row>23</xdr:row>
      <xdr:rowOff>419100</xdr:rowOff>
    </xdr:to>
    <xdr:sp macro="" textlink="">
      <xdr:nvSpPr>
        <xdr:cNvPr id="20" name="CheckBox14" hidden="1">
          <a:extLst>
            <a:ext uri="{63B3BB69-23CF-44E3-9099-C40C66FF867C}">
              <a14:compatExt xmlns:a14="http://schemas.microsoft.com/office/drawing/2010/main" spid="_x0000_s3086"/>
            </a:ext>
            <a:ext uri="{FF2B5EF4-FFF2-40B4-BE49-F238E27FC236}">
              <a16:creationId xmlns:a16="http://schemas.microsoft.com/office/drawing/2014/main" id="{D8D5DFAB-0E6F-4965-8911-9ECA05B5B9FE}"/>
            </a:ext>
          </a:extLst>
        </xdr:cNvPr>
        <xdr:cNvSpPr/>
      </xdr:nvSpPr>
      <xdr:spPr bwMode="auto">
        <a:xfrm>
          <a:off x="11499850" y="11099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24</xdr:row>
      <xdr:rowOff>165100</xdr:rowOff>
    </xdr:from>
    <xdr:to>
      <xdr:col>19</xdr:col>
      <xdr:colOff>901700</xdr:colOff>
      <xdr:row>24</xdr:row>
      <xdr:rowOff>419100</xdr:rowOff>
    </xdr:to>
    <xdr:sp macro="" textlink="">
      <xdr:nvSpPr>
        <xdr:cNvPr id="21" name="CheckBox15" hidden="1">
          <a:extLst>
            <a:ext uri="{63B3BB69-23CF-44E3-9099-C40C66FF867C}">
              <a14:compatExt xmlns:a14="http://schemas.microsoft.com/office/drawing/2010/main" spid="_x0000_s3087"/>
            </a:ext>
            <a:ext uri="{FF2B5EF4-FFF2-40B4-BE49-F238E27FC236}">
              <a16:creationId xmlns:a16="http://schemas.microsoft.com/office/drawing/2014/main" id="{F4931721-7C7A-40EF-B827-7F4F13EA3B7A}"/>
            </a:ext>
          </a:extLst>
        </xdr:cNvPr>
        <xdr:cNvSpPr/>
      </xdr:nvSpPr>
      <xdr:spPr bwMode="auto">
        <a:xfrm>
          <a:off x="11499850" y="11604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25</xdr:row>
      <xdr:rowOff>165100</xdr:rowOff>
    </xdr:from>
    <xdr:to>
      <xdr:col>19</xdr:col>
      <xdr:colOff>901700</xdr:colOff>
      <xdr:row>25</xdr:row>
      <xdr:rowOff>419100</xdr:rowOff>
    </xdr:to>
    <xdr:sp macro="" textlink="">
      <xdr:nvSpPr>
        <xdr:cNvPr id="22" name="CheckBox16" hidden="1">
          <a:extLst>
            <a:ext uri="{63B3BB69-23CF-44E3-9099-C40C66FF867C}">
              <a14:compatExt xmlns:a14="http://schemas.microsoft.com/office/drawing/2010/main" spid="_x0000_s3088"/>
            </a:ext>
            <a:ext uri="{FF2B5EF4-FFF2-40B4-BE49-F238E27FC236}">
              <a16:creationId xmlns:a16="http://schemas.microsoft.com/office/drawing/2014/main" id="{8C1F05FD-D5E7-41BD-83E3-27DC3708CAF5}"/>
            </a:ext>
          </a:extLst>
        </xdr:cNvPr>
        <xdr:cNvSpPr/>
      </xdr:nvSpPr>
      <xdr:spPr bwMode="auto">
        <a:xfrm>
          <a:off x="11499850" y="12109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26</xdr:row>
      <xdr:rowOff>165100</xdr:rowOff>
    </xdr:from>
    <xdr:to>
      <xdr:col>19</xdr:col>
      <xdr:colOff>901700</xdr:colOff>
      <xdr:row>26</xdr:row>
      <xdr:rowOff>419100</xdr:rowOff>
    </xdr:to>
    <xdr:sp macro="" textlink="">
      <xdr:nvSpPr>
        <xdr:cNvPr id="23" name="CheckBox17" hidden="1">
          <a:extLst>
            <a:ext uri="{63B3BB69-23CF-44E3-9099-C40C66FF867C}">
              <a14:compatExt xmlns:a14="http://schemas.microsoft.com/office/drawing/2010/main" spid="_x0000_s3089"/>
            </a:ext>
            <a:ext uri="{FF2B5EF4-FFF2-40B4-BE49-F238E27FC236}">
              <a16:creationId xmlns:a16="http://schemas.microsoft.com/office/drawing/2014/main" id="{8AD700D9-58F7-4B84-B40F-AAB435F4CD26}"/>
            </a:ext>
          </a:extLst>
        </xdr:cNvPr>
        <xdr:cNvSpPr/>
      </xdr:nvSpPr>
      <xdr:spPr bwMode="auto">
        <a:xfrm>
          <a:off x="11499850" y="127285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622300</xdr:colOff>
      <xdr:row>27</xdr:row>
      <xdr:rowOff>165100</xdr:rowOff>
    </xdr:from>
    <xdr:to>
      <xdr:col>19</xdr:col>
      <xdr:colOff>901700</xdr:colOff>
      <xdr:row>28</xdr:row>
      <xdr:rowOff>68580</xdr:rowOff>
    </xdr:to>
    <xdr:sp macro="" textlink="">
      <xdr:nvSpPr>
        <xdr:cNvPr id="24" name="CheckBox18" hidden="1">
          <a:extLst>
            <a:ext uri="{63B3BB69-23CF-44E3-9099-C40C66FF867C}">
              <a14:compatExt xmlns:a14="http://schemas.microsoft.com/office/drawing/2010/main" spid="_x0000_s3090"/>
            </a:ext>
            <a:ext uri="{FF2B5EF4-FFF2-40B4-BE49-F238E27FC236}">
              <a16:creationId xmlns:a16="http://schemas.microsoft.com/office/drawing/2014/main" id="{16A76174-F102-470A-840A-3AFE58A574CB}"/>
            </a:ext>
          </a:extLst>
        </xdr:cNvPr>
        <xdr:cNvSpPr/>
      </xdr:nvSpPr>
      <xdr:spPr bwMode="auto">
        <a:xfrm>
          <a:off x="11499850" y="13385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635000</xdr:colOff>
      <xdr:row>10</xdr:row>
      <xdr:rowOff>63500</xdr:rowOff>
    </xdr:from>
    <xdr:to>
      <xdr:col>19</xdr:col>
      <xdr:colOff>876300</xdr:colOff>
      <xdr:row>10</xdr:row>
      <xdr:rowOff>457200</xdr:rowOff>
    </xdr:to>
    <xdr:pic>
      <xdr:nvPicPr>
        <xdr:cNvPr id="25" name="CheckBox1">
          <a:extLst>
            <a:ext uri="{FF2B5EF4-FFF2-40B4-BE49-F238E27FC236}">
              <a16:creationId xmlns:a16="http://schemas.microsoft.com/office/drawing/2014/main" id="{84F8D196-6812-4B0A-AA06-DAE5C1C5908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512550" y="3654425"/>
          <a:ext cx="241300" cy="393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11</xdr:row>
      <xdr:rowOff>165100</xdr:rowOff>
    </xdr:from>
    <xdr:to>
      <xdr:col>19</xdr:col>
      <xdr:colOff>901700</xdr:colOff>
      <xdr:row>11</xdr:row>
      <xdr:rowOff>419100</xdr:rowOff>
    </xdr:to>
    <xdr:pic>
      <xdr:nvPicPr>
        <xdr:cNvPr id="26" name="CheckBox2">
          <a:extLst>
            <a:ext uri="{FF2B5EF4-FFF2-40B4-BE49-F238E27FC236}">
              <a16:creationId xmlns:a16="http://schemas.microsoft.com/office/drawing/2014/main" id="{25E9586C-BD94-47A5-85A8-C4A9B8A9F5C9}"/>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4260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12</xdr:row>
      <xdr:rowOff>165100</xdr:rowOff>
    </xdr:from>
    <xdr:to>
      <xdr:col>19</xdr:col>
      <xdr:colOff>901700</xdr:colOff>
      <xdr:row>12</xdr:row>
      <xdr:rowOff>419100</xdr:rowOff>
    </xdr:to>
    <xdr:pic>
      <xdr:nvPicPr>
        <xdr:cNvPr id="27" name="CheckBox3">
          <a:extLst>
            <a:ext uri="{FF2B5EF4-FFF2-40B4-BE49-F238E27FC236}">
              <a16:creationId xmlns:a16="http://schemas.microsoft.com/office/drawing/2014/main" id="{9939CD3A-24C9-4A2E-850B-7C04BD73EBC3}"/>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48418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13</xdr:row>
      <xdr:rowOff>165100</xdr:rowOff>
    </xdr:from>
    <xdr:to>
      <xdr:col>19</xdr:col>
      <xdr:colOff>901700</xdr:colOff>
      <xdr:row>13</xdr:row>
      <xdr:rowOff>419100</xdr:rowOff>
    </xdr:to>
    <xdr:pic>
      <xdr:nvPicPr>
        <xdr:cNvPr id="28" name="CheckBox4">
          <a:extLst>
            <a:ext uri="{FF2B5EF4-FFF2-40B4-BE49-F238E27FC236}">
              <a16:creationId xmlns:a16="http://schemas.microsoft.com/office/drawing/2014/main" id="{9CB0F4B9-0BC0-4FEA-8A95-A0BC3138BF4D}"/>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56705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14</xdr:row>
      <xdr:rowOff>177800</xdr:rowOff>
    </xdr:from>
    <xdr:to>
      <xdr:col>19</xdr:col>
      <xdr:colOff>901700</xdr:colOff>
      <xdr:row>14</xdr:row>
      <xdr:rowOff>431800</xdr:rowOff>
    </xdr:to>
    <xdr:pic>
      <xdr:nvPicPr>
        <xdr:cNvPr id="29" name="CheckBox5">
          <a:extLst>
            <a:ext uri="{FF2B5EF4-FFF2-40B4-BE49-F238E27FC236}">
              <a16:creationId xmlns:a16="http://schemas.microsoft.com/office/drawing/2014/main" id="{B6D89FAC-F82F-4E25-8CCF-1680C9BB56FD}"/>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61880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15</xdr:row>
      <xdr:rowOff>165100</xdr:rowOff>
    </xdr:from>
    <xdr:to>
      <xdr:col>19</xdr:col>
      <xdr:colOff>901700</xdr:colOff>
      <xdr:row>15</xdr:row>
      <xdr:rowOff>419100</xdr:rowOff>
    </xdr:to>
    <xdr:pic>
      <xdr:nvPicPr>
        <xdr:cNvPr id="30" name="CheckBox6">
          <a:extLst>
            <a:ext uri="{FF2B5EF4-FFF2-40B4-BE49-F238E27FC236}">
              <a16:creationId xmlns:a16="http://schemas.microsoft.com/office/drawing/2014/main" id="{5EE28477-B505-4C71-B78E-68C51DE328DA}"/>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66802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16</xdr:row>
      <xdr:rowOff>165100</xdr:rowOff>
    </xdr:from>
    <xdr:to>
      <xdr:col>19</xdr:col>
      <xdr:colOff>901700</xdr:colOff>
      <xdr:row>16</xdr:row>
      <xdr:rowOff>419100</xdr:rowOff>
    </xdr:to>
    <xdr:pic>
      <xdr:nvPicPr>
        <xdr:cNvPr id="31" name="CheckBox7">
          <a:extLst>
            <a:ext uri="{FF2B5EF4-FFF2-40B4-BE49-F238E27FC236}">
              <a16:creationId xmlns:a16="http://schemas.microsoft.com/office/drawing/2014/main" id="{CC549FA5-EF8A-46D9-A90C-809AC69D12C5}"/>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99850" y="71850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17</xdr:row>
      <xdr:rowOff>165100</xdr:rowOff>
    </xdr:from>
    <xdr:to>
      <xdr:col>19</xdr:col>
      <xdr:colOff>901700</xdr:colOff>
      <xdr:row>17</xdr:row>
      <xdr:rowOff>419100</xdr:rowOff>
    </xdr:to>
    <xdr:pic>
      <xdr:nvPicPr>
        <xdr:cNvPr id="32" name="CheckBox8">
          <a:extLst>
            <a:ext uri="{FF2B5EF4-FFF2-40B4-BE49-F238E27FC236}">
              <a16:creationId xmlns:a16="http://schemas.microsoft.com/office/drawing/2014/main" id="{AD46F6EA-BD47-4D03-BD84-2ED7E5B63E68}"/>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99850" y="76898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18</xdr:row>
      <xdr:rowOff>165100</xdr:rowOff>
    </xdr:from>
    <xdr:to>
      <xdr:col>19</xdr:col>
      <xdr:colOff>901700</xdr:colOff>
      <xdr:row>18</xdr:row>
      <xdr:rowOff>419100</xdr:rowOff>
    </xdr:to>
    <xdr:pic>
      <xdr:nvPicPr>
        <xdr:cNvPr id="33" name="CheckBox9">
          <a:extLst>
            <a:ext uri="{FF2B5EF4-FFF2-40B4-BE49-F238E27FC236}">
              <a16:creationId xmlns:a16="http://schemas.microsoft.com/office/drawing/2014/main" id="{3EDC5E89-6B1C-4498-BCED-C7ABED99A178}"/>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82804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19</xdr:row>
      <xdr:rowOff>165100</xdr:rowOff>
    </xdr:from>
    <xdr:to>
      <xdr:col>19</xdr:col>
      <xdr:colOff>901700</xdr:colOff>
      <xdr:row>19</xdr:row>
      <xdr:rowOff>419100</xdr:rowOff>
    </xdr:to>
    <xdr:pic>
      <xdr:nvPicPr>
        <xdr:cNvPr id="34" name="CheckBox10">
          <a:extLst>
            <a:ext uri="{FF2B5EF4-FFF2-40B4-BE49-F238E27FC236}">
              <a16:creationId xmlns:a16="http://schemas.microsoft.com/office/drawing/2014/main" id="{36847E47-A727-4F1B-AE75-6EA430493527}"/>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99850" y="88804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20</xdr:row>
      <xdr:rowOff>165100</xdr:rowOff>
    </xdr:from>
    <xdr:to>
      <xdr:col>19</xdr:col>
      <xdr:colOff>901700</xdr:colOff>
      <xdr:row>20</xdr:row>
      <xdr:rowOff>419100</xdr:rowOff>
    </xdr:to>
    <xdr:pic>
      <xdr:nvPicPr>
        <xdr:cNvPr id="35" name="CheckBox11">
          <a:extLst>
            <a:ext uri="{FF2B5EF4-FFF2-40B4-BE49-F238E27FC236}">
              <a16:creationId xmlns:a16="http://schemas.microsoft.com/office/drawing/2014/main" id="{CB554194-6D4A-473C-968D-3F87C606B361}"/>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99850" y="93853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21</xdr:row>
      <xdr:rowOff>165100</xdr:rowOff>
    </xdr:from>
    <xdr:to>
      <xdr:col>19</xdr:col>
      <xdr:colOff>901700</xdr:colOff>
      <xdr:row>21</xdr:row>
      <xdr:rowOff>419100</xdr:rowOff>
    </xdr:to>
    <xdr:pic>
      <xdr:nvPicPr>
        <xdr:cNvPr id="36" name="CheckBox12">
          <a:extLst>
            <a:ext uri="{FF2B5EF4-FFF2-40B4-BE49-F238E27FC236}">
              <a16:creationId xmlns:a16="http://schemas.microsoft.com/office/drawing/2014/main" id="{3023064B-3978-4420-9339-62125948366D}"/>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99850" y="98901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22</xdr:row>
      <xdr:rowOff>165100</xdr:rowOff>
    </xdr:from>
    <xdr:to>
      <xdr:col>19</xdr:col>
      <xdr:colOff>901700</xdr:colOff>
      <xdr:row>22</xdr:row>
      <xdr:rowOff>419100</xdr:rowOff>
    </xdr:to>
    <xdr:pic>
      <xdr:nvPicPr>
        <xdr:cNvPr id="37" name="CheckBox13">
          <a:extLst>
            <a:ext uri="{FF2B5EF4-FFF2-40B4-BE49-F238E27FC236}">
              <a16:creationId xmlns:a16="http://schemas.microsoft.com/office/drawing/2014/main" id="{2DBCA3AC-7592-41BB-9553-453B63A33B8E}"/>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99850" y="104711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23</xdr:row>
      <xdr:rowOff>165100</xdr:rowOff>
    </xdr:from>
    <xdr:to>
      <xdr:col>19</xdr:col>
      <xdr:colOff>901700</xdr:colOff>
      <xdr:row>23</xdr:row>
      <xdr:rowOff>419100</xdr:rowOff>
    </xdr:to>
    <xdr:pic>
      <xdr:nvPicPr>
        <xdr:cNvPr id="38" name="CheckBox14">
          <a:extLst>
            <a:ext uri="{FF2B5EF4-FFF2-40B4-BE49-F238E27FC236}">
              <a16:creationId xmlns:a16="http://schemas.microsoft.com/office/drawing/2014/main" id="{57095F7E-B694-4093-9947-20F55FCDAFE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11099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24</xdr:row>
      <xdr:rowOff>165100</xdr:rowOff>
    </xdr:from>
    <xdr:to>
      <xdr:col>19</xdr:col>
      <xdr:colOff>901700</xdr:colOff>
      <xdr:row>24</xdr:row>
      <xdr:rowOff>419100</xdr:rowOff>
    </xdr:to>
    <xdr:pic>
      <xdr:nvPicPr>
        <xdr:cNvPr id="39" name="CheckBox15">
          <a:extLst>
            <a:ext uri="{FF2B5EF4-FFF2-40B4-BE49-F238E27FC236}">
              <a16:creationId xmlns:a16="http://schemas.microsoft.com/office/drawing/2014/main" id="{CD68F077-9650-4505-80FE-41360497DF9A}"/>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1160462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25</xdr:row>
      <xdr:rowOff>165100</xdr:rowOff>
    </xdr:from>
    <xdr:to>
      <xdr:col>19</xdr:col>
      <xdr:colOff>901700</xdr:colOff>
      <xdr:row>25</xdr:row>
      <xdr:rowOff>419100</xdr:rowOff>
    </xdr:to>
    <xdr:pic>
      <xdr:nvPicPr>
        <xdr:cNvPr id="40" name="CheckBox16">
          <a:extLst>
            <a:ext uri="{FF2B5EF4-FFF2-40B4-BE49-F238E27FC236}">
              <a16:creationId xmlns:a16="http://schemas.microsoft.com/office/drawing/2014/main" id="{C150E6EC-C9EE-4FB2-A0A9-122578F9224B}"/>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99850" y="1210945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26</xdr:row>
      <xdr:rowOff>165100</xdr:rowOff>
    </xdr:from>
    <xdr:to>
      <xdr:col>19</xdr:col>
      <xdr:colOff>901700</xdr:colOff>
      <xdr:row>26</xdr:row>
      <xdr:rowOff>419100</xdr:rowOff>
    </xdr:to>
    <xdr:pic>
      <xdr:nvPicPr>
        <xdr:cNvPr id="41" name="CheckBox17">
          <a:extLst>
            <a:ext uri="{FF2B5EF4-FFF2-40B4-BE49-F238E27FC236}">
              <a16:creationId xmlns:a16="http://schemas.microsoft.com/office/drawing/2014/main" id="{C8893851-487F-4A1A-A6F8-5A3DF0B30DB6}"/>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12728575"/>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622300</xdr:colOff>
      <xdr:row>27</xdr:row>
      <xdr:rowOff>165100</xdr:rowOff>
    </xdr:from>
    <xdr:to>
      <xdr:col>19</xdr:col>
      <xdr:colOff>901700</xdr:colOff>
      <xdr:row>28</xdr:row>
      <xdr:rowOff>68580</xdr:rowOff>
    </xdr:to>
    <xdr:pic>
      <xdr:nvPicPr>
        <xdr:cNvPr id="42" name="CheckBox18">
          <a:extLst>
            <a:ext uri="{FF2B5EF4-FFF2-40B4-BE49-F238E27FC236}">
              <a16:creationId xmlns:a16="http://schemas.microsoft.com/office/drawing/2014/main" id="{F1F617BB-AE19-4392-B1E3-D0F3098EFB06}"/>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99850" y="13385800"/>
          <a:ext cx="2794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176447</xdr:rowOff>
    </xdr:to>
    <xdr:pic>
      <xdr:nvPicPr>
        <xdr:cNvPr id="2" name="1 Imagen" descr="logocapitalmusic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505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0</xdr:rowOff>
    </xdr:from>
    <xdr:to>
      <xdr:col>2</xdr:col>
      <xdr:colOff>914400</xdr:colOff>
      <xdr:row>4</xdr:row>
      <xdr:rowOff>19050</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0"/>
          <a:ext cx="1609725" cy="7905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a%20Paula/Downloads/46942-MR-2023021614184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SAMSUNG/Downloads/HERRAMIENTA%20PARA%20REGISTRAR%20EL%20MAPA%20DE%20RIESGOS%20SEM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EDUCACION%2032/Downloads/Mapa%20de%20Riesgos%20Corrupci&#243;n%20Educaci&#243;n%20Vigencia%202024%20(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GyC)"/>
      <sheetName val="DESCRIPCION"/>
      <sheetName val="PROBABILIDAD (2)"/>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row r="1">
          <cell r="B1" t="str">
            <v xml:space="preserve">PROCESO: </v>
          </cell>
        </row>
        <row r="12">
          <cell r="B12" t="str">
            <v>Cambios normativos en lo que concierne a la implementación de politicas educativas nacionales</v>
          </cell>
          <cell r="D12" t="str">
            <v>Base de datos desactualizada o con información erronea</v>
          </cell>
          <cell r="F12" t="str">
            <v>falta de comunicación oportuna con otros procesos, que genera demora en respuestas de PQR y requerimientos de entes de control</v>
          </cell>
        </row>
        <row r="13">
          <cell r="B13" t="str">
            <v>Cese de actividades por parte de la comunidad educativa</v>
          </cell>
          <cell r="D13" t="str">
            <v>Personal insuficiente para la implementación de las estrategias y polìticas educativas Nacionales</v>
          </cell>
          <cell r="F13" t="str">
            <v>Falta de articulacion adecuada con los otros procesos de la Administración</v>
          </cell>
        </row>
        <row r="14">
          <cell r="B14" t="str">
            <v>Entorno Socio- Economico Perjudicial para Niños, Niñas y Jovenes paa el normal desarrollo de los procesos educativos</v>
          </cell>
          <cell r="D14" t="str">
            <v>Talento humano en condiciones de salud y edad que no permiten el desarrollo satisfactorio de las actidades academicas.</v>
          </cell>
        </row>
        <row r="15">
          <cell r="B15" t="str">
            <v>Cambios de Gobierno</v>
          </cell>
          <cell r="D15" t="str">
            <v>Falta de liderazgo y compromiso por parte de las Directivas de algunas Insituciones Educativas</v>
          </cell>
        </row>
        <row r="16">
          <cell r="B16" t="str">
            <v>Deficiencias e interrupción en los sistemas de información del Ministerio de Educación</v>
          </cell>
          <cell r="D16" t="str">
            <v>Exclusion y discriminacion por parte del docente y compañeros hacia el educando.</v>
          </cell>
        </row>
        <row r="17">
          <cell r="B17" t="str">
            <v>Declaratoria de Calamidad producto de Pandemias o Catastrofes Naturales</v>
          </cell>
          <cell r="D17" t="str">
            <v>Falta de mayor difusión e interiorización del manual de convivencia escolar</v>
          </cell>
        </row>
        <row r="18">
          <cell r="B18" t="str">
            <v>Deficiencia en las estrategias de comunicación con los Padres de Familia y Alumnos</v>
          </cell>
          <cell r="D18" t="str">
            <v>Obsolesencia en algunos equipos tecnologicos para el desarrollo de las actividades</v>
          </cell>
        </row>
        <row r="19">
          <cell r="D19" t="str">
            <v>Ubicaciòn de sedes educativas en zonas de dificil acceso que genera difultad en la prestaciòn del servicio educativo</v>
          </cell>
        </row>
        <row r="20">
          <cell r="D20" t="str">
            <v xml:space="preserve">Falta de legalizaciòn de predios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ow r="8">
          <cell r="A8" t="str">
            <v>PROCESO: GESTIÓN EDUCATIVA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7" sqref="B7:H7"/>
    </sheetView>
  </sheetViews>
  <sheetFormatPr baseColWidth="10" defaultColWidth="11.42578125" defaultRowHeight="15" x14ac:dyDescent="0.25"/>
  <cols>
    <col min="1" max="1" width="2.85546875" style="67" customWidth="1"/>
    <col min="2" max="3" width="24.7109375" style="67" customWidth="1"/>
    <col min="4" max="4" width="16" style="67" customWidth="1"/>
    <col min="5" max="5" width="24.7109375" style="67" customWidth="1"/>
    <col min="6" max="6" width="27.7109375" style="67" customWidth="1"/>
    <col min="7" max="8" width="24.7109375" style="67" customWidth="1"/>
    <col min="9" max="16384" width="11.42578125" style="67"/>
  </cols>
  <sheetData>
    <row r="1" spans="2:8" ht="15.75" thickBot="1" x14ac:dyDescent="0.3"/>
    <row r="2" spans="2:8" ht="18" x14ac:dyDescent="0.25">
      <c r="B2" s="237" t="s">
        <v>154</v>
      </c>
      <c r="C2" s="238"/>
      <c r="D2" s="238"/>
      <c r="E2" s="238"/>
      <c r="F2" s="238"/>
      <c r="G2" s="238"/>
      <c r="H2" s="239"/>
    </row>
    <row r="3" spans="2:8" x14ac:dyDescent="0.25">
      <c r="B3" s="68"/>
      <c r="C3" s="69"/>
      <c r="D3" s="69"/>
      <c r="E3" s="69"/>
      <c r="F3" s="69"/>
      <c r="G3" s="69"/>
      <c r="H3" s="70"/>
    </row>
    <row r="4" spans="2:8" ht="63" customHeight="1" x14ac:dyDescent="0.25">
      <c r="B4" s="240" t="s">
        <v>197</v>
      </c>
      <c r="C4" s="241"/>
      <c r="D4" s="241"/>
      <c r="E4" s="241"/>
      <c r="F4" s="241"/>
      <c r="G4" s="241"/>
      <c r="H4" s="242"/>
    </row>
    <row r="5" spans="2:8" ht="63" customHeight="1" x14ac:dyDescent="0.25">
      <c r="B5" s="243"/>
      <c r="C5" s="244"/>
      <c r="D5" s="244"/>
      <c r="E5" s="244"/>
      <c r="F5" s="244"/>
      <c r="G5" s="244"/>
      <c r="H5" s="245"/>
    </row>
    <row r="6" spans="2:8" ht="16.5" x14ac:dyDescent="0.25">
      <c r="B6" s="246" t="s">
        <v>152</v>
      </c>
      <c r="C6" s="247"/>
      <c r="D6" s="247"/>
      <c r="E6" s="247"/>
      <c r="F6" s="247"/>
      <c r="G6" s="247"/>
      <c r="H6" s="248"/>
    </row>
    <row r="7" spans="2:8" ht="95.25" customHeight="1" x14ac:dyDescent="0.25">
      <c r="B7" s="256" t="s">
        <v>157</v>
      </c>
      <c r="C7" s="257"/>
      <c r="D7" s="257"/>
      <c r="E7" s="257"/>
      <c r="F7" s="257"/>
      <c r="G7" s="257"/>
      <c r="H7" s="258"/>
    </row>
    <row r="8" spans="2:8" ht="16.5" x14ac:dyDescent="0.25">
      <c r="B8" s="102"/>
      <c r="C8" s="103"/>
      <c r="D8" s="103"/>
      <c r="E8" s="103"/>
      <c r="F8" s="103"/>
      <c r="G8" s="103"/>
      <c r="H8" s="104"/>
    </row>
    <row r="9" spans="2:8" ht="16.5" customHeight="1" x14ac:dyDescent="0.25">
      <c r="B9" s="249" t="s">
        <v>190</v>
      </c>
      <c r="C9" s="250"/>
      <c r="D9" s="250"/>
      <c r="E9" s="250"/>
      <c r="F9" s="250"/>
      <c r="G9" s="250"/>
      <c r="H9" s="251"/>
    </row>
    <row r="10" spans="2:8" ht="44.25" customHeight="1" x14ac:dyDescent="0.25">
      <c r="B10" s="249"/>
      <c r="C10" s="250"/>
      <c r="D10" s="250"/>
      <c r="E10" s="250"/>
      <c r="F10" s="250"/>
      <c r="G10" s="250"/>
      <c r="H10" s="251"/>
    </row>
    <row r="11" spans="2:8" ht="15.75" thickBot="1" x14ac:dyDescent="0.3">
      <c r="B11" s="91"/>
      <c r="C11" s="94"/>
      <c r="D11" s="99"/>
      <c r="E11" s="100"/>
      <c r="F11" s="100"/>
      <c r="G11" s="101"/>
      <c r="H11" s="95"/>
    </row>
    <row r="12" spans="2:8" ht="15.75" thickTop="1" x14ac:dyDescent="0.25">
      <c r="B12" s="91"/>
      <c r="C12" s="252" t="s">
        <v>153</v>
      </c>
      <c r="D12" s="253"/>
      <c r="E12" s="254" t="s">
        <v>191</v>
      </c>
      <c r="F12" s="255"/>
      <c r="G12" s="94"/>
      <c r="H12" s="95"/>
    </row>
    <row r="13" spans="2:8" ht="35.25" customHeight="1" x14ac:dyDescent="0.25">
      <c r="B13" s="91"/>
      <c r="C13" s="224" t="s">
        <v>184</v>
      </c>
      <c r="D13" s="225"/>
      <c r="E13" s="226" t="s">
        <v>189</v>
      </c>
      <c r="F13" s="227"/>
      <c r="G13" s="94"/>
      <c r="H13" s="95"/>
    </row>
    <row r="14" spans="2:8" ht="17.25" customHeight="1" x14ac:dyDescent="0.25">
      <c r="B14" s="91"/>
      <c r="C14" s="224" t="s">
        <v>185</v>
      </c>
      <c r="D14" s="225"/>
      <c r="E14" s="226" t="s">
        <v>187</v>
      </c>
      <c r="F14" s="227"/>
      <c r="G14" s="94"/>
      <c r="H14" s="95"/>
    </row>
    <row r="15" spans="2:8" ht="19.5" customHeight="1" x14ac:dyDescent="0.25">
      <c r="B15" s="91"/>
      <c r="C15" s="224" t="s">
        <v>186</v>
      </c>
      <c r="D15" s="225"/>
      <c r="E15" s="226" t="s">
        <v>188</v>
      </c>
      <c r="F15" s="227"/>
      <c r="G15" s="94"/>
      <c r="H15" s="95"/>
    </row>
    <row r="16" spans="2:8" ht="69.75" customHeight="1" x14ac:dyDescent="0.25">
      <c r="B16" s="91"/>
      <c r="C16" s="224" t="s">
        <v>155</v>
      </c>
      <c r="D16" s="225"/>
      <c r="E16" s="226" t="s">
        <v>156</v>
      </c>
      <c r="F16" s="227"/>
      <c r="G16" s="94"/>
      <c r="H16" s="95"/>
    </row>
    <row r="17" spans="2:8" ht="34.5" customHeight="1" x14ac:dyDescent="0.25">
      <c r="B17" s="91"/>
      <c r="C17" s="228" t="s">
        <v>2</v>
      </c>
      <c r="D17" s="229"/>
      <c r="E17" s="220" t="s">
        <v>198</v>
      </c>
      <c r="F17" s="221"/>
      <c r="G17" s="94"/>
      <c r="H17" s="95"/>
    </row>
    <row r="18" spans="2:8" ht="27.75" customHeight="1" x14ac:dyDescent="0.25">
      <c r="B18" s="91"/>
      <c r="C18" s="228" t="s">
        <v>3</v>
      </c>
      <c r="D18" s="229"/>
      <c r="E18" s="220" t="s">
        <v>199</v>
      </c>
      <c r="F18" s="221"/>
      <c r="G18" s="94"/>
      <c r="H18" s="95"/>
    </row>
    <row r="19" spans="2:8" ht="28.5" customHeight="1" x14ac:dyDescent="0.25">
      <c r="B19" s="91"/>
      <c r="C19" s="228" t="s">
        <v>41</v>
      </c>
      <c r="D19" s="229"/>
      <c r="E19" s="220" t="s">
        <v>200</v>
      </c>
      <c r="F19" s="221"/>
      <c r="G19" s="94"/>
      <c r="H19" s="95"/>
    </row>
    <row r="20" spans="2:8" ht="72.75" customHeight="1" x14ac:dyDescent="0.25">
      <c r="B20" s="91"/>
      <c r="C20" s="228" t="s">
        <v>1</v>
      </c>
      <c r="D20" s="229"/>
      <c r="E20" s="220" t="s">
        <v>201</v>
      </c>
      <c r="F20" s="221"/>
      <c r="G20" s="94"/>
      <c r="H20" s="95"/>
    </row>
    <row r="21" spans="2:8" ht="64.5" customHeight="1" x14ac:dyDescent="0.25">
      <c r="B21" s="91"/>
      <c r="C21" s="228" t="s">
        <v>49</v>
      </c>
      <c r="D21" s="229"/>
      <c r="E21" s="220" t="s">
        <v>159</v>
      </c>
      <c r="F21" s="221"/>
      <c r="G21" s="94"/>
      <c r="H21" s="95"/>
    </row>
    <row r="22" spans="2:8" ht="71.25" customHeight="1" x14ac:dyDescent="0.25">
      <c r="B22" s="91"/>
      <c r="C22" s="228" t="s">
        <v>158</v>
      </c>
      <c r="D22" s="229"/>
      <c r="E22" s="220" t="s">
        <v>160</v>
      </c>
      <c r="F22" s="221"/>
      <c r="G22" s="94"/>
      <c r="H22" s="95"/>
    </row>
    <row r="23" spans="2:8" ht="55.5" customHeight="1" x14ac:dyDescent="0.25">
      <c r="B23" s="91"/>
      <c r="C23" s="222" t="s">
        <v>161</v>
      </c>
      <c r="D23" s="223"/>
      <c r="E23" s="220" t="s">
        <v>162</v>
      </c>
      <c r="F23" s="221"/>
      <c r="G23" s="94"/>
      <c r="H23" s="95"/>
    </row>
    <row r="24" spans="2:8" ht="42" customHeight="1" x14ac:dyDescent="0.25">
      <c r="B24" s="91"/>
      <c r="C24" s="222" t="s">
        <v>47</v>
      </c>
      <c r="D24" s="223"/>
      <c r="E24" s="220" t="s">
        <v>163</v>
      </c>
      <c r="F24" s="221"/>
      <c r="G24" s="94"/>
      <c r="H24" s="95"/>
    </row>
    <row r="25" spans="2:8" ht="59.25" customHeight="1" x14ac:dyDescent="0.25">
      <c r="B25" s="91"/>
      <c r="C25" s="222" t="s">
        <v>151</v>
      </c>
      <c r="D25" s="223"/>
      <c r="E25" s="220" t="s">
        <v>164</v>
      </c>
      <c r="F25" s="221"/>
      <c r="G25" s="94"/>
      <c r="H25" s="95"/>
    </row>
    <row r="26" spans="2:8" ht="23.25" customHeight="1" x14ac:dyDescent="0.25">
      <c r="B26" s="91"/>
      <c r="C26" s="222" t="s">
        <v>12</v>
      </c>
      <c r="D26" s="223"/>
      <c r="E26" s="220" t="s">
        <v>165</v>
      </c>
      <c r="F26" s="221"/>
      <c r="G26" s="94"/>
      <c r="H26" s="95"/>
    </row>
    <row r="27" spans="2:8" ht="30.75" customHeight="1" x14ac:dyDescent="0.25">
      <c r="B27" s="91"/>
      <c r="C27" s="222" t="s">
        <v>169</v>
      </c>
      <c r="D27" s="223"/>
      <c r="E27" s="220" t="s">
        <v>166</v>
      </c>
      <c r="F27" s="221"/>
      <c r="G27" s="94"/>
      <c r="H27" s="95"/>
    </row>
    <row r="28" spans="2:8" ht="35.25" customHeight="1" x14ac:dyDescent="0.25">
      <c r="B28" s="91"/>
      <c r="C28" s="222" t="s">
        <v>170</v>
      </c>
      <c r="D28" s="223"/>
      <c r="E28" s="220" t="s">
        <v>167</v>
      </c>
      <c r="F28" s="221"/>
      <c r="G28" s="94"/>
      <c r="H28" s="95"/>
    </row>
    <row r="29" spans="2:8" ht="33" customHeight="1" x14ac:dyDescent="0.25">
      <c r="B29" s="91"/>
      <c r="C29" s="222" t="s">
        <v>170</v>
      </c>
      <c r="D29" s="223"/>
      <c r="E29" s="220" t="s">
        <v>167</v>
      </c>
      <c r="F29" s="221"/>
      <c r="G29" s="94"/>
      <c r="H29" s="95"/>
    </row>
    <row r="30" spans="2:8" ht="30" customHeight="1" x14ac:dyDescent="0.25">
      <c r="B30" s="91"/>
      <c r="C30" s="222" t="s">
        <v>171</v>
      </c>
      <c r="D30" s="223"/>
      <c r="E30" s="220" t="s">
        <v>168</v>
      </c>
      <c r="F30" s="221"/>
      <c r="G30" s="94"/>
      <c r="H30" s="95"/>
    </row>
    <row r="31" spans="2:8" ht="35.25" customHeight="1" x14ac:dyDescent="0.25">
      <c r="B31" s="91"/>
      <c r="C31" s="222" t="s">
        <v>172</v>
      </c>
      <c r="D31" s="223"/>
      <c r="E31" s="220" t="s">
        <v>173</v>
      </c>
      <c r="F31" s="221"/>
      <c r="G31" s="94"/>
      <c r="H31" s="95"/>
    </row>
    <row r="32" spans="2:8" ht="31.5" customHeight="1" x14ac:dyDescent="0.25">
      <c r="B32" s="91"/>
      <c r="C32" s="222" t="s">
        <v>174</v>
      </c>
      <c r="D32" s="223"/>
      <c r="E32" s="220" t="s">
        <v>175</v>
      </c>
      <c r="F32" s="221"/>
      <c r="G32" s="94"/>
      <c r="H32" s="95"/>
    </row>
    <row r="33" spans="2:8" ht="35.25" customHeight="1" x14ac:dyDescent="0.25">
      <c r="B33" s="91"/>
      <c r="C33" s="222" t="s">
        <v>176</v>
      </c>
      <c r="D33" s="223"/>
      <c r="E33" s="220" t="s">
        <v>177</v>
      </c>
      <c r="F33" s="221"/>
      <c r="G33" s="94"/>
      <c r="H33" s="95"/>
    </row>
    <row r="34" spans="2:8" ht="59.25" customHeight="1" x14ac:dyDescent="0.25">
      <c r="B34" s="91"/>
      <c r="C34" s="222" t="s">
        <v>178</v>
      </c>
      <c r="D34" s="223"/>
      <c r="E34" s="220" t="s">
        <v>179</v>
      </c>
      <c r="F34" s="221"/>
      <c r="G34" s="94"/>
      <c r="H34" s="95"/>
    </row>
    <row r="35" spans="2:8" ht="29.25" customHeight="1" x14ac:dyDescent="0.25">
      <c r="B35" s="91"/>
      <c r="C35" s="222" t="s">
        <v>29</v>
      </c>
      <c r="D35" s="223"/>
      <c r="E35" s="220" t="s">
        <v>180</v>
      </c>
      <c r="F35" s="221"/>
      <c r="G35" s="94"/>
      <c r="H35" s="95"/>
    </row>
    <row r="36" spans="2:8" ht="82.5" customHeight="1" x14ac:dyDescent="0.25">
      <c r="B36" s="91"/>
      <c r="C36" s="222" t="s">
        <v>182</v>
      </c>
      <c r="D36" s="223"/>
      <c r="E36" s="220" t="s">
        <v>181</v>
      </c>
      <c r="F36" s="221"/>
      <c r="G36" s="94"/>
      <c r="H36" s="95"/>
    </row>
    <row r="37" spans="2:8" ht="46.5" customHeight="1" x14ac:dyDescent="0.25">
      <c r="B37" s="91"/>
      <c r="C37" s="222" t="s">
        <v>38</v>
      </c>
      <c r="D37" s="223"/>
      <c r="E37" s="220" t="s">
        <v>183</v>
      </c>
      <c r="F37" s="221"/>
      <c r="G37" s="94"/>
      <c r="H37" s="95"/>
    </row>
    <row r="38" spans="2:8" ht="6.75" customHeight="1" thickBot="1" x14ac:dyDescent="0.3">
      <c r="B38" s="91"/>
      <c r="C38" s="233"/>
      <c r="D38" s="234"/>
      <c r="E38" s="235"/>
      <c r="F38" s="236"/>
      <c r="G38" s="94"/>
      <c r="H38" s="95"/>
    </row>
    <row r="39" spans="2:8" ht="15.75" thickTop="1" x14ac:dyDescent="0.25">
      <c r="B39" s="91"/>
      <c r="C39" s="92"/>
      <c r="D39" s="92"/>
      <c r="E39" s="93"/>
      <c r="F39" s="93"/>
      <c r="G39" s="94"/>
      <c r="H39" s="95"/>
    </row>
    <row r="40" spans="2:8" ht="21" customHeight="1" x14ac:dyDescent="0.25">
      <c r="B40" s="230" t="s">
        <v>192</v>
      </c>
      <c r="C40" s="231"/>
      <c r="D40" s="231"/>
      <c r="E40" s="231"/>
      <c r="F40" s="231"/>
      <c r="G40" s="231"/>
      <c r="H40" s="232"/>
    </row>
    <row r="41" spans="2:8" ht="20.25" customHeight="1" x14ac:dyDescent="0.25">
      <c r="B41" s="230" t="s">
        <v>193</v>
      </c>
      <c r="C41" s="231"/>
      <c r="D41" s="231"/>
      <c r="E41" s="231"/>
      <c r="F41" s="231"/>
      <c r="G41" s="231"/>
      <c r="H41" s="232"/>
    </row>
    <row r="42" spans="2:8" ht="20.25" customHeight="1" x14ac:dyDescent="0.25">
      <c r="B42" s="230" t="s">
        <v>194</v>
      </c>
      <c r="C42" s="231"/>
      <c r="D42" s="231"/>
      <c r="E42" s="231"/>
      <c r="F42" s="231"/>
      <c r="G42" s="231"/>
      <c r="H42" s="232"/>
    </row>
    <row r="43" spans="2:8" ht="20.25" customHeight="1" x14ac:dyDescent="0.25">
      <c r="B43" s="230" t="s">
        <v>195</v>
      </c>
      <c r="C43" s="231"/>
      <c r="D43" s="231"/>
      <c r="E43" s="231"/>
      <c r="F43" s="231"/>
      <c r="G43" s="231"/>
      <c r="H43" s="232"/>
    </row>
    <row r="44" spans="2:8" x14ac:dyDescent="0.25">
      <c r="B44" s="230" t="s">
        <v>196</v>
      </c>
      <c r="C44" s="231"/>
      <c r="D44" s="231"/>
      <c r="E44" s="231"/>
      <c r="F44" s="231"/>
      <c r="G44" s="231"/>
      <c r="H44" s="232"/>
    </row>
    <row r="45" spans="2:8" ht="15.75" thickBot="1" x14ac:dyDescent="0.3">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2"/>
    <col min="3" max="3" width="17" style="72" customWidth="1"/>
    <col min="4" max="4" width="14.28515625" style="72"/>
    <col min="5" max="5" width="46" style="72" customWidth="1"/>
    <col min="6" max="16384" width="14.28515625" style="72"/>
  </cols>
  <sheetData>
    <row r="1" spans="2:6" ht="24" customHeight="1" thickBot="1" x14ac:dyDescent="0.25">
      <c r="B1" s="611" t="s">
        <v>76</v>
      </c>
      <c r="C1" s="612"/>
      <c r="D1" s="612"/>
      <c r="E1" s="612"/>
      <c r="F1" s="613"/>
    </row>
    <row r="2" spans="2:6" ht="16.5" thickBot="1" x14ac:dyDescent="0.3">
      <c r="B2" s="73"/>
      <c r="C2" s="73"/>
      <c r="D2" s="73"/>
      <c r="E2" s="73"/>
      <c r="F2" s="73"/>
    </row>
    <row r="3" spans="2:6" ht="16.5" thickBot="1" x14ac:dyDescent="0.25">
      <c r="B3" s="615" t="s">
        <v>62</v>
      </c>
      <c r="C3" s="616"/>
      <c r="D3" s="616"/>
      <c r="E3" s="85" t="s">
        <v>63</v>
      </c>
      <c r="F3" s="86" t="s">
        <v>64</v>
      </c>
    </row>
    <row r="4" spans="2:6" ht="31.5" x14ac:dyDescent="0.2">
      <c r="B4" s="617" t="s">
        <v>65</v>
      </c>
      <c r="C4" s="619" t="s">
        <v>13</v>
      </c>
      <c r="D4" s="74" t="s">
        <v>14</v>
      </c>
      <c r="E4" s="75" t="s">
        <v>66</v>
      </c>
      <c r="F4" s="76">
        <v>0.25</v>
      </c>
    </row>
    <row r="5" spans="2:6" ht="47.25" x14ac:dyDescent="0.2">
      <c r="B5" s="618"/>
      <c r="C5" s="620"/>
      <c r="D5" s="77" t="s">
        <v>15</v>
      </c>
      <c r="E5" s="78" t="s">
        <v>67</v>
      </c>
      <c r="F5" s="79">
        <v>0.15</v>
      </c>
    </row>
    <row r="6" spans="2:6" ht="47.25" x14ac:dyDescent="0.2">
      <c r="B6" s="618"/>
      <c r="C6" s="620"/>
      <c r="D6" s="77" t="s">
        <v>16</v>
      </c>
      <c r="E6" s="78" t="s">
        <v>68</v>
      </c>
      <c r="F6" s="79">
        <v>0.1</v>
      </c>
    </row>
    <row r="7" spans="2:6" ht="63" x14ac:dyDescent="0.2">
      <c r="B7" s="618"/>
      <c r="C7" s="620" t="s">
        <v>17</v>
      </c>
      <c r="D7" s="77" t="s">
        <v>10</v>
      </c>
      <c r="E7" s="78" t="s">
        <v>69</v>
      </c>
      <c r="F7" s="79">
        <v>0.25</v>
      </c>
    </row>
    <row r="8" spans="2:6" ht="31.5" x14ac:dyDescent="0.2">
      <c r="B8" s="618"/>
      <c r="C8" s="620"/>
      <c r="D8" s="77" t="s">
        <v>9</v>
      </c>
      <c r="E8" s="78" t="s">
        <v>70</v>
      </c>
      <c r="F8" s="79">
        <v>0.15</v>
      </c>
    </row>
    <row r="9" spans="2:6" ht="47.25" x14ac:dyDescent="0.2">
      <c r="B9" s="618" t="s">
        <v>150</v>
      </c>
      <c r="C9" s="620" t="s">
        <v>18</v>
      </c>
      <c r="D9" s="77" t="s">
        <v>19</v>
      </c>
      <c r="E9" s="78" t="s">
        <v>71</v>
      </c>
      <c r="F9" s="80" t="s">
        <v>72</v>
      </c>
    </row>
    <row r="10" spans="2:6" ht="63" x14ac:dyDescent="0.2">
      <c r="B10" s="618"/>
      <c r="C10" s="620"/>
      <c r="D10" s="77" t="s">
        <v>20</v>
      </c>
      <c r="E10" s="78" t="s">
        <v>73</v>
      </c>
      <c r="F10" s="80" t="s">
        <v>72</v>
      </c>
    </row>
    <row r="11" spans="2:6" ht="47.25" x14ac:dyDescent="0.2">
      <c r="B11" s="618"/>
      <c r="C11" s="620" t="s">
        <v>21</v>
      </c>
      <c r="D11" s="77" t="s">
        <v>22</v>
      </c>
      <c r="E11" s="78" t="s">
        <v>74</v>
      </c>
      <c r="F11" s="80" t="s">
        <v>72</v>
      </c>
    </row>
    <row r="12" spans="2:6" ht="47.25" x14ac:dyDescent="0.2">
      <c r="B12" s="618"/>
      <c r="C12" s="620"/>
      <c r="D12" s="77" t="s">
        <v>23</v>
      </c>
      <c r="E12" s="78" t="s">
        <v>75</v>
      </c>
      <c r="F12" s="80" t="s">
        <v>72</v>
      </c>
    </row>
    <row r="13" spans="2:6" ht="31.5" x14ac:dyDescent="0.2">
      <c r="B13" s="618"/>
      <c r="C13" s="620" t="s">
        <v>24</v>
      </c>
      <c r="D13" s="77" t="s">
        <v>113</v>
      </c>
      <c r="E13" s="78" t="s">
        <v>116</v>
      </c>
      <c r="F13" s="80" t="s">
        <v>72</v>
      </c>
    </row>
    <row r="14" spans="2:6" ht="32.25" thickBot="1" x14ac:dyDescent="0.25">
      <c r="B14" s="621"/>
      <c r="C14" s="622"/>
      <c r="D14" s="81" t="s">
        <v>114</v>
      </c>
      <c r="E14" s="82" t="s">
        <v>115</v>
      </c>
      <c r="F14" s="83" t="s">
        <v>72</v>
      </c>
    </row>
    <row r="15" spans="2:6" ht="49.5" customHeight="1" x14ac:dyDescent="0.2">
      <c r="B15" s="614" t="s">
        <v>147</v>
      </c>
      <c r="C15" s="614"/>
      <c r="D15" s="614"/>
      <c r="E15" s="614"/>
      <c r="F15" s="614"/>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127</v>
      </c>
    </row>
    <row r="3" spans="2:5" x14ac:dyDescent="0.25">
      <c r="B3" t="s">
        <v>32</v>
      </c>
      <c r="E3" t="s">
        <v>126</v>
      </c>
    </row>
    <row r="4" spans="2:5" x14ac:dyDescent="0.25">
      <c r="B4" t="s">
        <v>131</v>
      </c>
      <c r="E4" t="s">
        <v>128</v>
      </c>
    </row>
    <row r="5" spans="2:5" x14ac:dyDescent="0.25">
      <c r="B5" t="s">
        <v>130</v>
      </c>
    </row>
    <row r="8" spans="2:5" x14ac:dyDescent="0.25">
      <c r="B8" t="s">
        <v>84</v>
      </c>
    </row>
    <row r="9" spans="2:5" x14ac:dyDescent="0.25">
      <c r="B9" t="s">
        <v>39</v>
      </c>
    </row>
    <row r="10" spans="2:5" x14ac:dyDescent="0.25">
      <c r="B10" t="s">
        <v>40</v>
      </c>
    </row>
    <row r="13" spans="2:5" x14ac:dyDescent="0.25">
      <c r="B13" t="s">
        <v>123</v>
      </c>
    </row>
    <row r="14" spans="2:5" x14ac:dyDescent="0.25">
      <c r="B14" t="s">
        <v>117</v>
      </c>
    </row>
    <row r="15" spans="2:5" x14ac:dyDescent="0.25">
      <c r="B15" t="s">
        <v>120</v>
      </c>
    </row>
    <row r="16" spans="2:5" x14ac:dyDescent="0.25">
      <c r="B16" t="s">
        <v>118</v>
      </c>
    </row>
    <row r="17" spans="2:2" x14ac:dyDescent="0.25">
      <c r="B17" t="s">
        <v>119</v>
      </c>
    </row>
    <row r="18" spans="2:2" x14ac:dyDescent="0.25">
      <c r="B18" t="s">
        <v>121</v>
      </c>
    </row>
    <row r="19" spans="2:2" x14ac:dyDescent="0.25">
      <c r="B19" t="s">
        <v>122</v>
      </c>
    </row>
  </sheetData>
  <sortState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workbookViewId="0">
      <selection activeCell="E14" sqref="E14"/>
    </sheetView>
  </sheetViews>
  <sheetFormatPr baseColWidth="10" defaultColWidth="11.42578125" defaultRowHeight="14.25" x14ac:dyDescent="0.2"/>
  <cols>
    <col min="1" max="1" width="29.42578125" style="140" customWidth="1"/>
    <col min="2" max="2" width="29.140625" style="140" customWidth="1"/>
    <col min="3" max="3" width="30.28515625" style="140" customWidth="1"/>
    <col min="4" max="4" width="31.85546875" style="140" customWidth="1"/>
    <col min="5" max="5" width="32.5703125" style="140" customWidth="1"/>
    <col min="6" max="6" width="32" style="140" customWidth="1"/>
    <col min="7" max="16384" width="11.42578125" style="140"/>
  </cols>
  <sheetData>
    <row r="1" spans="1:10" ht="15" customHeight="1" x14ac:dyDescent="0.2">
      <c r="A1" s="263"/>
      <c r="B1" s="265" t="s">
        <v>264</v>
      </c>
      <c r="C1" s="265"/>
      <c r="D1" s="265"/>
      <c r="E1" s="138" t="s">
        <v>265</v>
      </c>
      <c r="F1" s="267"/>
      <c r="G1" s="139"/>
      <c r="J1" s="269"/>
    </row>
    <row r="2" spans="1:10" ht="15" customHeight="1" x14ac:dyDescent="0.2">
      <c r="A2" s="264"/>
      <c r="B2" s="266"/>
      <c r="C2" s="266"/>
      <c r="D2" s="266"/>
      <c r="E2" s="142" t="s">
        <v>266</v>
      </c>
      <c r="F2" s="268"/>
      <c r="G2" s="139"/>
      <c r="J2" s="269"/>
    </row>
    <row r="3" spans="1:10" ht="15" customHeight="1" x14ac:dyDescent="0.2">
      <c r="A3" s="264"/>
      <c r="B3" s="266" t="s">
        <v>214</v>
      </c>
      <c r="C3" s="266"/>
      <c r="D3" s="266"/>
      <c r="E3" s="142" t="s">
        <v>267</v>
      </c>
      <c r="F3" s="268"/>
      <c r="G3" s="139"/>
      <c r="J3" s="269"/>
    </row>
    <row r="4" spans="1:10" ht="15.75" customHeight="1" x14ac:dyDescent="0.2">
      <c r="A4" s="264"/>
      <c r="B4" s="266"/>
      <c r="C4" s="266"/>
      <c r="D4" s="266"/>
      <c r="E4" s="142" t="s">
        <v>268</v>
      </c>
      <c r="F4" s="268"/>
      <c r="G4" s="139"/>
      <c r="J4" s="269"/>
    </row>
    <row r="5" spans="1:10" ht="15.75" customHeight="1" x14ac:dyDescent="0.2">
      <c r="A5" s="270"/>
      <c r="B5" s="271"/>
      <c r="C5" s="271"/>
      <c r="D5" s="271"/>
      <c r="E5" s="271"/>
      <c r="F5" s="272"/>
      <c r="G5" s="139"/>
      <c r="J5" s="141"/>
    </row>
    <row r="6" spans="1:10" ht="15" customHeight="1" x14ac:dyDescent="0.2">
      <c r="A6" s="273" t="s">
        <v>215</v>
      </c>
      <c r="B6" s="274"/>
      <c r="C6" s="274"/>
      <c r="D6" s="274"/>
      <c r="E6" s="274"/>
      <c r="F6" s="275"/>
    </row>
    <row r="7" spans="1:10" ht="15.75" customHeight="1" x14ac:dyDescent="0.2">
      <c r="A7" s="273"/>
      <c r="B7" s="274"/>
      <c r="C7" s="274"/>
      <c r="D7" s="274"/>
      <c r="E7" s="274"/>
      <c r="F7" s="275"/>
    </row>
    <row r="8" spans="1:10" ht="27" customHeight="1" x14ac:dyDescent="0.2">
      <c r="A8" s="276" t="s">
        <v>270</v>
      </c>
      <c r="B8" s="277"/>
      <c r="C8" s="277"/>
      <c r="D8" s="277"/>
      <c r="E8" s="277"/>
      <c r="F8" s="278"/>
    </row>
    <row r="9" spans="1:10" ht="77.25" customHeight="1" thickBot="1" x14ac:dyDescent="0.25">
      <c r="A9" s="259" t="s">
        <v>271</v>
      </c>
      <c r="B9" s="260"/>
      <c r="C9" s="260"/>
      <c r="D9" s="260"/>
      <c r="E9" s="260"/>
      <c r="F9" s="261"/>
    </row>
    <row r="10" spans="1:10" ht="18.75" customHeight="1" thickBot="1" x14ac:dyDescent="0.25">
      <c r="A10" s="262"/>
      <c r="B10" s="262"/>
      <c r="C10" s="262"/>
      <c r="D10" s="262"/>
      <c r="E10" s="262"/>
      <c r="F10" s="262"/>
    </row>
    <row r="11" spans="1:10" ht="22.5" customHeight="1" thickBot="1" x14ac:dyDescent="0.25">
      <c r="A11" s="143" t="s">
        <v>216</v>
      </c>
      <c r="B11" s="144" t="s">
        <v>217</v>
      </c>
      <c r="C11" s="144" t="s">
        <v>218</v>
      </c>
      <c r="D11" s="144" t="s">
        <v>217</v>
      </c>
      <c r="E11" s="144" t="s">
        <v>219</v>
      </c>
      <c r="F11" s="145" t="s">
        <v>217</v>
      </c>
    </row>
    <row r="12" spans="1:10" ht="75" customHeight="1" thickBot="1" x14ac:dyDescent="0.25">
      <c r="A12" s="146" t="s">
        <v>272</v>
      </c>
      <c r="B12" s="212" t="s">
        <v>273</v>
      </c>
      <c r="C12" s="147" t="s">
        <v>274</v>
      </c>
      <c r="D12" s="215" t="s">
        <v>275</v>
      </c>
      <c r="E12" s="147" t="s">
        <v>276</v>
      </c>
      <c r="F12" s="217" t="s">
        <v>277</v>
      </c>
    </row>
    <row r="13" spans="1:10" ht="60" customHeight="1" x14ac:dyDescent="0.2">
      <c r="A13" s="148" t="s">
        <v>220</v>
      </c>
      <c r="B13" s="211" t="s">
        <v>278</v>
      </c>
      <c r="C13" s="149" t="s">
        <v>279</v>
      </c>
      <c r="D13" s="214" t="s">
        <v>280</v>
      </c>
      <c r="E13" s="138" t="s">
        <v>281</v>
      </c>
      <c r="F13" s="219" t="s">
        <v>282</v>
      </c>
    </row>
    <row r="14" spans="1:10" ht="82.5" customHeight="1" x14ac:dyDescent="0.2">
      <c r="A14" s="148" t="s">
        <v>220</v>
      </c>
      <c r="B14" s="211" t="s">
        <v>283</v>
      </c>
      <c r="C14" s="149" t="s">
        <v>279</v>
      </c>
      <c r="D14" s="214" t="s">
        <v>284</v>
      </c>
      <c r="E14" s="142"/>
      <c r="F14" s="151"/>
    </row>
    <row r="15" spans="1:10" ht="73.5" customHeight="1" x14ac:dyDescent="0.2">
      <c r="A15" s="148" t="s">
        <v>221</v>
      </c>
      <c r="B15" s="213" t="s">
        <v>285</v>
      </c>
      <c r="C15" s="149" t="s">
        <v>286</v>
      </c>
      <c r="D15" s="214" t="s">
        <v>287</v>
      </c>
      <c r="E15" s="142"/>
      <c r="F15" s="151"/>
    </row>
    <row r="16" spans="1:10" ht="59.25" customHeight="1" x14ac:dyDescent="0.2">
      <c r="A16" s="148" t="s">
        <v>222</v>
      </c>
      <c r="B16" s="211" t="s">
        <v>288</v>
      </c>
      <c r="C16" s="149" t="s">
        <v>279</v>
      </c>
      <c r="D16" s="214" t="s">
        <v>289</v>
      </c>
      <c r="E16" s="142"/>
      <c r="F16" s="151"/>
    </row>
    <row r="17" spans="1:6" ht="69.75" customHeight="1" x14ac:dyDescent="0.2">
      <c r="A17" s="148" t="s">
        <v>223</v>
      </c>
      <c r="B17" s="211" t="s">
        <v>290</v>
      </c>
      <c r="C17" s="149" t="s">
        <v>291</v>
      </c>
      <c r="D17" s="214" t="s">
        <v>292</v>
      </c>
      <c r="E17" s="149"/>
      <c r="F17" s="151"/>
    </row>
    <row r="18" spans="1:6" ht="66.75" customHeight="1" x14ac:dyDescent="0.2">
      <c r="A18" s="148" t="s">
        <v>224</v>
      </c>
      <c r="B18" s="211" t="s">
        <v>293</v>
      </c>
      <c r="C18" s="149" t="s">
        <v>274</v>
      </c>
      <c r="D18" s="214" t="s">
        <v>294</v>
      </c>
      <c r="E18" s="149"/>
      <c r="F18" s="151"/>
    </row>
    <row r="19" spans="1:6" ht="73.5" customHeight="1" x14ac:dyDescent="0.2">
      <c r="A19" s="148"/>
      <c r="B19" s="150"/>
      <c r="C19" s="149" t="s">
        <v>295</v>
      </c>
      <c r="D19" s="214" t="s">
        <v>296</v>
      </c>
      <c r="E19" s="149"/>
      <c r="F19" s="151"/>
    </row>
    <row r="20" spans="1:6" ht="65.25" customHeight="1" x14ac:dyDescent="0.2">
      <c r="A20" s="148"/>
      <c r="B20" s="150"/>
      <c r="C20" s="149" t="s">
        <v>286</v>
      </c>
      <c r="D20" s="216" t="s">
        <v>297</v>
      </c>
      <c r="E20" s="149"/>
      <c r="F20" s="151"/>
    </row>
    <row r="21" spans="1:6" ht="66.75" customHeight="1" x14ac:dyDescent="0.2">
      <c r="A21" s="148"/>
      <c r="B21" s="150"/>
      <c r="C21" s="149"/>
      <c r="D21" s="152"/>
      <c r="E21" s="149"/>
      <c r="F21" s="151"/>
    </row>
    <row r="22" spans="1:6" ht="69" customHeight="1" x14ac:dyDescent="0.2">
      <c r="A22" s="148"/>
      <c r="B22" s="150"/>
      <c r="C22" s="149"/>
      <c r="D22" s="152"/>
      <c r="E22" s="149"/>
      <c r="F22" s="151"/>
    </row>
    <row r="23" spans="1:6" ht="61.5" customHeight="1" x14ac:dyDescent="0.2">
      <c r="A23" s="148"/>
      <c r="B23" s="150"/>
      <c r="C23" s="149"/>
      <c r="D23" s="152"/>
      <c r="E23" s="149"/>
      <c r="F23" s="151"/>
    </row>
    <row r="24" spans="1:6" ht="57.75" customHeight="1" x14ac:dyDescent="0.2">
      <c r="A24" s="148"/>
      <c r="B24" s="150"/>
      <c r="C24" s="149"/>
      <c r="D24" s="152"/>
      <c r="E24" s="149"/>
      <c r="F24" s="151"/>
    </row>
    <row r="25" spans="1:6" ht="62.25" customHeight="1" x14ac:dyDescent="0.2">
      <c r="A25" s="148"/>
      <c r="B25" s="150"/>
      <c r="C25" s="149"/>
      <c r="D25" s="152"/>
      <c r="E25" s="149"/>
      <c r="F25" s="151"/>
    </row>
    <row r="26" spans="1:6" ht="56.25" customHeight="1" thickBot="1" x14ac:dyDescent="0.25">
      <c r="A26" s="153"/>
      <c r="B26" s="154"/>
      <c r="C26" s="155"/>
      <c r="D26" s="156"/>
      <c r="E26" s="155"/>
      <c r="F26" s="157"/>
    </row>
    <row r="27" spans="1:6" ht="65.25" customHeight="1" x14ac:dyDescent="0.2">
      <c r="A27" s="158"/>
      <c r="B27" s="159"/>
      <c r="C27" s="158"/>
      <c r="D27" s="160"/>
      <c r="E27" s="158"/>
      <c r="F27" s="160"/>
    </row>
    <row r="28" spans="1:6" ht="62.25" customHeight="1" x14ac:dyDescent="0.2">
      <c r="A28" s="158"/>
      <c r="B28" s="159"/>
      <c r="C28" s="158"/>
      <c r="D28" s="160"/>
      <c r="E28" s="158"/>
      <c r="F28" s="160"/>
    </row>
    <row r="29" spans="1:6" ht="63" customHeight="1" x14ac:dyDescent="0.2">
      <c r="A29" s="158"/>
      <c r="B29" s="159"/>
      <c r="C29" s="158"/>
      <c r="D29" s="160"/>
      <c r="E29" s="158"/>
      <c r="F29" s="159"/>
    </row>
    <row r="30" spans="1:6" ht="51.75" customHeight="1" x14ac:dyDescent="0.2">
      <c r="A30" s="158"/>
      <c r="B30" s="159"/>
      <c r="C30" s="158"/>
      <c r="D30" s="160"/>
      <c r="E30" s="158"/>
      <c r="F30" s="159"/>
    </row>
    <row r="31" spans="1:6" ht="52.5" customHeight="1" x14ac:dyDescent="0.2">
      <c r="A31" s="158"/>
      <c r="B31" s="160"/>
      <c r="C31" s="158"/>
      <c r="D31" s="160"/>
      <c r="E31" s="158"/>
      <c r="F31" s="160"/>
    </row>
    <row r="32" spans="1:6" ht="63.75" customHeight="1" x14ac:dyDescent="0.2">
      <c r="A32" s="158"/>
      <c r="B32" s="160"/>
      <c r="C32" s="158"/>
      <c r="D32" s="160"/>
      <c r="E32" s="158"/>
      <c r="F32" s="160"/>
    </row>
    <row r="33" spans="1:6" ht="66" customHeight="1" x14ac:dyDescent="0.2">
      <c r="A33" s="158"/>
      <c r="B33" s="161"/>
      <c r="C33" s="158"/>
      <c r="D33" s="162"/>
      <c r="E33" s="158"/>
      <c r="F33" s="161"/>
    </row>
    <row r="34" spans="1:6" ht="55.5" customHeight="1" x14ac:dyDescent="0.2">
      <c r="A34" s="158"/>
      <c r="B34" s="161"/>
      <c r="C34" s="158"/>
      <c r="D34" s="162"/>
      <c r="E34" s="158"/>
      <c r="F34" s="163"/>
    </row>
    <row r="35" spans="1:6" ht="51.75" customHeight="1" x14ac:dyDescent="0.2">
      <c r="A35" s="158"/>
      <c r="B35" s="163"/>
      <c r="C35" s="158"/>
      <c r="D35" s="164"/>
      <c r="E35" s="158"/>
      <c r="F35" s="163"/>
    </row>
    <row r="36" spans="1:6" ht="55.5" customHeight="1" x14ac:dyDescent="0.2">
      <c r="A36" s="158"/>
      <c r="B36" s="163"/>
      <c r="C36" s="158"/>
      <c r="D36" s="163"/>
      <c r="E36" s="158"/>
      <c r="F36" s="163"/>
    </row>
    <row r="37" spans="1:6" ht="55.5" customHeight="1" x14ac:dyDescent="0.2">
      <c r="A37" s="158"/>
      <c r="B37" s="163"/>
      <c r="C37" s="158"/>
      <c r="D37" s="163"/>
      <c r="E37" s="158"/>
      <c r="F37" s="163"/>
    </row>
    <row r="38" spans="1:6" ht="54.75" customHeight="1" x14ac:dyDescent="0.2">
      <c r="A38" s="158"/>
      <c r="B38" s="163"/>
      <c r="C38" s="158"/>
      <c r="D38" s="163"/>
      <c r="E38" s="158"/>
      <c r="F38" s="163"/>
    </row>
    <row r="39" spans="1:6" ht="56.25" customHeight="1" x14ac:dyDescent="0.2">
      <c r="A39" s="158"/>
      <c r="B39" s="163"/>
      <c r="C39" s="158"/>
      <c r="D39" s="163"/>
      <c r="E39" s="158"/>
      <c r="F39" s="163"/>
    </row>
    <row r="40" spans="1:6" ht="54.75" customHeight="1" x14ac:dyDescent="0.2">
      <c r="A40" s="158"/>
      <c r="B40" s="161"/>
      <c r="C40" s="158"/>
      <c r="D40" s="162"/>
      <c r="E40" s="158"/>
      <c r="F40" s="161"/>
    </row>
    <row r="41" spans="1:6" ht="55.5" customHeight="1" x14ac:dyDescent="0.2">
      <c r="A41" s="158"/>
      <c r="B41" s="161"/>
      <c r="C41" s="158"/>
      <c r="D41" s="162"/>
      <c r="E41" s="158"/>
      <c r="F41" s="163"/>
    </row>
    <row r="42" spans="1:6" ht="54.75" customHeight="1" x14ac:dyDescent="0.2">
      <c r="A42" s="158"/>
      <c r="B42" s="163"/>
      <c r="C42" s="158"/>
      <c r="D42" s="164"/>
      <c r="E42" s="158"/>
      <c r="F42" s="163"/>
    </row>
    <row r="43" spans="1:6" ht="55.5" customHeight="1" x14ac:dyDescent="0.2">
      <c r="A43" s="158"/>
      <c r="B43" s="163"/>
      <c r="C43" s="158"/>
      <c r="D43" s="163"/>
      <c r="E43" s="158"/>
      <c r="F43" s="163"/>
    </row>
    <row r="44" spans="1:6" ht="56.25" customHeight="1" x14ac:dyDescent="0.2">
      <c r="A44" s="158"/>
      <c r="B44" s="163"/>
      <c r="C44" s="158"/>
      <c r="D44" s="163"/>
      <c r="E44" s="158"/>
      <c r="F44" s="163"/>
    </row>
    <row r="45" spans="1:6" ht="59.25" customHeight="1" x14ac:dyDescent="0.2">
      <c r="A45" s="158"/>
      <c r="B45" s="163"/>
      <c r="C45" s="158"/>
      <c r="D45" s="163"/>
      <c r="E45" s="158"/>
      <c r="F45" s="163"/>
    </row>
    <row r="46" spans="1:6" ht="55.5" customHeight="1" x14ac:dyDescent="0.2">
      <c r="A46" s="158"/>
      <c r="B46" s="163"/>
      <c r="C46" s="158"/>
      <c r="D46" s="163"/>
      <c r="E46" s="158"/>
      <c r="F46" s="163"/>
    </row>
    <row r="47" spans="1:6" ht="55.5" customHeight="1" x14ac:dyDescent="0.2">
      <c r="A47" s="158"/>
      <c r="B47" s="161"/>
      <c r="C47" s="158"/>
      <c r="D47" s="162"/>
      <c r="E47" s="158"/>
      <c r="F47" s="161"/>
    </row>
    <row r="48" spans="1:6" ht="56.25" customHeight="1" x14ac:dyDescent="0.2">
      <c r="A48" s="158"/>
      <c r="B48" s="161"/>
      <c r="C48" s="158"/>
      <c r="D48" s="162"/>
      <c r="E48" s="158"/>
      <c r="F48" s="163"/>
    </row>
    <row r="49" spans="1:6" ht="54" customHeight="1" x14ac:dyDescent="0.2">
      <c r="A49" s="158"/>
      <c r="B49" s="163"/>
      <c r="C49" s="158"/>
      <c r="D49" s="164"/>
      <c r="E49" s="158"/>
      <c r="F49" s="163"/>
    </row>
    <row r="50" spans="1:6" ht="56.25" customHeight="1" x14ac:dyDescent="0.2">
      <c r="A50" s="158"/>
      <c r="B50" s="163"/>
      <c r="C50" s="158"/>
      <c r="D50" s="163"/>
      <c r="E50" s="158"/>
      <c r="F50" s="163"/>
    </row>
    <row r="51" spans="1:6" ht="59.25" customHeight="1" x14ac:dyDescent="0.2">
      <c r="A51" s="158"/>
      <c r="B51" s="163"/>
      <c r="C51" s="158"/>
      <c r="D51" s="163"/>
      <c r="E51" s="158"/>
      <c r="F51" s="163"/>
    </row>
    <row r="52" spans="1:6" ht="54.75" customHeight="1" x14ac:dyDescent="0.2">
      <c r="A52" s="158"/>
      <c r="B52" s="163"/>
      <c r="C52" s="158"/>
      <c r="D52" s="163"/>
      <c r="E52" s="158"/>
      <c r="F52" s="163"/>
    </row>
    <row r="53" spans="1:6" ht="55.5" customHeight="1" x14ac:dyDescent="0.2">
      <c r="A53" s="158"/>
      <c r="B53" s="163"/>
      <c r="C53" s="158"/>
      <c r="D53" s="163"/>
      <c r="E53" s="158"/>
      <c r="F53" s="163"/>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topLeftCell="A2" workbookViewId="0">
      <selection activeCell="B28" sqref="B28"/>
    </sheetView>
  </sheetViews>
  <sheetFormatPr baseColWidth="10" defaultColWidth="11.42578125" defaultRowHeight="15" x14ac:dyDescent="0.25"/>
  <cols>
    <col min="1" max="1" width="5.140625" style="190" customWidth="1"/>
    <col min="2" max="2" width="40.42578125" style="191" customWidth="1"/>
    <col min="3" max="17" width="6.42578125" style="191" customWidth="1"/>
    <col min="18" max="18" width="8.140625" style="191" customWidth="1"/>
    <col min="19" max="19" width="13" style="192" customWidth="1"/>
    <col min="20" max="20" width="19.7109375" customWidth="1"/>
    <col min="21" max="23" width="11.42578125" hidden="1" customWidth="1"/>
  </cols>
  <sheetData>
    <row r="1" spans="1:24" ht="30.75" customHeight="1" x14ac:dyDescent="0.25">
      <c r="A1" s="281"/>
      <c r="B1" s="284" t="str">
        <f>[1]CONTEXTO!B1</f>
        <v xml:space="preserve">PROCESO: </v>
      </c>
      <c r="C1" s="284"/>
      <c r="D1" s="284"/>
      <c r="E1" s="284"/>
      <c r="F1" s="284"/>
      <c r="G1" s="284"/>
      <c r="H1" s="284"/>
      <c r="I1" s="284"/>
      <c r="J1" s="284"/>
      <c r="K1" s="284"/>
      <c r="L1" s="284"/>
      <c r="M1" s="284"/>
      <c r="N1" s="284"/>
      <c r="O1" s="284"/>
      <c r="P1" s="284"/>
      <c r="Q1" s="284"/>
      <c r="R1" s="284"/>
      <c r="S1" s="285"/>
      <c r="T1" s="288" t="s">
        <v>265</v>
      </c>
      <c r="U1" s="288"/>
      <c r="V1" s="288"/>
      <c r="W1" s="289"/>
    </row>
    <row r="2" spans="1:24" ht="25.5" customHeight="1" x14ac:dyDescent="0.25">
      <c r="A2" s="282"/>
      <c r="B2" s="286"/>
      <c r="C2" s="286"/>
      <c r="D2" s="286"/>
      <c r="E2" s="286"/>
      <c r="F2" s="286"/>
      <c r="G2" s="286"/>
      <c r="H2" s="286"/>
      <c r="I2" s="286"/>
      <c r="J2" s="286"/>
      <c r="K2" s="286"/>
      <c r="L2" s="286"/>
      <c r="M2" s="286"/>
      <c r="N2" s="286"/>
      <c r="O2" s="286"/>
      <c r="P2" s="286"/>
      <c r="Q2" s="286"/>
      <c r="R2" s="286"/>
      <c r="S2" s="287"/>
      <c r="T2" s="290" t="s">
        <v>266</v>
      </c>
      <c r="U2" s="290"/>
      <c r="V2" s="290"/>
      <c r="W2" s="291"/>
    </row>
    <row r="3" spans="1:24" ht="15" customHeight="1" x14ac:dyDescent="0.25">
      <c r="A3" s="282"/>
      <c r="B3" s="286" t="s">
        <v>228</v>
      </c>
      <c r="C3" s="286"/>
      <c r="D3" s="286"/>
      <c r="E3" s="286"/>
      <c r="F3" s="286"/>
      <c r="G3" s="286"/>
      <c r="H3" s="286"/>
      <c r="I3" s="286"/>
      <c r="J3" s="286"/>
      <c r="K3" s="286"/>
      <c r="L3" s="286"/>
      <c r="M3" s="286"/>
      <c r="N3" s="286"/>
      <c r="O3" s="286"/>
      <c r="P3" s="286"/>
      <c r="Q3" s="286"/>
      <c r="R3" s="286"/>
      <c r="S3" s="287"/>
      <c r="T3" s="290" t="s">
        <v>269</v>
      </c>
      <c r="U3" s="290"/>
      <c r="V3" s="290"/>
      <c r="W3" s="291"/>
    </row>
    <row r="4" spans="1:24" ht="15.75" customHeight="1" x14ac:dyDescent="0.25">
      <c r="A4" s="283"/>
      <c r="B4" s="292"/>
      <c r="C4" s="292"/>
      <c r="D4" s="292"/>
      <c r="E4" s="292"/>
      <c r="F4" s="292"/>
      <c r="G4" s="292"/>
      <c r="H4" s="292"/>
      <c r="I4" s="292"/>
      <c r="J4" s="292"/>
      <c r="K4" s="292"/>
      <c r="L4" s="292"/>
      <c r="M4" s="292"/>
      <c r="N4" s="292"/>
      <c r="O4" s="292"/>
      <c r="P4" s="292"/>
      <c r="Q4" s="292"/>
      <c r="R4" s="292"/>
      <c r="S4" s="293"/>
      <c r="T4" s="290" t="s">
        <v>268</v>
      </c>
      <c r="U4" s="290"/>
      <c r="V4" s="290"/>
      <c r="W4" s="291"/>
    </row>
    <row r="5" spans="1:24" ht="15.75" customHeight="1" x14ac:dyDescent="0.25">
      <c r="A5" s="283"/>
      <c r="B5" s="283"/>
      <c r="C5" s="283"/>
      <c r="D5" s="283"/>
      <c r="E5" s="283"/>
      <c r="F5" s="283"/>
      <c r="G5" s="283"/>
      <c r="H5" s="283"/>
      <c r="I5" s="283"/>
      <c r="J5" s="283"/>
      <c r="K5" s="283"/>
      <c r="L5" s="283"/>
      <c r="M5" s="283"/>
      <c r="N5" s="283"/>
      <c r="O5" s="283"/>
      <c r="P5" s="283"/>
      <c r="Q5" s="283"/>
      <c r="R5" s="283"/>
      <c r="S5" s="283"/>
      <c r="T5" s="294"/>
      <c r="U5" s="159"/>
      <c r="V5" s="159"/>
      <c r="W5" s="165"/>
    </row>
    <row r="6" spans="1:24" s="140" customFormat="1" ht="27" customHeight="1" x14ac:dyDescent="0.2">
      <c r="A6" s="295" t="str">
        <f>+Contexto!A8</f>
        <v>PROCESO: Gestión Educativa</v>
      </c>
      <c r="B6" s="295"/>
      <c r="C6" s="295"/>
      <c r="D6" s="295"/>
      <c r="E6" s="295"/>
      <c r="F6" s="295"/>
      <c r="G6" s="295"/>
      <c r="H6" s="295"/>
      <c r="I6" s="295"/>
      <c r="J6" s="295"/>
      <c r="K6" s="295"/>
      <c r="L6" s="295"/>
      <c r="M6" s="295"/>
      <c r="N6" s="295"/>
      <c r="O6" s="295"/>
      <c r="P6" s="295"/>
      <c r="Q6" s="295"/>
      <c r="R6" s="295"/>
      <c r="S6" s="295"/>
      <c r="T6" s="295"/>
      <c r="W6" s="166"/>
    </row>
    <row r="7" spans="1:24" s="140" customFormat="1" ht="81" customHeight="1" thickBot="1" x14ac:dyDescent="0.25">
      <c r="A7" s="296" t="str">
        <f>+Contexto!A9</f>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
      <c r="B7" s="296"/>
      <c r="C7" s="296"/>
      <c r="D7" s="296"/>
      <c r="E7" s="296"/>
      <c r="F7" s="296"/>
      <c r="G7" s="296"/>
      <c r="H7" s="296"/>
      <c r="I7" s="296"/>
      <c r="J7" s="296"/>
      <c r="K7" s="296"/>
      <c r="L7" s="296"/>
      <c r="M7" s="296"/>
      <c r="N7" s="296"/>
      <c r="O7" s="296"/>
      <c r="P7" s="296"/>
      <c r="Q7" s="296"/>
      <c r="R7" s="296"/>
      <c r="S7" s="296"/>
      <c r="T7" s="296"/>
      <c r="U7" s="167"/>
      <c r="V7" s="167"/>
      <c r="W7" s="168"/>
    </row>
    <row r="8" spans="1:24" s="140" customFormat="1" ht="26.25" customHeight="1" thickBot="1" x14ac:dyDescent="0.25">
      <c r="A8" s="169"/>
      <c r="B8" s="169"/>
      <c r="C8" s="169"/>
      <c r="D8" s="169"/>
      <c r="E8" s="169"/>
      <c r="F8" s="169"/>
      <c r="G8" s="169"/>
      <c r="H8" s="169"/>
      <c r="I8" s="169"/>
      <c r="J8" s="169"/>
      <c r="K8" s="169"/>
      <c r="L8" s="169"/>
      <c r="M8" s="169"/>
      <c r="N8" s="169"/>
      <c r="O8" s="169"/>
      <c r="P8" s="169"/>
      <c r="Q8" s="169"/>
      <c r="R8" s="169"/>
      <c r="S8" s="169"/>
      <c r="T8" s="170"/>
      <c r="X8" s="171"/>
    </row>
    <row r="9" spans="1:24" s="140" customFormat="1" ht="39.75" customHeight="1" thickBot="1" x14ac:dyDescent="0.25">
      <c r="A9" s="297"/>
      <c r="B9" s="297"/>
      <c r="C9" s="297" t="b">
        <v>0</v>
      </c>
      <c r="D9" s="297"/>
      <c r="E9" s="297"/>
      <c r="F9" s="297"/>
      <c r="G9" s="297"/>
      <c r="H9" s="297"/>
      <c r="I9" s="297"/>
      <c r="J9" s="297"/>
      <c r="K9" s="297"/>
      <c r="L9" s="297"/>
      <c r="M9" s="297"/>
      <c r="N9" s="297"/>
      <c r="O9" s="297"/>
      <c r="P9" s="297"/>
      <c r="Q9" s="297"/>
      <c r="R9" s="297"/>
      <c r="S9" s="297"/>
      <c r="T9" s="298"/>
    </row>
    <row r="10" spans="1:24" s="177" customFormat="1" ht="32.25" customHeight="1" thickBot="1" x14ac:dyDescent="0.3">
      <c r="A10" s="172" t="s">
        <v>229</v>
      </c>
      <c r="B10" s="173" t="s">
        <v>230</v>
      </c>
      <c r="C10" s="173" t="s">
        <v>231</v>
      </c>
      <c r="D10" s="173" t="s">
        <v>232</v>
      </c>
      <c r="E10" s="173" t="s">
        <v>233</v>
      </c>
      <c r="F10" s="173" t="s">
        <v>234</v>
      </c>
      <c r="G10" s="173" t="s">
        <v>235</v>
      </c>
      <c r="H10" s="173" t="s">
        <v>236</v>
      </c>
      <c r="I10" s="173" t="s">
        <v>237</v>
      </c>
      <c r="J10" s="173" t="s">
        <v>238</v>
      </c>
      <c r="K10" s="173" t="s">
        <v>239</v>
      </c>
      <c r="L10" s="173" t="s">
        <v>240</v>
      </c>
      <c r="M10" s="173" t="s">
        <v>241</v>
      </c>
      <c r="N10" s="173" t="s">
        <v>242</v>
      </c>
      <c r="O10" s="173" t="s">
        <v>243</v>
      </c>
      <c r="P10" s="173" t="s">
        <v>244</v>
      </c>
      <c r="Q10" s="173" t="s">
        <v>245</v>
      </c>
      <c r="R10" s="174" t="s">
        <v>246</v>
      </c>
      <c r="S10" s="175" t="s">
        <v>247</v>
      </c>
      <c r="T10" s="176" t="s">
        <v>248</v>
      </c>
    </row>
    <row r="11" spans="1:24" ht="39.75" customHeight="1" x14ac:dyDescent="0.25">
      <c r="A11" s="178">
        <v>1</v>
      </c>
      <c r="B11" s="211" t="str">
        <f>+[2]CONTEXTO!B12</f>
        <v>Cambios normativos en lo que concierne a la implementación de politicas educativas nacionales</v>
      </c>
      <c r="C11" s="179">
        <v>4</v>
      </c>
      <c r="D11" s="179">
        <v>3</v>
      </c>
      <c r="E11" s="179">
        <v>4</v>
      </c>
      <c r="F11" s="179">
        <v>4</v>
      </c>
      <c r="G11" s="179">
        <v>3</v>
      </c>
      <c r="H11" s="179"/>
      <c r="I11" s="179"/>
      <c r="J11" s="179"/>
      <c r="K11" s="179"/>
      <c r="L11" s="179"/>
      <c r="M11" s="179"/>
      <c r="N11" s="179"/>
      <c r="O11" s="179"/>
      <c r="P11" s="179"/>
      <c r="Q11" s="179"/>
      <c r="R11" s="178">
        <f>SUM(C11:Q11)</f>
        <v>18</v>
      </c>
      <c r="S11" s="180">
        <f>IF(ISERROR(AVERAGE(C11:Q11)),0,AVERAGE(C11:Q11))</f>
        <v>3.6</v>
      </c>
      <c r="T11" s="194"/>
    </row>
    <row r="12" spans="1:24" ht="45.75" customHeight="1" x14ac:dyDescent="0.25">
      <c r="A12" s="178">
        <v>2</v>
      </c>
      <c r="B12" s="211" t="str">
        <f>+[2]CONTEXTO!B13</f>
        <v>Cese de actividades por parte de la comunidad educativa</v>
      </c>
      <c r="C12" s="179">
        <v>5</v>
      </c>
      <c r="D12" s="179">
        <v>4</v>
      </c>
      <c r="E12" s="179">
        <v>4</v>
      </c>
      <c r="F12" s="179">
        <v>3</v>
      </c>
      <c r="G12" s="179">
        <v>4</v>
      </c>
      <c r="H12" s="179"/>
      <c r="I12" s="179"/>
      <c r="J12" s="179"/>
      <c r="K12" s="179"/>
      <c r="L12" s="179"/>
      <c r="M12" s="179"/>
      <c r="N12" s="179"/>
      <c r="O12" s="179"/>
      <c r="P12" s="179"/>
      <c r="Q12" s="179"/>
      <c r="R12" s="178">
        <f>SUM(C12:Q12)</f>
        <v>20</v>
      </c>
      <c r="S12" s="180">
        <f t="shared" ref="S12:S28" si="0">IF(ISERROR(AVERAGE(C12:Q12)),0,AVERAGE(C12:Q12))</f>
        <v>4</v>
      </c>
      <c r="T12" s="195"/>
    </row>
    <row r="13" spans="1:24" ht="65.25" customHeight="1" x14ac:dyDescent="0.25">
      <c r="A13" s="178">
        <v>3</v>
      </c>
      <c r="B13" s="211" t="str">
        <f>+[2]CONTEXTO!B14</f>
        <v>Entorno Socio- Economico Perjudicial para Niños, Niñas y Jovenes paa el normal desarrollo de los procesos educativos</v>
      </c>
      <c r="C13" s="179">
        <v>4</v>
      </c>
      <c r="D13" s="179">
        <v>4</v>
      </c>
      <c r="E13" s="179">
        <v>4</v>
      </c>
      <c r="F13" s="179">
        <v>4</v>
      </c>
      <c r="G13" s="179">
        <v>5</v>
      </c>
      <c r="H13" s="179"/>
      <c r="I13" s="179"/>
      <c r="J13" s="179"/>
      <c r="K13" s="179"/>
      <c r="L13" s="179"/>
      <c r="M13" s="179"/>
      <c r="N13" s="179"/>
      <c r="O13" s="179"/>
      <c r="P13" s="179"/>
      <c r="Q13" s="179"/>
      <c r="R13" s="178">
        <f t="shared" ref="R13:R28" si="1">SUM(C13:Q13)</f>
        <v>21</v>
      </c>
      <c r="S13" s="180">
        <f t="shared" si="0"/>
        <v>4.2</v>
      </c>
      <c r="T13" s="196"/>
    </row>
    <row r="14" spans="1:24" ht="39.75" customHeight="1" x14ac:dyDescent="0.25">
      <c r="A14" s="178">
        <v>4</v>
      </c>
      <c r="B14" s="211" t="str">
        <f>+[2]CONTEXTO!B15</f>
        <v>Cambios de Gobierno</v>
      </c>
      <c r="C14" s="179">
        <v>4</v>
      </c>
      <c r="D14" s="179">
        <v>3</v>
      </c>
      <c r="E14" s="179">
        <v>3</v>
      </c>
      <c r="F14" s="179">
        <v>5</v>
      </c>
      <c r="G14" s="179">
        <v>2</v>
      </c>
      <c r="H14" s="179"/>
      <c r="I14" s="179"/>
      <c r="J14" s="179"/>
      <c r="K14" s="179"/>
      <c r="L14" s="179"/>
      <c r="M14" s="179"/>
      <c r="N14" s="179"/>
      <c r="O14" s="179"/>
      <c r="P14" s="179"/>
      <c r="Q14" s="179"/>
      <c r="R14" s="178">
        <f t="shared" si="1"/>
        <v>17</v>
      </c>
      <c r="S14" s="180">
        <f t="shared" si="0"/>
        <v>3.4</v>
      </c>
      <c r="T14" s="196"/>
    </row>
    <row r="15" spans="1:24" ht="39.75" customHeight="1" x14ac:dyDescent="0.25">
      <c r="A15" s="178">
        <v>5</v>
      </c>
      <c r="B15" s="211" t="str">
        <f>+[2]CONTEXTO!B16</f>
        <v>Deficiencias e interrupción en los sistemas de información del Ministerio de Educación</v>
      </c>
      <c r="C15" s="179">
        <v>3</v>
      </c>
      <c r="D15" s="179">
        <v>3</v>
      </c>
      <c r="E15" s="179">
        <v>4</v>
      </c>
      <c r="F15" s="179">
        <v>3</v>
      </c>
      <c r="G15" s="179">
        <v>3</v>
      </c>
      <c r="H15" s="179"/>
      <c r="I15" s="179"/>
      <c r="J15" s="179"/>
      <c r="K15" s="179"/>
      <c r="L15" s="179"/>
      <c r="M15" s="179"/>
      <c r="N15" s="179"/>
      <c r="O15" s="179"/>
      <c r="P15" s="179"/>
      <c r="Q15" s="179"/>
      <c r="R15" s="178">
        <f t="shared" si="1"/>
        <v>16</v>
      </c>
      <c r="S15" s="180">
        <f t="shared" si="0"/>
        <v>3.2</v>
      </c>
      <c r="T15" s="196"/>
    </row>
    <row r="16" spans="1:24" ht="39.75" customHeight="1" x14ac:dyDescent="0.25">
      <c r="A16" s="178">
        <v>6</v>
      </c>
      <c r="B16" s="211" t="str">
        <f>+[2]CONTEXTO!B17</f>
        <v>Declaratoria de Calamidad producto de Pandemias o Catastrofes Naturales</v>
      </c>
      <c r="C16" s="179">
        <v>3</v>
      </c>
      <c r="D16" s="179">
        <v>5</v>
      </c>
      <c r="E16" s="179">
        <v>5</v>
      </c>
      <c r="F16" s="179">
        <v>5</v>
      </c>
      <c r="G16" s="179">
        <v>5</v>
      </c>
      <c r="H16" s="179"/>
      <c r="I16" s="179"/>
      <c r="J16" s="179"/>
      <c r="K16" s="179"/>
      <c r="L16" s="179"/>
      <c r="M16" s="179"/>
      <c r="N16" s="179"/>
      <c r="O16" s="179"/>
      <c r="P16" s="179"/>
      <c r="Q16" s="179"/>
      <c r="R16" s="178">
        <f t="shared" si="1"/>
        <v>23</v>
      </c>
      <c r="S16" s="180">
        <f t="shared" si="0"/>
        <v>4.5999999999999996</v>
      </c>
      <c r="T16" s="196"/>
    </row>
    <row r="17" spans="1:20" ht="39.75" customHeight="1" x14ac:dyDescent="0.25">
      <c r="A17" s="178">
        <v>7</v>
      </c>
      <c r="B17" s="211" t="str">
        <f>+[2]CONTEXTO!B18</f>
        <v>Deficiencia en las estrategias de comunicación con los Padres de Familia y Alumnos</v>
      </c>
      <c r="C17" s="179">
        <v>5</v>
      </c>
      <c r="D17" s="179">
        <v>5</v>
      </c>
      <c r="E17" s="179">
        <v>4</v>
      </c>
      <c r="F17" s="179">
        <v>4</v>
      </c>
      <c r="G17" s="179">
        <v>4</v>
      </c>
      <c r="H17" s="179"/>
      <c r="I17" s="179"/>
      <c r="J17" s="179"/>
      <c r="K17" s="179"/>
      <c r="L17" s="179"/>
      <c r="M17" s="179"/>
      <c r="N17" s="179"/>
      <c r="O17" s="179"/>
      <c r="P17" s="179"/>
      <c r="Q17" s="179"/>
      <c r="R17" s="178">
        <f t="shared" si="1"/>
        <v>22</v>
      </c>
      <c r="S17" s="180">
        <f t="shared" si="0"/>
        <v>4.4000000000000004</v>
      </c>
      <c r="T17" s="196"/>
    </row>
    <row r="18" spans="1:20" ht="46.5" customHeight="1" x14ac:dyDescent="0.25">
      <c r="A18" s="178">
        <v>8</v>
      </c>
      <c r="B18" s="214" t="str">
        <f>+[2]CONTEXTO!D12</f>
        <v>Base de datos desactualizada o con información erronea</v>
      </c>
      <c r="C18" s="179">
        <v>4</v>
      </c>
      <c r="D18" s="179">
        <v>4</v>
      </c>
      <c r="E18" s="179">
        <v>4</v>
      </c>
      <c r="F18" s="179">
        <v>4</v>
      </c>
      <c r="G18" s="179">
        <v>4</v>
      </c>
      <c r="H18" s="179"/>
      <c r="I18" s="179"/>
      <c r="J18" s="179"/>
      <c r="K18" s="179"/>
      <c r="L18" s="179"/>
      <c r="M18" s="179"/>
      <c r="N18" s="179"/>
      <c r="O18" s="179"/>
      <c r="P18" s="179"/>
      <c r="Q18" s="179"/>
      <c r="R18" s="178">
        <f t="shared" si="1"/>
        <v>20</v>
      </c>
      <c r="S18" s="180">
        <f t="shared" si="0"/>
        <v>4</v>
      </c>
      <c r="T18" s="196"/>
    </row>
    <row r="19" spans="1:20" ht="47.25" customHeight="1" x14ac:dyDescent="0.25">
      <c r="A19" s="178">
        <v>9</v>
      </c>
      <c r="B19" s="214" t="str">
        <f>+[2]CONTEXTO!D13</f>
        <v>Personal insuficiente para la implementación de las estrategias y polìticas educativas Nacionales</v>
      </c>
      <c r="C19" s="179">
        <v>4</v>
      </c>
      <c r="D19" s="179">
        <v>3</v>
      </c>
      <c r="E19" s="179">
        <v>4</v>
      </c>
      <c r="F19" s="179">
        <v>2</v>
      </c>
      <c r="G19" s="179">
        <v>3</v>
      </c>
      <c r="H19" s="179"/>
      <c r="I19" s="179"/>
      <c r="J19" s="179"/>
      <c r="K19" s="179"/>
      <c r="L19" s="179"/>
      <c r="M19" s="179"/>
      <c r="N19" s="179"/>
      <c r="O19" s="179"/>
      <c r="P19" s="179"/>
      <c r="Q19" s="179"/>
      <c r="R19" s="178">
        <f t="shared" si="1"/>
        <v>16</v>
      </c>
      <c r="S19" s="180">
        <f t="shared" si="0"/>
        <v>3.2</v>
      </c>
      <c r="T19" s="196"/>
    </row>
    <row r="20" spans="1:20" ht="57" x14ac:dyDescent="0.25">
      <c r="A20" s="178">
        <v>10</v>
      </c>
      <c r="B20" s="214" t="str">
        <f>+[2]CONTEXTO!D14</f>
        <v>Talento humano en condiciones de salud y edad que no permiten el desarrollo satisfactorio de las actidades academicas.</v>
      </c>
      <c r="C20" s="179">
        <v>4</v>
      </c>
      <c r="D20" s="179">
        <v>3</v>
      </c>
      <c r="E20" s="179">
        <v>3</v>
      </c>
      <c r="F20" s="179">
        <v>2</v>
      </c>
      <c r="G20" s="179">
        <v>3</v>
      </c>
      <c r="H20" s="179"/>
      <c r="I20" s="179"/>
      <c r="J20" s="179"/>
      <c r="K20" s="179"/>
      <c r="L20" s="179"/>
      <c r="M20" s="179"/>
      <c r="N20" s="179"/>
      <c r="O20" s="179"/>
      <c r="P20" s="179"/>
      <c r="Q20" s="179"/>
      <c r="R20" s="178">
        <f t="shared" si="1"/>
        <v>15</v>
      </c>
      <c r="S20" s="180">
        <f t="shared" si="0"/>
        <v>3</v>
      </c>
      <c r="T20" s="196"/>
    </row>
    <row r="21" spans="1:20" ht="39.75" customHeight="1" x14ac:dyDescent="0.25">
      <c r="A21" s="178">
        <v>11</v>
      </c>
      <c r="B21" s="214" t="str">
        <f>+[2]CONTEXTO!D15</f>
        <v>Falta de liderazgo y compromiso por parte de las Directivas de algunas Insituciones Educativas</v>
      </c>
      <c r="C21" s="179">
        <v>4</v>
      </c>
      <c r="D21" s="179">
        <v>2</v>
      </c>
      <c r="E21" s="179">
        <v>3</v>
      </c>
      <c r="F21" s="179">
        <v>4</v>
      </c>
      <c r="G21" s="179">
        <v>3</v>
      </c>
      <c r="H21" s="179"/>
      <c r="I21" s="179"/>
      <c r="J21" s="179"/>
      <c r="K21" s="179"/>
      <c r="L21" s="179"/>
      <c r="M21" s="179"/>
      <c r="N21" s="179"/>
      <c r="O21" s="179"/>
      <c r="P21" s="179"/>
      <c r="Q21" s="179"/>
      <c r="R21" s="178">
        <f t="shared" si="1"/>
        <v>16</v>
      </c>
      <c r="S21" s="180">
        <f t="shared" si="0"/>
        <v>3.2</v>
      </c>
      <c r="T21" s="196"/>
    </row>
    <row r="22" spans="1:20" ht="45.75" customHeight="1" x14ac:dyDescent="0.25">
      <c r="A22" s="178">
        <v>12</v>
      </c>
      <c r="B22" s="214" t="str">
        <f>+[2]CONTEXTO!D16</f>
        <v>Exclusion y discriminacion por parte del docente y compañeros hacia el educando.</v>
      </c>
      <c r="C22" s="179">
        <v>4</v>
      </c>
      <c r="D22" s="179">
        <v>3</v>
      </c>
      <c r="E22" s="179">
        <v>3</v>
      </c>
      <c r="F22" s="179">
        <v>1</v>
      </c>
      <c r="G22" s="179">
        <v>2</v>
      </c>
      <c r="H22" s="179"/>
      <c r="I22" s="179"/>
      <c r="J22" s="179"/>
      <c r="K22" s="179"/>
      <c r="L22" s="179"/>
      <c r="M22" s="179"/>
      <c r="N22" s="179"/>
      <c r="O22" s="179"/>
      <c r="P22" s="179"/>
      <c r="Q22" s="179"/>
      <c r="R22" s="178">
        <f t="shared" si="1"/>
        <v>13</v>
      </c>
      <c r="S22" s="180">
        <f t="shared" si="0"/>
        <v>2.6</v>
      </c>
      <c r="T22" s="196"/>
    </row>
    <row r="23" spans="1:20" ht="49.5" customHeight="1" x14ac:dyDescent="0.25">
      <c r="A23" s="178">
        <v>13</v>
      </c>
      <c r="B23" s="214" t="str">
        <f>+[2]CONTEXTO!D17</f>
        <v>Falta de mayor difusión e interiorización del manual de convivencia escolar</v>
      </c>
      <c r="C23" s="179">
        <v>3</v>
      </c>
      <c r="D23" s="179">
        <v>3</v>
      </c>
      <c r="E23" s="179">
        <v>2</v>
      </c>
      <c r="F23" s="179">
        <v>1</v>
      </c>
      <c r="G23" s="179">
        <v>2</v>
      </c>
      <c r="H23" s="179"/>
      <c r="I23" s="179"/>
      <c r="J23" s="179"/>
      <c r="K23" s="179"/>
      <c r="L23" s="179"/>
      <c r="M23" s="179"/>
      <c r="N23" s="179"/>
      <c r="O23" s="179"/>
      <c r="P23" s="179"/>
      <c r="Q23" s="179"/>
      <c r="R23" s="178">
        <f t="shared" si="1"/>
        <v>11</v>
      </c>
      <c r="S23" s="180">
        <f t="shared" si="0"/>
        <v>2.2000000000000002</v>
      </c>
      <c r="T23" s="196"/>
    </row>
    <row r="24" spans="1:20" ht="39.75" customHeight="1" x14ac:dyDescent="0.25">
      <c r="A24" s="178">
        <v>14</v>
      </c>
      <c r="B24" s="214" t="str">
        <f>+[2]CONTEXTO!D18</f>
        <v>Obsolesencia en algunos equipos tecnologicos para el desarrollo de las actividades</v>
      </c>
      <c r="C24" s="179">
        <v>4</v>
      </c>
      <c r="D24" s="179">
        <v>3</v>
      </c>
      <c r="E24" s="179">
        <v>3</v>
      </c>
      <c r="F24" s="179">
        <v>2</v>
      </c>
      <c r="G24" s="179">
        <v>2</v>
      </c>
      <c r="H24" s="179"/>
      <c r="I24" s="179"/>
      <c r="J24" s="179"/>
      <c r="K24" s="179"/>
      <c r="L24" s="179"/>
      <c r="M24" s="179"/>
      <c r="N24" s="179"/>
      <c r="O24" s="179"/>
      <c r="P24" s="179"/>
      <c r="Q24" s="179"/>
      <c r="R24" s="178">
        <f t="shared" si="1"/>
        <v>14</v>
      </c>
      <c r="S24" s="180">
        <f t="shared" si="0"/>
        <v>2.8</v>
      </c>
      <c r="T24" s="196"/>
    </row>
    <row r="25" spans="1:20" ht="42.75" x14ac:dyDescent="0.25">
      <c r="A25" s="178">
        <v>15</v>
      </c>
      <c r="B25" s="214" t="str">
        <f>+[2]CONTEXTO!D19</f>
        <v>Ubicaciòn de sedes educativas en zonas de dificil acceso que genera difultad en la prestaciòn del servicio educativo</v>
      </c>
      <c r="C25" s="179">
        <v>4</v>
      </c>
      <c r="D25" s="179">
        <v>3</v>
      </c>
      <c r="E25" s="179">
        <v>3</v>
      </c>
      <c r="F25" s="179">
        <v>2</v>
      </c>
      <c r="G25" s="179">
        <v>3</v>
      </c>
      <c r="H25" s="179"/>
      <c r="I25" s="179"/>
      <c r="J25" s="179"/>
      <c r="K25" s="179"/>
      <c r="L25" s="179"/>
      <c r="M25" s="179"/>
      <c r="N25" s="179"/>
      <c r="O25" s="179"/>
      <c r="P25" s="179"/>
      <c r="Q25" s="179"/>
      <c r="R25" s="178">
        <f t="shared" si="1"/>
        <v>15</v>
      </c>
      <c r="S25" s="180">
        <f t="shared" si="0"/>
        <v>3</v>
      </c>
      <c r="T25" s="196"/>
    </row>
    <row r="26" spans="1:20" ht="48.75" customHeight="1" x14ac:dyDescent="0.25">
      <c r="A26" s="178">
        <v>16</v>
      </c>
      <c r="B26" s="214" t="str">
        <f>+[2]CONTEXTO!D20</f>
        <v xml:space="preserve">Falta de legalizaciòn de predios </v>
      </c>
      <c r="C26" s="179">
        <v>3</v>
      </c>
      <c r="D26" s="179">
        <v>1</v>
      </c>
      <c r="E26" s="179">
        <v>2</v>
      </c>
      <c r="F26" s="179">
        <v>3</v>
      </c>
      <c r="G26" s="179">
        <v>1</v>
      </c>
      <c r="H26" s="179"/>
      <c r="I26" s="179"/>
      <c r="J26" s="179"/>
      <c r="K26" s="179"/>
      <c r="L26" s="179"/>
      <c r="M26" s="179"/>
      <c r="N26" s="179"/>
      <c r="O26" s="179"/>
      <c r="P26" s="179"/>
      <c r="Q26" s="179"/>
      <c r="R26" s="178">
        <f t="shared" si="1"/>
        <v>10</v>
      </c>
      <c r="S26" s="180">
        <f t="shared" si="0"/>
        <v>2</v>
      </c>
      <c r="T26" s="196"/>
    </row>
    <row r="27" spans="1:20" ht="57" x14ac:dyDescent="0.25">
      <c r="A27" s="178">
        <v>17</v>
      </c>
      <c r="B27" s="218" t="str">
        <f>+[2]CONTEXTO!F12</f>
        <v>falta de comunicación oportuna con otros procesos, que genera demora en respuestas de PQR y requerimientos de entes de control</v>
      </c>
      <c r="C27" s="179">
        <v>2</v>
      </c>
      <c r="D27" s="179">
        <v>3</v>
      </c>
      <c r="E27" s="179">
        <v>4</v>
      </c>
      <c r="F27" s="179">
        <v>4</v>
      </c>
      <c r="G27" s="179">
        <v>3</v>
      </c>
      <c r="H27" s="179"/>
      <c r="I27" s="179"/>
      <c r="J27" s="179"/>
      <c r="K27" s="179"/>
      <c r="L27" s="179"/>
      <c r="M27" s="179"/>
      <c r="N27" s="179"/>
      <c r="O27" s="179"/>
      <c r="P27" s="179"/>
      <c r="Q27" s="179"/>
      <c r="R27" s="178">
        <f t="shared" si="1"/>
        <v>16</v>
      </c>
      <c r="S27" s="180">
        <f t="shared" si="0"/>
        <v>3.2</v>
      </c>
      <c r="T27" s="196"/>
    </row>
    <row r="28" spans="1:20" ht="28.5" x14ac:dyDescent="0.25">
      <c r="A28" s="178">
        <v>18</v>
      </c>
      <c r="B28" s="218" t="str">
        <f>+[2]CONTEXTO!F13</f>
        <v>Falta de articulacion adecuada con los otros procesos de la Administración</v>
      </c>
      <c r="C28" s="179">
        <v>3</v>
      </c>
      <c r="D28" s="179">
        <v>3</v>
      </c>
      <c r="E28" s="179">
        <v>4</v>
      </c>
      <c r="F28" s="179">
        <v>5</v>
      </c>
      <c r="G28" s="179">
        <v>3</v>
      </c>
      <c r="H28" s="179"/>
      <c r="I28" s="179"/>
      <c r="J28" s="179"/>
      <c r="K28" s="179"/>
      <c r="L28" s="179"/>
      <c r="M28" s="179"/>
      <c r="N28" s="179"/>
      <c r="O28" s="179"/>
      <c r="P28" s="179"/>
      <c r="Q28" s="179"/>
      <c r="R28" s="178">
        <f t="shared" si="1"/>
        <v>18</v>
      </c>
      <c r="S28" s="180">
        <f t="shared" si="0"/>
        <v>3.6</v>
      </c>
      <c r="T28" s="196"/>
    </row>
    <row r="29" spans="1:20" ht="48" customHeight="1" x14ac:dyDescent="0.25">
      <c r="A29" s="178">
        <v>19</v>
      </c>
      <c r="B29" s="150"/>
      <c r="C29" s="179"/>
      <c r="D29" s="179"/>
      <c r="E29" s="179"/>
      <c r="F29" s="179"/>
      <c r="G29" s="179"/>
      <c r="H29" s="179"/>
      <c r="I29" s="179"/>
      <c r="J29" s="179"/>
      <c r="K29" s="179"/>
      <c r="L29" s="179"/>
      <c r="M29" s="179"/>
      <c r="N29" s="179"/>
      <c r="O29" s="179"/>
      <c r="P29" s="179"/>
      <c r="Q29" s="179"/>
      <c r="R29" s="178"/>
      <c r="S29" s="180"/>
      <c r="T29" s="181"/>
    </row>
    <row r="30" spans="1:20" ht="39.75" customHeight="1" x14ac:dyDescent="0.25">
      <c r="A30" s="178">
        <v>20</v>
      </c>
      <c r="B30" s="150"/>
      <c r="C30" s="179"/>
      <c r="D30" s="179"/>
      <c r="E30" s="179"/>
      <c r="F30" s="179"/>
      <c r="G30" s="179"/>
      <c r="H30" s="179"/>
      <c r="I30" s="179"/>
      <c r="J30" s="179"/>
      <c r="K30" s="179"/>
      <c r="L30" s="179"/>
      <c r="M30" s="179"/>
      <c r="N30" s="179"/>
      <c r="O30" s="179"/>
      <c r="P30" s="179"/>
      <c r="Q30" s="179"/>
      <c r="R30" s="178"/>
      <c r="S30" s="180"/>
      <c r="T30" s="181"/>
    </row>
    <row r="31" spans="1:20" ht="49.5" customHeight="1" x14ac:dyDescent="0.25">
      <c r="A31" s="178">
        <v>21</v>
      </c>
      <c r="B31" s="150"/>
      <c r="C31" s="179"/>
      <c r="D31" s="179"/>
      <c r="E31" s="179"/>
      <c r="F31" s="179"/>
      <c r="G31" s="179"/>
      <c r="H31" s="179"/>
      <c r="I31" s="179"/>
      <c r="J31" s="179"/>
      <c r="K31" s="179"/>
      <c r="L31" s="179"/>
      <c r="M31" s="179"/>
      <c r="N31" s="179"/>
      <c r="O31" s="179"/>
      <c r="P31" s="179"/>
      <c r="Q31" s="179"/>
      <c r="R31" s="178"/>
      <c r="S31" s="180"/>
      <c r="T31" s="181"/>
    </row>
    <row r="32" spans="1:20" ht="42" customHeight="1" x14ac:dyDescent="0.25">
      <c r="A32" s="178">
        <v>22</v>
      </c>
      <c r="B32" s="150"/>
      <c r="C32" s="179"/>
      <c r="D32" s="179"/>
      <c r="E32" s="179"/>
      <c r="F32" s="179"/>
      <c r="G32" s="179"/>
      <c r="H32" s="179"/>
      <c r="I32" s="179"/>
      <c r="J32" s="179"/>
      <c r="K32" s="179"/>
      <c r="L32" s="179"/>
      <c r="M32" s="179"/>
      <c r="N32" s="179"/>
      <c r="O32" s="179"/>
      <c r="P32" s="179"/>
      <c r="Q32" s="179"/>
      <c r="R32" s="178"/>
      <c r="S32" s="182"/>
      <c r="T32" s="181"/>
    </row>
    <row r="33" spans="1:20" ht="48" customHeight="1" x14ac:dyDescent="0.25">
      <c r="A33" s="178">
        <v>23</v>
      </c>
      <c r="B33" s="150"/>
      <c r="C33" s="179"/>
      <c r="D33" s="179"/>
      <c r="E33" s="179"/>
      <c r="F33" s="179"/>
      <c r="G33" s="179"/>
      <c r="H33" s="179"/>
      <c r="I33" s="179"/>
      <c r="J33" s="179"/>
      <c r="K33" s="179"/>
      <c r="L33" s="179"/>
      <c r="M33" s="179"/>
      <c r="N33" s="179"/>
      <c r="O33" s="179"/>
      <c r="P33" s="179"/>
      <c r="Q33" s="179"/>
      <c r="R33" s="178"/>
      <c r="S33" s="182"/>
      <c r="T33" s="181"/>
    </row>
    <row r="34" spans="1:20" ht="46.5" customHeight="1" x14ac:dyDescent="0.25">
      <c r="A34" s="178">
        <v>24</v>
      </c>
      <c r="B34" s="150"/>
      <c r="C34" s="179"/>
      <c r="D34" s="179"/>
      <c r="E34" s="179"/>
      <c r="F34" s="179"/>
      <c r="G34" s="179"/>
      <c r="H34" s="179"/>
      <c r="I34" s="179"/>
      <c r="J34" s="179"/>
      <c r="K34" s="179"/>
      <c r="L34" s="179"/>
      <c r="M34" s="179"/>
      <c r="N34" s="179"/>
      <c r="O34" s="179"/>
      <c r="P34" s="179"/>
      <c r="Q34" s="179"/>
      <c r="R34" s="178"/>
      <c r="S34" s="182"/>
      <c r="T34" s="181"/>
    </row>
    <row r="35" spans="1:20" ht="44.25" customHeight="1" x14ac:dyDescent="0.25">
      <c r="A35" s="178">
        <v>25</v>
      </c>
      <c r="B35" s="150"/>
      <c r="C35" s="179"/>
      <c r="D35" s="179"/>
      <c r="E35" s="179"/>
      <c r="F35" s="179"/>
      <c r="G35" s="179"/>
      <c r="H35" s="179"/>
      <c r="I35" s="179"/>
      <c r="J35" s="179"/>
      <c r="K35" s="179"/>
      <c r="L35" s="179"/>
      <c r="M35" s="179"/>
      <c r="N35" s="179"/>
      <c r="O35" s="179"/>
      <c r="P35" s="179"/>
      <c r="Q35" s="179"/>
      <c r="R35" s="178">
        <f t="shared" ref="R35:R39" si="2">SUM(C35:Q35)</f>
        <v>0</v>
      </c>
      <c r="S35" s="182">
        <f t="shared" ref="S35:S39" si="3">IF(ISERROR(AVERAGE(C35:Q35)),0,AVERAGE(C35:Q35))</f>
        <v>0</v>
      </c>
      <c r="T35" s="181"/>
    </row>
    <row r="36" spans="1:20" ht="42.75" customHeight="1" x14ac:dyDescent="0.25">
      <c r="A36" s="178">
        <v>26</v>
      </c>
      <c r="B36" s="150"/>
      <c r="C36" s="179"/>
      <c r="D36" s="179"/>
      <c r="E36" s="179"/>
      <c r="F36" s="179"/>
      <c r="G36" s="179"/>
      <c r="H36" s="179"/>
      <c r="I36" s="179"/>
      <c r="J36" s="179"/>
      <c r="K36" s="179"/>
      <c r="L36" s="179"/>
      <c r="M36" s="179"/>
      <c r="N36" s="179"/>
      <c r="O36" s="179"/>
      <c r="P36" s="179"/>
      <c r="Q36" s="179"/>
      <c r="R36" s="178">
        <f t="shared" si="2"/>
        <v>0</v>
      </c>
      <c r="S36" s="182">
        <f t="shared" si="3"/>
        <v>0</v>
      </c>
      <c r="T36" s="181"/>
    </row>
    <row r="37" spans="1:20" ht="42" customHeight="1" x14ac:dyDescent="0.25">
      <c r="A37" s="178">
        <v>27</v>
      </c>
      <c r="B37" s="150"/>
      <c r="C37" s="179"/>
      <c r="D37" s="179"/>
      <c r="E37" s="179"/>
      <c r="F37" s="179"/>
      <c r="G37" s="179"/>
      <c r="H37" s="179"/>
      <c r="I37" s="179"/>
      <c r="J37" s="179"/>
      <c r="K37" s="179"/>
      <c r="L37" s="179"/>
      <c r="M37" s="179"/>
      <c r="N37" s="179"/>
      <c r="O37" s="179"/>
      <c r="P37" s="179"/>
      <c r="Q37" s="179"/>
      <c r="R37" s="178">
        <f t="shared" si="2"/>
        <v>0</v>
      </c>
      <c r="S37" s="182">
        <f t="shared" si="3"/>
        <v>0</v>
      </c>
      <c r="T37" s="181"/>
    </row>
    <row r="38" spans="1:20" ht="42.75" customHeight="1" x14ac:dyDescent="0.25">
      <c r="A38" s="178">
        <v>28</v>
      </c>
      <c r="B38" s="150"/>
      <c r="C38" s="179"/>
      <c r="D38" s="179"/>
      <c r="E38" s="179"/>
      <c r="F38" s="179"/>
      <c r="G38" s="179"/>
      <c r="H38" s="179"/>
      <c r="I38" s="179"/>
      <c r="J38" s="179"/>
      <c r="K38" s="179"/>
      <c r="L38" s="179"/>
      <c r="M38" s="179"/>
      <c r="N38" s="179"/>
      <c r="O38" s="179"/>
      <c r="P38" s="179"/>
      <c r="Q38" s="179"/>
      <c r="R38" s="178">
        <f t="shared" si="2"/>
        <v>0</v>
      </c>
      <c r="S38" s="182">
        <f t="shared" si="3"/>
        <v>0</v>
      </c>
      <c r="T38" s="181"/>
    </row>
    <row r="39" spans="1:20" ht="47.25" customHeight="1" x14ac:dyDescent="0.25">
      <c r="A39" s="178">
        <v>29</v>
      </c>
      <c r="B39" s="150"/>
      <c r="C39" s="179"/>
      <c r="D39" s="179"/>
      <c r="E39" s="179"/>
      <c r="F39" s="179"/>
      <c r="G39" s="179"/>
      <c r="H39" s="179"/>
      <c r="I39" s="179"/>
      <c r="J39" s="179"/>
      <c r="K39" s="179"/>
      <c r="L39" s="179"/>
      <c r="M39" s="179"/>
      <c r="N39" s="179"/>
      <c r="O39" s="179"/>
      <c r="P39" s="179"/>
      <c r="Q39" s="179"/>
      <c r="R39" s="178">
        <f t="shared" si="2"/>
        <v>0</v>
      </c>
      <c r="S39" s="182">
        <f t="shared" si="3"/>
        <v>0</v>
      </c>
      <c r="T39" s="181"/>
    </row>
    <row r="40" spans="1:20" ht="50.25" customHeight="1" thickBot="1" x14ac:dyDescent="0.3">
      <c r="A40" s="183">
        <v>30</v>
      </c>
      <c r="B40" s="184"/>
      <c r="C40" s="185"/>
      <c r="D40" s="185"/>
      <c r="E40" s="185"/>
      <c r="F40" s="185"/>
      <c r="G40" s="185"/>
      <c r="H40" s="185"/>
      <c r="I40" s="185"/>
      <c r="J40" s="185"/>
      <c r="K40" s="185"/>
      <c r="L40" s="185"/>
      <c r="M40" s="185"/>
      <c r="N40" s="185"/>
      <c r="O40" s="185"/>
      <c r="P40" s="185"/>
      <c r="Q40" s="185"/>
      <c r="R40" s="183">
        <f>SUM(C40:Q40)</f>
        <v>0</v>
      </c>
      <c r="S40" s="186">
        <f>IF(ISERROR(AVERAGE(C40:Q40)),0,AVERAGE(C40:Q40))</f>
        <v>0</v>
      </c>
      <c r="T40" s="187"/>
    </row>
    <row r="41" spans="1:20" ht="24" customHeight="1" x14ac:dyDescent="0.25">
      <c r="A41" s="299" t="s">
        <v>249</v>
      </c>
      <c r="B41" s="300"/>
      <c r="C41" s="300"/>
      <c r="D41" s="300"/>
      <c r="E41" s="300"/>
      <c r="F41" s="300"/>
      <c r="G41" s="300"/>
      <c r="H41" s="300"/>
      <c r="I41" s="300"/>
      <c r="J41" s="300"/>
      <c r="K41" s="300"/>
      <c r="L41" s="300"/>
      <c r="M41" s="300"/>
      <c r="N41" s="300"/>
      <c r="O41" s="300"/>
      <c r="P41" s="300"/>
      <c r="Q41" s="300"/>
      <c r="R41" s="301"/>
      <c r="S41" s="188">
        <f>SUM(S11:S40)</f>
        <v>60.20000000000001</v>
      </c>
    </row>
    <row r="42" spans="1:20" ht="28.5" customHeight="1" thickBot="1" x14ac:dyDescent="0.3">
      <c r="A42" s="279" t="s">
        <v>247</v>
      </c>
      <c r="B42" s="280"/>
      <c r="C42" s="280"/>
      <c r="D42" s="280"/>
      <c r="E42" s="280"/>
      <c r="F42" s="280"/>
      <c r="G42" s="280"/>
      <c r="H42" s="280"/>
      <c r="I42" s="280"/>
      <c r="J42" s="280"/>
      <c r="K42" s="280"/>
      <c r="L42" s="280"/>
      <c r="M42" s="280"/>
      <c r="N42" s="280"/>
      <c r="O42" s="280"/>
      <c r="P42" s="280"/>
      <c r="Q42" s="280"/>
      <c r="R42" s="280"/>
      <c r="S42" s="189">
        <f>S41/A40</f>
        <v>2.0066666666666668</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2"/>
  <sheetViews>
    <sheetView topLeftCell="A38" workbookViewId="0">
      <selection activeCell="C45" sqref="C45:D45"/>
    </sheetView>
  </sheetViews>
  <sheetFormatPr baseColWidth="10" defaultColWidth="11.42578125" defaultRowHeight="14.25" x14ac:dyDescent="0.2"/>
  <cols>
    <col min="1" max="2" width="6.5703125" style="140" customWidth="1"/>
    <col min="3" max="3" width="32.7109375" style="140" customWidth="1"/>
    <col min="4" max="4" width="27.5703125" style="140" customWidth="1"/>
    <col min="5" max="5" width="38" style="140" customWidth="1"/>
    <col min="6" max="6" width="30.28515625" style="140" customWidth="1"/>
    <col min="7" max="7" width="18.28515625" style="140" customWidth="1"/>
    <col min="8" max="8" width="15.5703125" style="140" customWidth="1"/>
    <col min="9" max="9" width="19.28515625" style="140" customWidth="1"/>
    <col min="10" max="10" width="14.5703125" style="140" customWidth="1"/>
    <col min="11" max="16384" width="11.42578125" style="140"/>
  </cols>
  <sheetData>
    <row r="1" spans="1:14" ht="15" customHeight="1" x14ac:dyDescent="0.2">
      <c r="A1" s="377" t="str">
        <f>[1]CONTEXTO!B1</f>
        <v xml:space="preserve">PROCESO: </v>
      </c>
      <c r="B1" s="284"/>
      <c r="C1" s="284"/>
      <c r="D1" s="284"/>
      <c r="E1" s="284"/>
      <c r="F1" s="284"/>
      <c r="G1" s="285"/>
      <c r="H1" s="288" t="s">
        <v>262</v>
      </c>
      <c r="I1" s="288"/>
      <c r="J1" s="379"/>
      <c r="K1" s="139"/>
      <c r="N1" s="269"/>
    </row>
    <row r="2" spans="1:14" ht="15" customHeight="1" x14ac:dyDescent="0.2">
      <c r="A2" s="378"/>
      <c r="B2" s="286"/>
      <c r="C2" s="286"/>
      <c r="D2" s="286"/>
      <c r="E2" s="286"/>
      <c r="F2" s="286"/>
      <c r="G2" s="287"/>
      <c r="H2" s="290" t="s">
        <v>225</v>
      </c>
      <c r="I2" s="290"/>
      <c r="J2" s="380"/>
      <c r="K2" s="139"/>
      <c r="N2" s="269"/>
    </row>
    <row r="3" spans="1:14" ht="15" customHeight="1" x14ac:dyDescent="0.2">
      <c r="A3" s="378" t="s">
        <v>250</v>
      </c>
      <c r="B3" s="286"/>
      <c r="C3" s="286"/>
      <c r="D3" s="286"/>
      <c r="E3" s="286"/>
      <c r="F3" s="286"/>
      <c r="G3" s="287"/>
      <c r="H3" s="290" t="s">
        <v>226</v>
      </c>
      <c r="I3" s="290"/>
      <c r="J3" s="380"/>
      <c r="K3" s="139"/>
      <c r="N3" s="269"/>
    </row>
    <row r="4" spans="1:14" ht="15.75" customHeight="1" x14ac:dyDescent="0.2">
      <c r="A4" s="382"/>
      <c r="B4" s="292"/>
      <c r="C4" s="292"/>
      <c r="D4" s="292"/>
      <c r="E4" s="292"/>
      <c r="F4" s="292"/>
      <c r="G4" s="293"/>
      <c r="H4" s="290" t="s">
        <v>227</v>
      </c>
      <c r="I4" s="290"/>
      <c r="J4" s="381"/>
      <c r="K4" s="139"/>
      <c r="N4" s="269"/>
    </row>
    <row r="5" spans="1:14" ht="15.75" customHeight="1" x14ac:dyDescent="0.2">
      <c r="A5" s="383"/>
      <c r="B5" s="384"/>
      <c r="C5" s="384"/>
      <c r="D5" s="384"/>
      <c r="E5" s="384"/>
      <c r="F5" s="384"/>
      <c r="G5" s="384"/>
      <c r="H5" s="384"/>
      <c r="I5" s="384"/>
      <c r="J5" s="385"/>
      <c r="K5" s="139"/>
      <c r="N5" s="141"/>
    </row>
    <row r="6" spans="1:14" ht="15" customHeight="1" x14ac:dyDescent="0.2">
      <c r="A6" s="357" t="str">
        <f>[3]CONTEXTO!A8</f>
        <v>PROCESO: GESTIÓN EDUCATIVA</v>
      </c>
      <c r="B6" s="358"/>
      <c r="C6" s="358"/>
      <c r="D6" s="358"/>
      <c r="E6" s="358"/>
      <c r="F6" s="358"/>
      <c r="G6" s="358"/>
      <c r="H6" s="358"/>
      <c r="I6" s="358"/>
      <c r="J6" s="359"/>
    </row>
    <row r="7" spans="1:14" ht="32.25" customHeight="1" thickBot="1" x14ac:dyDescent="0.25">
      <c r="A7" s="360"/>
      <c r="B7" s="361"/>
      <c r="C7" s="361"/>
      <c r="D7" s="361"/>
      <c r="E7" s="361"/>
      <c r="F7" s="361"/>
      <c r="G7" s="361"/>
      <c r="H7" s="361"/>
      <c r="I7" s="361"/>
      <c r="J7" s="362"/>
    </row>
    <row r="8" spans="1:14" ht="23.25" customHeight="1" x14ac:dyDescent="0.2">
      <c r="A8" s="363" t="s">
        <v>251</v>
      </c>
      <c r="B8" s="363"/>
      <c r="C8" s="363"/>
      <c r="D8" s="363"/>
      <c r="E8" s="345" t="s">
        <v>218</v>
      </c>
      <c r="F8" s="364"/>
      <c r="G8" s="364"/>
      <c r="H8" s="364"/>
      <c r="I8" s="364"/>
      <c r="J8" s="365"/>
    </row>
    <row r="9" spans="1:14" ht="23.25" customHeight="1" x14ac:dyDescent="0.2">
      <c r="A9" s="363"/>
      <c r="B9" s="363"/>
      <c r="C9" s="363"/>
      <c r="D9" s="363"/>
      <c r="E9" s="344" t="s">
        <v>252</v>
      </c>
      <c r="F9" s="344"/>
      <c r="G9" s="344" t="s">
        <v>253</v>
      </c>
      <c r="H9" s="344"/>
      <c r="I9" s="344"/>
      <c r="J9" s="344"/>
    </row>
    <row r="10" spans="1:14" ht="23.25" customHeight="1" x14ac:dyDescent="0.25">
      <c r="A10" s="363"/>
      <c r="B10" s="363"/>
      <c r="C10" s="363"/>
      <c r="D10" s="363"/>
      <c r="E10" s="318" t="s">
        <v>254</v>
      </c>
      <c r="F10" s="318"/>
      <c r="G10" s="366" t="s">
        <v>255</v>
      </c>
      <c r="H10" s="367"/>
      <c r="I10" s="367"/>
      <c r="J10" s="368"/>
    </row>
    <row r="11" spans="1:14" ht="43.5" customHeight="1" x14ac:dyDescent="0.2">
      <c r="A11" s="363"/>
      <c r="B11" s="363"/>
      <c r="C11" s="363"/>
      <c r="D11" s="363"/>
      <c r="E11" s="369" t="s">
        <v>298</v>
      </c>
      <c r="F11" s="370"/>
      <c r="G11" s="371" t="s">
        <v>299</v>
      </c>
      <c r="H11" s="371"/>
      <c r="I11" s="371"/>
      <c r="J11" s="371"/>
    </row>
    <row r="12" spans="1:14" ht="43.5" customHeight="1" x14ac:dyDescent="0.2">
      <c r="A12" s="363"/>
      <c r="B12" s="363"/>
      <c r="C12" s="363"/>
      <c r="D12" s="363"/>
      <c r="E12" s="369" t="s">
        <v>300</v>
      </c>
      <c r="F12" s="370"/>
      <c r="G12" s="374" t="s">
        <v>301</v>
      </c>
      <c r="H12" s="375"/>
      <c r="I12" s="375"/>
      <c r="J12" s="376"/>
    </row>
    <row r="13" spans="1:14" ht="43.5" customHeight="1" x14ac:dyDescent="0.2">
      <c r="A13" s="363"/>
      <c r="B13" s="363"/>
      <c r="C13" s="363"/>
      <c r="D13" s="363"/>
      <c r="E13" s="369" t="s">
        <v>302</v>
      </c>
      <c r="F13" s="370"/>
      <c r="G13" s="374" t="s">
        <v>303</v>
      </c>
      <c r="H13" s="375"/>
      <c r="I13" s="375"/>
      <c r="J13" s="376"/>
    </row>
    <row r="14" spans="1:14" ht="43.5" customHeight="1" x14ac:dyDescent="0.2">
      <c r="A14" s="363"/>
      <c r="B14" s="363"/>
      <c r="C14" s="363"/>
      <c r="D14" s="363"/>
      <c r="E14" s="372" t="s">
        <v>304</v>
      </c>
      <c r="F14" s="373"/>
      <c r="G14" s="374" t="s">
        <v>305</v>
      </c>
      <c r="H14" s="375"/>
      <c r="I14" s="375"/>
      <c r="J14" s="376"/>
    </row>
    <row r="15" spans="1:14" ht="49.5" customHeight="1" x14ac:dyDescent="0.2">
      <c r="A15" s="363"/>
      <c r="B15" s="363"/>
      <c r="C15" s="363"/>
      <c r="D15" s="363"/>
      <c r="E15" s="372" t="s">
        <v>306</v>
      </c>
      <c r="F15" s="373"/>
      <c r="G15" s="374" t="s">
        <v>307</v>
      </c>
      <c r="H15" s="375"/>
      <c r="I15" s="375"/>
      <c r="J15" s="376"/>
    </row>
    <row r="16" spans="1:14" ht="49.5" customHeight="1" x14ac:dyDescent="0.2">
      <c r="A16" s="363"/>
      <c r="B16" s="363"/>
      <c r="C16" s="363"/>
      <c r="D16" s="363"/>
      <c r="E16" s="372" t="s">
        <v>308</v>
      </c>
      <c r="F16" s="373"/>
      <c r="G16" s="374" t="s">
        <v>309</v>
      </c>
      <c r="H16" s="375"/>
      <c r="I16" s="375"/>
      <c r="J16" s="376"/>
    </row>
    <row r="17" spans="1:10" ht="54.75" customHeight="1" x14ac:dyDescent="0.2">
      <c r="A17" s="363"/>
      <c r="B17" s="363"/>
      <c r="C17" s="363"/>
      <c r="D17" s="363"/>
      <c r="E17" s="369" t="s">
        <v>310</v>
      </c>
      <c r="F17" s="370"/>
      <c r="G17" s="374" t="s">
        <v>311</v>
      </c>
      <c r="H17" s="375"/>
      <c r="I17" s="375"/>
      <c r="J17" s="376"/>
    </row>
    <row r="18" spans="1:10" ht="48.75" customHeight="1" x14ac:dyDescent="0.2">
      <c r="A18" s="363"/>
      <c r="B18" s="363"/>
      <c r="C18" s="363"/>
      <c r="D18" s="363"/>
      <c r="E18" s="353" t="s">
        <v>312</v>
      </c>
      <c r="F18" s="354"/>
      <c r="G18" s="355" t="s">
        <v>313</v>
      </c>
      <c r="H18" s="355"/>
      <c r="I18" s="355"/>
      <c r="J18" s="355"/>
    </row>
    <row r="19" spans="1:10" ht="54.75" customHeight="1" x14ac:dyDescent="0.2">
      <c r="A19" s="363"/>
      <c r="B19" s="363"/>
      <c r="C19" s="363"/>
      <c r="D19" s="363"/>
      <c r="E19" s="326" t="s">
        <v>314</v>
      </c>
      <c r="F19" s="327"/>
      <c r="G19" s="304"/>
      <c r="H19" s="304"/>
      <c r="I19" s="304"/>
      <c r="J19" s="304"/>
    </row>
    <row r="20" spans="1:10" ht="59.25" customHeight="1" x14ac:dyDescent="0.2">
      <c r="A20" s="363"/>
      <c r="B20" s="363"/>
      <c r="C20" s="363"/>
      <c r="D20" s="363"/>
      <c r="E20" s="336" t="s">
        <v>315</v>
      </c>
      <c r="F20" s="337"/>
      <c r="G20" s="356"/>
      <c r="H20" s="356"/>
      <c r="I20" s="356"/>
      <c r="J20" s="356"/>
    </row>
    <row r="21" spans="1:10" ht="49.5" customHeight="1" x14ac:dyDescent="0.2">
      <c r="A21" s="363"/>
      <c r="B21" s="363"/>
      <c r="C21" s="363"/>
      <c r="D21" s="363"/>
      <c r="E21" s="336"/>
      <c r="F21" s="337"/>
      <c r="G21" s="341"/>
      <c r="H21" s="342"/>
      <c r="I21" s="342"/>
      <c r="J21" s="343"/>
    </row>
    <row r="22" spans="1:10" ht="49.5" customHeight="1" x14ac:dyDescent="0.2">
      <c r="A22" s="363"/>
      <c r="B22" s="363"/>
      <c r="C22" s="363"/>
      <c r="D22" s="363"/>
      <c r="E22" s="336"/>
      <c r="F22" s="337"/>
      <c r="G22" s="338"/>
      <c r="H22" s="339"/>
      <c r="I22" s="339"/>
      <c r="J22" s="340"/>
    </row>
    <row r="23" spans="1:10" ht="49.5" customHeight="1" x14ac:dyDescent="0.2">
      <c r="A23" s="363"/>
      <c r="B23" s="363"/>
      <c r="C23" s="363"/>
      <c r="D23" s="363"/>
      <c r="E23" s="336"/>
      <c r="F23" s="337"/>
      <c r="G23" s="338"/>
      <c r="H23" s="339"/>
      <c r="I23" s="339"/>
      <c r="J23" s="340"/>
    </row>
    <row r="24" spans="1:10" ht="49.5" customHeight="1" x14ac:dyDescent="0.2">
      <c r="A24" s="363"/>
      <c r="B24" s="363"/>
      <c r="C24" s="363"/>
      <c r="D24" s="363"/>
      <c r="E24" s="336"/>
      <c r="F24" s="337"/>
      <c r="G24" s="338"/>
      <c r="H24" s="339"/>
      <c r="I24" s="339"/>
      <c r="J24" s="340"/>
    </row>
    <row r="25" spans="1:10" ht="49.5" customHeight="1" x14ac:dyDescent="0.2">
      <c r="A25" s="363"/>
      <c r="B25" s="363"/>
      <c r="C25" s="363"/>
      <c r="D25" s="363"/>
      <c r="E25" s="336"/>
      <c r="F25" s="337"/>
      <c r="G25" s="341"/>
      <c r="H25" s="342"/>
      <c r="I25" s="342"/>
      <c r="J25" s="343"/>
    </row>
    <row r="26" spans="1:10" ht="51.75" customHeight="1" x14ac:dyDescent="0.2">
      <c r="A26" s="317" t="s">
        <v>216</v>
      </c>
      <c r="B26" s="317" t="s">
        <v>253</v>
      </c>
      <c r="C26" s="318" t="s">
        <v>256</v>
      </c>
      <c r="D26" s="318"/>
      <c r="E26" s="344" t="s">
        <v>257</v>
      </c>
      <c r="F26" s="318"/>
      <c r="G26" s="345" t="s">
        <v>258</v>
      </c>
      <c r="H26" s="346"/>
      <c r="I26" s="346"/>
      <c r="J26" s="347"/>
    </row>
    <row r="27" spans="1:10" ht="48.75" customHeight="1" x14ac:dyDescent="0.2">
      <c r="A27" s="317"/>
      <c r="B27" s="317"/>
      <c r="C27" s="348" t="s">
        <v>316</v>
      </c>
      <c r="D27" s="349"/>
      <c r="E27" s="326" t="s">
        <v>317</v>
      </c>
      <c r="F27" s="327"/>
      <c r="G27" s="334"/>
      <c r="H27" s="352"/>
      <c r="I27" s="352"/>
      <c r="J27" s="335"/>
    </row>
    <row r="28" spans="1:10" ht="51" customHeight="1" x14ac:dyDescent="0.2">
      <c r="A28" s="317"/>
      <c r="B28" s="317"/>
      <c r="C28" s="348" t="s">
        <v>318</v>
      </c>
      <c r="D28" s="349"/>
      <c r="E28" s="326" t="s">
        <v>319</v>
      </c>
      <c r="F28" s="327"/>
      <c r="G28" s="326"/>
      <c r="H28" s="351"/>
      <c r="I28" s="351"/>
      <c r="J28" s="327"/>
    </row>
    <row r="29" spans="1:10" ht="54.75" customHeight="1" x14ac:dyDescent="0.2">
      <c r="A29" s="317"/>
      <c r="B29" s="317"/>
      <c r="C29" s="348" t="s">
        <v>320</v>
      </c>
      <c r="D29" s="349"/>
      <c r="E29" s="326" t="s">
        <v>321</v>
      </c>
      <c r="F29" s="327"/>
      <c r="G29" s="326"/>
      <c r="H29" s="351"/>
      <c r="I29" s="351"/>
      <c r="J29" s="327"/>
    </row>
    <row r="30" spans="1:10" ht="49.5" customHeight="1" x14ac:dyDescent="0.2">
      <c r="A30" s="317"/>
      <c r="B30" s="317"/>
      <c r="C30" s="350" t="s">
        <v>322</v>
      </c>
      <c r="D30" s="350"/>
      <c r="E30" s="326" t="s">
        <v>323</v>
      </c>
      <c r="F30" s="327"/>
      <c r="G30" s="326"/>
      <c r="H30" s="351"/>
      <c r="I30" s="351"/>
      <c r="J30" s="327"/>
    </row>
    <row r="31" spans="1:10" ht="51" customHeight="1" x14ac:dyDescent="0.2">
      <c r="A31" s="317"/>
      <c r="B31" s="317"/>
      <c r="C31" s="350" t="s">
        <v>324</v>
      </c>
      <c r="D31" s="350"/>
      <c r="E31" s="326" t="s">
        <v>325</v>
      </c>
      <c r="F31" s="327"/>
      <c r="G31" s="304"/>
      <c r="H31" s="307"/>
      <c r="I31" s="307"/>
      <c r="J31" s="306"/>
    </row>
    <row r="32" spans="1:10" ht="52.5" customHeight="1" x14ac:dyDescent="0.2">
      <c r="A32" s="317"/>
      <c r="B32" s="317"/>
      <c r="C32" s="304" t="s">
        <v>326</v>
      </c>
      <c r="D32" s="304"/>
      <c r="E32" s="326" t="s">
        <v>327</v>
      </c>
      <c r="F32" s="327"/>
      <c r="G32" s="304"/>
      <c r="H32" s="304"/>
      <c r="I32" s="304"/>
      <c r="J32" s="304"/>
    </row>
    <row r="33" spans="1:10" ht="47.25" customHeight="1" x14ac:dyDescent="0.2">
      <c r="A33" s="317"/>
      <c r="B33" s="317"/>
      <c r="C33" s="304" t="s">
        <v>328</v>
      </c>
      <c r="D33" s="304"/>
      <c r="E33" s="334" t="s">
        <v>327</v>
      </c>
      <c r="F33" s="335"/>
      <c r="G33" s="305"/>
      <c r="H33" s="307"/>
      <c r="I33" s="307"/>
      <c r="J33" s="306"/>
    </row>
    <row r="34" spans="1:10" ht="51" customHeight="1" x14ac:dyDescent="0.2">
      <c r="A34" s="317"/>
      <c r="B34" s="317"/>
      <c r="C34" s="304" t="s">
        <v>329</v>
      </c>
      <c r="D34" s="304"/>
      <c r="E34" s="315" t="s">
        <v>330</v>
      </c>
      <c r="F34" s="315"/>
      <c r="G34" s="304"/>
      <c r="H34" s="304"/>
      <c r="I34" s="304"/>
      <c r="J34" s="304"/>
    </row>
    <row r="35" spans="1:10" ht="51" customHeight="1" x14ac:dyDescent="0.2">
      <c r="A35" s="317"/>
      <c r="B35" s="317"/>
      <c r="C35" s="315"/>
      <c r="D35" s="315"/>
      <c r="E35" s="304"/>
      <c r="F35" s="304"/>
      <c r="G35" s="304"/>
      <c r="H35" s="304"/>
      <c r="I35" s="304"/>
      <c r="J35" s="304"/>
    </row>
    <row r="36" spans="1:10" ht="51" customHeight="1" x14ac:dyDescent="0.2">
      <c r="A36" s="317"/>
      <c r="B36" s="317"/>
      <c r="C36" s="326"/>
      <c r="D36" s="327"/>
      <c r="E36" s="305"/>
      <c r="F36" s="306"/>
      <c r="G36" s="305"/>
      <c r="H36" s="307"/>
      <c r="I36" s="307"/>
      <c r="J36" s="306"/>
    </row>
    <row r="37" spans="1:10" ht="45.75" customHeight="1" x14ac:dyDescent="0.2">
      <c r="A37" s="317"/>
      <c r="B37" s="317"/>
      <c r="C37" s="326"/>
      <c r="D37" s="327"/>
      <c r="E37" s="305"/>
      <c r="F37" s="306"/>
      <c r="G37" s="305"/>
      <c r="H37" s="307"/>
      <c r="I37" s="307"/>
      <c r="J37" s="306"/>
    </row>
    <row r="38" spans="1:10" ht="41.25" customHeight="1" x14ac:dyDescent="0.2">
      <c r="A38" s="317"/>
      <c r="B38" s="317"/>
      <c r="C38" s="304"/>
      <c r="D38" s="304"/>
      <c r="E38" s="332"/>
      <c r="F38" s="332"/>
      <c r="G38" s="332"/>
      <c r="H38" s="332"/>
      <c r="I38" s="332"/>
      <c r="J38" s="332"/>
    </row>
    <row r="39" spans="1:10" ht="66" customHeight="1" x14ac:dyDescent="0.25">
      <c r="A39" s="317"/>
      <c r="B39" s="317" t="s">
        <v>252</v>
      </c>
      <c r="C39" s="318" t="s">
        <v>259</v>
      </c>
      <c r="D39" s="318"/>
      <c r="E39" s="319" t="s">
        <v>260</v>
      </c>
      <c r="F39" s="320"/>
      <c r="G39" s="321" t="s">
        <v>261</v>
      </c>
      <c r="H39" s="322"/>
      <c r="I39" s="322"/>
      <c r="J39" s="323"/>
    </row>
    <row r="40" spans="1:10" ht="51.75" customHeight="1" x14ac:dyDescent="0.2">
      <c r="A40" s="317"/>
      <c r="B40" s="317"/>
      <c r="C40" s="324" t="s">
        <v>331</v>
      </c>
      <c r="D40" s="325"/>
      <c r="E40" s="311" t="s">
        <v>332</v>
      </c>
      <c r="F40" s="311"/>
      <c r="G40" s="314" t="s">
        <v>333</v>
      </c>
      <c r="H40" s="314"/>
      <c r="I40" s="314"/>
      <c r="J40" s="314"/>
    </row>
    <row r="41" spans="1:10" ht="47.25" customHeight="1" x14ac:dyDescent="0.2">
      <c r="A41" s="317"/>
      <c r="B41" s="317"/>
      <c r="C41" s="328" t="s">
        <v>334</v>
      </c>
      <c r="D41" s="329"/>
      <c r="E41" s="311"/>
      <c r="F41" s="311"/>
      <c r="G41" s="314" t="s">
        <v>335</v>
      </c>
      <c r="H41" s="314"/>
      <c r="I41" s="314"/>
      <c r="J41" s="314"/>
    </row>
    <row r="42" spans="1:10" ht="49.5" customHeight="1" x14ac:dyDescent="0.2">
      <c r="A42" s="317"/>
      <c r="B42" s="317"/>
      <c r="C42" s="330" t="s">
        <v>336</v>
      </c>
      <c r="D42" s="331"/>
      <c r="E42" s="311" t="s">
        <v>337</v>
      </c>
      <c r="F42" s="311"/>
      <c r="G42" s="314"/>
      <c r="H42" s="314"/>
      <c r="I42" s="314"/>
      <c r="J42" s="314"/>
    </row>
    <row r="43" spans="1:10" ht="48" customHeight="1" x14ac:dyDescent="0.2">
      <c r="A43" s="317"/>
      <c r="B43" s="317"/>
      <c r="C43" s="312" t="s">
        <v>338</v>
      </c>
      <c r="D43" s="313"/>
      <c r="E43" s="311" t="s">
        <v>339</v>
      </c>
      <c r="F43" s="311"/>
      <c r="G43" s="314"/>
      <c r="H43" s="314"/>
      <c r="I43" s="314"/>
      <c r="J43" s="314"/>
    </row>
    <row r="44" spans="1:10" ht="45.75" customHeight="1" x14ac:dyDescent="0.2">
      <c r="A44" s="317"/>
      <c r="B44" s="317"/>
      <c r="C44" s="315" t="s">
        <v>340</v>
      </c>
      <c r="D44" s="315"/>
      <c r="E44" s="316" t="s">
        <v>341</v>
      </c>
      <c r="F44" s="315"/>
      <c r="G44" s="311"/>
      <c r="H44" s="311"/>
      <c r="I44" s="311"/>
      <c r="J44" s="311"/>
    </row>
    <row r="45" spans="1:10" ht="45.75" customHeight="1" x14ac:dyDescent="0.2">
      <c r="A45" s="317"/>
      <c r="B45" s="317"/>
      <c r="C45" s="315" t="s">
        <v>342</v>
      </c>
      <c r="D45" s="315"/>
      <c r="E45" s="333" t="s">
        <v>343</v>
      </c>
      <c r="F45" s="333"/>
      <c r="G45" s="311"/>
      <c r="H45" s="311"/>
      <c r="I45" s="311"/>
      <c r="J45" s="311"/>
    </row>
    <row r="46" spans="1:10" ht="45" customHeight="1" x14ac:dyDescent="0.2">
      <c r="A46" s="317"/>
      <c r="B46" s="317"/>
      <c r="C46" s="305"/>
      <c r="D46" s="306"/>
      <c r="E46" s="305"/>
      <c r="F46" s="306"/>
      <c r="G46" s="305"/>
      <c r="H46" s="307"/>
      <c r="I46" s="307"/>
      <c r="J46" s="306"/>
    </row>
    <row r="47" spans="1:10" ht="50.25" customHeight="1" x14ac:dyDescent="0.2">
      <c r="A47" s="317"/>
      <c r="B47" s="317"/>
      <c r="C47" s="305"/>
      <c r="D47" s="306"/>
      <c r="E47" s="305"/>
      <c r="F47" s="306"/>
      <c r="G47" s="305"/>
      <c r="H47" s="307"/>
      <c r="I47" s="307"/>
      <c r="J47" s="306"/>
    </row>
    <row r="48" spans="1:10" ht="52.5" customHeight="1" x14ac:dyDescent="0.2">
      <c r="A48" s="317"/>
      <c r="B48" s="317"/>
      <c r="C48" s="305"/>
      <c r="D48" s="306"/>
      <c r="E48" s="308"/>
      <c r="F48" s="309"/>
      <c r="G48" s="308"/>
      <c r="H48" s="310"/>
      <c r="I48" s="310"/>
      <c r="J48" s="309"/>
    </row>
    <row r="49" spans="1:10" ht="48" customHeight="1" x14ac:dyDescent="0.2">
      <c r="A49" s="317"/>
      <c r="B49" s="317"/>
      <c r="C49" s="305"/>
      <c r="D49" s="306"/>
      <c r="E49" s="305"/>
      <c r="F49" s="306"/>
      <c r="G49" s="305"/>
      <c r="H49" s="307"/>
      <c r="I49" s="307"/>
      <c r="J49" s="306"/>
    </row>
    <row r="50" spans="1:10" ht="46.5" customHeight="1" x14ac:dyDescent="0.2">
      <c r="A50" s="317"/>
      <c r="B50" s="317"/>
      <c r="C50" s="305"/>
      <c r="D50" s="306"/>
      <c r="E50" s="308"/>
      <c r="F50" s="309"/>
      <c r="G50" s="308"/>
      <c r="H50" s="310"/>
      <c r="I50" s="310"/>
      <c r="J50" s="309"/>
    </row>
    <row r="51" spans="1:10" ht="48" customHeight="1" x14ac:dyDescent="0.2">
      <c r="A51" s="317"/>
      <c r="B51" s="317"/>
      <c r="C51" s="305"/>
      <c r="D51" s="306"/>
      <c r="E51" s="305"/>
      <c r="F51" s="306"/>
      <c r="G51" s="305"/>
      <c r="H51" s="307"/>
      <c r="I51" s="307"/>
      <c r="J51" s="306"/>
    </row>
    <row r="52" spans="1:10" ht="53.25" customHeight="1" x14ac:dyDescent="0.2">
      <c r="A52" s="317"/>
      <c r="B52" s="317"/>
      <c r="C52" s="305"/>
      <c r="D52" s="306"/>
      <c r="E52" s="305"/>
      <c r="F52" s="306"/>
      <c r="G52" s="305"/>
      <c r="H52" s="307"/>
      <c r="I52" s="307"/>
      <c r="J52" s="306"/>
    </row>
    <row r="53" spans="1:10" ht="43.5" customHeight="1" x14ac:dyDescent="0.2">
      <c r="A53" s="317"/>
      <c r="B53" s="317"/>
      <c r="C53" s="304"/>
      <c r="D53" s="304"/>
      <c r="E53" s="304"/>
      <c r="F53" s="304"/>
      <c r="G53" s="304"/>
      <c r="H53" s="304"/>
      <c r="I53" s="304"/>
      <c r="J53" s="304"/>
    </row>
    <row r="54" spans="1:10" ht="48.75" customHeight="1" x14ac:dyDescent="0.2">
      <c r="A54" s="317"/>
      <c r="B54" s="317"/>
      <c r="C54" s="304"/>
      <c r="D54" s="304"/>
      <c r="E54" s="304"/>
      <c r="F54" s="304"/>
      <c r="G54" s="304"/>
      <c r="H54" s="304"/>
      <c r="I54" s="304"/>
      <c r="J54" s="304"/>
    </row>
    <row r="55" spans="1:10" x14ac:dyDescent="0.2">
      <c r="C55" s="193"/>
      <c r="D55" s="193"/>
      <c r="E55" s="303"/>
      <c r="F55" s="303"/>
      <c r="G55" s="303"/>
      <c r="H55" s="303"/>
      <c r="I55" s="303"/>
      <c r="J55" s="303"/>
    </row>
    <row r="56" spans="1:10" x14ac:dyDescent="0.2">
      <c r="C56" s="193"/>
      <c r="D56" s="193"/>
      <c r="E56" s="303"/>
      <c r="F56" s="303"/>
      <c r="G56" s="303"/>
      <c r="H56" s="303"/>
      <c r="I56" s="303"/>
      <c r="J56" s="303"/>
    </row>
    <row r="57" spans="1:10" x14ac:dyDescent="0.2">
      <c r="E57" s="302"/>
      <c r="F57" s="302"/>
      <c r="G57" s="302"/>
      <c r="H57" s="302"/>
      <c r="I57" s="302"/>
      <c r="J57" s="302"/>
    </row>
    <row r="58" spans="1:10" x14ac:dyDescent="0.2">
      <c r="E58" s="302"/>
      <c r="F58" s="302"/>
      <c r="G58" s="302"/>
      <c r="H58" s="302"/>
      <c r="I58" s="302"/>
      <c r="J58" s="302"/>
    </row>
    <row r="59" spans="1:10" x14ac:dyDescent="0.2">
      <c r="E59" s="302"/>
      <c r="F59" s="302"/>
      <c r="G59" s="302"/>
      <c r="H59" s="302"/>
      <c r="I59" s="302"/>
      <c r="J59" s="302"/>
    </row>
    <row r="60" spans="1:10" x14ac:dyDescent="0.2">
      <c r="E60" s="302"/>
      <c r="F60" s="302"/>
      <c r="G60" s="302"/>
      <c r="H60" s="302"/>
      <c r="I60" s="302"/>
      <c r="J60" s="302"/>
    </row>
    <row r="61" spans="1:10" x14ac:dyDescent="0.2">
      <c r="E61" s="302"/>
      <c r="F61" s="302"/>
      <c r="G61" s="302"/>
      <c r="H61" s="302"/>
      <c r="I61" s="302"/>
      <c r="J61" s="302"/>
    </row>
    <row r="62" spans="1:10" x14ac:dyDescent="0.2">
      <c r="E62" s="302"/>
      <c r="F62" s="302"/>
      <c r="G62" s="302"/>
      <c r="H62" s="302"/>
      <c r="I62" s="302"/>
      <c r="J62" s="302"/>
    </row>
    <row r="63" spans="1:10" x14ac:dyDescent="0.2">
      <c r="E63" s="302"/>
      <c r="F63" s="302"/>
      <c r="G63" s="302"/>
      <c r="H63" s="302"/>
      <c r="I63" s="302"/>
      <c r="J63" s="302"/>
    </row>
    <row r="64" spans="1:10" x14ac:dyDescent="0.2">
      <c r="E64" s="302"/>
      <c r="F64" s="302"/>
      <c r="G64" s="302"/>
      <c r="H64" s="302"/>
      <c r="I64" s="302"/>
      <c r="J64" s="302"/>
    </row>
    <row r="65" spans="5:10" x14ac:dyDescent="0.2">
      <c r="E65" s="302"/>
      <c r="F65" s="302"/>
      <c r="G65" s="302"/>
      <c r="H65" s="302"/>
      <c r="I65" s="302"/>
      <c r="J65" s="302"/>
    </row>
    <row r="66" spans="5:10" x14ac:dyDescent="0.2">
      <c r="E66" s="302"/>
      <c r="F66" s="302"/>
      <c r="G66" s="302"/>
      <c r="H66" s="302"/>
      <c r="I66" s="302"/>
      <c r="J66" s="302"/>
    </row>
    <row r="67" spans="5:10" x14ac:dyDescent="0.2">
      <c r="E67" s="302"/>
      <c r="F67" s="302"/>
      <c r="G67" s="302"/>
      <c r="H67" s="302"/>
      <c r="I67" s="302"/>
      <c r="J67" s="302"/>
    </row>
    <row r="68" spans="5:10" x14ac:dyDescent="0.2">
      <c r="E68" s="302"/>
      <c r="F68" s="302"/>
      <c r="G68" s="302"/>
      <c r="H68" s="302"/>
      <c r="I68" s="302"/>
      <c r="J68" s="302"/>
    </row>
    <row r="69" spans="5:10" x14ac:dyDescent="0.2">
      <c r="E69" s="302"/>
      <c r="F69" s="302"/>
      <c r="G69" s="302"/>
      <c r="H69" s="302"/>
      <c r="I69" s="302"/>
      <c r="J69" s="302"/>
    </row>
    <row r="70" spans="5:10" x14ac:dyDescent="0.2">
      <c r="E70" s="302"/>
      <c r="F70" s="302"/>
      <c r="G70" s="302"/>
      <c r="H70" s="302"/>
      <c r="I70" s="302"/>
      <c r="J70" s="302"/>
    </row>
    <row r="71" spans="5:10" x14ac:dyDescent="0.2">
      <c r="E71" s="302"/>
      <c r="F71" s="302"/>
      <c r="G71" s="302"/>
      <c r="H71" s="302"/>
      <c r="I71" s="302"/>
      <c r="J71" s="302"/>
    </row>
    <row r="72" spans="5:10" x14ac:dyDescent="0.2">
      <c r="E72" s="302"/>
      <c r="F72" s="302"/>
      <c r="G72" s="302"/>
      <c r="H72" s="302"/>
      <c r="I72" s="302"/>
      <c r="J72" s="302"/>
    </row>
    <row r="73" spans="5:10" x14ac:dyDescent="0.2">
      <c r="E73" s="302"/>
      <c r="F73" s="302"/>
      <c r="G73" s="302"/>
      <c r="H73" s="302"/>
      <c r="I73" s="302"/>
      <c r="J73" s="302"/>
    </row>
    <row r="74" spans="5:10" x14ac:dyDescent="0.2">
      <c r="E74" s="302"/>
      <c r="F74" s="302"/>
      <c r="G74" s="302"/>
      <c r="H74" s="302"/>
      <c r="I74" s="302"/>
      <c r="J74" s="302"/>
    </row>
    <row r="75" spans="5:10" x14ac:dyDescent="0.2">
      <c r="E75" s="302"/>
      <c r="F75" s="302"/>
      <c r="G75" s="302"/>
      <c r="H75" s="302"/>
      <c r="I75" s="302"/>
      <c r="J75" s="302"/>
    </row>
    <row r="76" spans="5:10" x14ac:dyDescent="0.2">
      <c r="E76" s="302"/>
      <c r="F76" s="302"/>
      <c r="G76" s="302"/>
      <c r="H76" s="302"/>
      <c r="I76" s="302"/>
      <c r="J76" s="302"/>
    </row>
    <row r="77" spans="5:10" x14ac:dyDescent="0.2">
      <c r="E77" s="302"/>
      <c r="F77" s="302"/>
      <c r="G77" s="302"/>
      <c r="H77" s="302"/>
      <c r="I77" s="302"/>
      <c r="J77" s="302"/>
    </row>
    <row r="78" spans="5:10" x14ac:dyDescent="0.2">
      <c r="E78" s="302"/>
      <c r="F78" s="302"/>
      <c r="G78" s="302"/>
      <c r="H78" s="302"/>
      <c r="I78" s="302"/>
      <c r="J78" s="302"/>
    </row>
    <row r="79" spans="5:10" x14ac:dyDescent="0.2">
      <c r="E79" s="302"/>
      <c r="F79" s="302"/>
      <c r="G79" s="302"/>
      <c r="H79" s="302"/>
      <c r="I79" s="302"/>
      <c r="J79" s="302"/>
    </row>
    <row r="80" spans="5:10" x14ac:dyDescent="0.2">
      <c r="E80" s="302"/>
      <c r="F80" s="302"/>
      <c r="G80" s="302"/>
      <c r="H80" s="302"/>
      <c r="I80" s="302"/>
      <c r="J80" s="302"/>
    </row>
    <row r="81" spans="5:10" x14ac:dyDescent="0.2">
      <c r="E81" s="302"/>
      <c r="F81" s="302"/>
      <c r="G81" s="302"/>
      <c r="H81" s="302"/>
      <c r="I81" s="302"/>
      <c r="J81" s="302"/>
    </row>
    <row r="82" spans="5:10" x14ac:dyDescent="0.2">
      <c r="E82" s="302"/>
      <c r="F82" s="302"/>
      <c r="G82" s="302"/>
      <c r="H82" s="302"/>
      <c r="I82" s="302"/>
      <c r="J82" s="302"/>
    </row>
    <row r="83" spans="5:10" x14ac:dyDescent="0.2">
      <c r="E83" s="302"/>
      <c r="F83" s="302"/>
      <c r="G83" s="302"/>
      <c r="H83" s="302"/>
      <c r="I83" s="302"/>
      <c r="J83" s="302"/>
    </row>
    <row r="84" spans="5:10" x14ac:dyDescent="0.2">
      <c r="E84" s="302"/>
      <c r="F84" s="302"/>
      <c r="G84" s="302"/>
      <c r="H84" s="302"/>
      <c r="I84" s="302"/>
      <c r="J84" s="302"/>
    </row>
    <row r="85" spans="5:10" x14ac:dyDescent="0.2">
      <c r="E85" s="302"/>
      <c r="F85" s="302"/>
      <c r="G85" s="302"/>
      <c r="H85" s="302"/>
      <c r="I85" s="302"/>
      <c r="J85" s="302"/>
    </row>
    <row r="86" spans="5:10" x14ac:dyDescent="0.2">
      <c r="E86" s="302"/>
      <c r="F86" s="302"/>
      <c r="G86" s="302"/>
      <c r="H86" s="302"/>
      <c r="I86" s="302"/>
      <c r="J86" s="302"/>
    </row>
    <row r="87" spans="5:10" x14ac:dyDescent="0.2">
      <c r="E87" s="302"/>
      <c r="F87" s="302"/>
      <c r="G87" s="302"/>
      <c r="H87" s="302"/>
      <c r="I87" s="302"/>
      <c r="J87" s="302"/>
    </row>
    <row r="88" spans="5:10" x14ac:dyDescent="0.2">
      <c r="E88" s="302"/>
      <c r="F88" s="302"/>
      <c r="G88" s="302"/>
      <c r="H88" s="302"/>
      <c r="I88" s="302"/>
      <c r="J88" s="302"/>
    </row>
    <row r="89" spans="5:10" x14ac:dyDescent="0.2">
      <c r="E89" s="302"/>
      <c r="F89" s="302"/>
      <c r="G89" s="302"/>
      <c r="H89" s="302"/>
      <c r="I89" s="302"/>
      <c r="J89" s="302"/>
    </row>
    <row r="90" spans="5:10" x14ac:dyDescent="0.2">
      <c r="E90" s="302"/>
      <c r="F90" s="302"/>
      <c r="G90" s="302"/>
      <c r="H90" s="302"/>
      <c r="I90" s="302"/>
      <c r="J90" s="302"/>
    </row>
    <row r="91" spans="5:10" x14ac:dyDescent="0.2">
      <c r="E91" s="302"/>
      <c r="F91" s="302"/>
      <c r="G91" s="302"/>
      <c r="H91" s="302"/>
      <c r="I91" s="302"/>
      <c r="J91" s="302"/>
    </row>
    <row r="92" spans="5:10" x14ac:dyDescent="0.2">
      <c r="E92" s="302"/>
      <c r="F92" s="302"/>
      <c r="G92" s="302"/>
      <c r="H92" s="302"/>
      <c r="I92" s="302"/>
      <c r="J92" s="302"/>
    </row>
    <row r="93" spans="5:10" x14ac:dyDescent="0.2">
      <c r="E93" s="302"/>
      <c r="F93" s="302"/>
      <c r="G93" s="302"/>
      <c r="H93" s="302"/>
      <c r="I93" s="302"/>
      <c r="J93" s="302"/>
    </row>
    <row r="94" spans="5:10" x14ac:dyDescent="0.2">
      <c r="E94" s="302"/>
      <c r="F94" s="302"/>
      <c r="G94" s="302"/>
      <c r="H94" s="302"/>
      <c r="I94" s="302"/>
      <c r="J94" s="302"/>
    </row>
    <row r="95" spans="5:10" x14ac:dyDescent="0.2">
      <c r="E95" s="302"/>
      <c r="F95" s="302"/>
      <c r="G95" s="302"/>
      <c r="H95" s="302"/>
      <c r="I95" s="302"/>
      <c r="J95" s="302"/>
    </row>
    <row r="96" spans="5:10" x14ac:dyDescent="0.2">
      <c r="E96" s="302"/>
      <c r="F96" s="302"/>
      <c r="G96" s="302"/>
      <c r="H96" s="302"/>
      <c r="I96" s="302"/>
      <c r="J96" s="302"/>
    </row>
    <row r="97" spans="5:10" x14ac:dyDescent="0.2">
      <c r="E97" s="302"/>
      <c r="F97" s="302"/>
      <c r="G97" s="302"/>
      <c r="H97" s="302"/>
      <c r="I97" s="302"/>
      <c r="J97" s="302"/>
    </row>
    <row r="98" spans="5:10" x14ac:dyDescent="0.2">
      <c r="E98" s="302"/>
      <c r="F98" s="302"/>
      <c r="G98" s="302"/>
      <c r="H98" s="302"/>
      <c r="I98" s="302"/>
      <c r="J98" s="302"/>
    </row>
    <row r="99" spans="5:10" x14ac:dyDescent="0.2">
      <c r="E99" s="302"/>
      <c r="F99" s="302"/>
      <c r="G99" s="302"/>
      <c r="H99" s="302"/>
      <c r="I99" s="302"/>
      <c r="J99" s="302"/>
    </row>
    <row r="100" spans="5:10" x14ac:dyDescent="0.2">
      <c r="E100" s="302"/>
      <c r="F100" s="302"/>
      <c r="G100" s="302"/>
      <c r="H100" s="302"/>
      <c r="I100" s="302"/>
      <c r="J100" s="302"/>
    </row>
    <row r="101" spans="5:10" x14ac:dyDescent="0.2">
      <c r="E101" s="302"/>
      <c r="F101" s="302"/>
      <c r="G101" s="302"/>
      <c r="H101" s="302"/>
      <c r="I101" s="302"/>
      <c r="J101" s="302"/>
    </row>
    <row r="102" spans="5:10" x14ac:dyDescent="0.2">
      <c r="E102" s="302"/>
      <c r="F102" s="302"/>
      <c r="G102" s="302"/>
      <c r="H102" s="302"/>
      <c r="I102" s="302"/>
      <c r="J102" s="302"/>
    </row>
    <row r="103" spans="5:10" x14ac:dyDescent="0.2">
      <c r="E103" s="302"/>
      <c r="F103" s="302"/>
      <c r="G103" s="302"/>
      <c r="H103" s="302"/>
      <c r="I103" s="302"/>
      <c r="J103" s="302"/>
    </row>
    <row r="104" spans="5:10" x14ac:dyDescent="0.2">
      <c r="E104" s="302"/>
      <c r="F104" s="302"/>
      <c r="G104" s="302"/>
      <c r="H104" s="302"/>
      <c r="I104" s="302"/>
      <c r="J104" s="302"/>
    </row>
    <row r="105" spans="5:10" x14ac:dyDescent="0.2">
      <c r="E105" s="302"/>
      <c r="F105" s="302"/>
      <c r="G105" s="302"/>
      <c r="H105" s="302"/>
      <c r="I105" s="302"/>
      <c r="J105" s="302"/>
    </row>
    <row r="106" spans="5:10" x14ac:dyDescent="0.2">
      <c r="E106" s="302"/>
      <c r="F106" s="302"/>
      <c r="G106" s="302"/>
      <c r="H106" s="302"/>
      <c r="I106" s="302"/>
      <c r="J106" s="302"/>
    </row>
    <row r="107" spans="5:10" x14ac:dyDescent="0.2">
      <c r="E107" s="302"/>
      <c r="F107" s="302"/>
      <c r="G107" s="302"/>
      <c r="H107" s="302"/>
      <c r="I107" s="302"/>
      <c r="J107" s="302"/>
    </row>
    <row r="108" spans="5:10" x14ac:dyDescent="0.2">
      <c r="E108" s="302"/>
      <c r="F108" s="302"/>
      <c r="G108" s="302"/>
      <c r="H108" s="302"/>
      <c r="I108" s="302"/>
      <c r="J108" s="302"/>
    </row>
    <row r="109" spans="5:10" x14ac:dyDescent="0.2">
      <c r="E109" s="302"/>
      <c r="F109" s="302"/>
      <c r="G109" s="302"/>
      <c r="H109" s="302"/>
      <c r="I109" s="302"/>
      <c r="J109" s="302"/>
    </row>
    <row r="110" spans="5:10" x14ac:dyDescent="0.2">
      <c r="E110" s="302"/>
      <c r="F110" s="302"/>
      <c r="G110" s="302"/>
      <c r="H110" s="302"/>
      <c r="I110" s="302"/>
      <c r="J110" s="302"/>
    </row>
    <row r="111" spans="5:10" x14ac:dyDescent="0.2">
      <c r="E111" s="302"/>
      <c r="F111" s="302"/>
      <c r="G111" s="302"/>
      <c r="H111" s="302"/>
      <c r="I111" s="302"/>
      <c r="J111" s="302"/>
    </row>
    <row r="112" spans="5:10" x14ac:dyDescent="0.2">
      <c r="E112" s="302"/>
      <c r="F112" s="302"/>
      <c r="G112" s="302"/>
      <c r="H112" s="302"/>
      <c r="I112" s="302"/>
      <c r="J112" s="302"/>
    </row>
    <row r="113" spans="5:10" x14ac:dyDescent="0.2">
      <c r="E113" s="302"/>
      <c r="F113" s="302"/>
      <c r="G113" s="302"/>
      <c r="H113" s="302"/>
      <c r="I113" s="302"/>
      <c r="J113" s="302"/>
    </row>
    <row r="114" spans="5:10" x14ac:dyDescent="0.2">
      <c r="E114" s="302"/>
      <c r="F114" s="302"/>
      <c r="G114" s="302"/>
      <c r="H114" s="302"/>
      <c r="I114" s="302"/>
      <c r="J114" s="302"/>
    </row>
    <row r="115" spans="5:10" x14ac:dyDescent="0.2">
      <c r="E115" s="302"/>
      <c r="F115" s="302"/>
      <c r="G115" s="302"/>
      <c r="H115" s="302"/>
      <c r="I115" s="302"/>
      <c r="J115" s="302"/>
    </row>
    <row r="116" spans="5:10" x14ac:dyDescent="0.2">
      <c r="E116" s="302"/>
      <c r="F116" s="302"/>
      <c r="G116" s="302"/>
      <c r="H116" s="302"/>
      <c r="I116" s="302"/>
      <c r="J116" s="302"/>
    </row>
    <row r="117" spans="5:10" x14ac:dyDescent="0.2">
      <c r="E117" s="302"/>
      <c r="F117" s="302"/>
      <c r="G117" s="302"/>
      <c r="H117" s="302"/>
      <c r="I117" s="302"/>
      <c r="J117" s="302"/>
    </row>
    <row r="118" spans="5:10" x14ac:dyDescent="0.2">
      <c r="E118" s="302"/>
      <c r="F118" s="302"/>
      <c r="G118" s="302"/>
      <c r="H118" s="302"/>
      <c r="I118" s="302"/>
      <c r="J118" s="302"/>
    </row>
    <row r="119" spans="5:10" x14ac:dyDescent="0.2">
      <c r="E119" s="302"/>
      <c r="F119" s="302"/>
      <c r="G119" s="302"/>
      <c r="H119" s="302"/>
      <c r="I119" s="302"/>
      <c r="J119" s="302"/>
    </row>
    <row r="120" spans="5:10" x14ac:dyDescent="0.2">
      <c r="E120" s="302"/>
      <c r="F120" s="302"/>
      <c r="G120" s="302"/>
      <c r="H120" s="302"/>
      <c r="I120" s="302"/>
      <c r="J120" s="302"/>
    </row>
    <row r="121" spans="5:10" x14ac:dyDescent="0.2">
      <c r="E121" s="302"/>
      <c r="F121" s="302"/>
      <c r="G121" s="302"/>
      <c r="H121" s="302"/>
      <c r="I121" s="302"/>
      <c r="J121" s="302"/>
    </row>
    <row r="122" spans="5:10" x14ac:dyDescent="0.2">
      <c r="E122" s="302"/>
      <c r="F122" s="302"/>
      <c r="G122" s="302"/>
      <c r="H122" s="302"/>
      <c r="I122" s="302"/>
      <c r="J122" s="302"/>
    </row>
    <row r="123" spans="5:10" x14ac:dyDescent="0.2">
      <c r="E123" s="302"/>
      <c r="F123" s="302"/>
      <c r="G123" s="302"/>
      <c r="H123" s="302"/>
      <c r="I123" s="302"/>
      <c r="J123" s="302"/>
    </row>
    <row r="124" spans="5:10" x14ac:dyDescent="0.2">
      <c r="E124" s="302"/>
      <c r="F124" s="302"/>
      <c r="G124" s="302"/>
      <c r="H124" s="302"/>
      <c r="I124" s="302"/>
      <c r="J124" s="302"/>
    </row>
    <row r="125" spans="5:10" x14ac:dyDescent="0.2">
      <c r="E125" s="302"/>
      <c r="F125" s="302"/>
      <c r="G125" s="302"/>
      <c r="H125" s="302"/>
      <c r="I125" s="302"/>
      <c r="J125" s="302"/>
    </row>
    <row r="126" spans="5:10" x14ac:dyDescent="0.2">
      <c r="E126" s="302"/>
      <c r="F126" s="302"/>
      <c r="G126" s="302"/>
      <c r="H126" s="302"/>
      <c r="I126" s="302"/>
      <c r="J126" s="302"/>
    </row>
    <row r="127" spans="5:10" x14ac:dyDescent="0.2">
      <c r="E127" s="302"/>
      <c r="F127" s="302"/>
      <c r="G127" s="302"/>
      <c r="H127" s="302"/>
      <c r="I127" s="302"/>
      <c r="J127" s="302"/>
    </row>
    <row r="128" spans="5:10" x14ac:dyDescent="0.2">
      <c r="E128" s="302"/>
      <c r="F128" s="302"/>
      <c r="G128" s="302"/>
      <c r="H128" s="302"/>
      <c r="I128" s="302"/>
      <c r="J128" s="302"/>
    </row>
    <row r="129" spans="5:10" x14ac:dyDescent="0.2">
      <c r="E129" s="302"/>
      <c r="F129" s="302"/>
      <c r="G129" s="302"/>
      <c r="H129" s="302"/>
      <c r="I129" s="302"/>
      <c r="J129" s="302"/>
    </row>
    <row r="130" spans="5:10" x14ac:dyDescent="0.2">
      <c r="E130" s="302"/>
      <c r="F130" s="302"/>
      <c r="G130" s="302"/>
      <c r="H130" s="302"/>
      <c r="I130" s="302"/>
      <c r="J130" s="302"/>
    </row>
    <row r="131" spans="5:10" x14ac:dyDescent="0.2">
      <c r="E131" s="302"/>
      <c r="F131" s="302"/>
      <c r="G131" s="302"/>
      <c r="H131" s="302"/>
      <c r="I131" s="302"/>
      <c r="J131" s="302"/>
    </row>
    <row r="132" spans="5:10" x14ac:dyDescent="0.2">
      <c r="E132" s="302"/>
      <c r="F132" s="302"/>
      <c r="G132" s="302"/>
      <c r="H132" s="302"/>
      <c r="I132" s="302"/>
      <c r="J132" s="302"/>
    </row>
  </sheetData>
  <mergeCells count="292">
    <mergeCell ref="A1:G2"/>
    <mergeCell ref="H1:I1"/>
    <mergeCell ref="J1:J4"/>
    <mergeCell ref="N1:N4"/>
    <mergeCell ref="H2:I2"/>
    <mergeCell ref="A3:G4"/>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54"/>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V19"/>
  <sheetViews>
    <sheetView topLeftCell="AA6" zoomScale="85" zoomScaleNormal="85" workbookViewId="0">
      <selection activeCell="AS7" sqref="AS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8" width="35" style="1" customWidth="1"/>
    <col min="9" max="9" width="18.140625" style="5" customWidth="1"/>
    <col min="10" max="10" width="14.28515625" style="1" customWidth="1"/>
    <col min="11" max="11" width="12" style="1" customWidth="1"/>
    <col min="12" max="12" width="6.28515625" style="1" bestFit="1" customWidth="1"/>
    <col min="13" max="13" width="24.42578125" style="1" bestFit="1" customWidth="1"/>
    <col min="14" max="14" width="28.28515625" style="1" hidden="1" customWidth="1"/>
    <col min="15" max="15" width="17.5703125" style="1" customWidth="1"/>
    <col min="16" max="16" width="6.28515625" style="1" bestFit="1" customWidth="1"/>
    <col min="17" max="17" width="16" style="1" customWidth="1"/>
    <col min="18" max="18" width="5.85546875" style="1" customWidth="1"/>
    <col min="19" max="19" width="55" style="1" customWidth="1"/>
    <col min="20" max="20" width="15.140625" style="1" bestFit="1" customWidth="1"/>
    <col min="21" max="21" width="6.85546875" style="1" customWidth="1"/>
    <col min="22" max="22" width="5" style="1" customWidth="1"/>
    <col min="23" max="23" width="5.5703125" style="1" customWidth="1"/>
    <col min="24" max="24" width="7.140625" style="1" customWidth="1"/>
    <col min="25" max="25" width="6.7109375" style="1" customWidth="1"/>
    <col min="26" max="26" width="4.7109375" style="1" bestFit="1" customWidth="1"/>
    <col min="27" max="27" width="38.5703125" style="1" bestFit="1" customWidth="1"/>
    <col min="28" max="28" width="8.7109375" style="1" customWidth="1"/>
    <col min="29" max="29" width="10.42578125" style="1" customWidth="1"/>
    <col min="30" max="30" width="9.28515625" style="1" customWidth="1"/>
    <col min="31" max="31" width="9.140625" style="1" customWidth="1"/>
    <col min="32" max="32" width="8.42578125" style="1" customWidth="1"/>
    <col min="33" max="33" width="7.28515625" style="1" customWidth="1"/>
    <col min="34" max="34" width="23" style="1" customWidth="1"/>
    <col min="35" max="35" width="18.85546875" style="1" customWidth="1"/>
    <col min="36" max="36" width="16.85546875" style="1" customWidth="1"/>
    <col min="37" max="37" width="11.28515625" style="1" customWidth="1"/>
    <col min="38" max="38" width="18.5703125" style="1" customWidth="1"/>
    <col min="39" max="39" width="14.28515625" style="1" customWidth="1"/>
    <col min="40" max="42" width="16.42578125" style="1" customWidth="1"/>
    <col min="43" max="16384" width="11.42578125" style="1"/>
  </cols>
  <sheetData>
    <row r="1" spans="1:74" ht="16.5" customHeight="1" x14ac:dyDescent="0.3">
      <c r="A1" s="389" t="s">
        <v>138</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1"/>
      <c r="AN1" s="204"/>
      <c r="AO1" s="204"/>
      <c r="AP1" s="204"/>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row>
    <row r="2" spans="1:74" ht="24" customHeight="1" x14ac:dyDescent="0.3">
      <c r="A2" s="392"/>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4"/>
      <c r="AN2" s="204"/>
      <c r="AO2" s="204"/>
      <c r="AP2" s="204"/>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x14ac:dyDescent="0.3">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74" ht="26.25" customHeight="1" x14ac:dyDescent="0.3">
      <c r="A4" s="413" t="s">
        <v>42</v>
      </c>
      <c r="B4" s="414"/>
      <c r="C4" s="422" t="str">
        <f>+Contexto!A8</f>
        <v>PROCESO: Gestión Educativa</v>
      </c>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205"/>
      <c r="AO4" s="205"/>
      <c r="AP4" s="205"/>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74" ht="30" customHeight="1" x14ac:dyDescent="0.3">
      <c r="A5" s="413" t="s">
        <v>124</v>
      </c>
      <c r="B5" s="414"/>
      <c r="C5" s="423" t="str">
        <f>+Contexto!A9</f>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c r="AN5" s="206"/>
      <c r="AO5" s="206"/>
      <c r="AP5" s="206"/>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49.5" customHeight="1" x14ac:dyDescent="0.3">
      <c r="A6" s="413" t="s">
        <v>43</v>
      </c>
      <c r="B6" s="414"/>
      <c r="C6" s="423" t="s">
        <v>344</v>
      </c>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206"/>
      <c r="AO6" s="206"/>
      <c r="AP6" s="206"/>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x14ac:dyDescent="0.3">
      <c r="A7" s="395" t="s">
        <v>133</v>
      </c>
      <c r="B7" s="396"/>
      <c r="C7" s="397"/>
      <c r="D7" s="397"/>
      <c r="E7" s="397"/>
      <c r="F7" s="397"/>
      <c r="G7" s="397"/>
      <c r="H7" s="397"/>
      <c r="I7" s="397"/>
      <c r="J7" s="398"/>
      <c r="K7" s="399" t="s">
        <v>134</v>
      </c>
      <c r="L7" s="397"/>
      <c r="M7" s="397"/>
      <c r="N7" s="397"/>
      <c r="O7" s="397"/>
      <c r="P7" s="397"/>
      <c r="Q7" s="398"/>
      <c r="R7" s="399" t="s">
        <v>135</v>
      </c>
      <c r="S7" s="397"/>
      <c r="T7" s="397"/>
      <c r="U7" s="397"/>
      <c r="V7" s="397"/>
      <c r="W7" s="397"/>
      <c r="X7" s="397"/>
      <c r="Y7" s="397"/>
      <c r="Z7" s="398"/>
      <c r="AA7" s="399" t="s">
        <v>136</v>
      </c>
      <c r="AB7" s="397"/>
      <c r="AC7" s="397"/>
      <c r="AD7" s="397"/>
      <c r="AE7" s="397"/>
      <c r="AF7" s="397"/>
      <c r="AG7" s="398"/>
      <c r="AH7" s="399" t="s">
        <v>34</v>
      </c>
      <c r="AI7" s="397"/>
      <c r="AJ7" s="397"/>
      <c r="AK7" s="397"/>
      <c r="AL7" s="397"/>
      <c r="AM7" s="398"/>
      <c r="AN7" s="4"/>
      <c r="AO7" s="4"/>
      <c r="AP7" s="4"/>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6.5" customHeight="1" x14ac:dyDescent="0.3">
      <c r="A8" s="415" t="s">
        <v>0</v>
      </c>
      <c r="B8" s="425" t="s">
        <v>2</v>
      </c>
      <c r="C8" s="418" t="s">
        <v>3</v>
      </c>
      <c r="D8" s="418" t="s">
        <v>41</v>
      </c>
      <c r="E8" s="417" t="s">
        <v>202</v>
      </c>
      <c r="F8" s="419" t="s">
        <v>1</v>
      </c>
      <c r="G8" s="129"/>
      <c r="H8" s="129"/>
      <c r="I8" s="417" t="s">
        <v>49</v>
      </c>
      <c r="J8" s="418" t="s">
        <v>129</v>
      </c>
      <c r="K8" s="426" t="s">
        <v>33</v>
      </c>
      <c r="L8" s="427" t="s">
        <v>5</v>
      </c>
      <c r="M8" s="417" t="s">
        <v>85</v>
      </c>
      <c r="N8" s="417" t="s">
        <v>90</v>
      </c>
      <c r="O8" s="428" t="s">
        <v>44</v>
      </c>
      <c r="P8" s="427" t="s">
        <v>5</v>
      </c>
      <c r="Q8" s="418" t="s">
        <v>47</v>
      </c>
      <c r="R8" s="410" t="s">
        <v>11</v>
      </c>
      <c r="S8" s="421" t="s">
        <v>151</v>
      </c>
      <c r="T8" s="417" t="s">
        <v>12</v>
      </c>
      <c r="U8" s="421" t="s">
        <v>8</v>
      </c>
      <c r="V8" s="421"/>
      <c r="W8" s="421"/>
      <c r="X8" s="421"/>
      <c r="Y8" s="421"/>
      <c r="Z8" s="421"/>
      <c r="AA8" s="412" t="s">
        <v>132</v>
      </c>
      <c r="AB8" s="412" t="s">
        <v>45</v>
      </c>
      <c r="AC8" s="412" t="s">
        <v>5</v>
      </c>
      <c r="AD8" s="412" t="s">
        <v>46</v>
      </c>
      <c r="AE8" s="412" t="s">
        <v>5</v>
      </c>
      <c r="AF8" s="412" t="s">
        <v>48</v>
      </c>
      <c r="AG8" s="410" t="s">
        <v>29</v>
      </c>
      <c r="AH8" s="421" t="s">
        <v>34</v>
      </c>
      <c r="AI8" s="421" t="s">
        <v>35</v>
      </c>
      <c r="AJ8" s="421" t="s">
        <v>36</v>
      </c>
      <c r="AK8" s="421" t="s">
        <v>37</v>
      </c>
      <c r="AL8" s="421" t="s">
        <v>38</v>
      </c>
      <c r="AM8" s="421" t="s">
        <v>380</v>
      </c>
      <c r="AN8" s="207"/>
      <c r="AO8" s="207"/>
      <c r="AP8" s="207"/>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s="4" customFormat="1" ht="94.5" customHeight="1" x14ac:dyDescent="0.25">
      <c r="A9" s="416"/>
      <c r="B9" s="425"/>
      <c r="C9" s="421"/>
      <c r="D9" s="421"/>
      <c r="E9" s="426"/>
      <c r="F9" s="420"/>
      <c r="G9" s="129" t="s">
        <v>263</v>
      </c>
      <c r="H9" s="129" t="s">
        <v>203</v>
      </c>
      <c r="I9" s="418"/>
      <c r="J9" s="421"/>
      <c r="K9" s="418"/>
      <c r="L9" s="399"/>
      <c r="M9" s="418"/>
      <c r="N9" s="418"/>
      <c r="O9" s="399"/>
      <c r="P9" s="399"/>
      <c r="Q9" s="421"/>
      <c r="R9" s="411"/>
      <c r="S9" s="421"/>
      <c r="T9" s="418"/>
      <c r="U9" s="7" t="s">
        <v>13</v>
      </c>
      <c r="V9" s="7" t="s">
        <v>17</v>
      </c>
      <c r="W9" s="7" t="s">
        <v>28</v>
      </c>
      <c r="X9" s="7" t="s">
        <v>18</v>
      </c>
      <c r="Y9" s="7" t="s">
        <v>21</v>
      </c>
      <c r="Z9" s="7" t="s">
        <v>24</v>
      </c>
      <c r="AA9" s="412"/>
      <c r="AB9" s="412"/>
      <c r="AC9" s="412"/>
      <c r="AD9" s="412"/>
      <c r="AE9" s="412"/>
      <c r="AF9" s="412"/>
      <c r="AG9" s="411"/>
      <c r="AH9" s="421"/>
      <c r="AI9" s="421"/>
      <c r="AJ9" s="421"/>
      <c r="AK9" s="421"/>
      <c r="AL9" s="421"/>
      <c r="AM9" s="424"/>
      <c r="AN9" s="210" t="s">
        <v>38</v>
      </c>
      <c r="AO9" s="210" t="s">
        <v>37</v>
      </c>
      <c r="AP9" s="210" t="s">
        <v>383</v>
      </c>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row>
    <row r="10" spans="1:74" s="3" customFormat="1" ht="114" customHeight="1" x14ac:dyDescent="0.25">
      <c r="A10" s="400">
        <v>1</v>
      </c>
      <c r="B10" s="443" t="s">
        <v>126</v>
      </c>
      <c r="C10" s="445" t="s">
        <v>345</v>
      </c>
      <c r="D10" s="447" t="s">
        <v>346</v>
      </c>
      <c r="E10" s="435" t="s">
        <v>347</v>
      </c>
      <c r="F10" s="433" t="s">
        <v>348</v>
      </c>
      <c r="G10" s="433" t="s">
        <v>350</v>
      </c>
      <c r="H10" s="432" t="s">
        <v>349</v>
      </c>
      <c r="I10" s="453" t="s">
        <v>117</v>
      </c>
      <c r="J10" s="455">
        <v>360</v>
      </c>
      <c r="K10" s="457" t="str">
        <f>IF(J10&lt;=0,"",IF(J10&lt;=2,"Muy Baja",IF(J10&lt;=24,"Baja",IF(J10&lt;=500,"Media",IF(J10&lt;=5000,"Alta","Muy Alta")))))</f>
        <v>Media</v>
      </c>
      <c r="L10" s="463">
        <f>IF(K10="","",IF(K10="Muy Baja",0.2,IF(K10="Baja",0.4,IF(K10="Media",0.6,IF(K10="Alta",0.8,IF(K10="Muy Alta",1,))))))</f>
        <v>0.6</v>
      </c>
      <c r="M10" s="465" t="s">
        <v>145</v>
      </c>
      <c r="N10" s="463"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57" t="str">
        <f>IF(OR(N10='Tabla Impacto'!$C$11,N10='Tabla Impacto'!$D$11),"Leve",IF(OR(N10='Tabla Impacto'!$C$12,N10='Tabla Impacto'!$D$12),"Menor",IF(OR(N10='Tabla Impacto'!$C$13,N10='Tabla Impacto'!$D$13),"Moderado",IF(OR(N10='Tabla Impacto'!$C$14,N10='Tabla Impacto'!$D$14),"Mayor",IF(OR(N10='Tabla Impacto'!$C$15,N10='Tabla Impacto'!$D$15),"Catastrófico","")))))</f>
        <v>Mayor</v>
      </c>
      <c r="P10" s="463">
        <f>IF(O10="","",IF(O10="Leve",0.2,IF(O10="Menor",0.4,IF(O10="Moderado",0.6,IF(O10="Mayor",0.8,IF(O10="Catastrófico",1,))))))</f>
        <v>0.8</v>
      </c>
      <c r="Q10" s="472"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98" t="s">
        <v>353</v>
      </c>
      <c r="T10" s="107" t="str">
        <f>IF(OR(U10="Preventivo",U10="Detectivo"),"Probabilidad",IF(U10="Correctivo","Impacto",""))</f>
        <v>Probabilidad</v>
      </c>
      <c r="U10" s="113" t="s">
        <v>14</v>
      </c>
      <c r="V10" s="113" t="s">
        <v>9</v>
      </c>
      <c r="W10" s="114" t="str">
        <f>IF(AND(U10="Preventivo",V10="Automático"),"50%",IF(AND(U10="Preventivo",V10="Manual"),"40%",IF(AND(U10="Detectivo",V10="Automático"),"40%",IF(AND(U10="Detectivo",V10="Manual"),"30%",IF(AND(U10="Correctivo",V10="Automático"),"35%",IF(AND(U10="Correctivo",V10="Manual"),"25%",""))))))</f>
        <v>40%</v>
      </c>
      <c r="X10" s="113" t="s">
        <v>19</v>
      </c>
      <c r="Y10" s="113" t="s">
        <v>22</v>
      </c>
      <c r="Z10" s="113" t="s">
        <v>113</v>
      </c>
      <c r="AA10" s="108">
        <f>IFERROR(IF(T10="Probabilidad",(L10-(+L10*W10)),IF(T10="Impacto",L10,"")),"")</f>
        <v>0.36</v>
      </c>
      <c r="AB10" s="115" t="str">
        <f>IFERROR(IF(AA10="","",IF(AA10&lt;=0.2,"Muy Baja",IF(AA10&lt;=0.4,"Baja",IF(AA10&lt;=0.6,"Media",IF(AA10&lt;=0.8,"Alta","Muy Alta"))))),"")</f>
        <v>Baja</v>
      </c>
      <c r="AC10" s="116">
        <f>+AA10</f>
        <v>0.36</v>
      </c>
      <c r="AD10" s="115" t="str">
        <f>IFERROR(IF(AE10="","",IF(AE10&lt;=0.2,"Leve",IF(AE10&lt;=0.4,"Menor",IF(AE10&lt;=0.6,"Moderado",IF(AE10&lt;=0.8,"Mayor","Catastrófico"))))),"")</f>
        <v>Mayor</v>
      </c>
      <c r="AE10" s="116">
        <f>IFERROR(IF(T10="Impacto",(P10-(+P10*W10)),IF(T10="Probabilidad",P10,"")),"")</f>
        <v>0.8</v>
      </c>
      <c r="AF10" s="117"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Alto</v>
      </c>
      <c r="AG10" s="469" t="s">
        <v>130</v>
      </c>
      <c r="AH10" s="199" t="s">
        <v>354</v>
      </c>
      <c r="AI10" s="199" t="s">
        <v>355</v>
      </c>
      <c r="AJ10" s="200">
        <v>45292</v>
      </c>
      <c r="AK10" s="200" t="s">
        <v>381</v>
      </c>
      <c r="AL10" s="200" t="s">
        <v>376</v>
      </c>
      <c r="AM10" s="200" t="s">
        <v>382</v>
      </c>
      <c r="AN10" s="200" t="s">
        <v>384</v>
      </c>
      <c r="AO10" s="200" t="s">
        <v>385</v>
      </c>
      <c r="AP10" s="200" t="s">
        <v>391</v>
      </c>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row>
    <row r="11" spans="1:74" ht="104.45" customHeight="1" x14ac:dyDescent="0.3">
      <c r="A11" s="401"/>
      <c r="B11" s="444"/>
      <c r="C11" s="446"/>
      <c r="D11" s="448"/>
      <c r="E11" s="436"/>
      <c r="F11" s="434"/>
      <c r="G11" s="434"/>
      <c r="H11" s="432"/>
      <c r="I11" s="454"/>
      <c r="J11" s="456"/>
      <c r="K11" s="458"/>
      <c r="L11" s="464"/>
      <c r="M11" s="466"/>
      <c r="N11" s="464">
        <f>IF(NOT(ISERROR(MATCH(M11,_xlfn.ANCHORARRAY(F15),0))),#REF!&amp;"Por favor no seleccionar los criterios de impacto",M11)</f>
        <v>0</v>
      </c>
      <c r="O11" s="458"/>
      <c r="P11" s="464"/>
      <c r="Q11" s="473"/>
      <c r="R11" s="105">
        <v>2</v>
      </c>
      <c r="S11" s="198" t="s">
        <v>351</v>
      </c>
      <c r="T11" s="107" t="str">
        <f>IF(OR(U11="Preventivo",U11="Detectivo"),"Probabilidad",IF(U11="Correctivo","Impacto",""))</f>
        <v>Probabilidad</v>
      </c>
      <c r="U11" s="113" t="s">
        <v>15</v>
      </c>
      <c r="V11" s="113" t="s">
        <v>9</v>
      </c>
      <c r="W11" s="114" t="str">
        <f t="shared" ref="W11" si="0">IF(AND(U11="Preventivo",V11="Automático"),"50%",IF(AND(U11="Preventivo",V11="Manual"),"40%",IF(AND(U11="Detectivo",V11="Automático"),"40%",IF(AND(U11="Detectivo",V11="Manual"),"30%",IF(AND(U11="Correctivo",V11="Automático"),"35%",IF(AND(U11="Correctivo",V11="Manual"),"25%",""))))))</f>
        <v>30%</v>
      </c>
      <c r="X11" s="113" t="s">
        <v>19</v>
      </c>
      <c r="Y11" s="113" t="s">
        <v>22</v>
      </c>
      <c r="Z11" s="113" t="s">
        <v>113</v>
      </c>
      <c r="AA11" s="108">
        <f>IFERROR(IF(AND(T10="Probabilidad",T11="Probabilidad"),(AC10-(+AC10*W11)),IF(AND(T10="Impacto",T11="Probabilidad"),(L10-(+L10*W11)),IF(T11="Impacto",AC10,""))),"")</f>
        <v>0.252</v>
      </c>
      <c r="AB11" s="115" t="str">
        <f t="shared" ref="AB11" si="1">IFERROR(IF(AA11="","",IF(AA11&lt;=0.2,"Muy Baja",IF(AA11&lt;=0.4,"Baja",IF(AA11&lt;=0.6,"Media",IF(AA11&lt;=0.8,"Alta","Muy Alta"))))),"")</f>
        <v>Baja</v>
      </c>
      <c r="AC11" s="116">
        <f>+AA11</f>
        <v>0.252</v>
      </c>
      <c r="AD11" s="115" t="str">
        <f t="shared" ref="AD11" si="2">IFERROR(IF(AE11="","",IF(AE11&lt;=0.2,"Leve",IF(AE11&lt;=0.4,"Menor",IF(AE11&lt;=0.6,"Moderado",IF(AE11&lt;=0.8,"Mayor","Catastrófico"))))),"")</f>
        <v>Mayor</v>
      </c>
      <c r="AE11" s="116">
        <f>IFERROR(IF(AND(T10="Impacto",T11="Impacto"),(AE10-(+AE10*W11)),IF(AND(T10="Probabilidad",T11="Impacto"),(P10-(+P10*W11)),IF(T11="Probabilidad",AE10,""))),"")</f>
        <v>0.8</v>
      </c>
      <c r="AF11" s="117"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470"/>
      <c r="AH11" s="201" t="s">
        <v>356</v>
      </c>
      <c r="AI11" s="201" t="s">
        <v>355</v>
      </c>
      <c r="AJ11" s="200">
        <v>45292</v>
      </c>
      <c r="AK11" s="200" t="s">
        <v>381</v>
      </c>
      <c r="AL11" s="200" t="s">
        <v>377</v>
      </c>
      <c r="AM11" s="200" t="s">
        <v>382</v>
      </c>
      <c r="AN11" s="200" t="s">
        <v>377</v>
      </c>
      <c r="AO11" s="200" t="s">
        <v>386</v>
      </c>
      <c r="AP11" s="200" t="s">
        <v>377</v>
      </c>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27.9" customHeight="1" x14ac:dyDescent="0.3">
      <c r="A12" s="401"/>
      <c r="B12" s="444"/>
      <c r="C12" s="446"/>
      <c r="D12" s="448"/>
      <c r="E12" s="197" t="s">
        <v>287</v>
      </c>
      <c r="F12" s="434"/>
      <c r="G12" s="434"/>
      <c r="H12" s="432"/>
      <c r="I12" s="454"/>
      <c r="J12" s="456"/>
      <c r="K12" s="458"/>
      <c r="L12" s="464"/>
      <c r="M12" s="466"/>
      <c r="N12" s="464">
        <f>IF(NOT(ISERROR(MATCH(M12,_xlfn.ANCHORARRAY(F16),0))),#REF!&amp;"Por favor no seleccionar los criterios de impacto",M12)</f>
        <v>0</v>
      </c>
      <c r="O12" s="458"/>
      <c r="P12" s="464"/>
      <c r="Q12" s="473"/>
      <c r="R12" s="105">
        <v>3</v>
      </c>
      <c r="S12" s="198" t="s">
        <v>352</v>
      </c>
      <c r="T12" s="107" t="str">
        <f t="shared" ref="T12" si="4">IF(OR(U12="Preventivo",U12="Detectivo"),"Probabilidad",IF(U12="Correctivo","Impacto",""))</f>
        <v>Probabilidad</v>
      </c>
      <c r="U12" s="113" t="s">
        <v>15</v>
      </c>
      <c r="V12" s="113" t="s">
        <v>9</v>
      </c>
      <c r="W12" s="114" t="str">
        <f t="shared" ref="W12" si="5">IF(AND(U12="Preventivo",V12="Automático"),"50%",IF(AND(U12="Preventivo",V12="Manual"),"40%",IF(AND(U12="Detectivo",V12="Automático"),"40%",IF(AND(U12="Detectivo",V12="Manual"),"30%",IF(AND(U12="Correctivo",V12="Automático"),"35%",IF(AND(U12="Correctivo",V12="Manual"),"25%",""))))))</f>
        <v>30%</v>
      </c>
      <c r="X12" s="113" t="s">
        <v>20</v>
      </c>
      <c r="Y12" s="113" t="s">
        <v>22</v>
      </c>
      <c r="Z12" s="113" t="s">
        <v>114</v>
      </c>
      <c r="AA12" s="108">
        <f>IFERROR(IF(AND(T11="Probabilidad",T12="Probabilidad"),(AC11-(+AC11*W12)),IF(AND(T11="Impacto",T12="Probabilidad"),(AC10-(+AC10*W12)),IF(T12="Impacto",AC11,""))),"")</f>
        <v>0.1764</v>
      </c>
      <c r="AB12" s="115" t="str">
        <f t="shared" ref="AB12" si="6">IFERROR(IF(AA12="","",IF(AA12&lt;=0.2,"Muy Baja",IF(AA12&lt;=0.4,"Baja",IF(AA12&lt;=0.6,"Media",IF(AA12&lt;=0.8,"Alta","Muy Alta"))))),"")</f>
        <v>Muy Baja</v>
      </c>
      <c r="AC12" s="116">
        <f t="shared" ref="AC12" si="7">+AA12</f>
        <v>0.1764</v>
      </c>
      <c r="AD12" s="115" t="str">
        <f t="shared" ref="AD12" si="8">IFERROR(IF(AE12="","",IF(AE12&lt;=0.2,"Leve",IF(AE12&lt;=0.4,"Menor",IF(AE12&lt;=0.6,"Moderado",IF(AE12&lt;=0.8,"Mayor","Catastrófico"))))),"")</f>
        <v>Mayor</v>
      </c>
      <c r="AE12" s="116">
        <f t="shared" ref="AE12" si="9">IFERROR(IF(AND(T11="Impacto",T12="Impacto"),(AE11-(+AE11*W12)),IF(AND(T11="Probabilidad",T12="Impacto"),(AE10-(+AE10*W12)),IF(T12="Probabilidad",AE11,""))),"")</f>
        <v>0.8</v>
      </c>
      <c r="AF12" s="117" t="str">
        <f t="shared" ref="AF12"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Alto</v>
      </c>
      <c r="AG12" s="471"/>
      <c r="AH12" s="201" t="s">
        <v>357</v>
      </c>
      <c r="AI12" s="201" t="s">
        <v>358</v>
      </c>
      <c r="AJ12" s="200">
        <v>45292</v>
      </c>
      <c r="AK12" s="200" t="s">
        <v>381</v>
      </c>
      <c r="AL12" s="200" t="s">
        <v>379</v>
      </c>
      <c r="AM12" s="200" t="s">
        <v>382</v>
      </c>
      <c r="AN12" s="200" t="s">
        <v>379</v>
      </c>
      <c r="AO12" s="200" t="s">
        <v>386</v>
      </c>
      <c r="AP12" s="200" t="s">
        <v>388</v>
      </c>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4" customHeight="1" x14ac:dyDescent="0.3">
      <c r="A13" s="400">
        <v>2</v>
      </c>
      <c r="B13" s="402" t="s">
        <v>126</v>
      </c>
      <c r="C13" s="404" t="s">
        <v>359</v>
      </c>
      <c r="D13" s="437" t="s">
        <v>360</v>
      </c>
      <c r="E13" s="202" t="s">
        <v>361</v>
      </c>
      <c r="F13" s="439" t="s">
        <v>362</v>
      </c>
      <c r="G13" s="433" t="s">
        <v>350</v>
      </c>
      <c r="H13" s="441" t="s">
        <v>363</v>
      </c>
      <c r="I13" s="459" t="s">
        <v>117</v>
      </c>
      <c r="J13" s="455">
        <v>180</v>
      </c>
      <c r="K13" s="457" t="str">
        <f>IF(J13&lt;=0,"",IF(J13&lt;=2,"Muy Baja",IF(J13&lt;=24,"Baja",IF(J13&lt;=500,"Media",IF(J13&lt;=5000,"Alta","Muy Alta")))))</f>
        <v>Media</v>
      </c>
      <c r="L13" s="463">
        <f>IF(K13="","",IF(K13="Muy Baja",0.2,IF(K13="Baja",0.4,IF(K13="Media",0.6,IF(K13="Alta",0.8,IF(K13="Muy Alta",1,))))))</f>
        <v>0.6</v>
      </c>
      <c r="M13" s="465" t="s">
        <v>145</v>
      </c>
      <c r="N13" s="463" t="str">
        <f>IF(NOT(ISERROR(MATCH(M13,'Tabla Impacto'!$B$221:$B$223,0))),'Tabla Impacto'!$F$223&amp;"Por favor no seleccionar los criterios de impacto(Afectación Económica o presupuestal y Pérdida Reputacional)",M13)</f>
        <v xml:space="preserve">     El riesgo afecta la imagen de de la entidad con efecto publicitario sostenido a nivel de sector administrativo, nivel departamental o municipal</v>
      </c>
      <c r="O13" s="457" t="str">
        <f>IF(OR(N13='Tabla Impacto'!$C$11,N13='Tabla Impacto'!$D$11),"Leve",IF(OR(N13='Tabla Impacto'!$C$12,N13='Tabla Impacto'!$D$12),"Menor",IF(OR(N13='Tabla Impacto'!$C$13,N13='Tabla Impacto'!$D$13),"Moderado",IF(OR(N13='Tabla Impacto'!$C$14,N13='Tabla Impacto'!$D$14),"Mayor",IF(OR(N13='Tabla Impacto'!$C$15,N13='Tabla Impacto'!$D$15),"Catastrófico","")))))</f>
        <v>Mayor</v>
      </c>
      <c r="P13" s="463">
        <f>IF(O13="","",IF(O13="Leve",0.2,IF(O13="Menor",0.4,IF(O13="Moderado",0.6,IF(O13="Mayor",0.8,IF(O13="Catastrófico",1,))))))</f>
        <v>0.8</v>
      </c>
      <c r="Q13" s="472"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Alto</v>
      </c>
      <c r="R13" s="105">
        <v>1</v>
      </c>
      <c r="S13" s="112" t="s">
        <v>365</v>
      </c>
      <c r="T13" s="107" t="str">
        <f>IF(OR(U13="Preventivo",U13="Detectivo"),"Probabilidad",IF(U13="Correctivo","Impacto",""))</f>
        <v>Impacto</v>
      </c>
      <c r="U13" s="113" t="s">
        <v>16</v>
      </c>
      <c r="V13" s="113" t="s">
        <v>9</v>
      </c>
      <c r="W13" s="114" t="str">
        <f>IF(AND(U13="Preventivo",V13="Automático"),"50%",IF(AND(U13="Preventivo",V13="Manual"),"40%",IF(AND(U13="Detectivo",V13="Automático"),"40%",IF(AND(U13="Detectivo",V13="Manual"),"30%",IF(AND(U13="Correctivo",V13="Automático"),"35%",IF(AND(U13="Correctivo",V13="Manual"),"25%",""))))))</f>
        <v>25%</v>
      </c>
      <c r="X13" s="113" t="s">
        <v>19</v>
      </c>
      <c r="Y13" s="113" t="s">
        <v>23</v>
      </c>
      <c r="Z13" s="113" t="s">
        <v>113</v>
      </c>
      <c r="AA13" s="108">
        <f>IFERROR(IF(T13="Probabilidad",(L13-(+L13*W13)),IF(T13="Impacto",L13,"")),"")</f>
        <v>0.6</v>
      </c>
      <c r="AB13" s="115" t="str">
        <f>IFERROR(IF(AA13="","",IF(AA13&lt;=0.2,"Muy Baja",IF(AA13&lt;=0.4,"Baja",IF(AA13&lt;=0.6,"Media",IF(AA13&lt;=0.8,"Alta","Muy Alta"))))),"")</f>
        <v>Media</v>
      </c>
      <c r="AC13" s="116">
        <f>+AA13</f>
        <v>0.6</v>
      </c>
      <c r="AD13" s="115" t="str">
        <f>IFERROR(IF(AE13="","",IF(AE13&lt;=0.2,"Leve",IF(AE13&lt;=0.4,"Menor",IF(AE13&lt;=0.6,"Moderado",IF(AE13&lt;=0.8,"Mayor","Catastrófico"))))),"")</f>
        <v>Moderado</v>
      </c>
      <c r="AE13" s="116">
        <f>IFERROR(IF(T13="Impacto",(P13-(+P13*W13)),IF(T13="Probabilidad",P13,"")),"")</f>
        <v>0.60000000000000009</v>
      </c>
      <c r="AF13" s="117" t="str">
        <f>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Moderado</v>
      </c>
      <c r="AG13" s="467" t="s">
        <v>130</v>
      </c>
      <c r="AH13" s="201" t="s">
        <v>367</v>
      </c>
      <c r="AI13" s="203" t="s">
        <v>368</v>
      </c>
      <c r="AJ13" s="200">
        <v>45292</v>
      </c>
      <c r="AK13" s="200">
        <v>45383</v>
      </c>
      <c r="AL13" s="200" t="s">
        <v>379</v>
      </c>
      <c r="AM13" s="200" t="s">
        <v>382</v>
      </c>
      <c r="AN13" s="200" t="s">
        <v>379</v>
      </c>
      <c r="AO13" s="200" t="s">
        <v>387</v>
      </c>
      <c r="AP13" s="200" t="s">
        <v>389</v>
      </c>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71.6" customHeight="1" x14ac:dyDescent="0.3">
      <c r="A14" s="401"/>
      <c r="B14" s="403"/>
      <c r="C14" s="405"/>
      <c r="D14" s="438"/>
      <c r="E14" s="202" t="s">
        <v>364</v>
      </c>
      <c r="F14" s="440"/>
      <c r="G14" s="434"/>
      <c r="H14" s="442"/>
      <c r="I14" s="460"/>
      <c r="J14" s="456"/>
      <c r="K14" s="458"/>
      <c r="L14" s="464"/>
      <c r="M14" s="466"/>
      <c r="N14" s="464">
        <f>IF(NOT(ISERROR(MATCH(M14,_xlfn.ANCHORARRAY(#REF!),0))),#REF!&amp;"Por favor no seleccionar los criterios de impacto",M14)</f>
        <v>0</v>
      </c>
      <c r="O14" s="458"/>
      <c r="P14" s="464"/>
      <c r="Q14" s="473"/>
      <c r="R14" s="105">
        <v>2</v>
      </c>
      <c r="S14" s="112" t="s">
        <v>366</v>
      </c>
      <c r="T14" s="107" t="str">
        <f>IF(OR(U14="Preventivo",U14="Detectivo"),"Probabilidad",IF(U14="Correctivo","Impacto",""))</f>
        <v>Probabilidad</v>
      </c>
      <c r="U14" s="113" t="s">
        <v>15</v>
      </c>
      <c r="V14" s="113" t="s">
        <v>9</v>
      </c>
      <c r="W14" s="114" t="str">
        <f t="shared" ref="W14" si="11">IF(AND(U14="Preventivo",V14="Automático"),"50%",IF(AND(U14="Preventivo",V14="Manual"),"40%",IF(AND(U14="Detectivo",V14="Automático"),"40%",IF(AND(U14="Detectivo",V14="Manual"),"30%",IF(AND(U14="Correctivo",V14="Automático"),"35%",IF(AND(U14="Correctivo",V14="Manual"),"25%",""))))))</f>
        <v>30%</v>
      </c>
      <c r="X14" s="113" t="s">
        <v>19</v>
      </c>
      <c r="Y14" s="113" t="s">
        <v>22</v>
      </c>
      <c r="Z14" s="113" t="s">
        <v>113</v>
      </c>
      <c r="AA14" s="108">
        <f>IFERROR(IF(AND(T13="Probabilidad",T14="Probabilidad"),(AC13-(+AC13*W14)),IF(AND(T13="Impacto",T14="Probabilidad"),(L13-(+L13*W14)),IF(T14="Impacto",AC13,""))),"")</f>
        <v>0.42</v>
      </c>
      <c r="AB14" s="115" t="str">
        <f t="shared" ref="AB14" si="12">IFERROR(IF(AA14="","",IF(AA14&lt;=0.2,"Muy Baja",IF(AA14&lt;=0.4,"Baja",IF(AA14&lt;=0.6,"Media",IF(AA14&lt;=0.8,"Alta","Muy Alta"))))),"")</f>
        <v>Media</v>
      </c>
      <c r="AC14" s="116">
        <f>+AA14</f>
        <v>0.42</v>
      </c>
      <c r="AD14" s="115" t="str">
        <f t="shared" ref="AD14" si="13">IFERROR(IF(AE14="","",IF(AE14&lt;=0.2,"Leve",IF(AE14&lt;=0.4,"Menor",IF(AE14&lt;=0.6,"Moderado",IF(AE14&lt;=0.8,"Mayor","Catastrófico"))))),"")</f>
        <v>Moderado</v>
      </c>
      <c r="AE14" s="116">
        <f>IFERROR(IF(AND(T13="Impacto",T14="Impacto"),(AE13-(+AE13*W14)),IF(AND(T13="Probabilidad",T14="Impacto"),(P13-(+P13*W14)),IF(T14="Probabilidad",AE13,""))),"")</f>
        <v>0.60000000000000009</v>
      </c>
      <c r="AF14" s="117" t="str">
        <f t="shared" ref="AF14" si="14">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468"/>
      <c r="AH14" s="201" t="s">
        <v>369</v>
      </c>
      <c r="AI14" s="203" t="s">
        <v>368</v>
      </c>
      <c r="AJ14" s="200">
        <v>45292</v>
      </c>
      <c r="AK14" s="200">
        <v>45383</v>
      </c>
      <c r="AL14" s="200" t="s">
        <v>378</v>
      </c>
      <c r="AM14" s="200" t="s">
        <v>382</v>
      </c>
      <c r="AN14" s="200" t="s">
        <v>379</v>
      </c>
      <c r="AO14" s="200" t="s">
        <v>386</v>
      </c>
      <c r="AP14" s="200" t="s">
        <v>390</v>
      </c>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2.9" customHeight="1" x14ac:dyDescent="0.3">
      <c r="A15" s="400">
        <v>3</v>
      </c>
      <c r="B15" s="402" t="s">
        <v>128</v>
      </c>
      <c r="C15" s="402" t="s">
        <v>359</v>
      </c>
      <c r="D15" s="429" t="s">
        <v>370</v>
      </c>
      <c r="E15" s="130" t="s">
        <v>371</v>
      </c>
      <c r="F15" s="431" t="s">
        <v>373</v>
      </c>
      <c r="G15" s="433" t="s">
        <v>374</v>
      </c>
      <c r="H15" s="441" t="s">
        <v>375</v>
      </c>
      <c r="I15" s="459" t="s">
        <v>117</v>
      </c>
      <c r="J15" s="461">
        <v>180</v>
      </c>
      <c r="K15" s="451" t="str">
        <f t="shared" ref="K15" si="15">IF(J15&lt;=0,"",IF(J15&lt;=2,"Muy Baja",IF(J15&lt;=24,"Baja",IF(J15&lt;=500,"Media",IF(J15&lt;=5000,"Alta","Muy Alta")))))</f>
        <v>Media</v>
      </c>
      <c r="L15" s="406">
        <f t="shared" ref="L15" si="16">IF(K15="","",IF(K15="Muy Baja",0.2,IF(K15="Baja",0.4,IF(K15="Media",0.6,IF(K15="Alta",0.8,IF(K15="Muy Alta",1,))))))</f>
        <v>0.6</v>
      </c>
      <c r="M15" s="449" t="s">
        <v>145</v>
      </c>
      <c r="N15" s="406" t="str">
        <f>IF(NOT(ISERROR(MATCH(M15,'Tabla Impacto'!$B$221:$B$223,0))),'Tabla Impacto'!$F$223&amp;"Por favor no seleccionar los criterios de impacto(Afectación Económica o presupuestal y Pérdida Reputacional)",M15)</f>
        <v xml:space="preserve">     El riesgo afecta la imagen de de la entidad con efecto publicitario sostenido a nivel de sector administrativo, nivel departamental o municipal</v>
      </c>
      <c r="O15" s="451" t="str">
        <f>IF(OR(N15='Tabla Impacto'!$C$11,N15='Tabla Impacto'!$D$11),"Leve",IF(OR(N15='Tabla Impacto'!$C$12,N15='Tabla Impacto'!$D$12),"Menor",IF(OR(N15='Tabla Impacto'!$C$13,N15='Tabla Impacto'!$D$13),"Moderado",IF(OR(N15='Tabla Impacto'!$C$14,N15='Tabla Impacto'!$D$14),"Mayor",IF(OR(N15='Tabla Impacto'!$C$15,N15='Tabla Impacto'!$D$15),"Catastrófico","")))))</f>
        <v>Mayor</v>
      </c>
      <c r="P15" s="406">
        <f t="shared" ref="P15" si="17">IF(O15="","",IF(O15="Leve",0.2,IF(O15="Menor",0.4,IF(O15="Moderado",0.6,IF(O15="Mayor",0.8,IF(O15="Catastrófico",1,))))))</f>
        <v>0.8</v>
      </c>
      <c r="Q15" s="408" t="str">
        <f t="shared" ref="Q15" si="18">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Alto</v>
      </c>
      <c r="R15" s="105">
        <v>1</v>
      </c>
      <c r="S15" s="106"/>
      <c r="T15" s="107" t="str">
        <f>IF(OR(U15="Preventivo",U15="Detectivo"),"Probabilidad",IF(U15="Correctivo","Impacto",""))</f>
        <v>Probabilidad</v>
      </c>
      <c r="U15" s="113" t="s">
        <v>14</v>
      </c>
      <c r="V15" s="113"/>
      <c r="W15" s="114" t="str">
        <f>IF(AND(U15="Preventivo",V15="Automático"),"50%",IF(AND(U15="Preventivo",V15="Manual"),"40%",IF(AND(U15="Detectivo",V15="Automático"),"40%",IF(AND(U15="Detectivo",V15="Manual"),"30%",IF(AND(U15="Correctivo",V15="Automático"),"35%",IF(AND(U15="Correctivo",V15="Manual"),"25%",""))))))</f>
        <v/>
      </c>
      <c r="X15" s="113"/>
      <c r="Y15" s="113"/>
      <c r="Z15" s="113"/>
      <c r="AA15" s="108" t="str">
        <f>IFERROR(IF(T15="Probabilidad",(L15-(+L15*W15)),IF(T15="Impacto",L15,"")),"")</f>
        <v/>
      </c>
      <c r="AB15" s="115" t="str">
        <f>IFERROR(IF(AA15="","",IF(AA15&lt;=0.2,"Muy Baja",IF(AA15&lt;=0.4,"Baja",IF(AA15&lt;=0.6,"Media",IF(AA15&lt;=0.8,"Alta","Muy Alta"))))),"")</f>
        <v/>
      </c>
      <c r="AC15" s="116" t="str">
        <f>+AA15</f>
        <v/>
      </c>
      <c r="AD15" s="115" t="str">
        <f>IFERROR(IF(AE15="","",IF(AE15&lt;=0.2,"Leve",IF(AE15&lt;=0.4,"Menor",IF(AE15&lt;=0.6,"Moderado",IF(AE15&lt;=0.8,"Mayor","Catastrófico"))))),"")</f>
        <v>Mayor</v>
      </c>
      <c r="AE15" s="116">
        <f>IFERROR(IF(T15="Impacto",(P15-(+P15*W15)),IF(T15="Probabilidad",P15,"")),"")</f>
        <v>0.8</v>
      </c>
      <c r="AF15" s="117"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
      </c>
      <c r="AG15" s="118"/>
      <c r="AH15" s="109"/>
      <c r="AI15" s="110"/>
      <c r="AJ15" s="111"/>
      <c r="AK15" s="111"/>
      <c r="AL15" s="109"/>
      <c r="AM15" s="110"/>
      <c r="AN15" s="208"/>
      <c r="AO15" s="208"/>
      <c r="AP15" s="20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57.75" customHeight="1" x14ac:dyDescent="0.3">
      <c r="A16" s="401"/>
      <c r="B16" s="403"/>
      <c r="C16" s="403"/>
      <c r="D16" s="430"/>
      <c r="E16" s="130" t="s">
        <v>372</v>
      </c>
      <c r="F16" s="431"/>
      <c r="G16" s="434"/>
      <c r="H16" s="442"/>
      <c r="I16" s="460"/>
      <c r="J16" s="462"/>
      <c r="K16" s="452"/>
      <c r="L16" s="407"/>
      <c r="M16" s="450"/>
      <c r="N16" s="407">
        <f>IF(NOT(ISERROR(MATCH(M16,_xlfn.ANCHORARRAY(#REF!),0))),#REF!&amp;"Por favor no seleccionar los criterios de impacto",M16)</f>
        <v>0</v>
      </c>
      <c r="O16" s="452"/>
      <c r="P16" s="407"/>
      <c r="Q16" s="409"/>
      <c r="R16" s="105">
        <v>2</v>
      </c>
      <c r="S16" s="106"/>
      <c r="T16" s="107" t="str">
        <f>IF(OR(U16="Preventivo",U16="Detectivo"),"Probabilidad",IF(U16="Correctivo","Impacto",""))</f>
        <v/>
      </c>
      <c r="U16" s="113"/>
      <c r="V16" s="113"/>
      <c r="W16" s="114" t="str">
        <f t="shared" ref="W16" si="19">IF(AND(U16="Preventivo",V16="Automático"),"50%",IF(AND(U16="Preventivo",V16="Manual"),"40%",IF(AND(U16="Detectivo",V16="Automático"),"40%",IF(AND(U16="Detectivo",V16="Manual"),"30%",IF(AND(U16="Correctivo",V16="Automático"),"35%",IF(AND(U16="Correctivo",V16="Manual"),"25%",""))))))</f>
        <v/>
      </c>
      <c r="X16" s="113"/>
      <c r="Y16" s="113"/>
      <c r="Z16" s="113"/>
      <c r="AA16" s="108" t="str">
        <f>IFERROR(IF(AND(T15="Probabilidad",T16="Probabilidad"),(AC15-(+AC15*W16)),IF(AND(T15="Impacto",T16="Probabilidad"),(L15-(+L15*W16)),IF(T16="Impacto",AC15,""))),"")</f>
        <v/>
      </c>
      <c r="AB16" s="115" t="str">
        <f t="shared" ref="AB16" si="20">IFERROR(IF(AA16="","",IF(AA16&lt;=0.2,"Muy Baja",IF(AA16&lt;=0.4,"Baja",IF(AA16&lt;=0.6,"Media",IF(AA16&lt;=0.8,"Alta","Muy Alta"))))),"")</f>
        <v/>
      </c>
      <c r="AC16" s="116" t="str">
        <f>+AA16</f>
        <v/>
      </c>
      <c r="AD16" s="115" t="str">
        <f t="shared" ref="AD16" si="21">IFERROR(IF(AE16="","",IF(AE16&lt;=0.2,"Leve",IF(AE16&lt;=0.4,"Menor",IF(AE16&lt;=0.6,"Moderado",IF(AE16&lt;=0.8,"Mayor","Catastrófico"))))),"")</f>
        <v/>
      </c>
      <c r="AE16" s="116" t="str">
        <f>IFERROR(IF(AND(T15="Impacto",T16="Impacto"),(AE15-(+AE15*W16)),IF(AND(T15="Probabilidad",T16="Impacto"),(P15-(+P15*W16)),IF(T16="Probabilidad",AE15,""))),"")</f>
        <v/>
      </c>
      <c r="AF16" s="117" t="str">
        <f t="shared" ref="AF16" si="22">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118"/>
      <c r="AH16" s="109"/>
      <c r="AI16" s="110"/>
      <c r="AJ16" s="111"/>
      <c r="AK16" s="111"/>
      <c r="AL16" s="109"/>
      <c r="AM16" s="110"/>
      <c r="AN16" s="208"/>
      <c r="AO16" s="208"/>
      <c r="AP16" s="20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42" ht="49.5" customHeight="1" x14ac:dyDescent="0.3">
      <c r="A17" s="6"/>
      <c r="B17" s="386" t="s">
        <v>125</v>
      </c>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8"/>
      <c r="AN17" s="209"/>
      <c r="AO17" s="209"/>
      <c r="AP17" s="209"/>
    </row>
    <row r="19" spans="1:42" x14ac:dyDescent="0.3">
      <c r="A19" s="1"/>
      <c r="B19" s="24" t="s">
        <v>137</v>
      </c>
      <c r="C19" s="1"/>
      <c r="D19" s="1"/>
      <c r="E19" s="1"/>
      <c r="I19" s="1"/>
    </row>
  </sheetData>
  <dataConsolidate/>
  <mergeCells count="96">
    <mergeCell ref="AG13:AG14"/>
    <mergeCell ref="H15:H16"/>
    <mergeCell ref="AG10:AG12"/>
    <mergeCell ref="G13:G14"/>
    <mergeCell ref="G15:G16"/>
    <mergeCell ref="Q10:Q12"/>
    <mergeCell ref="L10:L12"/>
    <mergeCell ref="M10:M12"/>
    <mergeCell ref="N10:N12"/>
    <mergeCell ref="O10:O12"/>
    <mergeCell ref="P10:P12"/>
    <mergeCell ref="N13:N14"/>
    <mergeCell ref="O13:O14"/>
    <mergeCell ref="P13:P14"/>
    <mergeCell ref="Q13:Q14"/>
    <mergeCell ref="K15:K16"/>
    <mergeCell ref="O15:O16"/>
    <mergeCell ref="I10:I12"/>
    <mergeCell ref="J10:J12"/>
    <mergeCell ref="K10:K12"/>
    <mergeCell ref="I15:I16"/>
    <mergeCell ref="J15:J16"/>
    <mergeCell ref="I13:I14"/>
    <mergeCell ref="J13:J14"/>
    <mergeCell ref="K13:K14"/>
    <mergeCell ref="L13:L14"/>
    <mergeCell ref="M13:M14"/>
    <mergeCell ref="D10:D12"/>
    <mergeCell ref="F10:F12"/>
    <mergeCell ref="L15:L16"/>
    <mergeCell ref="M15:M16"/>
    <mergeCell ref="N15:N16"/>
    <mergeCell ref="U8:Z8"/>
    <mergeCell ref="AA8:AA9"/>
    <mergeCell ref="A15:A16"/>
    <mergeCell ref="B15:B16"/>
    <mergeCell ref="C15:C16"/>
    <mergeCell ref="D15:D16"/>
    <mergeCell ref="F15:F16"/>
    <mergeCell ref="H10:H12"/>
    <mergeCell ref="G10:G12"/>
    <mergeCell ref="E10:E11"/>
    <mergeCell ref="D13:D14"/>
    <mergeCell ref="F13:F14"/>
    <mergeCell ref="H13:H14"/>
    <mergeCell ref="A10:A12"/>
    <mergeCell ref="B10:B12"/>
    <mergeCell ref="C10:C12"/>
    <mergeCell ref="AK8:AK9"/>
    <mergeCell ref="AJ8:AJ9"/>
    <mergeCell ref="AI8:AI9"/>
    <mergeCell ref="B8:B9"/>
    <mergeCell ref="Q8:Q9"/>
    <mergeCell ref="M8:M9"/>
    <mergeCell ref="N8:N9"/>
    <mergeCell ref="T8:T9"/>
    <mergeCell ref="E8:E9"/>
    <mergeCell ref="S8:S9"/>
    <mergeCell ref="AC8:AC9"/>
    <mergeCell ref="J8:J9"/>
    <mergeCell ref="K8:K9"/>
    <mergeCell ref="L8:L9"/>
    <mergeCell ref="O8:O9"/>
    <mergeCell ref="P8:P9"/>
    <mergeCell ref="AD8:AD9"/>
    <mergeCell ref="AB8:AB9"/>
    <mergeCell ref="A4:B4"/>
    <mergeCell ref="A5:B5"/>
    <mergeCell ref="A6:B6"/>
    <mergeCell ref="A8:A9"/>
    <mergeCell ref="I8:I9"/>
    <mergeCell ref="F8:F9"/>
    <mergeCell ref="D8:D9"/>
    <mergeCell ref="C8:C9"/>
    <mergeCell ref="C4:AM4"/>
    <mergeCell ref="C5:AM5"/>
    <mergeCell ref="C6:AM6"/>
    <mergeCell ref="AH8:AH9"/>
    <mergeCell ref="AM8:AM9"/>
    <mergeCell ref="AL8:AL9"/>
    <mergeCell ref="B17:AM17"/>
    <mergeCell ref="A1:AM2"/>
    <mergeCell ref="A7:J7"/>
    <mergeCell ref="K7:Q7"/>
    <mergeCell ref="R7:Z7"/>
    <mergeCell ref="AA7:AG7"/>
    <mergeCell ref="AH7:AM7"/>
    <mergeCell ref="A13:A14"/>
    <mergeCell ref="B13:B14"/>
    <mergeCell ref="C13:C14"/>
    <mergeCell ref="P15:P16"/>
    <mergeCell ref="Q15:Q16"/>
    <mergeCell ref="AG8:AG9"/>
    <mergeCell ref="R8:R9"/>
    <mergeCell ref="AF8:AF9"/>
    <mergeCell ref="AE8:AE9"/>
  </mergeCells>
  <conditionalFormatting sqref="K10 AB10:AB16 K13 K15">
    <cfRule type="cellIs" dxfId="38" priority="645" operator="equal">
      <formula>"Muy Alta"</formula>
    </cfRule>
    <cfRule type="cellIs" dxfId="37" priority="646" operator="equal">
      <formula>"Alta"</formula>
    </cfRule>
    <cfRule type="cellIs" dxfId="36" priority="647" operator="equal">
      <formula>"Media"</formula>
    </cfRule>
    <cfRule type="cellIs" dxfId="35" priority="648" operator="equal">
      <formula>"Baja"</formula>
    </cfRule>
    <cfRule type="cellIs" dxfId="34" priority="649" operator="equal">
      <formula>"Muy Baja"</formula>
    </cfRule>
  </conditionalFormatting>
  <conditionalFormatting sqref="N10:N16">
    <cfRule type="containsText" dxfId="33" priority="327" operator="containsText" text="❌">
      <formula>NOT(ISERROR(SEARCH("❌",N10)))</formula>
    </cfRule>
  </conditionalFormatting>
  <conditionalFormatting sqref="O10 AD10:AD16 O13 O15">
    <cfRule type="cellIs" dxfId="32" priority="640" operator="equal">
      <formula>"Catastrófico"</formula>
    </cfRule>
    <cfRule type="cellIs" dxfId="31" priority="641" operator="equal">
      <formula>"Mayor"</formula>
    </cfRule>
    <cfRule type="cellIs" dxfId="30" priority="642" operator="equal">
      <formula>"Moderado"</formula>
    </cfRule>
    <cfRule type="cellIs" dxfId="29" priority="643" operator="equal">
      <formula>"Menor"</formula>
    </cfRule>
    <cfRule type="cellIs" dxfId="28" priority="644" operator="equal">
      <formula>"Leve"</formula>
    </cfRule>
  </conditionalFormatting>
  <conditionalFormatting sqref="Q10 AF10:AF16">
    <cfRule type="cellIs" dxfId="27" priority="636" operator="equal">
      <formula>"Extremo"</formula>
    </cfRule>
    <cfRule type="cellIs" dxfId="26" priority="637" operator="equal">
      <formula>"Alto"</formula>
    </cfRule>
    <cfRule type="cellIs" dxfId="25" priority="638" operator="equal">
      <formula>"Moderado"</formula>
    </cfRule>
    <cfRule type="cellIs" dxfId="24" priority="639" operator="equal">
      <formula>"Bajo"</formula>
    </cfRule>
  </conditionalFormatting>
  <conditionalFormatting sqref="Q13">
    <cfRule type="cellIs" dxfId="23" priority="1" operator="equal">
      <formula>"Extremo"</formula>
    </cfRule>
    <cfRule type="cellIs" dxfId="22" priority="2" operator="equal">
      <formula>"Alto"</formula>
    </cfRule>
    <cfRule type="cellIs" dxfId="21" priority="3" operator="equal">
      <formula>"Moderado"</formula>
    </cfRule>
    <cfRule type="cellIs" dxfId="20" priority="4" operator="equal">
      <formula>"Bajo"</formula>
    </cfRule>
  </conditionalFormatting>
  <conditionalFormatting sqref="Q15">
    <cfRule type="cellIs" dxfId="19" priority="566" operator="equal">
      <formula>"Extremo"</formula>
    </cfRule>
    <cfRule type="cellIs" dxfId="18" priority="567" operator="equal">
      <formula>"Alto"</formula>
    </cfRule>
    <cfRule type="cellIs" dxfId="17" priority="568" operator="equal">
      <formula>"Moderado"</formula>
    </cfRule>
    <cfRule type="cellIs" dxfId="16" priority="569" operator="equal">
      <formula>"Bajo"</formula>
    </cfRule>
  </conditionalFormatting>
  <dataValidations count="1">
    <dataValidation type="list" allowBlank="1" showInputMessage="1" showErrorMessage="1" sqref="G10:G16">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'Opciones Tratamiento'!$B$9:$B$10</xm:f>
          </x14:formula1>
          <xm:sqref>AM15:AP16</xm:sqref>
        </x14:dataValidation>
        <x14:dataValidation type="list" allowBlank="1" showInputMessage="1" showErrorMessage="1">
          <x14:formula1>
            <xm:f>'Opciones Tratamiento'!$B$2:$B$5</xm:f>
          </x14:formula1>
          <xm:sqref>AG10 AG13 AG15</xm:sqref>
        </x14:dataValidation>
        <x14:dataValidation type="list" allowBlank="1" showInputMessage="1" showErrorMessage="1">
          <x14:formula1>
            <xm:f>'https://d.docs.live.net/Users/HOME/Downloads/[Formato Matriz de Riesgos 2021 (1).xlsx]Opciones Tratamiento'!#REF!</xm:f>
          </x14:formula1>
          <xm:sqref>AG16</xm:sqref>
        </x14:dataValidation>
        <x14:dataValidation type="list" allowBlank="1" showInputMessage="1" showErrorMessage="1">
          <x14:formula1>
            <xm:f>'Tabla Valoración controles'!$D$4:$D$6</xm:f>
          </x14:formula1>
          <xm:sqref>U10:U16</xm:sqref>
        </x14:dataValidation>
        <x14:dataValidation type="list" allowBlank="1" showInputMessage="1" showErrorMessage="1">
          <x14:formula1>
            <xm:f>'Tabla Valoración controles'!$D$7:$D$8</xm:f>
          </x14:formula1>
          <xm:sqref>V10:V16</xm:sqref>
        </x14:dataValidation>
        <x14:dataValidation type="list" allowBlank="1" showInputMessage="1" showErrorMessage="1">
          <x14:formula1>
            <xm:f>'Tabla Valoración controles'!$D$9:$D$10</xm:f>
          </x14:formula1>
          <xm:sqref>X10:X16</xm:sqref>
        </x14:dataValidation>
        <x14:dataValidation type="list" allowBlank="1" showInputMessage="1" showErrorMessage="1">
          <x14:formula1>
            <xm:f>'Tabla Valoración controles'!$D$11:$D$12</xm:f>
          </x14:formula1>
          <xm:sqref>Y10:Y16</xm:sqref>
        </x14:dataValidation>
        <x14:dataValidation type="list" allowBlank="1" showInputMessage="1" showErrorMessage="1">
          <x14:formula1>
            <xm:f>'Tabla Valoración controles'!$D$13:$D$14</xm:f>
          </x14:formula1>
          <xm:sqref>Z10:Z16</xm:sqref>
        </x14:dataValidation>
        <x14:dataValidation type="list" allowBlank="1" showInputMessage="1" showErrorMessage="1">
          <x14:formula1>
            <xm:f>'Opciones Tratamiento'!$B$13:$B$19</xm:f>
          </x14:formula1>
          <xm:sqref>I10:I16</xm:sqref>
        </x14:dataValidation>
        <x14:dataValidation type="list" allowBlank="1" showInputMessage="1" showErrorMessage="1">
          <x14:formula1>
            <xm:f>'Opciones Tratamiento'!$E$2:$E$4</xm:f>
          </x14:formula1>
          <xm:sqref>B10:B16</xm:sqref>
        </x14:dataValidation>
        <x14:dataValidation type="list" allowBlank="1" showInputMessage="1" showErrorMessage="1">
          <x14:formula1>
            <xm:f>'Tabla Impacto'!$F$210:$F$221</xm:f>
          </x14:formula1>
          <xm:sqref>M10:M16</xm:sqref>
        </x14:dataValidation>
        <x14:dataValidation type="custom" allowBlank="1" showInputMessage="1" showErrorMessage="1" error="Recuerde que las acciones se generan bajo la medida de mitigar el riesgo">
          <x14:formula1>
            <xm:f>IF(OR(AG15='Opciones Tratamiento'!$B$2,AG15='Opciones Tratamiento'!$B$3,AG15='Opciones Tratamiento'!$B$4),ISBLANK(AG15),ISTEXT(AG15))</xm:f>
          </x14:formula1>
          <xm:sqref>AH15:AH16</xm:sqref>
        </x14:dataValidation>
        <x14:dataValidation type="custom" allowBlank="1" showInputMessage="1" showErrorMessage="1" error="Recuerde que las acciones se generan bajo la medida de mitigar el riesgo">
          <x14:formula1>
            <xm:f>IF(OR(AG15='Opciones Tratamiento'!$B$2,AG15='Opciones Tratamiento'!$B$3,AG15='Opciones Tratamiento'!$B$4),ISBLANK(AG15),ISTEXT(AG15))</xm:f>
          </x14:formula1>
          <xm:sqref>AI15:AI16</xm:sqref>
        </x14:dataValidation>
        <x14:dataValidation type="custom" allowBlank="1" showInputMessage="1" showErrorMessage="1" error="Recuerde que las acciones se generan bajo la medida de mitigar el riesgo">
          <x14:formula1>
            <xm:f>IF(OR(AG15='Opciones Tratamiento'!$B$2,AG15='Opciones Tratamiento'!$B$3,AG15='Opciones Tratamiento'!$B$4),ISBLANK(AG15),ISTEXT(AG15))</xm:f>
          </x14:formula1>
          <xm:sqref>AJ15:AJ16</xm:sqref>
        </x14:dataValidation>
        <x14:dataValidation type="custom" allowBlank="1" showInputMessage="1" showErrorMessage="1" error="Recuerde que las acciones se generan bajo la medida de mitigar el riesgo">
          <x14:formula1>
            <xm:f>IF(OR(AG15='Opciones Tratamiento'!$B$2,AG15='Opciones Tratamiento'!$B$3,AG15='Opciones Tratamiento'!$B$4),ISBLANK(AG15),ISTEXT(AG15))</xm:f>
          </x14:formula1>
          <xm:sqref>AK15:AK16</xm:sqref>
        </x14:dataValidation>
        <x14:dataValidation type="custom" allowBlank="1" showInputMessage="1" showErrorMessage="1" error="Recuerde que las acciones se generan bajo la medida de mitigar el riesgo">
          <x14:formula1>
            <xm:f>IF(OR(AG15='Opciones Tratamiento'!$B$2,AG15='Opciones Tratamiento'!$B$3,AG15='Opciones Tratamiento'!$B$4),ISBLANK(AG15),ISTEXT(AG15))</xm:f>
          </x14:formula1>
          <xm:sqref>AL15:AL16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3" zoomScale="70" zoomScaleNormal="70" workbookViewId="0"/>
  </sheetViews>
  <sheetFormatPr baseColWidth="10" defaultRowHeight="15" x14ac:dyDescent="0.25"/>
  <cols>
    <col min="2" max="39" width="5.7109375" customWidth="1"/>
    <col min="41" max="46" width="5.7109375" customWidth="1"/>
  </cols>
  <sheetData>
    <row r="1" spans="1:99"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25">
      <c r="A2" s="67"/>
      <c r="B2" s="559" t="s">
        <v>149</v>
      </c>
      <c r="C2" s="559"/>
      <c r="D2" s="559"/>
      <c r="E2" s="559"/>
      <c r="F2" s="559"/>
      <c r="G2" s="559"/>
      <c r="H2" s="559"/>
      <c r="I2" s="559"/>
      <c r="J2" s="527" t="s">
        <v>2</v>
      </c>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25">
      <c r="A3" s="67"/>
      <c r="B3" s="559"/>
      <c r="C3" s="559"/>
      <c r="D3" s="559"/>
      <c r="E3" s="559"/>
      <c r="F3" s="559"/>
      <c r="G3" s="559"/>
      <c r="H3" s="559"/>
      <c r="I3" s="559"/>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25">
      <c r="A4" s="67"/>
      <c r="B4" s="559"/>
      <c r="C4" s="559"/>
      <c r="D4" s="559"/>
      <c r="E4" s="559"/>
      <c r="F4" s="559"/>
      <c r="G4" s="559"/>
      <c r="H4" s="559"/>
      <c r="I4" s="559"/>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7"/>
      <c r="AM4" s="52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25">
      <c r="A6" s="67"/>
      <c r="B6" s="474" t="s">
        <v>4</v>
      </c>
      <c r="C6" s="474"/>
      <c r="D6" s="475"/>
      <c r="E6" s="512" t="s">
        <v>110</v>
      </c>
      <c r="F6" s="513"/>
      <c r="G6" s="513"/>
      <c r="H6" s="513"/>
      <c r="I6" s="514"/>
      <c r="J6" s="523" t="str">
        <f>IF(AND('Mapa final'!$K$10="Muy Alta",'Mapa final'!$O$10="Leve"),CONCATENATE("R",'Mapa final'!$A$10),"")</f>
        <v/>
      </c>
      <c r="K6" s="524"/>
      <c r="L6" s="524" t="str">
        <f>IF(AND('Mapa final'!$K$13="Muy Alta",'Mapa final'!$O$13="Leve"),CONCATENATE("R",'Mapa final'!$A$13),"")</f>
        <v/>
      </c>
      <c r="M6" s="524"/>
      <c r="N6" s="524" t="str">
        <f>IF(AND('Mapa final'!$K$15="Muy Alta",'Mapa final'!$O$15="Leve"),CONCATENATE("R",'Mapa final'!$A$15),"")</f>
        <v/>
      </c>
      <c r="O6" s="526"/>
      <c r="P6" s="523" t="str">
        <f>IF(AND('Mapa final'!$K$10="Muy Alta",'Mapa final'!$O$10="Menor"),CONCATENATE("R",'Mapa final'!$A$10),"")</f>
        <v/>
      </c>
      <c r="Q6" s="524"/>
      <c r="R6" s="524" t="str">
        <f>IF(AND('Mapa final'!$K$13="Muy Alta",'Mapa final'!$O$13="Menor"),CONCATENATE("R",'Mapa final'!$A$13),"")</f>
        <v/>
      </c>
      <c r="S6" s="524"/>
      <c r="T6" s="524" t="str">
        <f>IF(AND('Mapa final'!$K$15="Muy Alta",'Mapa final'!$O$15="Menor"),CONCATENATE("R",'Mapa final'!$A$15),"")</f>
        <v/>
      </c>
      <c r="U6" s="526"/>
      <c r="V6" s="523" t="str">
        <f>IF(AND('Mapa final'!$K$10="Muy Alta",'Mapa final'!$O$10="Moderado"),CONCATENATE("R",'Mapa final'!$A$10),"")</f>
        <v/>
      </c>
      <c r="W6" s="524"/>
      <c r="X6" s="524" t="str">
        <f>IF(AND('Mapa final'!$K$13="Muy Alta",'Mapa final'!$O$13="Moderado"),CONCATENATE("R",'Mapa final'!$A$13),"")</f>
        <v/>
      </c>
      <c r="Y6" s="524"/>
      <c r="Z6" s="524" t="str">
        <f>IF(AND('Mapa final'!$K$15="Muy Alta",'Mapa final'!$O$15="Moderado"),CONCATENATE("R",'Mapa final'!$A$15),"")</f>
        <v/>
      </c>
      <c r="AA6" s="526"/>
      <c r="AB6" s="523" t="str">
        <f>IF(AND('Mapa final'!$K$10="Muy Alta",'Mapa final'!$O$10="Mayor"),CONCATENATE("R",'Mapa final'!$A$10),"")</f>
        <v/>
      </c>
      <c r="AC6" s="524"/>
      <c r="AD6" s="524" t="str">
        <f>IF(AND('Mapa final'!$K$13="Muy Alta",'Mapa final'!$O$13="Mayor"),CONCATENATE("R",'Mapa final'!$A$13),"")</f>
        <v/>
      </c>
      <c r="AE6" s="524"/>
      <c r="AF6" s="524" t="str">
        <f>IF(AND('Mapa final'!$K$15="Muy Alta",'Mapa final'!$O$15="Mayor"),CONCATENATE("R",'Mapa final'!$A$15),"")</f>
        <v/>
      </c>
      <c r="AG6" s="526"/>
      <c r="AH6" s="538" t="str">
        <f>IF(AND('Mapa final'!$K$10="Muy Alta",'Mapa final'!$O$10="Catastrófico"),CONCATENATE("R",'Mapa final'!$A$10),"")</f>
        <v/>
      </c>
      <c r="AI6" s="539"/>
      <c r="AJ6" s="539" t="str">
        <f>IF(AND('Mapa final'!$K$13="Muy Alta",'Mapa final'!$O$13="Catastrófico"),CONCATENATE("R",'Mapa final'!$A$13),"")</f>
        <v/>
      </c>
      <c r="AK6" s="539"/>
      <c r="AL6" s="539" t="str">
        <f>IF(AND('Mapa final'!$K$15="Muy Alta",'Mapa final'!$O$15="Catastrófico"),CONCATENATE("R",'Mapa final'!$A$15),"")</f>
        <v/>
      </c>
      <c r="AM6" s="540"/>
      <c r="AO6" s="476" t="s">
        <v>77</v>
      </c>
      <c r="AP6" s="477"/>
      <c r="AQ6" s="477"/>
      <c r="AR6" s="477"/>
      <c r="AS6" s="477"/>
      <c r="AT6" s="478"/>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25">
      <c r="A7" s="67"/>
      <c r="B7" s="474"/>
      <c r="C7" s="474"/>
      <c r="D7" s="475"/>
      <c r="E7" s="515"/>
      <c r="F7" s="516"/>
      <c r="G7" s="516"/>
      <c r="H7" s="516"/>
      <c r="I7" s="517"/>
      <c r="J7" s="525"/>
      <c r="K7" s="521"/>
      <c r="L7" s="521"/>
      <c r="M7" s="521"/>
      <c r="N7" s="521"/>
      <c r="O7" s="522"/>
      <c r="P7" s="525"/>
      <c r="Q7" s="521"/>
      <c r="R7" s="521"/>
      <c r="S7" s="521"/>
      <c r="T7" s="521"/>
      <c r="U7" s="522"/>
      <c r="V7" s="525"/>
      <c r="W7" s="521"/>
      <c r="X7" s="521"/>
      <c r="Y7" s="521"/>
      <c r="Z7" s="521"/>
      <c r="AA7" s="522"/>
      <c r="AB7" s="525"/>
      <c r="AC7" s="521"/>
      <c r="AD7" s="521"/>
      <c r="AE7" s="521"/>
      <c r="AF7" s="521"/>
      <c r="AG7" s="522"/>
      <c r="AH7" s="532"/>
      <c r="AI7" s="533"/>
      <c r="AJ7" s="533"/>
      <c r="AK7" s="533"/>
      <c r="AL7" s="533"/>
      <c r="AM7" s="534"/>
      <c r="AN7" s="67"/>
      <c r="AO7" s="479"/>
      <c r="AP7" s="480"/>
      <c r="AQ7" s="480"/>
      <c r="AR7" s="480"/>
      <c r="AS7" s="480"/>
      <c r="AT7" s="481"/>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25">
      <c r="A8" s="67"/>
      <c r="B8" s="474"/>
      <c r="C8" s="474"/>
      <c r="D8" s="475"/>
      <c r="E8" s="515"/>
      <c r="F8" s="516"/>
      <c r="G8" s="516"/>
      <c r="H8" s="516"/>
      <c r="I8" s="517"/>
      <c r="J8" s="525" t="e">
        <f>IF(AND('Mapa final'!#REF!="Muy Alta",'Mapa final'!#REF!="Leve"),CONCATENATE("R",'Mapa final'!#REF!),"")</f>
        <v>#REF!</v>
      </c>
      <c r="K8" s="521"/>
      <c r="L8" s="521" t="e">
        <f>IF(AND('Mapa final'!#REF!="Muy Alta",'Mapa final'!#REF!="Leve"),CONCATENATE("R",'Mapa final'!#REF!),"")</f>
        <v>#REF!</v>
      </c>
      <c r="M8" s="521"/>
      <c r="N8" s="521" t="e">
        <f>IF(AND('Mapa final'!#REF!="Muy Alta",'Mapa final'!#REF!="Leve"),CONCATENATE("R",'Mapa final'!#REF!),"")</f>
        <v>#REF!</v>
      </c>
      <c r="O8" s="522"/>
      <c r="P8" s="525" t="e">
        <f>IF(AND('Mapa final'!#REF!="Muy Alta",'Mapa final'!#REF!="Menor"),CONCATENATE("R",'Mapa final'!#REF!),"")</f>
        <v>#REF!</v>
      </c>
      <c r="Q8" s="521"/>
      <c r="R8" s="521" t="e">
        <f>IF(AND('Mapa final'!#REF!="Muy Alta",'Mapa final'!#REF!="Menor"),CONCATENATE("R",'Mapa final'!#REF!),"")</f>
        <v>#REF!</v>
      </c>
      <c r="S8" s="521"/>
      <c r="T8" s="521" t="e">
        <f>IF(AND('Mapa final'!#REF!="Muy Alta",'Mapa final'!#REF!="Menor"),CONCATENATE("R",'Mapa final'!#REF!),"")</f>
        <v>#REF!</v>
      </c>
      <c r="U8" s="522"/>
      <c r="V8" s="525" t="e">
        <f>IF(AND('Mapa final'!#REF!="Muy Alta",'Mapa final'!#REF!="Moderado"),CONCATENATE("R",'Mapa final'!#REF!),"")</f>
        <v>#REF!</v>
      </c>
      <c r="W8" s="521"/>
      <c r="X8" s="521" t="e">
        <f>IF(AND('Mapa final'!#REF!="Muy Alta",'Mapa final'!#REF!="Moderado"),CONCATENATE("R",'Mapa final'!#REF!),"")</f>
        <v>#REF!</v>
      </c>
      <c r="Y8" s="521"/>
      <c r="Z8" s="521" t="e">
        <f>IF(AND('Mapa final'!#REF!="Muy Alta",'Mapa final'!#REF!="Moderado"),CONCATENATE("R",'Mapa final'!#REF!),"")</f>
        <v>#REF!</v>
      </c>
      <c r="AA8" s="522"/>
      <c r="AB8" s="525" t="e">
        <f>IF(AND('Mapa final'!#REF!="Muy Alta",'Mapa final'!#REF!="Mayor"),CONCATENATE("R",'Mapa final'!#REF!),"")</f>
        <v>#REF!</v>
      </c>
      <c r="AC8" s="521"/>
      <c r="AD8" s="521" t="e">
        <f>IF(AND('Mapa final'!#REF!="Muy Alta",'Mapa final'!#REF!="Mayor"),CONCATENATE("R",'Mapa final'!#REF!),"")</f>
        <v>#REF!</v>
      </c>
      <c r="AE8" s="521"/>
      <c r="AF8" s="521" t="e">
        <f>IF(AND('Mapa final'!#REF!="Muy Alta",'Mapa final'!#REF!="Mayor"),CONCATENATE("R",'Mapa final'!#REF!),"")</f>
        <v>#REF!</v>
      </c>
      <c r="AG8" s="522"/>
      <c r="AH8" s="532" t="e">
        <f>IF(AND('Mapa final'!#REF!="Muy Alta",'Mapa final'!#REF!="Catastrófico"),CONCATENATE("R",'Mapa final'!#REF!),"")</f>
        <v>#REF!</v>
      </c>
      <c r="AI8" s="533"/>
      <c r="AJ8" s="533" t="e">
        <f>IF(AND('Mapa final'!#REF!="Muy Alta",'Mapa final'!#REF!="Catastrófico"),CONCATENATE("R",'Mapa final'!#REF!),"")</f>
        <v>#REF!</v>
      </c>
      <c r="AK8" s="533"/>
      <c r="AL8" s="533" t="e">
        <f>IF(AND('Mapa final'!#REF!="Muy Alta",'Mapa final'!#REF!="Catastrófico"),CONCATENATE("R",'Mapa final'!#REF!),"")</f>
        <v>#REF!</v>
      </c>
      <c r="AM8" s="534"/>
      <c r="AN8" s="67"/>
      <c r="AO8" s="479"/>
      <c r="AP8" s="480"/>
      <c r="AQ8" s="480"/>
      <c r="AR8" s="480"/>
      <c r="AS8" s="480"/>
      <c r="AT8" s="481"/>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25">
      <c r="A9" s="67"/>
      <c r="B9" s="474"/>
      <c r="C9" s="474"/>
      <c r="D9" s="475"/>
      <c r="E9" s="515"/>
      <c r="F9" s="516"/>
      <c r="G9" s="516"/>
      <c r="H9" s="516"/>
      <c r="I9" s="517"/>
      <c r="J9" s="525"/>
      <c r="K9" s="521"/>
      <c r="L9" s="521"/>
      <c r="M9" s="521"/>
      <c r="N9" s="521"/>
      <c r="O9" s="522"/>
      <c r="P9" s="525"/>
      <c r="Q9" s="521"/>
      <c r="R9" s="521"/>
      <c r="S9" s="521"/>
      <c r="T9" s="521"/>
      <c r="U9" s="522"/>
      <c r="V9" s="525"/>
      <c r="W9" s="521"/>
      <c r="X9" s="521"/>
      <c r="Y9" s="521"/>
      <c r="Z9" s="521"/>
      <c r="AA9" s="522"/>
      <c r="AB9" s="525"/>
      <c r="AC9" s="521"/>
      <c r="AD9" s="521"/>
      <c r="AE9" s="521"/>
      <c r="AF9" s="521"/>
      <c r="AG9" s="522"/>
      <c r="AH9" s="532"/>
      <c r="AI9" s="533"/>
      <c r="AJ9" s="533"/>
      <c r="AK9" s="533"/>
      <c r="AL9" s="533"/>
      <c r="AM9" s="534"/>
      <c r="AN9" s="67"/>
      <c r="AO9" s="479"/>
      <c r="AP9" s="480"/>
      <c r="AQ9" s="480"/>
      <c r="AR9" s="480"/>
      <c r="AS9" s="480"/>
      <c r="AT9" s="481"/>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25">
      <c r="A10" s="67"/>
      <c r="B10" s="474"/>
      <c r="C10" s="474"/>
      <c r="D10" s="475"/>
      <c r="E10" s="515"/>
      <c r="F10" s="516"/>
      <c r="G10" s="516"/>
      <c r="H10" s="516"/>
      <c r="I10" s="517"/>
      <c r="J10" s="525" t="e">
        <f>IF(AND('Mapa final'!#REF!="Muy Alta",'Mapa final'!#REF!="Leve"),CONCATENATE("R",'Mapa final'!#REF!),"")</f>
        <v>#REF!</v>
      </c>
      <c r="K10" s="521"/>
      <c r="L10" s="521" t="e">
        <f>IF(AND('Mapa final'!#REF!="Muy Alta",'Mapa final'!#REF!="Leve"),CONCATENATE("R",'Mapa final'!#REF!),"")</f>
        <v>#REF!</v>
      </c>
      <c r="M10" s="521"/>
      <c r="N10" s="521" t="e">
        <f>IF(AND('Mapa final'!#REF!="Muy Alta",'Mapa final'!#REF!="Leve"),CONCATENATE("R",'Mapa final'!#REF!),"")</f>
        <v>#REF!</v>
      </c>
      <c r="O10" s="522"/>
      <c r="P10" s="525" t="e">
        <f>IF(AND('Mapa final'!#REF!="Muy Alta",'Mapa final'!#REF!="Menor"),CONCATENATE("R",'Mapa final'!#REF!),"")</f>
        <v>#REF!</v>
      </c>
      <c r="Q10" s="521"/>
      <c r="R10" s="521" t="e">
        <f>IF(AND('Mapa final'!#REF!="Muy Alta",'Mapa final'!#REF!="Menor"),CONCATENATE("R",'Mapa final'!#REF!),"")</f>
        <v>#REF!</v>
      </c>
      <c r="S10" s="521"/>
      <c r="T10" s="521" t="e">
        <f>IF(AND('Mapa final'!#REF!="Muy Alta",'Mapa final'!#REF!="Menor"),CONCATENATE("R",'Mapa final'!#REF!),"")</f>
        <v>#REF!</v>
      </c>
      <c r="U10" s="522"/>
      <c r="V10" s="525" t="e">
        <f>IF(AND('Mapa final'!#REF!="Muy Alta",'Mapa final'!#REF!="Moderado"),CONCATENATE("R",'Mapa final'!#REF!),"")</f>
        <v>#REF!</v>
      </c>
      <c r="W10" s="521"/>
      <c r="X10" s="521" t="e">
        <f>IF(AND('Mapa final'!#REF!="Muy Alta",'Mapa final'!#REF!="Moderado"),CONCATENATE("R",'Mapa final'!#REF!),"")</f>
        <v>#REF!</v>
      </c>
      <c r="Y10" s="521"/>
      <c r="Z10" s="521" t="e">
        <f>IF(AND('Mapa final'!#REF!="Muy Alta",'Mapa final'!#REF!="Moderado"),CONCATENATE("R",'Mapa final'!#REF!),"")</f>
        <v>#REF!</v>
      </c>
      <c r="AA10" s="522"/>
      <c r="AB10" s="525" t="e">
        <f>IF(AND('Mapa final'!#REF!="Muy Alta",'Mapa final'!#REF!="Mayor"),CONCATENATE("R",'Mapa final'!#REF!),"")</f>
        <v>#REF!</v>
      </c>
      <c r="AC10" s="521"/>
      <c r="AD10" s="521" t="e">
        <f>IF(AND('Mapa final'!#REF!="Muy Alta",'Mapa final'!#REF!="Mayor"),CONCATENATE("R",'Mapa final'!#REF!),"")</f>
        <v>#REF!</v>
      </c>
      <c r="AE10" s="521"/>
      <c r="AF10" s="521" t="e">
        <f>IF(AND('Mapa final'!#REF!="Muy Alta",'Mapa final'!#REF!="Mayor"),CONCATENATE("R",'Mapa final'!#REF!),"")</f>
        <v>#REF!</v>
      </c>
      <c r="AG10" s="522"/>
      <c r="AH10" s="532" t="e">
        <f>IF(AND('Mapa final'!#REF!="Muy Alta",'Mapa final'!#REF!="Catastrófico"),CONCATENATE("R",'Mapa final'!#REF!),"")</f>
        <v>#REF!</v>
      </c>
      <c r="AI10" s="533"/>
      <c r="AJ10" s="533" t="e">
        <f>IF(AND('Mapa final'!#REF!="Muy Alta",'Mapa final'!#REF!="Catastrófico"),CONCATENATE("R",'Mapa final'!#REF!),"")</f>
        <v>#REF!</v>
      </c>
      <c r="AK10" s="533"/>
      <c r="AL10" s="533" t="e">
        <f>IF(AND('Mapa final'!#REF!="Muy Alta",'Mapa final'!#REF!="Catastrófico"),CONCATENATE("R",'Mapa final'!#REF!),"")</f>
        <v>#REF!</v>
      </c>
      <c r="AM10" s="534"/>
      <c r="AN10" s="67"/>
      <c r="AO10" s="479"/>
      <c r="AP10" s="480"/>
      <c r="AQ10" s="480"/>
      <c r="AR10" s="480"/>
      <c r="AS10" s="480"/>
      <c r="AT10" s="481"/>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25">
      <c r="A11" s="67"/>
      <c r="B11" s="474"/>
      <c r="C11" s="474"/>
      <c r="D11" s="475"/>
      <c r="E11" s="515"/>
      <c r="F11" s="516"/>
      <c r="G11" s="516"/>
      <c r="H11" s="516"/>
      <c r="I11" s="517"/>
      <c r="J11" s="525"/>
      <c r="K11" s="521"/>
      <c r="L11" s="521"/>
      <c r="M11" s="521"/>
      <c r="N11" s="521"/>
      <c r="O11" s="522"/>
      <c r="P11" s="525"/>
      <c r="Q11" s="521"/>
      <c r="R11" s="521"/>
      <c r="S11" s="521"/>
      <c r="T11" s="521"/>
      <c r="U11" s="522"/>
      <c r="V11" s="525"/>
      <c r="W11" s="521"/>
      <c r="X11" s="521"/>
      <c r="Y11" s="521"/>
      <c r="Z11" s="521"/>
      <c r="AA11" s="522"/>
      <c r="AB11" s="525"/>
      <c r="AC11" s="521"/>
      <c r="AD11" s="521"/>
      <c r="AE11" s="521"/>
      <c r="AF11" s="521"/>
      <c r="AG11" s="522"/>
      <c r="AH11" s="532"/>
      <c r="AI11" s="533"/>
      <c r="AJ11" s="533"/>
      <c r="AK11" s="533"/>
      <c r="AL11" s="533"/>
      <c r="AM11" s="534"/>
      <c r="AN11" s="67"/>
      <c r="AO11" s="479"/>
      <c r="AP11" s="480"/>
      <c r="AQ11" s="480"/>
      <c r="AR11" s="480"/>
      <c r="AS11" s="480"/>
      <c r="AT11" s="481"/>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25">
      <c r="A12" s="67"/>
      <c r="B12" s="474"/>
      <c r="C12" s="474"/>
      <c r="D12" s="475"/>
      <c r="E12" s="515"/>
      <c r="F12" s="516"/>
      <c r="G12" s="516"/>
      <c r="H12" s="516"/>
      <c r="I12" s="517"/>
      <c r="J12" s="525" t="e">
        <f>IF(AND('Mapa final'!#REF!="Muy Alta",'Mapa final'!#REF!="Leve"),CONCATENATE("R",'Mapa final'!#REF!),"")</f>
        <v>#REF!</v>
      </c>
      <c r="K12" s="521"/>
      <c r="L12" s="521" t="str">
        <f>IF(AND('Mapa final'!$K$17="Muy Alta",'Mapa final'!$O$17="Leve"),CONCATENATE("R",'Mapa final'!$A$17),"")</f>
        <v/>
      </c>
      <c r="M12" s="521"/>
      <c r="N12" s="521" t="str">
        <f>IF(AND('Mapa final'!$K$23="Muy Alta",'Mapa final'!$O$23="Leve"),CONCATENATE("R",'Mapa final'!$A$23),"")</f>
        <v/>
      </c>
      <c r="O12" s="522"/>
      <c r="P12" s="525" t="e">
        <f>IF(AND('Mapa final'!#REF!="Muy Alta",'Mapa final'!#REF!="Menor"),CONCATENATE("R",'Mapa final'!#REF!),"")</f>
        <v>#REF!</v>
      </c>
      <c r="Q12" s="521"/>
      <c r="R12" s="521" t="str">
        <f>IF(AND('Mapa final'!$K$17="Muy Alta",'Mapa final'!$O$17="Menor"),CONCATENATE("R",'Mapa final'!$A$17),"")</f>
        <v/>
      </c>
      <c r="S12" s="521"/>
      <c r="T12" s="521" t="str">
        <f>IF(AND('Mapa final'!$K$23="Muy Alta",'Mapa final'!$O$23="Menor"),CONCATENATE("R",'Mapa final'!$A$23),"")</f>
        <v/>
      </c>
      <c r="U12" s="522"/>
      <c r="V12" s="525" t="e">
        <f>IF(AND('Mapa final'!#REF!="Muy Alta",'Mapa final'!#REF!="Moderado"),CONCATENATE("R",'Mapa final'!#REF!),"")</f>
        <v>#REF!</v>
      </c>
      <c r="W12" s="521"/>
      <c r="X12" s="521" t="str">
        <f>IF(AND('Mapa final'!$K$17="Muy Alta",'Mapa final'!$O$17="Moderado"),CONCATENATE("R",'Mapa final'!$A$17),"")</f>
        <v/>
      </c>
      <c r="Y12" s="521"/>
      <c r="Z12" s="521" t="str">
        <f>IF(AND('Mapa final'!$K$23="Muy Alta",'Mapa final'!$O$23="Moderado"),CONCATENATE("R",'Mapa final'!$A$23),"")</f>
        <v/>
      </c>
      <c r="AA12" s="522"/>
      <c r="AB12" s="525" t="e">
        <f>IF(AND('Mapa final'!#REF!="Muy Alta",'Mapa final'!#REF!="Mayor"),CONCATENATE("R",'Mapa final'!#REF!),"")</f>
        <v>#REF!</v>
      </c>
      <c r="AC12" s="521"/>
      <c r="AD12" s="521" t="str">
        <f>IF(AND('Mapa final'!$K$17="Muy Alta",'Mapa final'!$O$17="Mayor"),CONCATENATE("R",'Mapa final'!$A$17),"")</f>
        <v/>
      </c>
      <c r="AE12" s="521"/>
      <c r="AF12" s="521" t="str">
        <f>IF(AND('Mapa final'!$K$23="Muy Alta",'Mapa final'!$O$23="Mayor"),CONCATENATE("R",'Mapa final'!$A$23),"")</f>
        <v/>
      </c>
      <c r="AG12" s="522"/>
      <c r="AH12" s="532" t="e">
        <f>IF(AND('Mapa final'!#REF!="Muy Alta",'Mapa final'!#REF!="Catastrófico"),CONCATENATE("R",'Mapa final'!#REF!),"")</f>
        <v>#REF!</v>
      </c>
      <c r="AI12" s="533"/>
      <c r="AJ12" s="533" t="str">
        <f>IF(AND('Mapa final'!$K$17="Muy Alta",'Mapa final'!$O$17="Catastrófico"),CONCATENATE("R",'Mapa final'!$A$17),"")</f>
        <v/>
      </c>
      <c r="AK12" s="533"/>
      <c r="AL12" s="533" t="str">
        <f>IF(AND('Mapa final'!$K$23="Muy Alta",'Mapa final'!$O$23="Catastrófico"),CONCATENATE("R",'Mapa final'!$A$23),"")</f>
        <v/>
      </c>
      <c r="AM12" s="534"/>
      <c r="AN12" s="67"/>
      <c r="AO12" s="479"/>
      <c r="AP12" s="480"/>
      <c r="AQ12" s="480"/>
      <c r="AR12" s="480"/>
      <c r="AS12" s="480"/>
      <c r="AT12" s="481"/>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
      <c r="A13" s="67"/>
      <c r="B13" s="474"/>
      <c r="C13" s="474"/>
      <c r="D13" s="475"/>
      <c r="E13" s="518"/>
      <c r="F13" s="519"/>
      <c r="G13" s="519"/>
      <c r="H13" s="519"/>
      <c r="I13" s="520"/>
      <c r="J13" s="525"/>
      <c r="K13" s="521"/>
      <c r="L13" s="521"/>
      <c r="M13" s="521"/>
      <c r="N13" s="521"/>
      <c r="O13" s="522"/>
      <c r="P13" s="525"/>
      <c r="Q13" s="521"/>
      <c r="R13" s="521"/>
      <c r="S13" s="521"/>
      <c r="T13" s="521"/>
      <c r="U13" s="522"/>
      <c r="V13" s="525"/>
      <c r="W13" s="521"/>
      <c r="X13" s="521"/>
      <c r="Y13" s="521"/>
      <c r="Z13" s="521"/>
      <c r="AA13" s="522"/>
      <c r="AB13" s="525"/>
      <c r="AC13" s="521"/>
      <c r="AD13" s="521"/>
      <c r="AE13" s="521"/>
      <c r="AF13" s="521"/>
      <c r="AG13" s="522"/>
      <c r="AH13" s="535"/>
      <c r="AI13" s="536"/>
      <c r="AJ13" s="536"/>
      <c r="AK13" s="536"/>
      <c r="AL13" s="536"/>
      <c r="AM13" s="537"/>
      <c r="AN13" s="67"/>
      <c r="AO13" s="482"/>
      <c r="AP13" s="483"/>
      <c r="AQ13" s="483"/>
      <c r="AR13" s="483"/>
      <c r="AS13" s="483"/>
      <c r="AT13" s="484"/>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25">
      <c r="A14" s="67"/>
      <c r="B14" s="474"/>
      <c r="C14" s="474"/>
      <c r="D14" s="475"/>
      <c r="E14" s="512" t="s">
        <v>109</v>
      </c>
      <c r="F14" s="513"/>
      <c r="G14" s="513"/>
      <c r="H14" s="513"/>
      <c r="I14" s="513"/>
      <c r="J14" s="547" t="str">
        <f>IF(AND('Mapa final'!$K$10="Alta",'Mapa final'!$O$10="Leve"),CONCATENATE("R",'Mapa final'!$A$10),"")</f>
        <v/>
      </c>
      <c r="K14" s="548"/>
      <c r="L14" s="548" t="str">
        <f>IF(AND('Mapa final'!$K$13="Alta",'Mapa final'!$O$13="Leve"),CONCATENATE("R",'Mapa final'!$A$13),"")</f>
        <v/>
      </c>
      <c r="M14" s="548"/>
      <c r="N14" s="548" t="str">
        <f>IF(AND('Mapa final'!$K$15="Alta",'Mapa final'!$O$15="Leve"),CONCATENATE("R",'Mapa final'!$A$15),"")</f>
        <v/>
      </c>
      <c r="O14" s="549"/>
      <c r="P14" s="547" t="str">
        <f>IF(AND('Mapa final'!$K$10="Alta",'Mapa final'!$O$10="Menor"),CONCATENATE("R",'Mapa final'!$A$10),"")</f>
        <v/>
      </c>
      <c r="Q14" s="548"/>
      <c r="R14" s="548" t="str">
        <f>IF(AND('Mapa final'!$K$13="Alta",'Mapa final'!$O$13="Menor"),CONCATENATE("R",'Mapa final'!$A$13),"")</f>
        <v/>
      </c>
      <c r="S14" s="548"/>
      <c r="T14" s="548" t="str">
        <f>IF(AND('Mapa final'!$K$15="Alta",'Mapa final'!$O$15="Menor"),CONCATENATE("R",'Mapa final'!$A$15),"")</f>
        <v/>
      </c>
      <c r="U14" s="549"/>
      <c r="V14" s="523" t="str">
        <f>IF(AND('Mapa final'!$K$10="Alta",'Mapa final'!$O$10="Moderado"),CONCATENATE("R",'Mapa final'!$A$10),"")</f>
        <v/>
      </c>
      <c r="W14" s="524"/>
      <c r="X14" s="524" t="str">
        <f>IF(AND('Mapa final'!$K$13="Alta",'Mapa final'!$O$13="Moderado"),CONCATENATE("R",'Mapa final'!$A$13),"")</f>
        <v/>
      </c>
      <c r="Y14" s="524"/>
      <c r="Z14" s="524" t="str">
        <f>IF(AND('Mapa final'!$K$15="Alta",'Mapa final'!$O$15="Moderado"),CONCATENATE("R",'Mapa final'!$A$15),"")</f>
        <v/>
      </c>
      <c r="AA14" s="526"/>
      <c r="AB14" s="523" t="str">
        <f>IF(AND('Mapa final'!$K$10="Alta",'Mapa final'!$O$10="Mayor"),CONCATENATE("R",'Mapa final'!$A$10),"")</f>
        <v/>
      </c>
      <c r="AC14" s="524"/>
      <c r="AD14" s="524" t="str">
        <f>IF(AND('Mapa final'!$K$13="Alta",'Mapa final'!$O$13="Mayor"),CONCATENATE("R",'Mapa final'!$A$13),"")</f>
        <v/>
      </c>
      <c r="AE14" s="524"/>
      <c r="AF14" s="524" t="str">
        <f>IF(AND('Mapa final'!$K$15="Alta",'Mapa final'!$O$15="Mayor"),CONCATENATE("R",'Mapa final'!$A$15),"")</f>
        <v/>
      </c>
      <c r="AG14" s="526"/>
      <c r="AH14" s="538" t="str">
        <f>IF(AND('Mapa final'!$K$10="Alta",'Mapa final'!$O$10="Catastrófico"),CONCATENATE("R",'Mapa final'!$A$10),"")</f>
        <v/>
      </c>
      <c r="AI14" s="539"/>
      <c r="AJ14" s="539" t="str">
        <f>IF(AND('Mapa final'!$K$13="Alta",'Mapa final'!$O$13="Catastrófico"),CONCATENATE("R",'Mapa final'!$A$13),"")</f>
        <v/>
      </c>
      <c r="AK14" s="539"/>
      <c r="AL14" s="539" t="str">
        <f>IF(AND('Mapa final'!$K$15="Alta",'Mapa final'!$O$15="Catastrófico"),CONCATENATE("R",'Mapa final'!$A$15),"")</f>
        <v/>
      </c>
      <c r="AM14" s="540"/>
      <c r="AN14" s="67"/>
      <c r="AO14" s="485" t="s">
        <v>78</v>
      </c>
      <c r="AP14" s="486"/>
      <c r="AQ14" s="486"/>
      <c r="AR14" s="486"/>
      <c r="AS14" s="486"/>
      <c r="AT14" s="48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25">
      <c r="A15" s="67"/>
      <c r="B15" s="474"/>
      <c r="C15" s="474"/>
      <c r="D15" s="475"/>
      <c r="E15" s="515"/>
      <c r="F15" s="516"/>
      <c r="G15" s="516"/>
      <c r="H15" s="516"/>
      <c r="I15" s="516"/>
      <c r="J15" s="541"/>
      <c r="K15" s="542"/>
      <c r="L15" s="542"/>
      <c r="M15" s="542"/>
      <c r="N15" s="542"/>
      <c r="O15" s="543"/>
      <c r="P15" s="541"/>
      <c r="Q15" s="542"/>
      <c r="R15" s="542"/>
      <c r="S15" s="542"/>
      <c r="T15" s="542"/>
      <c r="U15" s="543"/>
      <c r="V15" s="525"/>
      <c r="W15" s="521"/>
      <c r="X15" s="521"/>
      <c r="Y15" s="521"/>
      <c r="Z15" s="521"/>
      <c r="AA15" s="522"/>
      <c r="AB15" s="525"/>
      <c r="AC15" s="521"/>
      <c r="AD15" s="521"/>
      <c r="AE15" s="521"/>
      <c r="AF15" s="521"/>
      <c r="AG15" s="522"/>
      <c r="AH15" s="532"/>
      <c r="AI15" s="533"/>
      <c r="AJ15" s="533"/>
      <c r="AK15" s="533"/>
      <c r="AL15" s="533"/>
      <c r="AM15" s="534"/>
      <c r="AN15" s="67"/>
      <c r="AO15" s="488"/>
      <c r="AP15" s="489"/>
      <c r="AQ15" s="489"/>
      <c r="AR15" s="489"/>
      <c r="AS15" s="489"/>
      <c r="AT15" s="490"/>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25">
      <c r="A16" s="67"/>
      <c r="B16" s="474"/>
      <c r="C16" s="474"/>
      <c r="D16" s="475"/>
      <c r="E16" s="515"/>
      <c r="F16" s="516"/>
      <c r="G16" s="516"/>
      <c r="H16" s="516"/>
      <c r="I16" s="516"/>
      <c r="J16" s="541" t="e">
        <f>IF(AND('Mapa final'!#REF!="Alta",'Mapa final'!#REF!="Leve"),CONCATENATE("R",'Mapa final'!#REF!),"")</f>
        <v>#REF!</v>
      </c>
      <c r="K16" s="542"/>
      <c r="L16" s="542" t="e">
        <f>IF(AND('Mapa final'!#REF!="Alta",'Mapa final'!#REF!="Leve"),CONCATENATE("R",'Mapa final'!#REF!),"")</f>
        <v>#REF!</v>
      </c>
      <c r="M16" s="542"/>
      <c r="N16" s="542" t="e">
        <f>IF(AND('Mapa final'!#REF!="Alta",'Mapa final'!#REF!="Leve"),CONCATENATE("R",'Mapa final'!#REF!),"")</f>
        <v>#REF!</v>
      </c>
      <c r="O16" s="543"/>
      <c r="P16" s="541" t="e">
        <f>IF(AND('Mapa final'!#REF!="Alta",'Mapa final'!#REF!="Menor"),CONCATENATE("R",'Mapa final'!#REF!),"")</f>
        <v>#REF!</v>
      </c>
      <c r="Q16" s="542"/>
      <c r="R16" s="542" t="e">
        <f>IF(AND('Mapa final'!#REF!="Alta",'Mapa final'!#REF!="Menor"),CONCATENATE("R",'Mapa final'!#REF!),"")</f>
        <v>#REF!</v>
      </c>
      <c r="S16" s="542"/>
      <c r="T16" s="542" t="e">
        <f>IF(AND('Mapa final'!#REF!="Alta",'Mapa final'!#REF!="Menor"),CONCATENATE("R",'Mapa final'!#REF!),"")</f>
        <v>#REF!</v>
      </c>
      <c r="U16" s="543"/>
      <c r="V16" s="525" t="e">
        <f>IF(AND('Mapa final'!#REF!="Alta",'Mapa final'!#REF!="Moderado"),CONCATENATE("R",'Mapa final'!#REF!),"")</f>
        <v>#REF!</v>
      </c>
      <c r="W16" s="521"/>
      <c r="X16" s="521" t="e">
        <f>IF(AND('Mapa final'!#REF!="Alta",'Mapa final'!#REF!="Moderado"),CONCATENATE("R",'Mapa final'!#REF!),"")</f>
        <v>#REF!</v>
      </c>
      <c r="Y16" s="521"/>
      <c r="Z16" s="521" t="e">
        <f>IF(AND('Mapa final'!#REF!="Alta",'Mapa final'!#REF!="Moderado"),CONCATENATE("R",'Mapa final'!#REF!),"")</f>
        <v>#REF!</v>
      </c>
      <c r="AA16" s="522"/>
      <c r="AB16" s="525" t="e">
        <f>IF(AND('Mapa final'!#REF!="Alta",'Mapa final'!#REF!="Mayor"),CONCATENATE("R",'Mapa final'!#REF!),"")</f>
        <v>#REF!</v>
      </c>
      <c r="AC16" s="521"/>
      <c r="AD16" s="521" t="e">
        <f>IF(AND('Mapa final'!#REF!="Alta",'Mapa final'!#REF!="Mayor"),CONCATENATE("R",'Mapa final'!#REF!),"")</f>
        <v>#REF!</v>
      </c>
      <c r="AE16" s="521"/>
      <c r="AF16" s="521" t="e">
        <f>IF(AND('Mapa final'!#REF!="Alta",'Mapa final'!#REF!="Mayor"),CONCATENATE("R",'Mapa final'!#REF!),"")</f>
        <v>#REF!</v>
      </c>
      <c r="AG16" s="522"/>
      <c r="AH16" s="532" t="e">
        <f>IF(AND('Mapa final'!#REF!="Alta",'Mapa final'!#REF!="Catastrófico"),CONCATENATE("R",'Mapa final'!#REF!),"")</f>
        <v>#REF!</v>
      </c>
      <c r="AI16" s="533"/>
      <c r="AJ16" s="533" t="e">
        <f>IF(AND('Mapa final'!#REF!="Alta",'Mapa final'!#REF!="Catastrófico"),CONCATENATE("R",'Mapa final'!#REF!),"")</f>
        <v>#REF!</v>
      </c>
      <c r="AK16" s="533"/>
      <c r="AL16" s="533" t="e">
        <f>IF(AND('Mapa final'!#REF!="Alta",'Mapa final'!#REF!="Catastrófico"),CONCATENATE("R",'Mapa final'!#REF!),"")</f>
        <v>#REF!</v>
      </c>
      <c r="AM16" s="534"/>
      <c r="AN16" s="67"/>
      <c r="AO16" s="488"/>
      <c r="AP16" s="489"/>
      <c r="AQ16" s="489"/>
      <c r="AR16" s="489"/>
      <c r="AS16" s="489"/>
      <c r="AT16" s="490"/>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25">
      <c r="A17" s="67"/>
      <c r="B17" s="474"/>
      <c r="C17" s="474"/>
      <c r="D17" s="475"/>
      <c r="E17" s="515"/>
      <c r="F17" s="516"/>
      <c r="G17" s="516"/>
      <c r="H17" s="516"/>
      <c r="I17" s="516"/>
      <c r="J17" s="541"/>
      <c r="K17" s="542"/>
      <c r="L17" s="542"/>
      <c r="M17" s="542"/>
      <c r="N17" s="542"/>
      <c r="O17" s="543"/>
      <c r="P17" s="541"/>
      <c r="Q17" s="542"/>
      <c r="R17" s="542"/>
      <c r="S17" s="542"/>
      <c r="T17" s="542"/>
      <c r="U17" s="543"/>
      <c r="V17" s="525"/>
      <c r="W17" s="521"/>
      <c r="X17" s="521"/>
      <c r="Y17" s="521"/>
      <c r="Z17" s="521"/>
      <c r="AA17" s="522"/>
      <c r="AB17" s="525"/>
      <c r="AC17" s="521"/>
      <c r="AD17" s="521"/>
      <c r="AE17" s="521"/>
      <c r="AF17" s="521"/>
      <c r="AG17" s="522"/>
      <c r="AH17" s="532"/>
      <c r="AI17" s="533"/>
      <c r="AJ17" s="533"/>
      <c r="AK17" s="533"/>
      <c r="AL17" s="533"/>
      <c r="AM17" s="534"/>
      <c r="AN17" s="67"/>
      <c r="AO17" s="488"/>
      <c r="AP17" s="489"/>
      <c r="AQ17" s="489"/>
      <c r="AR17" s="489"/>
      <c r="AS17" s="489"/>
      <c r="AT17" s="490"/>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25">
      <c r="A18" s="67"/>
      <c r="B18" s="474"/>
      <c r="C18" s="474"/>
      <c r="D18" s="475"/>
      <c r="E18" s="515"/>
      <c r="F18" s="516"/>
      <c r="G18" s="516"/>
      <c r="H18" s="516"/>
      <c r="I18" s="516"/>
      <c r="J18" s="541" t="e">
        <f>IF(AND('Mapa final'!#REF!="Alta",'Mapa final'!#REF!="Leve"),CONCATENATE("R",'Mapa final'!#REF!),"")</f>
        <v>#REF!</v>
      </c>
      <c r="K18" s="542"/>
      <c r="L18" s="542" t="e">
        <f>IF(AND('Mapa final'!#REF!="Alta",'Mapa final'!#REF!="Leve"),CONCATENATE("R",'Mapa final'!#REF!),"")</f>
        <v>#REF!</v>
      </c>
      <c r="M18" s="542"/>
      <c r="N18" s="542" t="e">
        <f>IF(AND('Mapa final'!#REF!="Alta",'Mapa final'!#REF!="Leve"),CONCATENATE("R",'Mapa final'!#REF!),"")</f>
        <v>#REF!</v>
      </c>
      <c r="O18" s="543"/>
      <c r="P18" s="541" t="e">
        <f>IF(AND('Mapa final'!#REF!="Alta",'Mapa final'!#REF!="Menor"),CONCATENATE("R",'Mapa final'!#REF!),"")</f>
        <v>#REF!</v>
      </c>
      <c r="Q18" s="542"/>
      <c r="R18" s="542" t="e">
        <f>IF(AND('Mapa final'!#REF!="Alta",'Mapa final'!#REF!="Menor"),CONCATENATE("R",'Mapa final'!#REF!),"")</f>
        <v>#REF!</v>
      </c>
      <c r="S18" s="542"/>
      <c r="T18" s="542" t="e">
        <f>IF(AND('Mapa final'!#REF!="Alta",'Mapa final'!#REF!="Menor"),CONCATENATE("R",'Mapa final'!#REF!),"")</f>
        <v>#REF!</v>
      </c>
      <c r="U18" s="543"/>
      <c r="V18" s="525" t="e">
        <f>IF(AND('Mapa final'!#REF!="Alta",'Mapa final'!#REF!="Moderado"),CONCATENATE("R",'Mapa final'!#REF!),"")</f>
        <v>#REF!</v>
      </c>
      <c r="W18" s="521"/>
      <c r="X18" s="521" t="e">
        <f>IF(AND('Mapa final'!#REF!="Alta",'Mapa final'!#REF!="Moderado"),CONCATENATE("R",'Mapa final'!#REF!),"")</f>
        <v>#REF!</v>
      </c>
      <c r="Y18" s="521"/>
      <c r="Z18" s="521" t="e">
        <f>IF(AND('Mapa final'!#REF!="Alta",'Mapa final'!#REF!="Moderado"),CONCATENATE("R",'Mapa final'!#REF!),"")</f>
        <v>#REF!</v>
      </c>
      <c r="AA18" s="522"/>
      <c r="AB18" s="525" t="e">
        <f>IF(AND('Mapa final'!#REF!="Alta",'Mapa final'!#REF!="Mayor"),CONCATENATE("R",'Mapa final'!#REF!),"")</f>
        <v>#REF!</v>
      </c>
      <c r="AC18" s="521"/>
      <c r="AD18" s="521" t="e">
        <f>IF(AND('Mapa final'!#REF!="Alta",'Mapa final'!#REF!="Mayor"),CONCATENATE("R",'Mapa final'!#REF!),"")</f>
        <v>#REF!</v>
      </c>
      <c r="AE18" s="521"/>
      <c r="AF18" s="521" t="e">
        <f>IF(AND('Mapa final'!#REF!="Alta",'Mapa final'!#REF!="Mayor"),CONCATENATE("R",'Mapa final'!#REF!),"")</f>
        <v>#REF!</v>
      </c>
      <c r="AG18" s="522"/>
      <c r="AH18" s="532" t="e">
        <f>IF(AND('Mapa final'!#REF!="Alta",'Mapa final'!#REF!="Catastrófico"),CONCATENATE("R",'Mapa final'!#REF!),"")</f>
        <v>#REF!</v>
      </c>
      <c r="AI18" s="533"/>
      <c r="AJ18" s="533" t="e">
        <f>IF(AND('Mapa final'!#REF!="Alta",'Mapa final'!#REF!="Catastrófico"),CONCATENATE("R",'Mapa final'!#REF!),"")</f>
        <v>#REF!</v>
      </c>
      <c r="AK18" s="533"/>
      <c r="AL18" s="533" t="e">
        <f>IF(AND('Mapa final'!#REF!="Alta",'Mapa final'!#REF!="Catastrófico"),CONCATENATE("R",'Mapa final'!#REF!),"")</f>
        <v>#REF!</v>
      </c>
      <c r="AM18" s="534"/>
      <c r="AN18" s="67"/>
      <c r="AO18" s="488"/>
      <c r="AP18" s="489"/>
      <c r="AQ18" s="489"/>
      <c r="AR18" s="489"/>
      <c r="AS18" s="489"/>
      <c r="AT18" s="490"/>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25">
      <c r="A19" s="67"/>
      <c r="B19" s="474"/>
      <c r="C19" s="474"/>
      <c r="D19" s="475"/>
      <c r="E19" s="515"/>
      <c r="F19" s="516"/>
      <c r="G19" s="516"/>
      <c r="H19" s="516"/>
      <c r="I19" s="516"/>
      <c r="J19" s="541"/>
      <c r="K19" s="542"/>
      <c r="L19" s="542"/>
      <c r="M19" s="542"/>
      <c r="N19" s="542"/>
      <c r="O19" s="543"/>
      <c r="P19" s="541"/>
      <c r="Q19" s="542"/>
      <c r="R19" s="542"/>
      <c r="S19" s="542"/>
      <c r="T19" s="542"/>
      <c r="U19" s="543"/>
      <c r="V19" s="525"/>
      <c r="W19" s="521"/>
      <c r="X19" s="521"/>
      <c r="Y19" s="521"/>
      <c r="Z19" s="521"/>
      <c r="AA19" s="522"/>
      <c r="AB19" s="525"/>
      <c r="AC19" s="521"/>
      <c r="AD19" s="521"/>
      <c r="AE19" s="521"/>
      <c r="AF19" s="521"/>
      <c r="AG19" s="522"/>
      <c r="AH19" s="532"/>
      <c r="AI19" s="533"/>
      <c r="AJ19" s="533"/>
      <c r="AK19" s="533"/>
      <c r="AL19" s="533"/>
      <c r="AM19" s="534"/>
      <c r="AN19" s="67"/>
      <c r="AO19" s="488"/>
      <c r="AP19" s="489"/>
      <c r="AQ19" s="489"/>
      <c r="AR19" s="489"/>
      <c r="AS19" s="489"/>
      <c r="AT19" s="490"/>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25">
      <c r="A20" s="67"/>
      <c r="B20" s="474"/>
      <c r="C20" s="474"/>
      <c r="D20" s="475"/>
      <c r="E20" s="515"/>
      <c r="F20" s="516"/>
      <c r="G20" s="516"/>
      <c r="H20" s="516"/>
      <c r="I20" s="516"/>
      <c r="J20" s="541" t="e">
        <f>IF(AND('Mapa final'!#REF!="Alta",'Mapa final'!#REF!="Leve"),CONCATENATE("R",'Mapa final'!#REF!),"")</f>
        <v>#REF!</v>
      </c>
      <c r="K20" s="542"/>
      <c r="L20" s="542" t="str">
        <f>IF(AND('Mapa final'!$K$17="Alta",'Mapa final'!$O$17="Leve"),CONCATENATE("R",'Mapa final'!$A$17),"")</f>
        <v/>
      </c>
      <c r="M20" s="542"/>
      <c r="N20" s="542" t="str">
        <f>IF(AND('Mapa final'!$K$23="Alta",'Mapa final'!$O$23="Leve"),CONCATENATE("R",'Mapa final'!$A$23),"")</f>
        <v/>
      </c>
      <c r="O20" s="543"/>
      <c r="P20" s="541" t="e">
        <f>IF(AND('Mapa final'!#REF!="Alta",'Mapa final'!#REF!="Menor"),CONCATENATE("R",'Mapa final'!#REF!),"")</f>
        <v>#REF!</v>
      </c>
      <c r="Q20" s="542"/>
      <c r="R20" s="542" t="str">
        <f>IF(AND('Mapa final'!$K$17="Alta",'Mapa final'!$O$17="Menor"),CONCATENATE("R",'Mapa final'!$A$17),"")</f>
        <v/>
      </c>
      <c r="S20" s="542"/>
      <c r="T20" s="542" t="str">
        <f>IF(AND('Mapa final'!$K$23="Alta",'Mapa final'!$O$23="Menor"),CONCATENATE("R",'Mapa final'!$A$23),"")</f>
        <v/>
      </c>
      <c r="U20" s="543"/>
      <c r="V20" s="525" t="e">
        <f>IF(AND('Mapa final'!#REF!="Alta",'Mapa final'!#REF!="Moderado"),CONCATENATE("R",'Mapa final'!#REF!),"")</f>
        <v>#REF!</v>
      </c>
      <c r="W20" s="521"/>
      <c r="X20" s="521" t="str">
        <f>IF(AND('Mapa final'!$K$17="Alta",'Mapa final'!$O$17="Moderado"),CONCATENATE("R",'Mapa final'!$A$17),"")</f>
        <v/>
      </c>
      <c r="Y20" s="521"/>
      <c r="Z20" s="521" t="str">
        <f>IF(AND('Mapa final'!$K$23="Alta",'Mapa final'!$O$23="Moderado"),CONCATENATE("R",'Mapa final'!$A$23),"")</f>
        <v/>
      </c>
      <c r="AA20" s="522"/>
      <c r="AB20" s="525" t="e">
        <f>IF(AND('Mapa final'!#REF!="Alta",'Mapa final'!#REF!="Mayor"),CONCATENATE("R",'Mapa final'!#REF!),"")</f>
        <v>#REF!</v>
      </c>
      <c r="AC20" s="521"/>
      <c r="AD20" s="521" t="str">
        <f>IF(AND('Mapa final'!$K$17="Alta",'Mapa final'!$O$17="Mayor"),CONCATENATE("R",'Mapa final'!$A$17),"")</f>
        <v/>
      </c>
      <c r="AE20" s="521"/>
      <c r="AF20" s="521" t="str">
        <f>IF(AND('Mapa final'!$K$23="Alta",'Mapa final'!$O$23="Mayor"),CONCATENATE("R",'Mapa final'!$A$23),"")</f>
        <v/>
      </c>
      <c r="AG20" s="522"/>
      <c r="AH20" s="532" t="e">
        <f>IF(AND('Mapa final'!#REF!="Alta",'Mapa final'!#REF!="Catastrófico"),CONCATENATE("R",'Mapa final'!#REF!),"")</f>
        <v>#REF!</v>
      </c>
      <c r="AI20" s="533"/>
      <c r="AJ20" s="533" t="str">
        <f>IF(AND('Mapa final'!$K$17="Alta",'Mapa final'!$O$17="Catastrófico"),CONCATENATE("R",'Mapa final'!$A$17),"")</f>
        <v/>
      </c>
      <c r="AK20" s="533"/>
      <c r="AL20" s="533" t="str">
        <f>IF(AND('Mapa final'!$K$23="Alta",'Mapa final'!$O$23="Catastrófico"),CONCATENATE("R",'Mapa final'!$A$23),"")</f>
        <v/>
      </c>
      <c r="AM20" s="534"/>
      <c r="AN20" s="67"/>
      <c r="AO20" s="488"/>
      <c r="AP20" s="489"/>
      <c r="AQ20" s="489"/>
      <c r="AR20" s="489"/>
      <c r="AS20" s="489"/>
      <c r="AT20" s="490"/>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
      <c r="A21" s="67"/>
      <c r="B21" s="474"/>
      <c r="C21" s="474"/>
      <c r="D21" s="475"/>
      <c r="E21" s="518"/>
      <c r="F21" s="519"/>
      <c r="G21" s="519"/>
      <c r="H21" s="519"/>
      <c r="I21" s="519"/>
      <c r="J21" s="544"/>
      <c r="K21" s="545"/>
      <c r="L21" s="545"/>
      <c r="M21" s="545"/>
      <c r="N21" s="545"/>
      <c r="O21" s="546"/>
      <c r="P21" s="544"/>
      <c r="Q21" s="545"/>
      <c r="R21" s="545"/>
      <c r="S21" s="545"/>
      <c r="T21" s="545"/>
      <c r="U21" s="546"/>
      <c r="V21" s="529"/>
      <c r="W21" s="530"/>
      <c r="X21" s="530"/>
      <c r="Y21" s="530"/>
      <c r="Z21" s="530"/>
      <c r="AA21" s="531"/>
      <c r="AB21" s="529"/>
      <c r="AC21" s="530"/>
      <c r="AD21" s="530"/>
      <c r="AE21" s="530"/>
      <c r="AF21" s="530"/>
      <c r="AG21" s="531"/>
      <c r="AH21" s="535"/>
      <c r="AI21" s="536"/>
      <c r="AJ21" s="536"/>
      <c r="AK21" s="536"/>
      <c r="AL21" s="536"/>
      <c r="AM21" s="537"/>
      <c r="AN21" s="67"/>
      <c r="AO21" s="491"/>
      <c r="AP21" s="492"/>
      <c r="AQ21" s="492"/>
      <c r="AR21" s="492"/>
      <c r="AS21" s="492"/>
      <c r="AT21" s="493"/>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25">
      <c r="A22" s="67"/>
      <c r="B22" s="474"/>
      <c r="C22" s="474"/>
      <c r="D22" s="475"/>
      <c r="E22" s="512" t="s">
        <v>111</v>
      </c>
      <c r="F22" s="513"/>
      <c r="G22" s="513"/>
      <c r="H22" s="513"/>
      <c r="I22" s="514"/>
      <c r="J22" s="547" t="str">
        <f>IF(AND('Mapa final'!$K$10="Media",'Mapa final'!$O$10="Leve"),CONCATENATE("R",'Mapa final'!$A$10),"")</f>
        <v/>
      </c>
      <c r="K22" s="548"/>
      <c r="L22" s="548" t="str">
        <f>IF(AND('Mapa final'!$K$13="Media",'Mapa final'!$O$13="Leve"),CONCATENATE("R",'Mapa final'!$A$13),"")</f>
        <v/>
      </c>
      <c r="M22" s="548"/>
      <c r="N22" s="548" t="str">
        <f>IF(AND('Mapa final'!$K$15="Media",'Mapa final'!$O$15="Leve"),CONCATENATE("R",'Mapa final'!$A$15),"")</f>
        <v/>
      </c>
      <c r="O22" s="549"/>
      <c r="P22" s="547" t="str">
        <f>IF(AND('Mapa final'!$K$10="Media",'Mapa final'!$O$10="Menor"),CONCATENATE("R",'Mapa final'!$A$10),"")</f>
        <v/>
      </c>
      <c r="Q22" s="548"/>
      <c r="R22" s="548" t="str">
        <f>IF(AND('Mapa final'!$K$13="Media",'Mapa final'!$O$13="Menor"),CONCATENATE("R",'Mapa final'!$A$13),"")</f>
        <v/>
      </c>
      <c r="S22" s="548"/>
      <c r="T22" s="548" t="str">
        <f>IF(AND('Mapa final'!$K$15="Media",'Mapa final'!$O$15="Menor"),CONCATENATE("R",'Mapa final'!$A$15),"")</f>
        <v/>
      </c>
      <c r="U22" s="549"/>
      <c r="V22" s="547" t="str">
        <f>IF(AND('Mapa final'!$K$10="Media",'Mapa final'!$O$10="Moderado"),CONCATENATE("R",'Mapa final'!$A$10),"")</f>
        <v/>
      </c>
      <c r="W22" s="548"/>
      <c r="X22" s="548" t="str">
        <f>IF(AND('Mapa final'!$K$13="Media",'Mapa final'!$O$13="Moderado"),CONCATENATE("R",'Mapa final'!$A$13),"")</f>
        <v/>
      </c>
      <c r="Y22" s="548"/>
      <c r="Z22" s="548" t="str">
        <f>IF(AND('Mapa final'!$K$15="Media",'Mapa final'!$O$15="Moderado"),CONCATENATE("R",'Mapa final'!$A$15),"")</f>
        <v/>
      </c>
      <c r="AA22" s="549"/>
      <c r="AB22" s="523" t="str">
        <f>IF(AND('Mapa final'!$K$10="Media",'Mapa final'!$O$10="Mayor"),CONCATENATE("R",'Mapa final'!$A$10),"")</f>
        <v>R1</v>
      </c>
      <c r="AC22" s="524"/>
      <c r="AD22" s="524" t="str">
        <f>IF(AND('Mapa final'!$K$13="Media",'Mapa final'!$O$13="Mayor"),CONCATENATE("R",'Mapa final'!$A$13),"")</f>
        <v>R2</v>
      </c>
      <c r="AE22" s="524"/>
      <c r="AF22" s="524" t="str">
        <f>IF(AND('Mapa final'!$K$15="Media",'Mapa final'!$O$15="Mayor"),CONCATENATE("R",'Mapa final'!$A$15),"")</f>
        <v>R3</v>
      </c>
      <c r="AG22" s="526"/>
      <c r="AH22" s="538" t="str">
        <f>IF(AND('Mapa final'!$K$10="Media",'Mapa final'!$O$10="Catastrófico"),CONCATENATE("R",'Mapa final'!$A$10),"")</f>
        <v/>
      </c>
      <c r="AI22" s="539"/>
      <c r="AJ22" s="539" t="str">
        <f>IF(AND('Mapa final'!$K$13="Media",'Mapa final'!$O$13="Catastrófico"),CONCATENATE("R",'Mapa final'!$A$13),"")</f>
        <v/>
      </c>
      <c r="AK22" s="539"/>
      <c r="AL22" s="539" t="str">
        <f>IF(AND('Mapa final'!$K$15="Media",'Mapa final'!$O$15="Catastrófico"),CONCATENATE("R",'Mapa final'!$A$15),"")</f>
        <v/>
      </c>
      <c r="AM22" s="540"/>
      <c r="AN22" s="67"/>
      <c r="AO22" s="494" t="s">
        <v>79</v>
      </c>
      <c r="AP22" s="495"/>
      <c r="AQ22" s="495"/>
      <c r="AR22" s="495"/>
      <c r="AS22" s="495"/>
      <c r="AT22" s="496"/>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25">
      <c r="A23" s="67"/>
      <c r="B23" s="474"/>
      <c r="C23" s="474"/>
      <c r="D23" s="475"/>
      <c r="E23" s="515"/>
      <c r="F23" s="516"/>
      <c r="G23" s="516"/>
      <c r="H23" s="516"/>
      <c r="I23" s="517"/>
      <c r="J23" s="541"/>
      <c r="K23" s="542"/>
      <c r="L23" s="542"/>
      <c r="M23" s="542"/>
      <c r="N23" s="542"/>
      <c r="O23" s="543"/>
      <c r="P23" s="541"/>
      <c r="Q23" s="542"/>
      <c r="R23" s="542"/>
      <c r="S23" s="542"/>
      <c r="T23" s="542"/>
      <c r="U23" s="543"/>
      <c r="V23" s="541"/>
      <c r="W23" s="542"/>
      <c r="X23" s="542"/>
      <c r="Y23" s="542"/>
      <c r="Z23" s="542"/>
      <c r="AA23" s="543"/>
      <c r="AB23" s="525"/>
      <c r="AC23" s="521"/>
      <c r="AD23" s="521"/>
      <c r="AE23" s="521"/>
      <c r="AF23" s="521"/>
      <c r="AG23" s="522"/>
      <c r="AH23" s="532"/>
      <c r="AI23" s="533"/>
      <c r="AJ23" s="533"/>
      <c r="AK23" s="533"/>
      <c r="AL23" s="533"/>
      <c r="AM23" s="534"/>
      <c r="AN23" s="67"/>
      <c r="AO23" s="497"/>
      <c r="AP23" s="498"/>
      <c r="AQ23" s="498"/>
      <c r="AR23" s="498"/>
      <c r="AS23" s="498"/>
      <c r="AT23" s="499"/>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25">
      <c r="A24" s="67"/>
      <c r="B24" s="474"/>
      <c r="C24" s="474"/>
      <c r="D24" s="475"/>
      <c r="E24" s="515"/>
      <c r="F24" s="516"/>
      <c r="G24" s="516"/>
      <c r="H24" s="516"/>
      <c r="I24" s="517"/>
      <c r="J24" s="541" t="e">
        <f>IF(AND('Mapa final'!#REF!="Media",'Mapa final'!#REF!="Leve"),CONCATENATE("R",'Mapa final'!#REF!),"")</f>
        <v>#REF!</v>
      </c>
      <c r="K24" s="542"/>
      <c r="L24" s="542" t="e">
        <f>IF(AND('Mapa final'!#REF!="Media",'Mapa final'!#REF!="Leve"),CONCATENATE("R",'Mapa final'!#REF!),"")</f>
        <v>#REF!</v>
      </c>
      <c r="M24" s="542"/>
      <c r="N24" s="542" t="e">
        <f>IF(AND('Mapa final'!#REF!="Media",'Mapa final'!#REF!="Leve"),CONCATENATE("R",'Mapa final'!#REF!),"")</f>
        <v>#REF!</v>
      </c>
      <c r="O24" s="543"/>
      <c r="P24" s="541" t="e">
        <f>IF(AND('Mapa final'!#REF!="Media",'Mapa final'!#REF!="Menor"),CONCATENATE("R",'Mapa final'!#REF!),"")</f>
        <v>#REF!</v>
      </c>
      <c r="Q24" s="542"/>
      <c r="R24" s="542" t="e">
        <f>IF(AND('Mapa final'!#REF!="Media",'Mapa final'!#REF!="Menor"),CONCATENATE("R",'Mapa final'!#REF!),"")</f>
        <v>#REF!</v>
      </c>
      <c r="S24" s="542"/>
      <c r="T24" s="542" t="e">
        <f>IF(AND('Mapa final'!#REF!="Media",'Mapa final'!#REF!="Menor"),CONCATENATE("R",'Mapa final'!#REF!),"")</f>
        <v>#REF!</v>
      </c>
      <c r="U24" s="543"/>
      <c r="V24" s="541" t="e">
        <f>IF(AND('Mapa final'!#REF!="Media",'Mapa final'!#REF!="Moderado"),CONCATENATE("R",'Mapa final'!#REF!),"")</f>
        <v>#REF!</v>
      </c>
      <c r="W24" s="542"/>
      <c r="X24" s="542" t="e">
        <f>IF(AND('Mapa final'!#REF!="Media",'Mapa final'!#REF!="Moderado"),CONCATENATE("R",'Mapa final'!#REF!),"")</f>
        <v>#REF!</v>
      </c>
      <c r="Y24" s="542"/>
      <c r="Z24" s="542" t="e">
        <f>IF(AND('Mapa final'!#REF!="Media",'Mapa final'!#REF!="Moderado"),CONCATENATE("R",'Mapa final'!#REF!),"")</f>
        <v>#REF!</v>
      </c>
      <c r="AA24" s="543"/>
      <c r="AB24" s="525" t="e">
        <f>IF(AND('Mapa final'!#REF!="Media",'Mapa final'!#REF!="Mayor"),CONCATENATE("R",'Mapa final'!#REF!),"")</f>
        <v>#REF!</v>
      </c>
      <c r="AC24" s="521"/>
      <c r="AD24" s="521" t="e">
        <f>IF(AND('Mapa final'!#REF!="Media",'Mapa final'!#REF!="Mayor"),CONCATENATE("R",'Mapa final'!#REF!),"")</f>
        <v>#REF!</v>
      </c>
      <c r="AE24" s="521"/>
      <c r="AF24" s="521" t="e">
        <f>IF(AND('Mapa final'!#REF!="Media",'Mapa final'!#REF!="Mayor"),CONCATENATE("R",'Mapa final'!#REF!),"")</f>
        <v>#REF!</v>
      </c>
      <c r="AG24" s="522"/>
      <c r="AH24" s="532" t="e">
        <f>IF(AND('Mapa final'!#REF!="Media",'Mapa final'!#REF!="Catastrófico"),CONCATENATE("R",'Mapa final'!#REF!),"")</f>
        <v>#REF!</v>
      </c>
      <c r="AI24" s="533"/>
      <c r="AJ24" s="533" t="e">
        <f>IF(AND('Mapa final'!#REF!="Media",'Mapa final'!#REF!="Catastrófico"),CONCATENATE("R",'Mapa final'!#REF!),"")</f>
        <v>#REF!</v>
      </c>
      <c r="AK24" s="533"/>
      <c r="AL24" s="533" t="e">
        <f>IF(AND('Mapa final'!#REF!="Media",'Mapa final'!#REF!="Catastrófico"),CONCATENATE("R",'Mapa final'!#REF!),"")</f>
        <v>#REF!</v>
      </c>
      <c r="AM24" s="534"/>
      <c r="AN24" s="67"/>
      <c r="AO24" s="497"/>
      <c r="AP24" s="498"/>
      <c r="AQ24" s="498"/>
      <c r="AR24" s="498"/>
      <c r="AS24" s="498"/>
      <c r="AT24" s="499"/>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25">
      <c r="A25" s="67"/>
      <c r="B25" s="474"/>
      <c r="C25" s="474"/>
      <c r="D25" s="475"/>
      <c r="E25" s="515"/>
      <c r="F25" s="516"/>
      <c r="G25" s="516"/>
      <c r="H25" s="516"/>
      <c r="I25" s="517"/>
      <c r="J25" s="541"/>
      <c r="K25" s="542"/>
      <c r="L25" s="542"/>
      <c r="M25" s="542"/>
      <c r="N25" s="542"/>
      <c r="O25" s="543"/>
      <c r="P25" s="541"/>
      <c r="Q25" s="542"/>
      <c r="R25" s="542"/>
      <c r="S25" s="542"/>
      <c r="T25" s="542"/>
      <c r="U25" s="543"/>
      <c r="V25" s="541"/>
      <c r="W25" s="542"/>
      <c r="X25" s="542"/>
      <c r="Y25" s="542"/>
      <c r="Z25" s="542"/>
      <c r="AA25" s="543"/>
      <c r="AB25" s="525"/>
      <c r="AC25" s="521"/>
      <c r="AD25" s="521"/>
      <c r="AE25" s="521"/>
      <c r="AF25" s="521"/>
      <c r="AG25" s="522"/>
      <c r="AH25" s="532"/>
      <c r="AI25" s="533"/>
      <c r="AJ25" s="533"/>
      <c r="AK25" s="533"/>
      <c r="AL25" s="533"/>
      <c r="AM25" s="534"/>
      <c r="AN25" s="67"/>
      <c r="AO25" s="497"/>
      <c r="AP25" s="498"/>
      <c r="AQ25" s="498"/>
      <c r="AR25" s="498"/>
      <c r="AS25" s="498"/>
      <c r="AT25" s="499"/>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25">
      <c r="A26" s="67"/>
      <c r="B26" s="474"/>
      <c r="C26" s="474"/>
      <c r="D26" s="475"/>
      <c r="E26" s="515"/>
      <c r="F26" s="516"/>
      <c r="G26" s="516"/>
      <c r="H26" s="516"/>
      <c r="I26" s="517"/>
      <c r="J26" s="541" t="e">
        <f>IF(AND('Mapa final'!#REF!="Media",'Mapa final'!#REF!="Leve"),CONCATENATE("R",'Mapa final'!#REF!),"")</f>
        <v>#REF!</v>
      </c>
      <c r="K26" s="542"/>
      <c r="L26" s="542" t="e">
        <f>IF(AND('Mapa final'!#REF!="Media",'Mapa final'!#REF!="Leve"),CONCATENATE("R",'Mapa final'!#REF!),"")</f>
        <v>#REF!</v>
      </c>
      <c r="M26" s="542"/>
      <c r="N26" s="542" t="e">
        <f>IF(AND('Mapa final'!#REF!="Media",'Mapa final'!#REF!="Leve"),CONCATENATE("R",'Mapa final'!#REF!),"")</f>
        <v>#REF!</v>
      </c>
      <c r="O26" s="543"/>
      <c r="P26" s="541" t="e">
        <f>IF(AND('Mapa final'!#REF!="Media",'Mapa final'!#REF!="Menor"),CONCATENATE("R",'Mapa final'!#REF!),"")</f>
        <v>#REF!</v>
      </c>
      <c r="Q26" s="542"/>
      <c r="R26" s="542" t="e">
        <f>IF(AND('Mapa final'!#REF!="Media",'Mapa final'!#REF!="Menor"),CONCATENATE("R",'Mapa final'!#REF!),"")</f>
        <v>#REF!</v>
      </c>
      <c r="S26" s="542"/>
      <c r="T26" s="542" t="e">
        <f>IF(AND('Mapa final'!#REF!="Media",'Mapa final'!#REF!="Menor"),CONCATENATE("R",'Mapa final'!#REF!),"")</f>
        <v>#REF!</v>
      </c>
      <c r="U26" s="543"/>
      <c r="V26" s="541" t="e">
        <f>IF(AND('Mapa final'!#REF!="Media",'Mapa final'!#REF!="Moderado"),CONCATENATE("R",'Mapa final'!#REF!),"")</f>
        <v>#REF!</v>
      </c>
      <c r="W26" s="542"/>
      <c r="X26" s="542" t="e">
        <f>IF(AND('Mapa final'!#REF!="Media",'Mapa final'!#REF!="Moderado"),CONCATENATE("R",'Mapa final'!#REF!),"")</f>
        <v>#REF!</v>
      </c>
      <c r="Y26" s="542"/>
      <c r="Z26" s="542" t="e">
        <f>IF(AND('Mapa final'!#REF!="Media",'Mapa final'!#REF!="Moderado"),CONCATENATE("R",'Mapa final'!#REF!),"")</f>
        <v>#REF!</v>
      </c>
      <c r="AA26" s="543"/>
      <c r="AB26" s="525" t="e">
        <f>IF(AND('Mapa final'!#REF!="Media",'Mapa final'!#REF!="Mayor"),CONCATENATE("R",'Mapa final'!#REF!),"")</f>
        <v>#REF!</v>
      </c>
      <c r="AC26" s="521"/>
      <c r="AD26" s="521" t="e">
        <f>IF(AND('Mapa final'!#REF!="Media",'Mapa final'!#REF!="Mayor"),CONCATENATE("R",'Mapa final'!#REF!),"")</f>
        <v>#REF!</v>
      </c>
      <c r="AE26" s="521"/>
      <c r="AF26" s="521" t="e">
        <f>IF(AND('Mapa final'!#REF!="Media",'Mapa final'!#REF!="Mayor"),CONCATENATE("R",'Mapa final'!#REF!),"")</f>
        <v>#REF!</v>
      </c>
      <c r="AG26" s="522"/>
      <c r="AH26" s="532" t="e">
        <f>IF(AND('Mapa final'!#REF!="Media",'Mapa final'!#REF!="Catastrófico"),CONCATENATE("R",'Mapa final'!#REF!),"")</f>
        <v>#REF!</v>
      </c>
      <c r="AI26" s="533"/>
      <c r="AJ26" s="533" t="e">
        <f>IF(AND('Mapa final'!#REF!="Media",'Mapa final'!#REF!="Catastrófico"),CONCATENATE("R",'Mapa final'!#REF!),"")</f>
        <v>#REF!</v>
      </c>
      <c r="AK26" s="533"/>
      <c r="AL26" s="533" t="e">
        <f>IF(AND('Mapa final'!#REF!="Media",'Mapa final'!#REF!="Catastrófico"),CONCATENATE("R",'Mapa final'!#REF!),"")</f>
        <v>#REF!</v>
      </c>
      <c r="AM26" s="534"/>
      <c r="AN26" s="67"/>
      <c r="AO26" s="497"/>
      <c r="AP26" s="498"/>
      <c r="AQ26" s="498"/>
      <c r="AR26" s="498"/>
      <c r="AS26" s="498"/>
      <c r="AT26" s="499"/>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25">
      <c r="A27" s="67"/>
      <c r="B27" s="474"/>
      <c r="C27" s="474"/>
      <c r="D27" s="475"/>
      <c r="E27" s="515"/>
      <c r="F27" s="516"/>
      <c r="G27" s="516"/>
      <c r="H27" s="516"/>
      <c r="I27" s="517"/>
      <c r="J27" s="541"/>
      <c r="K27" s="542"/>
      <c r="L27" s="542"/>
      <c r="M27" s="542"/>
      <c r="N27" s="542"/>
      <c r="O27" s="543"/>
      <c r="P27" s="541"/>
      <c r="Q27" s="542"/>
      <c r="R27" s="542"/>
      <c r="S27" s="542"/>
      <c r="T27" s="542"/>
      <c r="U27" s="543"/>
      <c r="V27" s="541"/>
      <c r="W27" s="542"/>
      <c r="X27" s="542"/>
      <c r="Y27" s="542"/>
      <c r="Z27" s="542"/>
      <c r="AA27" s="543"/>
      <c r="AB27" s="525"/>
      <c r="AC27" s="521"/>
      <c r="AD27" s="521"/>
      <c r="AE27" s="521"/>
      <c r="AF27" s="521"/>
      <c r="AG27" s="522"/>
      <c r="AH27" s="532"/>
      <c r="AI27" s="533"/>
      <c r="AJ27" s="533"/>
      <c r="AK27" s="533"/>
      <c r="AL27" s="533"/>
      <c r="AM27" s="534"/>
      <c r="AN27" s="67"/>
      <c r="AO27" s="497"/>
      <c r="AP27" s="498"/>
      <c r="AQ27" s="498"/>
      <c r="AR27" s="498"/>
      <c r="AS27" s="498"/>
      <c r="AT27" s="499"/>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25">
      <c r="A28" s="67"/>
      <c r="B28" s="474"/>
      <c r="C28" s="474"/>
      <c r="D28" s="475"/>
      <c r="E28" s="515"/>
      <c r="F28" s="516"/>
      <c r="G28" s="516"/>
      <c r="H28" s="516"/>
      <c r="I28" s="517"/>
      <c r="J28" s="541" t="e">
        <f>IF(AND('Mapa final'!#REF!="Media",'Mapa final'!#REF!="Leve"),CONCATENATE("R",'Mapa final'!#REF!),"")</f>
        <v>#REF!</v>
      </c>
      <c r="K28" s="542"/>
      <c r="L28" s="542" t="str">
        <f>IF(AND('Mapa final'!$K$17="Media",'Mapa final'!$O$17="Leve"),CONCATENATE("R",'Mapa final'!$A$17),"")</f>
        <v/>
      </c>
      <c r="M28" s="542"/>
      <c r="N28" s="542" t="str">
        <f>IF(AND('Mapa final'!$K$23="Media",'Mapa final'!$O$23="Leve"),CONCATENATE("R",'Mapa final'!$A$23),"")</f>
        <v/>
      </c>
      <c r="O28" s="543"/>
      <c r="P28" s="541" t="e">
        <f>IF(AND('Mapa final'!#REF!="Media",'Mapa final'!#REF!="Menor"),CONCATENATE("R",'Mapa final'!#REF!),"")</f>
        <v>#REF!</v>
      </c>
      <c r="Q28" s="542"/>
      <c r="R28" s="542" t="str">
        <f>IF(AND('Mapa final'!$K$17="Media",'Mapa final'!$O$17="Menor"),CONCATENATE("R",'Mapa final'!$A$17),"")</f>
        <v/>
      </c>
      <c r="S28" s="542"/>
      <c r="T28" s="542" t="str">
        <f>IF(AND('Mapa final'!$K$23="Media",'Mapa final'!$O$23="Menor"),CONCATENATE("R",'Mapa final'!$A$23),"")</f>
        <v/>
      </c>
      <c r="U28" s="543"/>
      <c r="V28" s="541" t="e">
        <f>IF(AND('Mapa final'!#REF!="Media",'Mapa final'!#REF!="Moderado"),CONCATENATE("R",'Mapa final'!#REF!),"")</f>
        <v>#REF!</v>
      </c>
      <c r="W28" s="542"/>
      <c r="X28" s="542" t="str">
        <f>IF(AND('Mapa final'!$K$17="Media",'Mapa final'!$O$17="Moderado"),CONCATENATE("R",'Mapa final'!$A$17),"")</f>
        <v/>
      </c>
      <c r="Y28" s="542"/>
      <c r="Z28" s="542" t="str">
        <f>IF(AND('Mapa final'!$K$23="Media",'Mapa final'!$O$23="Moderado"),CONCATENATE("R",'Mapa final'!$A$23),"")</f>
        <v/>
      </c>
      <c r="AA28" s="543"/>
      <c r="AB28" s="525" t="e">
        <f>IF(AND('Mapa final'!#REF!="Media",'Mapa final'!#REF!="Mayor"),CONCATENATE("R",'Mapa final'!#REF!),"")</f>
        <v>#REF!</v>
      </c>
      <c r="AC28" s="521"/>
      <c r="AD28" s="521" t="str">
        <f>IF(AND('Mapa final'!$K$17="Media",'Mapa final'!$O$17="Mayor"),CONCATENATE("R",'Mapa final'!$A$17),"")</f>
        <v/>
      </c>
      <c r="AE28" s="521"/>
      <c r="AF28" s="521" t="str">
        <f>IF(AND('Mapa final'!$K$23="Media",'Mapa final'!$O$23="Mayor"),CONCATENATE("R",'Mapa final'!$A$23),"")</f>
        <v/>
      </c>
      <c r="AG28" s="522"/>
      <c r="AH28" s="532" t="e">
        <f>IF(AND('Mapa final'!#REF!="Media",'Mapa final'!#REF!="Catastrófico"),CONCATENATE("R",'Mapa final'!#REF!),"")</f>
        <v>#REF!</v>
      </c>
      <c r="AI28" s="533"/>
      <c r="AJ28" s="533" t="str">
        <f>IF(AND('Mapa final'!$K$17="Media",'Mapa final'!$O$17="Catastrófico"),CONCATENATE("R",'Mapa final'!$A$17),"")</f>
        <v/>
      </c>
      <c r="AK28" s="533"/>
      <c r="AL28" s="533" t="str">
        <f>IF(AND('Mapa final'!$K$23="Media",'Mapa final'!$O$23="Catastrófico"),CONCATENATE("R",'Mapa final'!$A$23),"")</f>
        <v/>
      </c>
      <c r="AM28" s="534"/>
      <c r="AN28" s="67"/>
      <c r="AO28" s="497"/>
      <c r="AP28" s="498"/>
      <c r="AQ28" s="498"/>
      <c r="AR28" s="498"/>
      <c r="AS28" s="498"/>
      <c r="AT28" s="499"/>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75" thickBot="1" x14ac:dyDescent="0.3">
      <c r="A29" s="67"/>
      <c r="B29" s="474"/>
      <c r="C29" s="474"/>
      <c r="D29" s="475"/>
      <c r="E29" s="518"/>
      <c r="F29" s="519"/>
      <c r="G29" s="519"/>
      <c r="H29" s="519"/>
      <c r="I29" s="520"/>
      <c r="J29" s="541"/>
      <c r="K29" s="542"/>
      <c r="L29" s="542"/>
      <c r="M29" s="542"/>
      <c r="N29" s="542"/>
      <c r="O29" s="543"/>
      <c r="P29" s="544"/>
      <c r="Q29" s="545"/>
      <c r="R29" s="545"/>
      <c r="S29" s="545"/>
      <c r="T29" s="545"/>
      <c r="U29" s="546"/>
      <c r="V29" s="544"/>
      <c r="W29" s="545"/>
      <c r="X29" s="545"/>
      <c r="Y29" s="545"/>
      <c r="Z29" s="545"/>
      <c r="AA29" s="546"/>
      <c r="AB29" s="529"/>
      <c r="AC29" s="530"/>
      <c r="AD29" s="530"/>
      <c r="AE29" s="530"/>
      <c r="AF29" s="530"/>
      <c r="AG29" s="531"/>
      <c r="AH29" s="535"/>
      <c r="AI29" s="536"/>
      <c r="AJ29" s="536"/>
      <c r="AK29" s="536"/>
      <c r="AL29" s="536"/>
      <c r="AM29" s="537"/>
      <c r="AN29" s="67"/>
      <c r="AO29" s="500"/>
      <c r="AP29" s="501"/>
      <c r="AQ29" s="501"/>
      <c r="AR29" s="501"/>
      <c r="AS29" s="501"/>
      <c r="AT29" s="502"/>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25">
      <c r="A30" s="67"/>
      <c r="B30" s="474"/>
      <c r="C30" s="474"/>
      <c r="D30" s="475"/>
      <c r="E30" s="512" t="s">
        <v>108</v>
      </c>
      <c r="F30" s="513"/>
      <c r="G30" s="513"/>
      <c r="H30" s="513"/>
      <c r="I30" s="513"/>
      <c r="J30" s="556" t="str">
        <f>IF(AND('Mapa final'!$K$10="Baja",'Mapa final'!$O$10="Leve"),CONCATENATE("R",'Mapa final'!$A$10),"")</f>
        <v/>
      </c>
      <c r="K30" s="557"/>
      <c r="L30" s="557" t="str">
        <f>IF(AND('Mapa final'!$K$13="Baja",'Mapa final'!$O$13="Leve"),CONCATENATE("R",'Mapa final'!$A$13),"")</f>
        <v/>
      </c>
      <c r="M30" s="557"/>
      <c r="N30" s="557" t="str">
        <f>IF(AND('Mapa final'!$K$15="Baja",'Mapa final'!$O$15="Leve"),CONCATENATE("R",'Mapa final'!$A$15),"")</f>
        <v/>
      </c>
      <c r="O30" s="558"/>
      <c r="P30" s="548" t="str">
        <f>IF(AND('Mapa final'!$K$10="Baja",'Mapa final'!$O$10="Menor"),CONCATENATE("R",'Mapa final'!$A$10),"")</f>
        <v/>
      </c>
      <c r="Q30" s="548"/>
      <c r="R30" s="548" t="str">
        <f>IF(AND('Mapa final'!$K$13="Baja",'Mapa final'!$O$13="Menor"),CONCATENATE("R",'Mapa final'!$A$13),"")</f>
        <v/>
      </c>
      <c r="S30" s="548"/>
      <c r="T30" s="548" t="str">
        <f>IF(AND('Mapa final'!$K$15="Baja",'Mapa final'!$O$15="Menor"),CONCATENATE("R",'Mapa final'!$A$15),"")</f>
        <v/>
      </c>
      <c r="U30" s="549"/>
      <c r="V30" s="547" t="str">
        <f>IF(AND('Mapa final'!$K$10="Baja",'Mapa final'!$O$10="Moderado"),CONCATENATE("R",'Mapa final'!$A$10),"")</f>
        <v/>
      </c>
      <c r="W30" s="548"/>
      <c r="X30" s="548" t="str">
        <f>IF(AND('Mapa final'!$K$13="Baja",'Mapa final'!$O$13="Moderado"),CONCATENATE("R",'Mapa final'!$A$13),"")</f>
        <v/>
      </c>
      <c r="Y30" s="548"/>
      <c r="Z30" s="548" t="str">
        <f>IF(AND('Mapa final'!$K$15="Baja",'Mapa final'!$O$15="Moderado"),CONCATENATE("R",'Mapa final'!$A$15),"")</f>
        <v/>
      </c>
      <c r="AA30" s="549"/>
      <c r="AB30" s="523" t="str">
        <f>IF(AND('Mapa final'!$K$10="Baja",'Mapa final'!$O$10="Mayor"),CONCATENATE("R",'Mapa final'!$A$10),"")</f>
        <v/>
      </c>
      <c r="AC30" s="524"/>
      <c r="AD30" s="524" t="str">
        <f>IF(AND('Mapa final'!$K$13="Baja",'Mapa final'!$O$13="Mayor"),CONCATENATE("R",'Mapa final'!$A$13),"")</f>
        <v/>
      </c>
      <c r="AE30" s="524"/>
      <c r="AF30" s="524" t="str">
        <f>IF(AND('Mapa final'!$K$15="Baja",'Mapa final'!$O$15="Mayor"),CONCATENATE("R",'Mapa final'!$A$15),"")</f>
        <v/>
      </c>
      <c r="AG30" s="526"/>
      <c r="AH30" s="538" t="str">
        <f>IF(AND('Mapa final'!$K$10="Baja",'Mapa final'!$O$10="Catastrófico"),CONCATENATE("R",'Mapa final'!$A$10),"")</f>
        <v/>
      </c>
      <c r="AI30" s="539"/>
      <c r="AJ30" s="539" t="str">
        <f>IF(AND('Mapa final'!$K$13="Baja",'Mapa final'!$O$13="Catastrófico"),CONCATENATE("R",'Mapa final'!$A$13),"")</f>
        <v/>
      </c>
      <c r="AK30" s="539"/>
      <c r="AL30" s="539" t="str">
        <f>IF(AND('Mapa final'!$K$15="Baja",'Mapa final'!$O$15="Catastrófico"),CONCATENATE("R",'Mapa final'!$A$15),"")</f>
        <v/>
      </c>
      <c r="AM30" s="540"/>
      <c r="AN30" s="67"/>
      <c r="AO30" s="503" t="s">
        <v>80</v>
      </c>
      <c r="AP30" s="504"/>
      <c r="AQ30" s="504"/>
      <c r="AR30" s="504"/>
      <c r="AS30" s="504"/>
      <c r="AT30" s="505"/>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25">
      <c r="A31" s="67"/>
      <c r="B31" s="474"/>
      <c r="C31" s="474"/>
      <c r="D31" s="475"/>
      <c r="E31" s="515"/>
      <c r="F31" s="516"/>
      <c r="G31" s="516"/>
      <c r="H31" s="516"/>
      <c r="I31" s="516"/>
      <c r="J31" s="552"/>
      <c r="K31" s="550"/>
      <c r="L31" s="550"/>
      <c r="M31" s="550"/>
      <c r="N31" s="550"/>
      <c r="O31" s="551"/>
      <c r="P31" s="542"/>
      <c r="Q31" s="542"/>
      <c r="R31" s="542"/>
      <c r="S31" s="542"/>
      <c r="T31" s="542"/>
      <c r="U31" s="543"/>
      <c r="V31" s="541"/>
      <c r="W31" s="542"/>
      <c r="X31" s="542"/>
      <c r="Y31" s="542"/>
      <c r="Z31" s="542"/>
      <c r="AA31" s="543"/>
      <c r="AB31" s="525"/>
      <c r="AC31" s="521"/>
      <c r="AD31" s="521"/>
      <c r="AE31" s="521"/>
      <c r="AF31" s="521"/>
      <c r="AG31" s="522"/>
      <c r="AH31" s="532"/>
      <c r="AI31" s="533"/>
      <c r="AJ31" s="533"/>
      <c r="AK31" s="533"/>
      <c r="AL31" s="533"/>
      <c r="AM31" s="534"/>
      <c r="AN31" s="67"/>
      <c r="AO31" s="506"/>
      <c r="AP31" s="507"/>
      <c r="AQ31" s="507"/>
      <c r="AR31" s="507"/>
      <c r="AS31" s="507"/>
      <c r="AT31" s="508"/>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25">
      <c r="A32" s="67"/>
      <c r="B32" s="474"/>
      <c r="C32" s="474"/>
      <c r="D32" s="475"/>
      <c r="E32" s="515"/>
      <c r="F32" s="516"/>
      <c r="G32" s="516"/>
      <c r="H32" s="516"/>
      <c r="I32" s="516"/>
      <c r="J32" s="552" t="e">
        <f>IF(AND('Mapa final'!#REF!="Baja",'Mapa final'!#REF!="Leve"),CONCATENATE("R",'Mapa final'!#REF!),"")</f>
        <v>#REF!</v>
      </c>
      <c r="K32" s="550"/>
      <c r="L32" s="550" t="e">
        <f>IF(AND('Mapa final'!#REF!="Baja",'Mapa final'!#REF!="Leve"),CONCATENATE("R",'Mapa final'!#REF!),"")</f>
        <v>#REF!</v>
      </c>
      <c r="M32" s="550"/>
      <c r="N32" s="550" t="e">
        <f>IF(AND('Mapa final'!#REF!="Baja",'Mapa final'!#REF!="Leve"),CONCATENATE("R",'Mapa final'!#REF!),"")</f>
        <v>#REF!</v>
      </c>
      <c r="O32" s="551"/>
      <c r="P32" s="542" t="e">
        <f>IF(AND('Mapa final'!#REF!="Baja",'Mapa final'!#REF!="Menor"),CONCATENATE("R",'Mapa final'!#REF!),"")</f>
        <v>#REF!</v>
      </c>
      <c r="Q32" s="542"/>
      <c r="R32" s="542" t="e">
        <f>IF(AND('Mapa final'!#REF!="Baja",'Mapa final'!#REF!="Menor"),CONCATENATE("R",'Mapa final'!#REF!),"")</f>
        <v>#REF!</v>
      </c>
      <c r="S32" s="542"/>
      <c r="T32" s="542" t="e">
        <f>IF(AND('Mapa final'!#REF!="Baja",'Mapa final'!#REF!="Menor"),CONCATENATE("R",'Mapa final'!#REF!),"")</f>
        <v>#REF!</v>
      </c>
      <c r="U32" s="543"/>
      <c r="V32" s="541" t="e">
        <f>IF(AND('Mapa final'!#REF!="Baja",'Mapa final'!#REF!="Moderado"),CONCATENATE("R",'Mapa final'!#REF!),"")</f>
        <v>#REF!</v>
      </c>
      <c r="W32" s="542"/>
      <c r="X32" s="542" t="e">
        <f>IF(AND('Mapa final'!#REF!="Baja",'Mapa final'!#REF!="Moderado"),CONCATENATE("R",'Mapa final'!#REF!),"")</f>
        <v>#REF!</v>
      </c>
      <c r="Y32" s="542"/>
      <c r="Z32" s="542" t="e">
        <f>IF(AND('Mapa final'!#REF!="Baja",'Mapa final'!#REF!="Moderado"),CONCATENATE("R",'Mapa final'!#REF!),"")</f>
        <v>#REF!</v>
      </c>
      <c r="AA32" s="543"/>
      <c r="AB32" s="525" t="e">
        <f>IF(AND('Mapa final'!#REF!="Baja",'Mapa final'!#REF!="Mayor"),CONCATENATE("R",'Mapa final'!#REF!),"")</f>
        <v>#REF!</v>
      </c>
      <c r="AC32" s="521"/>
      <c r="AD32" s="521" t="e">
        <f>IF(AND('Mapa final'!#REF!="Baja",'Mapa final'!#REF!="Mayor"),CONCATENATE("R",'Mapa final'!#REF!),"")</f>
        <v>#REF!</v>
      </c>
      <c r="AE32" s="521"/>
      <c r="AF32" s="521" t="e">
        <f>IF(AND('Mapa final'!#REF!="Baja",'Mapa final'!#REF!="Mayor"),CONCATENATE("R",'Mapa final'!#REF!),"")</f>
        <v>#REF!</v>
      </c>
      <c r="AG32" s="522"/>
      <c r="AH32" s="532" t="e">
        <f>IF(AND('Mapa final'!#REF!="Baja",'Mapa final'!#REF!="Catastrófico"),CONCATENATE("R",'Mapa final'!#REF!),"")</f>
        <v>#REF!</v>
      </c>
      <c r="AI32" s="533"/>
      <c r="AJ32" s="533" t="e">
        <f>IF(AND('Mapa final'!#REF!="Baja",'Mapa final'!#REF!="Catastrófico"),CONCATENATE("R",'Mapa final'!#REF!),"")</f>
        <v>#REF!</v>
      </c>
      <c r="AK32" s="533"/>
      <c r="AL32" s="533" t="e">
        <f>IF(AND('Mapa final'!#REF!="Baja",'Mapa final'!#REF!="Catastrófico"),CONCATENATE("R",'Mapa final'!#REF!),"")</f>
        <v>#REF!</v>
      </c>
      <c r="AM32" s="534"/>
      <c r="AN32" s="67"/>
      <c r="AO32" s="506"/>
      <c r="AP32" s="507"/>
      <c r="AQ32" s="507"/>
      <c r="AR32" s="507"/>
      <c r="AS32" s="507"/>
      <c r="AT32" s="508"/>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25">
      <c r="A33" s="67"/>
      <c r="B33" s="474"/>
      <c r="C33" s="474"/>
      <c r="D33" s="475"/>
      <c r="E33" s="515"/>
      <c r="F33" s="516"/>
      <c r="G33" s="516"/>
      <c r="H33" s="516"/>
      <c r="I33" s="516"/>
      <c r="J33" s="552"/>
      <c r="K33" s="550"/>
      <c r="L33" s="550"/>
      <c r="M33" s="550"/>
      <c r="N33" s="550"/>
      <c r="O33" s="551"/>
      <c r="P33" s="542"/>
      <c r="Q33" s="542"/>
      <c r="R33" s="542"/>
      <c r="S33" s="542"/>
      <c r="T33" s="542"/>
      <c r="U33" s="543"/>
      <c r="V33" s="541"/>
      <c r="W33" s="542"/>
      <c r="X33" s="542"/>
      <c r="Y33" s="542"/>
      <c r="Z33" s="542"/>
      <c r="AA33" s="543"/>
      <c r="AB33" s="525"/>
      <c r="AC33" s="521"/>
      <c r="AD33" s="521"/>
      <c r="AE33" s="521"/>
      <c r="AF33" s="521"/>
      <c r="AG33" s="522"/>
      <c r="AH33" s="532"/>
      <c r="AI33" s="533"/>
      <c r="AJ33" s="533"/>
      <c r="AK33" s="533"/>
      <c r="AL33" s="533"/>
      <c r="AM33" s="534"/>
      <c r="AN33" s="67"/>
      <c r="AO33" s="506"/>
      <c r="AP33" s="507"/>
      <c r="AQ33" s="507"/>
      <c r="AR33" s="507"/>
      <c r="AS33" s="507"/>
      <c r="AT33" s="508"/>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25">
      <c r="A34" s="67"/>
      <c r="B34" s="474"/>
      <c r="C34" s="474"/>
      <c r="D34" s="475"/>
      <c r="E34" s="515"/>
      <c r="F34" s="516"/>
      <c r="G34" s="516"/>
      <c r="H34" s="516"/>
      <c r="I34" s="516"/>
      <c r="J34" s="552" t="e">
        <f>IF(AND('Mapa final'!#REF!="Baja",'Mapa final'!#REF!="Leve"),CONCATENATE("R",'Mapa final'!#REF!),"")</f>
        <v>#REF!</v>
      </c>
      <c r="K34" s="550"/>
      <c r="L34" s="550" t="e">
        <f>IF(AND('Mapa final'!#REF!="Baja",'Mapa final'!#REF!="Leve"),CONCATENATE("R",'Mapa final'!#REF!),"")</f>
        <v>#REF!</v>
      </c>
      <c r="M34" s="550"/>
      <c r="N34" s="550" t="e">
        <f>IF(AND('Mapa final'!#REF!="Baja",'Mapa final'!#REF!="Leve"),CONCATENATE("R",'Mapa final'!#REF!),"")</f>
        <v>#REF!</v>
      </c>
      <c r="O34" s="551"/>
      <c r="P34" s="542" t="e">
        <f>IF(AND('Mapa final'!#REF!="Baja",'Mapa final'!#REF!="Menor"),CONCATENATE("R",'Mapa final'!#REF!),"")</f>
        <v>#REF!</v>
      </c>
      <c r="Q34" s="542"/>
      <c r="R34" s="542" t="e">
        <f>IF(AND('Mapa final'!#REF!="Baja",'Mapa final'!#REF!="Menor"),CONCATENATE("R",'Mapa final'!#REF!),"")</f>
        <v>#REF!</v>
      </c>
      <c r="S34" s="542"/>
      <c r="T34" s="542" t="e">
        <f>IF(AND('Mapa final'!#REF!="Baja",'Mapa final'!#REF!="Menor"),CONCATENATE("R",'Mapa final'!#REF!),"")</f>
        <v>#REF!</v>
      </c>
      <c r="U34" s="543"/>
      <c r="V34" s="541" t="e">
        <f>IF(AND('Mapa final'!#REF!="Baja",'Mapa final'!#REF!="Moderado"),CONCATENATE("R",'Mapa final'!#REF!),"")</f>
        <v>#REF!</v>
      </c>
      <c r="W34" s="542"/>
      <c r="X34" s="542" t="e">
        <f>IF(AND('Mapa final'!#REF!="Baja",'Mapa final'!#REF!="Moderado"),CONCATENATE("R",'Mapa final'!#REF!),"")</f>
        <v>#REF!</v>
      </c>
      <c r="Y34" s="542"/>
      <c r="Z34" s="542" t="e">
        <f>IF(AND('Mapa final'!#REF!="Baja",'Mapa final'!#REF!="Moderado"),CONCATENATE("R",'Mapa final'!#REF!),"")</f>
        <v>#REF!</v>
      </c>
      <c r="AA34" s="543"/>
      <c r="AB34" s="525" t="e">
        <f>IF(AND('Mapa final'!#REF!="Baja",'Mapa final'!#REF!="Mayor"),CONCATENATE("R",'Mapa final'!#REF!),"")</f>
        <v>#REF!</v>
      </c>
      <c r="AC34" s="521"/>
      <c r="AD34" s="521" t="e">
        <f>IF(AND('Mapa final'!#REF!="Baja",'Mapa final'!#REF!="Mayor"),CONCATENATE("R",'Mapa final'!#REF!),"")</f>
        <v>#REF!</v>
      </c>
      <c r="AE34" s="521"/>
      <c r="AF34" s="521" t="e">
        <f>IF(AND('Mapa final'!#REF!="Baja",'Mapa final'!#REF!="Mayor"),CONCATENATE("R",'Mapa final'!#REF!),"")</f>
        <v>#REF!</v>
      </c>
      <c r="AG34" s="522"/>
      <c r="AH34" s="532" t="e">
        <f>IF(AND('Mapa final'!#REF!="Baja",'Mapa final'!#REF!="Catastrófico"),CONCATENATE("R",'Mapa final'!#REF!),"")</f>
        <v>#REF!</v>
      </c>
      <c r="AI34" s="533"/>
      <c r="AJ34" s="533" t="e">
        <f>IF(AND('Mapa final'!#REF!="Baja",'Mapa final'!#REF!="Catastrófico"),CONCATENATE("R",'Mapa final'!#REF!),"")</f>
        <v>#REF!</v>
      </c>
      <c r="AK34" s="533"/>
      <c r="AL34" s="533" t="e">
        <f>IF(AND('Mapa final'!#REF!="Baja",'Mapa final'!#REF!="Catastrófico"),CONCATENATE("R",'Mapa final'!#REF!),"")</f>
        <v>#REF!</v>
      </c>
      <c r="AM34" s="534"/>
      <c r="AN34" s="67"/>
      <c r="AO34" s="506"/>
      <c r="AP34" s="507"/>
      <c r="AQ34" s="507"/>
      <c r="AR34" s="507"/>
      <c r="AS34" s="507"/>
      <c r="AT34" s="508"/>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25">
      <c r="A35" s="67"/>
      <c r="B35" s="474"/>
      <c r="C35" s="474"/>
      <c r="D35" s="475"/>
      <c r="E35" s="515"/>
      <c r="F35" s="516"/>
      <c r="G35" s="516"/>
      <c r="H35" s="516"/>
      <c r="I35" s="516"/>
      <c r="J35" s="552"/>
      <c r="K35" s="550"/>
      <c r="L35" s="550"/>
      <c r="M35" s="550"/>
      <c r="N35" s="550"/>
      <c r="O35" s="551"/>
      <c r="P35" s="542"/>
      <c r="Q35" s="542"/>
      <c r="R35" s="542"/>
      <c r="S35" s="542"/>
      <c r="T35" s="542"/>
      <c r="U35" s="543"/>
      <c r="V35" s="541"/>
      <c r="W35" s="542"/>
      <c r="X35" s="542"/>
      <c r="Y35" s="542"/>
      <c r="Z35" s="542"/>
      <c r="AA35" s="543"/>
      <c r="AB35" s="525"/>
      <c r="AC35" s="521"/>
      <c r="AD35" s="521"/>
      <c r="AE35" s="521"/>
      <c r="AF35" s="521"/>
      <c r="AG35" s="522"/>
      <c r="AH35" s="532"/>
      <c r="AI35" s="533"/>
      <c r="AJ35" s="533"/>
      <c r="AK35" s="533"/>
      <c r="AL35" s="533"/>
      <c r="AM35" s="534"/>
      <c r="AN35" s="67"/>
      <c r="AO35" s="506"/>
      <c r="AP35" s="507"/>
      <c r="AQ35" s="507"/>
      <c r="AR35" s="507"/>
      <c r="AS35" s="507"/>
      <c r="AT35" s="508"/>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25">
      <c r="A36" s="67"/>
      <c r="B36" s="474"/>
      <c r="C36" s="474"/>
      <c r="D36" s="475"/>
      <c r="E36" s="515"/>
      <c r="F36" s="516"/>
      <c r="G36" s="516"/>
      <c r="H36" s="516"/>
      <c r="I36" s="516"/>
      <c r="J36" s="552" t="e">
        <f>IF(AND('Mapa final'!#REF!="Baja",'Mapa final'!#REF!="Leve"),CONCATENATE("R",'Mapa final'!#REF!),"")</f>
        <v>#REF!</v>
      </c>
      <c r="K36" s="550"/>
      <c r="L36" s="550" t="str">
        <f>IF(AND('Mapa final'!$K$17="Baja",'Mapa final'!$O$17="Leve"),CONCATENATE("R",'Mapa final'!$A$17),"")</f>
        <v/>
      </c>
      <c r="M36" s="550"/>
      <c r="N36" s="550" t="str">
        <f>IF(AND('Mapa final'!$K$23="Baja",'Mapa final'!$O$23="Leve"),CONCATENATE("R",'Mapa final'!$A$23),"")</f>
        <v/>
      </c>
      <c r="O36" s="551"/>
      <c r="P36" s="542" t="e">
        <f>IF(AND('Mapa final'!#REF!="Baja",'Mapa final'!#REF!="Menor"),CONCATENATE("R",'Mapa final'!#REF!),"")</f>
        <v>#REF!</v>
      </c>
      <c r="Q36" s="542"/>
      <c r="R36" s="542" t="str">
        <f>IF(AND('Mapa final'!$K$17="Baja",'Mapa final'!$O$17="Menor"),CONCATENATE("R",'Mapa final'!$A$17),"")</f>
        <v/>
      </c>
      <c r="S36" s="542"/>
      <c r="T36" s="542" t="str">
        <f>IF(AND('Mapa final'!$K$23="Baja",'Mapa final'!$O$23="Menor"),CONCATENATE("R",'Mapa final'!$A$23),"")</f>
        <v/>
      </c>
      <c r="U36" s="543"/>
      <c r="V36" s="541" t="e">
        <f>IF(AND('Mapa final'!#REF!="Baja",'Mapa final'!#REF!="Moderado"),CONCATENATE("R",'Mapa final'!#REF!),"")</f>
        <v>#REF!</v>
      </c>
      <c r="W36" s="542"/>
      <c r="X36" s="542" t="str">
        <f>IF(AND('Mapa final'!$K$17="Baja",'Mapa final'!$O$17="Moderado"),CONCATENATE("R",'Mapa final'!$A$17),"")</f>
        <v/>
      </c>
      <c r="Y36" s="542"/>
      <c r="Z36" s="542" t="str">
        <f>IF(AND('Mapa final'!$K$23="Baja",'Mapa final'!$O$23="Moderado"),CONCATENATE("R",'Mapa final'!$A$23),"")</f>
        <v/>
      </c>
      <c r="AA36" s="543"/>
      <c r="AB36" s="525" t="e">
        <f>IF(AND('Mapa final'!#REF!="Baja",'Mapa final'!#REF!="Mayor"),CONCATENATE("R",'Mapa final'!#REF!),"")</f>
        <v>#REF!</v>
      </c>
      <c r="AC36" s="521"/>
      <c r="AD36" s="521" t="str">
        <f>IF(AND('Mapa final'!$K$17="Baja",'Mapa final'!$O$17="Mayor"),CONCATENATE("R",'Mapa final'!$A$17),"")</f>
        <v/>
      </c>
      <c r="AE36" s="521"/>
      <c r="AF36" s="521" t="str">
        <f>IF(AND('Mapa final'!$K$23="Baja",'Mapa final'!$O$23="Mayor"),CONCATENATE("R",'Mapa final'!$A$23),"")</f>
        <v/>
      </c>
      <c r="AG36" s="522"/>
      <c r="AH36" s="532" t="e">
        <f>IF(AND('Mapa final'!#REF!="Baja",'Mapa final'!#REF!="Catastrófico"),CONCATENATE("R",'Mapa final'!#REF!),"")</f>
        <v>#REF!</v>
      </c>
      <c r="AI36" s="533"/>
      <c r="AJ36" s="533" t="str">
        <f>IF(AND('Mapa final'!$K$17="Baja",'Mapa final'!$O$17="Catastrófico"),CONCATENATE("R",'Mapa final'!$A$17),"")</f>
        <v/>
      </c>
      <c r="AK36" s="533"/>
      <c r="AL36" s="533" t="str">
        <f>IF(AND('Mapa final'!$K$23="Baja",'Mapa final'!$O$23="Catastrófico"),CONCATENATE("R",'Mapa final'!$A$23),"")</f>
        <v/>
      </c>
      <c r="AM36" s="534"/>
      <c r="AN36" s="67"/>
      <c r="AO36" s="506"/>
      <c r="AP36" s="507"/>
      <c r="AQ36" s="507"/>
      <c r="AR36" s="507"/>
      <c r="AS36" s="507"/>
      <c r="AT36" s="50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75" thickBot="1" x14ac:dyDescent="0.3">
      <c r="A37" s="67"/>
      <c r="B37" s="474"/>
      <c r="C37" s="474"/>
      <c r="D37" s="475"/>
      <c r="E37" s="518"/>
      <c r="F37" s="519"/>
      <c r="G37" s="519"/>
      <c r="H37" s="519"/>
      <c r="I37" s="519"/>
      <c r="J37" s="553"/>
      <c r="K37" s="554"/>
      <c r="L37" s="554"/>
      <c r="M37" s="554"/>
      <c r="N37" s="554"/>
      <c r="O37" s="555"/>
      <c r="P37" s="545"/>
      <c r="Q37" s="545"/>
      <c r="R37" s="545"/>
      <c r="S37" s="545"/>
      <c r="T37" s="545"/>
      <c r="U37" s="546"/>
      <c r="V37" s="544"/>
      <c r="W37" s="545"/>
      <c r="X37" s="545"/>
      <c r="Y37" s="545"/>
      <c r="Z37" s="545"/>
      <c r="AA37" s="546"/>
      <c r="AB37" s="529"/>
      <c r="AC37" s="530"/>
      <c r="AD37" s="530"/>
      <c r="AE37" s="530"/>
      <c r="AF37" s="530"/>
      <c r="AG37" s="531"/>
      <c r="AH37" s="535"/>
      <c r="AI37" s="536"/>
      <c r="AJ37" s="536"/>
      <c r="AK37" s="536"/>
      <c r="AL37" s="536"/>
      <c r="AM37" s="537"/>
      <c r="AN37" s="67"/>
      <c r="AO37" s="509"/>
      <c r="AP37" s="510"/>
      <c r="AQ37" s="510"/>
      <c r="AR37" s="510"/>
      <c r="AS37" s="510"/>
      <c r="AT37" s="51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25">
      <c r="A38" s="67"/>
      <c r="B38" s="474"/>
      <c r="C38" s="474"/>
      <c r="D38" s="475"/>
      <c r="E38" s="512" t="s">
        <v>107</v>
      </c>
      <c r="F38" s="513"/>
      <c r="G38" s="513"/>
      <c r="H38" s="513"/>
      <c r="I38" s="514"/>
      <c r="J38" s="556" t="str">
        <f>IF(AND('Mapa final'!$K$10="Muy Baja",'Mapa final'!$O$10="Leve"),CONCATENATE("R",'Mapa final'!$A$10),"")</f>
        <v/>
      </c>
      <c r="K38" s="557"/>
      <c r="L38" s="557" t="str">
        <f>IF(AND('Mapa final'!$K$13="Muy Baja",'Mapa final'!$O$13="Leve"),CONCATENATE("R",'Mapa final'!$A$13),"")</f>
        <v/>
      </c>
      <c r="M38" s="557"/>
      <c r="N38" s="557" t="str">
        <f>IF(AND('Mapa final'!$K$15="Muy Baja",'Mapa final'!$O$15="Leve"),CONCATENATE("R",'Mapa final'!$A$15),"")</f>
        <v/>
      </c>
      <c r="O38" s="558"/>
      <c r="P38" s="556" t="str">
        <f>IF(AND('Mapa final'!$K$10="Muy Baja",'Mapa final'!$O$10="Menor"),CONCATENATE("R",'Mapa final'!$A$10),"")</f>
        <v/>
      </c>
      <c r="Q38" s="557"/>
      <c r="R38" s="557" t="str">
        <f>IF(AND('Mapa final'!$K$13="Muy Baja",'Mapa final'!$O$13="Menor"),CONCATENATE("R",'Mapa final'!$A$13),"")</f>
        <v/>
      </c>
      <c r="S38" s="557"/>
      <c r="T38" s="557" t="str">
        <f>IF(AND('Mapa final'!$K$15="Muy Baja",'Mapa final'!$O$15="Menor"),CONCATENATE("R",'Mapa final'!$A$15),"")</f>
        <v/>
      </c>
      <c r="U38" s="558"/>
      <c r="V38" s="547" t="str">
        <f>IF(AND('Mapa final'!$K$10="Muy Baja",'Mapa final'!$O$10="Moderado"),CONCATENATE("R",'Mapa final'!$A$10),"")</f>
        <v/>
      </c>
      <c r="W38" s="548"/>
      <c r="X38" s="548" t="str">
        <f>IF(AND('Mapa final'!$K$13="Muy Baja",'Mapa final'!$O$13="Moderado"),CONCATENATE("R",'Mapa final'!$A$13),"")</f>
        <v/>
      </c>
      <c r="Y38" s="548"/>
      <c r="Z38" s="548" t="str">
        <f>IF(AND('Mapa final'!$K$15="Muy Baja",'Mapa final'!$O$15="Moderado"),CONCATENATE("R",'Mapa final'!$A$15),"")</f>
        <v/>
      </c>
      <c r="AA38" s="549"/>
      <c r="AB38" s="523" t="str">
        <f>IF(AND('Mapa final'!$K$10="Muy Baja",'Mapa final'!$O$10="Mayor"),CONCATENATE("R",'Mapa final'!$A$10),"")</f>
        <v/>
      </c>
      <c r="AC38" s="524"/>
      <c r="AD38" s="524" t="str">
        <f>IF(AND('Mapa final'!$K$13="Muy Baja",'Mapa final'!$O$13="Mayor"),CONCATENATE("R",'Mapa final'!$A$13),"")</f>
        <v/>
      </c>
      <c r="AE38" s="524"/>
      <c r="AF38" s="524" t="str">
        <f>IF(AND('Mapa final'!$K$15="Muy Baja",'Mapa final'!$O$15="Mayor"),CONCATENATE("R",'Mapa final'!$A$15),"")</f>
        <v/>
      </c>
      <c r="AG38" s="526"/>
      <c r="AH38" s="538" t="str">
        <f>IF(AND('Mapa final'!$K$10="Muy Baja",'Mapa final'!$O$10="Catastrófico"),CONCATENATE("R",'Mapa final'!$A$10),"")</f>
        <v/>
      </c>
      <c r="AI38" s="539"/>
      <c r="AJ38" s="539" t="str">
        <f>IF(AND('Mapa final'!$K$13="Muy Baja",'Mapa final'!$O$13="Catastrófico"),CONCATENATE("R",'Mapa final'!$A$13),"")</f>
        <v/>
      </c>
      <c r="AK38" s="539"/>
      <c r="AL38" s="539" t="str">
        <f>IF(AND('Mapa final'!$K$15="Muy Baja",'Mapa final'!$O$15="Catastrófico"),CONCATENATE("R",'Mapa final'!$A$15),"")</f>
        <v/>
      </c>
      <c r="AM38" s="540"/>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25">
      <c r="A39" s="67"/>
      <c r="B39" s="474"/>
      <c r="C39" s="474"/>
      <c r="D39" s="475"/>
      <c r="E39" s="515"/>
      <c r="F39" s="516"/>
      <c r="G39" s="516"/>
      <c r="H39" s="516"/>
      <c r="I39" s="517"/>
      <c r="J39" s="552"/>
      <c r="K39" s="550"/>
      <c r="L39" s="550"/>
      <c r="M39" s="550"/>
      <c r="N39" s="550"/>
      <c r="O39" s="551"/>
      <c r="P39" s="552"/>
      <c r="Q39" s="550"/>
      <c r="R39" s="550"/>
      <c r="S39" s="550"/>
      <c r="T39" s="550"/>
      <c r="U39" s="551"/>
      <c r="V39" s="541"/>
      <c r="W39" s="542"/>
      <c r="X39" s="542"/>
      <c r="Y39" s="542"/>
      <c r="Z39" s="542"/>
      <c r="AA39" s="543"/>
      <c r="AB39" s="525"/>
      <c r="AC39" s="521"/>
      <c r="AD39" s="521"/>
      <c r="AE39" s="521"/>
      <c r="AF39" s="521"/>
      <c r="AG39" s="522"/>
      <c r="AH39" s="532"/>
      <c r="AI39" s="533"/>
      <c r="AJ39" s="533"/>
      <c r="AK39" s="533"/>
      <c r="AL39" s="533"/>
      <c r="AM39" s="534"/>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25">
      <c r="A40" s="67"/>
      <c r="B40" s="474"/>
      <c r="C40" s="474"/>
      <c r="D40" s="475"/>
      <c r="E40" s="515"/>
      <c r="F40" s="516"/>
      <c r="G40" s="516"/>
      <c r="H40" s="516"/>
      <c r="I40" s="517"/>
      <c r="J40" s="552" t="e">
        <f>IF(AND('Mapa final'!#REF!="Muy Baja",'Mapa final'!#REF!="Leve"),CONCATENATE("R",'Mapa final'!#REF!),"")</f>
        <v>#REF!</v>
      </c>
      <c r="K40" s="550"/>
      <c r="L40" s="550" t="e">
        <f>IF(AND('Mapa final'!#REF!="Muy Baja",'Mapa final'!#REF!="Leve"),CONCATENATE("R",'Mapa final'!#REF!),"")</f>
        <v>#REF!</v>
      </c>
      <c r="M40" s="550"/>
      <c r="N40" s="550" t="e">
        <f>IF(AND('Mapa final'!#REF!="Muy Baja",'Mapa final'!#REF!="Leve"),CONCATENATE("R",'Mapa final'!#REF!),"")</f>
        <v>#REF!</v>
      </c>
      <c r="O40" s="551"/>
      <c r="P40" s="552" t="e">
        <f>IF(AND('Mapa final'!#REF!="Muy Baja",'Mapa final'!#REF!="Menor"),CONCATENATE("R",'Mapa final'!#REF!),"")</f>
        <v>#REF!</v>
      </c>
      <c r="Q40" s="550"/>
      <c r="R40" s="550" t="e">
        <f>IF(AND('Mapa final'!#REF!="Muy Baja",'Mapa final'!#REF!="Menor"),CONCATENATE("R",'Mapa final'!#REF!),"")</f>
        <v>#REF!</v>
      </c>
      <c r="S40" s="550"/>
      <c r="T40" s="550" t="e">
        <f>IF(AND('Mapa final'!#REF!="Muy Baja",'Mapa final'!#REF!="Menor"),CONCATENATE("R",'Mapa final'!#REF!),"")</f>
        <v>#REF!</v>
      </c>
      <c r="U40" s="551"/>
      <c r="V40" s="541" t="e">
        <f>IF(AND('Mapa final'!#REF!="Muy Baja",'Mapa final'!#REF!="Moderado"),CONCATENATE("R",'Mapa final'!#REF!),"")</f>
        <v>#REF!</v>
      </c>
      <c r="W40" s="542"/>
      <c r="X40" s="542" t="e">
        <f>IF(AND('Mapa final'!#REF!="Muy Baja",'Mapa final'!#REF!="Moderado"),CONCATENATE("R",'Mapa final'!#REF!),"")</f>
        <v>#REF!</v>
      </c>
      <c r="Y40" s="542"/>
      <c r="Z40" s="542" t="e">
        <f>IF(AND('Mapa final'!#REF!="Muy Baja",'Mapa final'!#REF!="Moderado"),CONCATENATE("R",'Mapa final'!#REF!),"")</f>
        <v>#REF!</v>
      </c>
      <c r="AA40" s="543"/>
      <c r="AB40" s="525" t="e">
        <f>IF(AND('Mapa final'!#REF!="Muy Baja",'Mapa final'!#REF!="Mayor"),CONCATENATE("R",'Mapa final'!#REF!),"")</f>
        <v>#REF!</v>
      </c>
      <c r="AC40" s="521"/>
      <c r="AD40" s="521" t="e">
        <f>IF(AND('Mapa final'!#REF!="Muy Baja",'Mapa final'!#REF!="Mayor"),CONCATENATE("R",'Mapa final'!#REF!),"")</f>
        <v>#REF!</v>
      </c>
      <c r="AE40" s="521"/>
      <c r="AF40" s="521" t="e">
        <f>IF(AND('Mapa final'!#REF!="Muy Baja",'Mapa final'!#REF!="Mayor"),CONCATENATE("R",'Mapa final'!#REF!),"")</f>
        <v>#REF!</v>
      </c>
      <c r="AG40" s="522"/>
      <c r="AH40" s="532" t="e">
        <f>IF(AND('Mapa final'!#REF!="Muy Baja",'Mapa final'!#REF!="Catastrófico"),CONCATENATE("R",'Mapa final'!#REF!),"")</f>
        <v>#REF!</v>
      </c>
      <c r="AI40" s="533"/>
      <c r="AJ40" s="533" t="e">
        <f>IF(AND('Mapa final'!#REF!="Muy Baja",'Mapa final'!#REF!="Catastrófico"),CONCATENATE("R",'Mapa final'!#REF!),"")</f>
        <v>#REF!</v>
      </c>
      <c r="AK40" s="533"/>
      <c r="AL40" s="533" t="e">
        <f>IF(AND('Mapa final'!#REF!="Muy Baja",'Mapa final'!#REF!="Catastrófico"),CONCATENATE("R",'Mapa final'!#REF!),"")</f>
        <v>#REF!</v>
      </c>
      <c r="AM40" s="534"/>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25">
      <c r="A41" s="67"/>
      <c r="B41" s="474"/>
      <c r="C41" s="474"/>
      <c r="D41" s="475"/>
      <c r="E41" s="515"/>
      <c r="F41" s="516"/>
      <c r="G41" s="516"/>
      <c r="H41" s="516"/>
      <c r="I41" s="517"/>
      <c r="J41" s="552"/>
      <c r="K41" s="550"/>
      <c r="L41" s="550"/>
      <c r="M41" s="550"/>
      <c r="N41" s="550"/>
      <c r="O41" s="551"/>
      <c r="P41" s="552"/>
      <c r="Q41" s="550"/>
      <c r="R41" s="550"/>
      <c r="S41" s="550"/>
      <c r="T41" s="550"/>
      <c r="U41" s="551"/>
      <c r="V41" s="541"/>
      <c r="W41" s="542"/>
      <c r="X41" s="542"/>
      <c r="Y41" s="542"/>
      <c r="Z41" s="542"/>
      <c r="AA41" s="543"/>
      <c r="AB41" s="525"/>
      <c r="AC41" s="521"/>
      <c r="AD41" s="521"/>
      <c r="AE41" s="521"/>
      <c r="AF41" s="521"/>
      <c r="AG41" s="522"/>
      <c r="AH41" s="532"/>
      <c r="AI41" s="533"/>
      <c r="AJ41" s="533"/>
      <c r="AK41" s="533"/>
      <c r="AL41" s="533"/>
      <c r="AM41" s="534"/>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25">
      <c r="A42" s="67"/>
      <c r="B42" s="474"/>
      <c r="C42" s="474"/>
      <c r="D42" s="475"/>
      <c r="E42" s="515"/>
      <c r="F42" s="516"/>
      <c r="G42" s="516"/>
      <c r="H42" s="516"/>
      <c r="I42" s="517"/>
      <c r="J42" s="552" t="e">
        <f>IF(AND('Mapa final'!#REF!="Muy Baja",'Mapa final'!#REF!="Leve"),CONCATENATE("R",'Mapa final'!#REF!),"")</f>
        <v>#REF!</v>
      </c>
      <c r="K42" s="550"/>
      <c r="L42" s="550" t="e">
        <f>IF(AND('Mapa final'!#REF!="Muy Baja",'Mapa final'!#REF!="Leve"),CONCATENATE("R",'Mapa final'!#REF!),"")</f>
        <v>#REF!</v>
      </c>
      <c r="M42" s="550"/>
      <c r="N42" s="550" t="e">
        <f>IF(AND('Mapa final'!#REF!="Muy Baja",'Mapa final'!#REF!="Leve"),CONCATENATE("R",'Mapa final'!#REF!),"")</f>
        <v>#REF!</v>
      </c>
      <c r="O42" s="551"/>
      <c r="P42" s="552" t="e">
        <f>IF(AND('Mapa final'!#REF!="Muy Baja",'Mapa final'!#REF!="Menor"),CONCATENATE("R",'Mapa final'!#REF!),"")</f>
        <v>#REF!</v>
      </c>
      <c r="Q42" s="550"/>
      <c r="R42" s="550" t="e">
        <f>IF(AND('Mapa final'!#REF!="Muy Baja",'Mapa final'!#REF!="Menor"),CONCATENATE("R",'Mapa final'!#REF!),"")</f>
        <v>#REF!</v>
      </c>
      <c r="S42" s="550"/>
      <c r="T42" s="550" t="e">
        <f>IF(AND('Mapa final'!#REF!="Muy Baja",'Mapa final'!#REF!="Menor"),CONCATENATE("R",'Mapa final'!#REF!),"")</f>
        <v>#REF!</v>
      </c>
      <c r="U42" s="551"/>
      <c r="V42" s="541" t="e">
        <f>IF(AND('Mapa final'!#REF!="Muy Baja",'Mapa final'!#REF!="Moderado"),CONCATENATE("R",'Mapa final'!#REF!),"")</f>
        <v>#REF!</v>
      </c>
      <c r="W42" s="542"/>
      <c r="X42" s="542" t="e">
        <f>IF(AND('Mapa final'!#REF!="Muy Baja",'Mapa final'!#REF!="Moderado"),CONCATENATE("R",'Mapa final'!#REF!),"")</f>
        <v>#REF!</v>
      </c>
      <c r="Y42" s="542"/>
      <c r="Z42" s="542" t="e">
        <f>IF(AND('Mapa final'!#REF!="Muy Baja",'Mapa final'!#REF!="Moderado"),CONCATENATE("R",'Mapa final'!#REF!),"")</f>
        <v>#REF!</v>
      </c>
      <c r="AA42" s="543"/>
      <c r="AB42" s="525" t="e">
        <f>IF(AND('Mapa final'!#REF!="Muy Baja",'Mapa final'!#REF!="Mayor"),CONCATENATE("R",'Mapa final'!#REF!),"")</f>
        <v>#REF!</v>
      </c>
      <c r="AC42" s="521"/>
      <c r="AD42" s="521" t="e">
        <f>IF(AND('Mapa final'!#REF!="Muy Baja",'Mapa final'!#REF!="Mayor"),CONCATENATE("R",'Mapa final'!#REF!),"")</f>
        <v>#REF!</v>
      </c>
      <c r="AE42" s="521"/>
      <c r="AF42" s="521" t="e">
        <f>IF(AND('Mapa final'!#REF!="Muy Baja",'Mapa final'!#REF!="Mayor"),CONCATENATE("R",'Mapa final'!#REF!),"")</f>
        <v>#REF!</v>
      </c>
      <c r="AG42" s="522"/>
      <c r="AH42" s="532" t="e">
        <f>IF(AND('Mapa final'!#REF!="Muy Baja",'Mapa final'!#REF!="Catastrófico"),CONCATENATE("R",'Mapa final'!#REF!),"")</f>
        <v>#REF!</v>
      </c>
      <c r="AI42" s="533"/>
      <c r="AJ42" s="533" t="e">
        <f>IF(AND('Mapa final'!#REF!="Muy Baja",'Mapa final'!#REF!="Catastrófico"),CONCATENATE("R",'Mapa final'!#REF!),"")</f>
        <v>#REF!</v>
      </c>
      <c r="AK42" s="533"/>
      <c r="AL42" s="533" t="e">
        <f>IF(AND('Mapa final'!#REF!="Muy Baja",'Mapa final'!#REF!="Catastrófico"),CONCATENATE("R",'Mapa final'!#REF!),"")</f>
        <v>#REF!</v>
      </c>
      <c r="AM42" s="534"/>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25">
      <c r="A43" s="67"/>
      <c r="B43" s="474"/>
      <c r="C43" s="474"/>
      <c r="D43" s="475"/>
      <c r="E43" s="515"/>
      <c r="F43" s="516"/>
      <c r="G43" s="516"/>
      <c r="H43" s="516"/>
      <c r="I43" s="517"/>
      <c r="J43" s="552"/>
      <c r="K43" s="550"/>
      <c r="L43" s="550"/>
      <c r="M43" s="550"/>
      <c r="N43" s="550"/>
      <c r="O43" s="551"/>
      <c r="P43" s="552"/>
      <c r="Q43" s="550"/>
      <c r="R43" s="550"/>
      <c r="S43" s="550"/>
      <c r="T43" s="550"/>
      <c r="U43" s="551"/>
      <c r="V43" s="541"/>
      <c r="W43" s="542"/>
      <c r="X43" s="542"/>
      <c r="Y43" s="542"/>
      <c r="Z43" s="542"/>
      <c r="AA43" s="543"/>
      <c r="AB43" s="525"/>
      <c r="AC43" s="521"/>
      <c r="AD43" s="521"/>
      <c r="AE43" s="521"/>
      <c r="AF43" s="521"/>
      <c r="AG43" s="522"/>
      <c r="AH43" s="532"/>
      <c r="AI43" s="533"/>
      <c r="AJ43" s="533"/>
      <c r="AK43" s="533"/>
      <c r="AL43" s="533"/>
      <c r="AM43" s="534"/>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25">
      <c r="A44" s="67"/>
      <c r="B44" s="474"/>
      <c r="C44" s="474"/>
      <c r="D44" s="475"/>
      <c r="E44" s="515"/>
      <c r="F44" s="516"/>
      <c r="G44" s="516"/>
      <c r="H44" s="516"/>
      <c r="I44" s="517"/>
      <c r="J44" s="552" t="e">
        <f>IF(AND('Mapa final'!#REF!="Muy Baja",'Mapa final'!#REF!="Leve"),CONCATENATE("R",'Mapa final'!#REF!),"")</f>
        <v>#REF!</v>
      </c>
      <c r="K44" s="550"/>
      <c r="L44" s="550" t="str">
        <f>IF(AND('Mapa final'!$K$17="Muy Baja",'Mapa final'!$O$17="Leve"),CONCATENATE("R",'Mapa final'!$A$17),"")</f>
        <v/>
      </c>
      <c r="M44" s="550"/>
      <c r="N44" s="550" t="str">
        <f>IF(AND('Mapa final'!$K$23="Muy Baja",'Mapa final'!$O$23="Leve"),CONCATENATE("R",'Mapa final'!$A$23),"")</f>
        <v/>
      </c>
      <c r="O44" s="551"/>
      <c r="P44" s="552" t="e">
        <f>IF(AND('Mapa final'!#REF!="Muy Baja",'Mapa final'!#REF!="Menor"),CONCATENATE("R",'Mapa final'!#REF!),"")</f>
        <v>#REF!</v>
      </c>
      <c r="Q44" s="550"/>
      <c r="R44" s="550" t="str">
        <f>IF(AND('Mapa final'!$K$17="Muy Baja",'Mapa final'!$O$17="Menor"),CONCATENATE("R",'Mapa final'!$A$17),"")</f>
        <v/>
      </c>
      <c r="S44" s="550"/>
      <c r="T44" s="550" t="str">
        <f>IF(AND('Mapa final'!$K$23="Muy Baja",'Mapa final'!$O$23="Menor"),CONCATENATE("R",'Mapa final'!$A$23),"")</f>
        <v/>
      </c>
      <c r="U44" s="551"/>
      <c r="V44" s="541" t="e">
        <f>IF(AND('Mapa final'!#REF!="Muy Baja",'Mapa final'!#REF!="Moderado"),CONCATENATE("R",'Mapa final'!#REF!),"")</f>
        <v>#REF!</v>
      </c>
      <c r="W44" s="542"/>
      <c r="X44" s="542" t="str">
        <f>IF(AND('Mapa final'!$K$17="Muy Baja",'Mapa final'!$O$17="Moderado"),CONCATENATE("R",'Mapa final'!$A$17),"")</f>
        <v/>
      </c>
      <c r="Y44" s="542"/>
      <c r="Z44" s="542" t="str">
        <f>IF(AND('Mapa final'!$K$23="Muy Baja",'Mapa final'!$O$23="Moderado"),CONCATENATE("R",'Mapa final'!$A$23),"")</f>
        <v/>
      </c>
      <c r="AA44" s="543"/>
      <c r="AB44" s="525" t="e">
        <f>IF(AND('Mapa final'!#REF!="Muy Baja",'Mapa final'!#REF!="Mayor"),CONCATENATE("R",'Mapa final'!#REF!),"")</f>
        <v>#REF!</v>
      </c>
      <c r="AC44" s="521"/>
      <c r="AD44" s="521" t="str">
        <f>IF(AND('Mapa final'!$K$17="Muy Baja",'Mapa final'!$O$17="Mayor"),CONCATENATE("R",'Mapa final'!$A$17),"")</f>
        <v/>
      </c>
      <c r="AE44" s="521"/>
      <c r="AF44" s="521" t="str">
        <f>IF(AND('Mapa final'!$K$23="Muy Baja",'Mapa final'!$O$23="Mayor"),CONCATENATE("R",'Mapa final'!$A$23),"")</f>
        <v/>
      </c>
      <c r="AG44" s="522"/>
      <c r="AH44" s="532" t="e">
        <f>IF(AND('Mapa final'!#REF!="Muy Baja",'Mapa final'!#REF!="Catastrófico"),CONCATENATE("R",'Mapa final'!#REF!),"")</f>
        <v>#REF!</v>
      </c>
      <c r="AI44" s="533"/>
      <c r="AJ44" s="533" t="str">
        <f>IF(AND('Mapa final'!$K$17="Muy Baja",'Mapa final'!$O$17="Catastrófico"),CONCATENATE("R",'Mapa final'!$A$17),"")</f>
        <v/>
      </c>
      <c r="AK44" s="533"/>
      <c r="AL44" s="533" t="str">
        <f>IF(AND('Mapa final'!$K$23="Muy Baja",'Mapa final'!$O$23="Catastrófico"),CONCATENATE("R",'Mapa final'!$A$23),"")</f>
        <v/>
      </c>
      <c r="AM44" s="534"/>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75" thickBot="1" x14ac:dyDescent="0.3">
      <c r="A45" s="67"/>
      <c r="B45" s="474"/>
      <c r="C45" s="474"/>
      <c r="D45" s="475"/>
      <c r="E45" s="518"/>
      <c r="F45" s="519"/>
      <c r="G45" s="519"/>
      <c r="H45" s="519"/>
      <c r="I45" s="520"/>
      <c r="J45" s="553"/>
      <c r="K45" s="554"/>
      <c r="L45" s="554"/>
      <c r="M45" s="554"/>
      <c r="N45" s="554"/>
      <c r="O45" s="555"/>
      <c r="P45" s="553"/>
      <c r="Q45" s="554"/>
      <c r="R45" s="554"/>
      <c r="S45" s="554"/>
      <c r="T45" s="554"/>
      <c r="U45" s="555"/>
      <c r="V45" s="544"/>
      <c r="W45" s="545"/>
      <c r="X45" s="545"/>
      <c r="Y45" s="545"/>
      <c r="Z45" s="545"/>
      <c r="AA45" s="546"/>
      <c r="AB45" s="529"/>
      <c r="AC45" s="530"/>
      <c r="AD45" s="530"/>
      <c r="AE45" s="530"/>
      <c r="AF45" s="530"/>
      <c r="AG45" s="531"/>
      <c r="AH45" s="535"/>
      <c r="AI45" s="536"/>
      <c r="AJ45" s="536"/>
      <c r="AK45" s="536"/>
      <c r="AL45" s="536"/>
      <c r="AM45" s="53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25">
      <c r="A46" s="67"/>
      <c r="B46" s="67"/>
      <c r="C46" s="67"/>
      <c r="D46" s="67"/>
      <c r="E46" s="67"/>
      <c r="F46" s="67"/>
      <c r="G46" s="67"/>
      <c r="H46" s="67"/>
      <c r="I46" s="67"/>
      <c r="J46" s="512" t="s">
        <v>106</v>
      </c>
      <c r="K46" s="513"/>
      <c r="L46" s="513"/>
      <c r="M46" s="513"/>
      <c r="N46" s="513"/>
      <c r="O46" s="514"/>
      <c r="P46" s="512" t="s">
        <v>105</v>
      </c>
      <c r="Q46" s="513"/>
      <c r="R46" s="513"/>
      <c r="S46" s="513"/>
      <c r="T46" s="513"/>
      <c r="U46" s="514"/>
      <c r="V46" s="512" t="s">
        <v>104</v>
      </c>
      <c r="W46" s="513"/>
      <c r="X46" s="513"/>
      <c r="Y46" s="513"/>
      <c r="Z46" s="513"/>
      <c r="AA46" s="514"/>
      <c r="AB46" s="512" t="s">
        <v>103</v>
      </c>
      <c r="AC46" s="528"/>
      <c r="AD46" s="513"/>
      <c r="AE46" s="513"/>
      <c r="AF46" s="513"/>
      <c r="AG46" s="514"/>
      <c r="AH46" s="512" t="s">
        <v>102</v>
      </c>
      <c r="AI46" s="513"/>
      <c r="AJ46" s="513"/>
      <c r="AK46" s="513"/>
      <c r="AL46" s="513"/>
      <c r="AM46" s="514"/>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25">
      <c r="A47" s="67"/>
      <c r="B47" s="67"/>
      <c r="C47" s="67"/>
      <c r="D47" s="67"/>
      <c r="E47" s="67"/>
      <c r="F47" s="67"/>
      <c r="G47" s="67"/>
      <c r="H47" s="67"/>
      <c r="I47" s="67"/>
      <c r="J47" s="515"/>
      <c r="K47" s="516"/>
      <c r="L47" s="516"/>
      <c r="M47" s="516"/>
      <c r="N47" s="516"/>
      <c r="O47" s="517"/>
      <c r="P47" s="515"/>
      <c r="Q47" s="516"/>
      <c r="R47" s="516"/>
      <c r="S47" s="516"/>
      <c r="T47" s="516"/>
      <c r="U47" s="517"/>
      <c r="V47" s="515"/>
      <c r="W47" s="516"/>
      <c r="X47" s="516"/>
      <c r="Y47" s="516"/>
      <c r="Z47" s="516"/>
      <c r="AA47" s="517"/>
      <c r="AB47" s="515"/>
      <c r="AC47" s="516"/>
      <c r="AD47" s="516"/>
      <c r="AE47" s="516"/>
      <c r="AF47" s="516"/>
      <c r="AG47" s="517"/>
      <c r="AH47" s="515"/>
      <c r="AI47" s="516"/>
      <c r="AJ47" s="516"/>
      <c r="AK47" s="516"/>
      <c r="AL47" s="516"/>
      <c r="AM47" s="51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25">
      <c r="A48" s="67"/>
      <c r="B48" s="67"/>
      <c r="C48" s="67"/>
      <c r="D48" s="67"/>
      <c r="E48" s="67"/>
      <c r="F48" s="67"/>
      <c r="G48" s="67"/>
      <c r="H48" s="67"/>
      <c r="I48" s="67"/>
      <c r="J48" s="515"/>
      <c r="K48" s="516"/>
      <c r="L48" s="516"/>
      <c r="M48" s="516"/>
      <c r="N48" s="516"/>
      <c r="O48" s="517"/>
      <c r="P48" s="515"/>
      <c r="Q48" s="516"/>
      <c r="R48" s="516"/>
      <c r="S48" s="516"/>
      <c r="T48" s="516"/>
      <c r="U48" s="517"/>
      <c r="V48" s="515"/>
      <c r="W48" s="516"/>
      <c r="X48" s="516"/>
      <c r="Y48" s="516"/>
      <c r="Z48" s="516"/>
      <c r="AA48" s="517"/>
      <c r="AB48" s="515"/>
      <c r="AC48" s="516"/>
      <c r="AD48" s="516"/>
      <c r="AE48" s="516"/>
      <c r="AF48" s="516"/>
      <c r="AG48" s="517"/>
      <c r="AH48" s="515"/>
      <c r="AI48" s="516"/>
      <c r="AJ48" s="516"/>
      <c r="AK48" s="516"/>
      <c r="AL48" s="516"/>
      <c r="AM48" s="51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25">
      <c r="A49" s="67"/>
      <c r="B49" s="67"/>
      <c r="C49" s="67"/>
      <c r="D49" s="67"/>
      <c r="E49" s="67"/>
      <c r="F49" s="67"/>
      <c r="G49" s="67"/>
      <c r="H49" s="67"/>
      <c r="I49" s="67"/>
      <c r="J49" s="515"/>
      <c r="K49" s="516"/>
      <c r="L49" s="516"/>
      <c r="M49" s="516"/>
      <c r="N49" s="516"/>
      <c r="O49" s="517"/>
      <c r="P49" s="515"/>
      <c r="Q49" s="516"/>
      <c r="R49" s="516"/>
      <c r="S49" s="516"/>
      <c r="T49" s="516"/>
      <c r="U49" s="517"/>
      <c r="V49" s="515"/>
      <c r="W49" s="516"/>
      <c r="X49" s="516"/>
      <c r="Y49" s="516"/>
      <c r="Z49" s="516"/>
      <c r="AA49" s="517"/>
      <c r="AB49" s="515"/>
      <c r="AC49" s="516"/>
      <c r="AD49" s="516"/>
      <c r="AE49" s="516"/>
      <c r="AF49" s="516"/>
      <c r="AG49" s="517"/>
      <c r="AH49" s="515"/>
      <c r="AI49" s="516"/>
      <c r="AJ49" s="516"/>
      <c r="AK49" s="516"/>
      <c r="AL49" s="516"/>
      <c r="AM49" s="51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25">
      <c r="A50" s="67"/>
      <c r="B50" s="67"/>
      <c r="C50" s="67"/>
      <c r="D50" s="67"/>
      <c r="E50" s="67"/>
      <c r="F50" s="67"/>
      <c r="G50" s="67"/>
      <c r="H50" s="67"/>
      <c r="I50" s="67"/>
      <c r="J50" s="515"/>
      <c r="K50" s="516"/>
      <c r="L50" s="516"/>
      <c r="M50" s="516"/>
      <c r="N50" s="516"/>
      <c r="O50" s="517"/>
      <c r="P50" s="515"/>
      <c r="Q50" s="516"/>
      <c r="R50" s="516"/>
      <c r="S50" s="516"/>
      <c r="T50" s="516"/>
      <c r="U50" s="517"/>
      <c r="V50" s="515"/>
      <c r="W50" s="516"/>
      <c r="X50" s="516"/>
      <c r="Y50" s="516"/>
      <c r="Z50" s="516"/>
      <c r="AA50" s="517"/>
      <c r="AB50" s="515"/>
      <c r="AC50" s="516"/>
      <c r="AD50" s="516"/>
      <c r="AE50" s="516"/>
      <c r="AF50" s="516"/>
      <c r="AG50" s="517"/>
      <c r="AH50" s="515"/>
      <c r="AI50" s="516"/>
      <c r="AJ50" s="516"/>
      <c r="AK50" s="516"/>
      <c r="AL50" s="516"/>
      <c r="AM50" s="51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75" thickBot="1" x14ac:dyDescent="0.3">
      <c r="A51" s="67"/>
      <c r="B51" s="67"/>
      <c r="C51" s="67"/>
      <c r="D51" s="67"/>
      <c r="E51" s="67"/>
      <c r="F51" s="67"/>
      <c r="G51" s="67"/>
      <c r="H51" s="67"/>
      <c r="I51" s="67"/>
      <c r="J51" s="518"/>
      <c r="K51" s="519"/>
      <c r="L51" s="519"/>
      <c r="M51" s="519"/>
      <c r="N51" s="519"/>
      <c r="O51" s="520"/>
      <c r="P51" s="518"/>
      <c r="Q51" s="519"/>
      <c r="R51" s="519"/>
      <c r="S51" s="519"/>
      <c r="T51" s="519"/>
      <c r="U51" s="520"/>
      <c r="V51" s="518"/>
      <c r="W51" s="519"/>
      <c r="X51" s="519"/>
      <c r="Y51" s="519"/>
      <c r="Z51" s="519"/>
      <c r="AA51" s="520"/>
      <c r="AB51" s="518"/>
      <c r="AC51" s="519"/>
      <c r="AD51" s="519"/>
      <c r="AE51" s="519"/>
      <c r="AF51" s="519"/>
      <c r="AG51" s="520"/>
      <c r="AH51" s="518"/>
      <c r="AI51" s="519"/>
      <c r="AJ51" s="519"/>
      <c r="AK51" s="519"/>
      <c r="AL51" s="519"/>
      <c r="AM51" s="520"/>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25">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25">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25">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25">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25">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25">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25">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25">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25">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25">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2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25">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25">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25">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25">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25">
      <c r="B137" s="67"/>
      <c r="C137" s="67"/>
      <c r="D137" s="67"/>
      <c r="E137" s="67"/>
      <c r="F137" s="67"/>
      <c r="G137" s="67"/>
      <c r="H137" s="67"/>
      <c r="I137" s="67"/>
    </row>
    <row r="138" spans="2:63" x14ac:dyDescent="0.25">
      <c r="B138" s="67"/>
      <c r="C138" s="67"/>
      <c r="D138" s="67"/>
      <c r="E138" s="67"/>
      <c r="F138" s="67"/>
      <c r="G138" s="67"/>
      <c r="H138" s="67"/>
      <c r="I138" s="67"/>
    </row>
    <row r="139" spans="2:63" x14ac:dyDescent="0.25">
      <c r="B139" s="67"/>
      <c r="C139" s="67"/>
      <c r="D139" s="67"/>
      <c r="E139" s="67"/>
      <c r="F139" s="67"/>
      <c r="G139" s="67"/>
      <c r="H139" s="67"/>
      <c r="I139" s="67"/>
    </row>
    <row r="140" spans="2:63" x14ac:dyDescent="0.25">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70" zoomScaleNormal="70" workbookViewId="0">
      <selection activeCell="V27" sqref="V2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25">
      <c r="A2" s="67"/>
      <c r="B2" s="585" t="s">
        <v>148</v>
      </c>
      <c r="C2" s="586"/>
      <c r="D2" s="586"/>
      <c r="E2" s="586"/>
      <c r="F2" s="586"/>
      <c r="G2" s="586"/>
      <c r="H2" s="586"/>
      <c r="I2" s="586"/>
      <c r="J2" s="527" t="s">
        <v>2</v>
      </c>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25">
      <c r="A3" s="67"/>
      <c r="B3" s="586"/>
      <c r="C3" s="586"/>
      <c r="D3" s="586"/>
      <c r="E3" s="586"/>
      <c r="F3" s="586"/>
      <c r="G3" s="586"/>
      <c r="H3" s="586"/>
      <c r="I3" s="586"/>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25">
      <c r="A4" s="67"/>
      <c r="B4" s="586"/>
      <c r="C4" s="586"/>
      <c r="D4" s="586"/>
      <c r="E4" s="586"/>
      <c r="F4" s="586"/>
      <c r="G4" s="586"/>
      <c r="H4" s="586"/>
      <c r="I4" s="586"/>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c r="AI4" s="527"/>
      <c r="AJ4" s="527"/>
      <c r="AK4" s="527"/>
      <c r="AL4" s="527"/>
      <c r="AM4" s="52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75" thickBot="1" x14ac:dyDescent="0.3">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25">
      <c r="A6" s="67"/>
      <c r="B6" s="474" t="s">
        <v>4</v>
      </c>
      <c r="C6" s="474"/>
      <c r="D6" s="475"/>
      <c r="E6" s="569" t="s">
        <v>110</v>
      </c>
      <c r="F6" s="570"/>
      <c r="G6" s="570"/>
      <c r="H6" s="570"/>
      <c r="I6" s="587"/>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7"/>
      <c r="AO6" s="576" t="s">
        <v>77</v>
      </c>
      <c r="AP6" s="577"/>
      <c r="AQ6" s="577"/>
      <c r="AR6" s="577"/>
      <c r="AS6" s="577"/>
      <c r="AT6" s="578"/>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25">
      <c r="A7" s="67"/>
      <c r="B7" s="474"/>
      <c r="C7" s="474"/>
      <c r="D7" s="475"/>
      <c r="E7" s="573"/>
      <c r="F7" s="572"/>
      <c r="G7" s="572"/>
      <c r="H7" s="572"/>
      <c r="I7" s="588"/>
      <c r="J7" s="36" t="str">
        <f>IF(AND('Mapa final'!$AB$13="Muy Alta",'Mapa final'!$AD$13="Leve"),CONCATENATE("R2C",'Mapa final'!$R$13),"")</f>
        <v/>
      </c>
      <c r="K7" s="37" t="str">
        <f>IF(AND('Mapa final'!$AB$14="Muy Alta",'Mapa final'!$AD$14="Leve"),CONCATENATE("R2C",'Mapa final'!$R$14),"")</f>
        <v/>
      </c>
      <c r="L7" s="37" t="e">
        <f>IF(AND('Mapa final'!#REF!="Muy Alta",'Mapa final'!#REF!="Leve"),CONCATENATE("R2C",'Mapa final'!#REF!),"")</f>
        <v>#REF!</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str">
        <f>IF(AND('Mapa final'!$AB$13="Muy Alta",'Mapa final'!$AD$13="Menor"),CONCATENATE("R2C",'Mapa final'!$R$13),"")</f>
        <v/>
      </c>
      <c r="Q7" s="37" t="str">
        <f>IF(AND('Mapa final'!$AB$14="Muy Alta",'Mapa final'!$AD$14="Menor"),CONCATENATE("R2C",'Mapa final'!$R$14),"")</f>
        <v/>
      </c>
      <c r="R7" s="37" t="e">
        <f>IF(AND('Mapa final'!#REF!="Muy Alta",'Mapa final'!#REF!="Menor"),CONCATENATE("R2C",'Mapa final'!#REF!),"")</f>
        <v>#REF!</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str">
        <f>IF(AND('Mapa final'!$AB$13="Muy Alta",'Mapa final'!$AD$13="Moderado"),CONCATENATE("R2C",'Mapa final'!$R$13),"")</f>
        <v/>
      </c>
      <c r="W7" s="37" t="str">
        <f>IF(AND('Mapa final'!$AB$14="Muy Alta",'Mapa final'!$AD$14="Moderado"),CONCATENATE("R2C",'Mapa final'!$R$14),"")</f>
        <v/>
      </c>
      <c r="X7" s="37" t="e">
        <f>IF(AND('Mapa final'!#REF!="Muy Alta",'Mapa final'!#REF!="Moderado"),CONCATENATE("R2C",'Mapa final'!#REF!),"")</f>
        <v>#REF!</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str">
        <f>IF(AND('Mapa final'!$AB$13="Muy Alta",'Mapa final'!$AD$13="Mayor"),CONCATENATE("R2C",'Mapa final'!$R$13),"")</f>
        <v/>
      </c>
      <c r="AC7" s="37" t="str">
        <f>IF(AND('Mapa final'!$AB$14="Muy Alta",'Mapa final'!$AD$14="Mayor"),CONCATENATE("R2C",'Mapa final'!$R$14),"")</f>
        <v/>
      </c>
      <c r="AD7" s="37" t="e">
        <f>IF(AND('Mapa final'!#REF!="Muy Alta",'Mapa final'!#REF!="Mayor"),CONCATENATE("R2C",'Mapa final'!#REF!),"")</f>
        <v>#REF!</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str">
        <f>IF(AND('Mapa final'!$AB$13="Muy Alta",'Mapa final'!$AD$13="Catastrófico"),CONCATENATE("R2C",'Mapa final'!$R$13),"")</f>
        <v/>
      </c>
      <c r="AI7" s="40" t="str">
        <f>IF(AND('Mapa final'!$AB$14="Muy Alta",'Mapa final'!$AD$14="Catastrófico"),CONCATENATE("R2C",'Mapa final'!$R$14),"")</f>
        <v/>
      </c>
      <c r="AJ7" s="40" t="e">
        <f>IF(AND('Mapa final'!#REF!="Muy Alta",'Mapa final'!#REF!="Catastrófico"),CONCATENATE("R2C",'Mapa final'!#REF!),"")</f>
        <v>#REF!</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7"/>
      <c r="AO7" s="579"/>
      <c r="AP7" s="580"/>
      <c r="AQ7" s="580"/>
      <c r="AR7" s="580"/>
      <c r="AS7" s="580"/>
      <c r="AT7" s="581"/>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25">
      <c r="A8" s="67"/>
      <c r="B8" s="474"/>
      <c r="C8" s="474"/>
      <c r="D8" s="475"/>
      <c r="E8" s="573"/>
      <c r="F8" s="572"/>
      <c r="G8" s="572"/>
      <c r="H8" s="572"/>
      <c r="I8" s="588"/>
      <c r="J8" s="36" t="str">
        <f>IF(AND('Mapa final'!$AB$15="Muy Alta",'Mapa final'!$AD$15="Leve"),CONCATENATE("R3C",'Mapa final'!$R$15),"")</f>
        <v/>
      </c>
      <c r="K8" s="37" t="str">
        <f>IF(AND('Mapa final'!$AB$16="Muy Alta",'Mapa final'!$AD$16="Leve"),CONCATENATE("R3C",'Mapa final'!$R$16),"")</f>
        <v/>
      </c>
      <c r="L8" s="37" t="e">
        <f>IF(AND('Mapa final'!#REF!="Muy Alta",'Mapa final'!#REF!="Leve"),CONCATENATE("R3C",'Mapa final'!#REF!),"")</f>
        <v>#REF!</v>
      </c>
      <c r="M8" s="37" t="e">
        <f>IF(AND('Mapa final'!#REF!="Muy Alta",'Mapa final'!#REF!="Leve"),CONCATENATE("R3C",'Mapa final'!#REF!),"")</f>
        <v>#REF!</v>
      </c>
      <c r="N8" s="37" t="e">
        <f>IF(AND('Mapa final'!#REF!="Muy Alta",'Mapa final'!#REF!="Leve"),CONCATENATE("R3C",'Mapa final'!#REF!),"")</f>
        <v>#REF!</v>
      </c>
      <c r="O8" s="38" t="e">
        <f>IF(AND('Mapa final'!#REF!="Muy Alta",'Mapa final'!#REF!="Leve"),CONCATENATE("R3C",'Mapa final'!#REF!),"")</f>
        <v>#REF!</v>
      </c>
      <c r="P8" s="36" t="str">
        <f>IF(AND('Mapa final'!$AB$15="Muy Alta",'Mapa final'!$AD$15="Menor"),CONCATENATE("R3C",'Mapa final'!$R$15),"")</f>
        <v/>
      </c>
      <c r="Q8" s="37" t="str">
        <f>IF(AND('Mapa final'!$AB$16="Muy Alta",'Mapa final'!$AD$16="Menor"),CONCATENATE("R3C",'Mapa final'!$R$16),"")</f>
        <v/>
      </c>
      <c r="R8" s="37" t="e">
        <f>IF(AND('Mapa final'!#REF!="Muy Alta",'Mapa final'!#REF!="Menor"),CONCATENATE("R3C",'Mapa final'!#REF!),"")</f>
        <v>#REF!</v>
      </c>
      <c r="S8" s="37" t="e">
        <f>IF(AND('Mapa final'!#REF!="Muy Alta",'Mapa final'!#REF!="Menor"),CONCATENATE("R3C",'Mapa final'!#REF!),"")</f>
        <v>#REF!</v>
      </c>
      <c r="T8" s="37" t="e">
        <f>IF(AND('Mapa final'!#REF!="Muy Alta",'Mapa final'!#REF!="Menor"),CONCATENATE("R3C",'Mapa final'!#REF!),"")</f>
        <v>#REF!</v>
      </c>
      <c r="U8" s="38" t="e">
        <f>IF(AND('Mapa final'!#REF!="Muy Alta",'Mapa final'!#REF!="Menor"),CONCATENATE("R3C",'Mapa final'!#REF!),"")</f>
        <v>#REF!</v>
      </c>
      <c r="V8" s="36" t="str">
        <f>IF(AND('Mapa final'!$AB$15="Muy Alta",'Mapa final'!$AD$15="Moderado"),CONCATENATE("R3C",'Mapa final'!$R$15),"")</f>
        <v/>
      </c>
      <c r="W8" s="37" t="str">
        <f>IF(AND('Mapa final'!$AB$16="Muy Alta",'Mapa final'!$AD$16="Moderado"),CONCATENATE("R3C",'Mapa final'!$R$16),"")</f>
        <v/>
      </c>
      <c r="X8" s="37" t="e">
        <f>IF(AND('Mapa final'!#REF!="Muy Alta",'Mapa final'!#REF!="Moderado"),CONCATENATE("R3C",'Mapa final'!#REF!),"")</f>
        <v>#REF!</v>
      </c>
      <c r="Y8" s="37" t="e">
        <f>IF(AND('Mapa final'!#REF!="Muy Alta",'Mapa final'!#REF!="Moderado"),CONCATENATE("R3C",'Mapa final'!#REF!),"")</f>
        <v>#REF!</v>
      </c>
      <c r="Z8" s="37" t="e">
        <f>IF(AND('Mapa final'!#REF!="Muy Alta",'Mapa final'!#REF!="Moderado"),CONCATENATE("R3C",'Mapa final'!#REF!),"")</f>
        <v>#REF!</v>
      </c>
      <c r="AA8" s="38" t="e">
        <f>IF(AND('Mapa final'!#REF!="Muy Alta",'Mapa final'!#REF!="Moderado"),CONCATENATE("R3C",'Mapa final'!#REF!),"")</f>
        <v>#REF!</v>
      </c>
      <c r="AB8" s="36" t="str">
        <f>IF(AND('Mapa final'!$AB$15="Muy Alta",'Mapa final'!$AD$15="Mayor"),CONCATENATE("R3C",'Mapa final'!$R$15),"")</f>
        <v/>
      </c>
      <c r="AC8" s="37" t="str">
        <f>IF(AND('Mapa final'!$AB$16="Muy Alta",'Mapa final'!$AD$16="Mayor"),CONCATENATE("R3C",'Mapa final'!$R$16),"")</f>
        <v/>
      </c>
      <c r="AD8" s="37" t="e">
        <f>IF(AND('Mapa final'!#REF!="Muy Alta",'Mapa final'!#REF!="Mayor"),CONCATENATE("R3C",'Mapa final'!#REF!),"")</f>
        <v>#REF!</v>
      </c>
      <c r="AE8" s="37" t="e">
        <f>IF(AND('Mapa final'!#REF!="Muy Alta",'Mapa final'!#REF!="Mayor"),CONCATENATE("R3C",'Mapa final'!#REF!),"")</f>
        <v>#REF!</v>
      </c>
      <c r="AF8" s="37" t="e">
        <f>IF(AND('Mapa final'!#REF!="Muy Alta",'Mapa final'!#REF!="Mayor"),CONCATENATE("R3C",'Mapa final'!#REF!),"")</f>
        <v>#REF!</v>
      </c>
      <c r="AG8" s="38" t="e">
        <f>IF(AND('Mapa final'!#REF!="Muy Alta",'Mapa final'!#REF!="Mayor"),CONCATENATE("R3C",'Mapa final'!#REF!),"")</f>
        <v>#REF!</v>
      </c>
      <c r="AH8" s="39" t="str">
        <f>IF(AND('Mapa final'!$AB$15="Muy Alta",'Mapa final'!$AD$15="Catastrófico"),CONCATENATE("R3C",'Mapa final'!$R$15),"")</f>
        <v/>
      </c>
      <c r="AI8" s="40" t="str">
        <f>IF(AND('Mapa final'!$AB$16="Muy Alta",'Mapa final'!$AD$16="Catastrófico"),CONCATENATE("R3C",'Mapa final'!$R$16),"")</f>
        <v/>
      </c>
      <c r="AJ8" s="40" t="e">
        <f>IF(AND('Mapa final'!#REF!="Muy Alta",'Mapa final'!#REF!="Catastrófico"),CONCATENATE("R3C",'Mapa final'!#REF!),"")</f>
        <v>#REF!</v>
      </c>
      <c r="AK8" s="40" t="e">
        <f>IF(AND('Mapa final'!#REF!="Muy Alta",'Mapa final'!#REF!="Catastrófico"),CONCATENATE("R3C",'Mapa final'!#REF!),"")</f>
        <v>#REF!</v>
      </c>
      <c r="AL8" s="40" t="e">
        <f>IF(AND('Mapa final'!#REF!="Muy Alta",'Mapa final'!#REF!="Catastrófico"),CONCATENATE("R3C",'Mapa final'!#REF!),"")</f>
        <v>#REF!</v>
      </c>
      <c r="AM8" s="41" t="e">
        <f>IF(AND('Mapa final'!#REF!="Muy Alta",'Mapa final'!#REF!="Catastrófico"),CONCATENATE("R3C",'Mapa final'!#REF!),"")</f>
        <v>#REF!</v>
      </c>
      <c r="AN8" s="67"/>
      <c r="AO8" s="579"/>
      <c r="AP8" s="580"/>
      <c r="AQ8" s="580"/>
      <c r="AR8" s="580"/>
      <c r="AS8" s="580"/>
      <c r="AT8" s="581"/>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25">
      <c r="A9" s="67"/>
      <c r="B9" s="474"/>
      <c r="C9" s="474"/>
      <c r="D9" s="475"/>
      <c r="E9" s="573"/>
      <c r="F9" s="572"/>
      <c r="G9" s="572"/>
      <c r="H9" s="572"/>
      <c r="I9" s="588"/>
      <c r="J9" s="36" t="e">
        <f>IF(AND('Mapa final'!#REF!="Muy Alta",'Mapa final'!#REF!="Leve"),CONCATENATE("R4C",'Mapa final'!#REF!),"")</f>
        <v>#REF!</v>
      </c>
      <c r="K9" s="37" t="e">
        <f>IF(AND('Mapa final'!#REF!="Muy Alta",'Mapa final'!#REF!="Leve"),CONCATENATE("R4C",'Mapa final'!#REF!),"")</f>
        <v>#REF!</v>
      </c>
      <c r="L9" s="37" t="e">
        <f>IF(AND('Mapa final'!#REF!="Muy Alta",'Mapa final'!#REF!="Leve"),CONCATENATE("R4C",'Mapa final'!#REF!),"")</f>
        <v>#REF!</v>
      </c>
      <c r="M9" s="37" t="e">
        <f>IF(AND('Mapa final'!#REF!="Muy Alta",'Mapa final'!#REF!="Leve"),CONCATENATE("R4C",'Mapa final'!#REF!),"")</f>
        <v>#REF!</v>
      </c>
      <c r="N9" s="37" t="e">
        <f>IF(AND('Mapa final'!#REF!="Muy Alta",'Mapa final'!#REF!="Leve"),CONCATENATE("R4C",'Mapa final'!#REF!),"")</f>
        <v>#REF!</v>
      </c>
      <c r="O9" s="38" t="e">
        <f>IF(AND('Mapa final'!#REF!="Muy Alta",'Mapa final'!#REF!="Leve"),CONCATENATE("R4C",'Mapa final'!#REF!),"")</f>
        <v>#REF!</v>
      </c>
      <c r="P9" s="36" t="e">
        <f>IF(AND('Mapa final'!#REF!="Muy Alta",'Mapa final'!#REF!="Menor"),CONCATENATE("R4C",'Mapa final'!#REF!),"")</f>
        <v>#REF!</v>
      </c>
      <c r="Q9" s="37" t="e">
        <f>IF(AND('Mapa final'!#REF!="Muy Alta",'Mapa final'!#REF!="Menor"),CONCATENATE("R4C",'Mapa final'!#REF!),"")</f>
        <v>#REF!</v>
      </c>
      <c r="R9" s="37" t="e">
        <f>IF(AND('Mapa final'!#REF!="Muy Alta",'Mapa final'!#REF!="Menor"),CONCATENATE("R4C",'Mapa final'!#REF!),"")</f>
        <v>#REF!</v>
      </c>
      <c r="S9" s="37" t="e">
        <f>IF(AND('Mapa final'!#REF!="Muy Alta",'Mapa final'!#REF!="Menor"),CONCATENATE("R4C",'Mapa final'!#REF!),"")</f>
        <v>#REF!</v>
      </c>
      <c r="T9" s="37" t="e">
        <f>IF(AND('Mapa final'!#REF!="Muy Alta",'Mapa final'!#REF!="Menor"),CONCATENATE("R4C",'Mapa final'!#REF!),"")</f>
        <v>#REF!</v>
      </c>
      <c r="U9" s="38" t="e">
        <f>IF(AND('Mapa final'!#REF!="Muy Alta",'Mapa final'!#REF!="Menor"),CONCATENATE("R4C",'Mapa final'!#REF!),"")</f>
        <v>#REF!</v>
      </c>
      <c r="V9" s="36" t="e">
        <f>IF(AND('Mapa final'!#REF!="Muy Alta",'Mapa final'!#REF!="Moderado"),CONCATENATE("R4C",'Mapa final'!#REF!),"")</f>
        <v>#REF!</v>
      </c>
      <c r="W9" s="37" t="e">
        <f>IF(AND('Mapa final'!#REF!="Muy Alta",'Mapa final'!#REF!="Moderado"),CONCATENATE("R4C",'Mapa final'!#REF!),"")</f>
        <v>#REF!</v>
      </c>
      <c r="X9" s="37" t="e">
        <f>IF(AND('Mapa final'!#REF!="Muy Alta",'Mapa final'!#REF!="Moderado"),CONCATENATE("R4C",'Mapa final'!#REF!),"")</f>
        <v>#REF!</v>
      </c>
      <c r="Y9" s="37" t="e">
        <f>IF(AND('Mapa final'!#REF!="Muy Alta",'Mapa final'!#REF!="Moderado"),CONCATENATE("R4C",'Mapa final'!#REF!),"")</f>
        <v>#REF!</v>
      </c>
      <c r="Z9" s="37" t="e">
        <f>IF(AND('Mapa final'!#REF!="Muy Alta",'Mapa final'!#REF!="Moderado"),CONCATENATE("R4C",'Mapa final'!#REF!),"")</f>
        <v>#REF!</v>
      </c>
      <c r="AA9" s="38" t="e">
        <f>IF(AND('Mapa final'!#REF!="Muy Alta",'Mapa final'!#REF!="Moderado"),CONCATENATE("R4C",'Mapa final'!#REF!),"")</f>
        <v>#REF!</v>
      </c>
      <c r="AB9" s="36" t="e">
        <f>IF(AND('Mapa final'!#REF!="Muy Alta",'Mapa final'!#REF!="Mayor"),CONCATENATE("R4C",'Mapa final'!#REF!),"")</f>
        <v>#REF!</v>
      </c>
      <c r="AC9" s="37" t="e">
        <f>IF(AND('Mapa final'!#REF!="Muy Alta",'Mapa final'!#REF!="Mayor"),CONCATENATE("R4C",'Mapa final'!#REF!),"")</f>
        <v>#REF!</v>
      </c>
      <c r="AD9" s="37" t="e">
        <f>IF(AND('Mapa final'!#REF!="Muy Alta",'Mapa final'!#REF!="Mayor"),CONCATENATE("R4C",'Mapa final'!#REF!),"")</f>
        <v>#REF!</v>
      </c>
      <c r="AE9" s="37" t="e">
        <f>IF(AND('Mapa final'!#REF!="Muy Alta",'Mapa final'!#REF!="Mayor"),CONCATENATE("R4C",'Mapa final'!#REF!),"")</f>
        <v>#REF!</v>
      </c>
      <c r="AF9" s="37" t="e">
        <f>IF(AND('Mapa final'!#REF!="Muy Alta",'Mapa final'!#REF!="Mayor"),CONCATENATE("R4C",'Mapa final'!#REF!),"")</f>
        <v>#REF!</v>
      </c>
      <c r="AG9" s="38" t="e">
        <f>IF(AND('Mapa final'!#REF!="Muy Alta",'Mapa final'!#REF!="Mayor"),CONCATENATE("R4C",'Mapa final'!#REF!),"")</f>
        <v>#REF!</v>
      </c>
      <c r="AH9" s="39" t="e">
        <f>IF(AND('Mapa final'!#REF!="Muy Alta",'Mapa final'!#REF!="Catastrófico"),CONCATENATE("R4C",'Mapa final'!#REF!),"")</f>
        <v>#REF!</v>
      </c>
      <c r="AI9" s="40" t="e">
        <f>IF(AND('Mapa final'!#REF!="Muy Alta",'Mapa final'!#REF!="Catastrófico"),CONCATENATE("R4C",'Mapa final'!#REF!),"")</f>
        <v>#REF!</v>
      </c>
      <c r="AJ9" s="40" t="e">
        <f>IF(AND('Mapa final'!#REF!="Muy Alta",'Mapa final'!#REF!="Catastrófico"),CONCATENATE("R4C",'Mapa final'!#REF!),"")</f>
        <v>#REF!</v>
      </c>
      <c r="AK9" s="40" t="e">
        <f>IF(AND('Mapa final'!#REF!="Muy Alta",'Mapa final'!#REF!="Catastrófico"),CONCATENATE("R4C",'Mapa final'!#REF!),"")</f>
        <v>#REF!</v>
      </c>
      <c r="AL9" s="40" t="e">
        <f>IF(AND('Mapa final'!#REF!="Muy Alta",'Mapa final'!#REF!="Catastrófico"),CONCATENATE("R4C",'Mapa final'!#REF!),"")</f>
        <v>#REF!</v>
      </c>
      <c r="AM9" s="41" t="e">
        <f>IF(AND('Mapa final'!#REF!="Muy Alta",'Mapa final'!#REF!="Catastrófico"),CONCATENATE("R4C",'Mapa final'!#REF!),"")</f>
        <v>#REF!</v>
      </c>
      <c r="AN9" s="67"/>
      <c r="AO9" s="579"/>
      <c r="AP9" s="580"/>
      <c r="AQ9" s="580"/>
      <c r="AR9" s="580"/>
      <c r="AS9" s="580"/>
      <c r="AT9" s="581"/>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25">
      <c r="A10" s="67"/>
      <c r="B10" s="474"/>
      <c r="C10" s="474"/>
      <c r="D10" s="475"/>
      <c r="E10" s="573"/>
      <c r="F10" s="572"/>
      <c r="G10" s="572"/>
      <c r="H10" s="572"/>
      <c r="I10" s="588"/>
      <c r="J10" s="36" t="e">
        <f>IF(AND('Mapa final'!#REF!="Muy Alta",'Mapa final'!#REF!="Leve"),CONCATENATE("R5C",'Mapa final'!#REF!),"")</f>
        <v>#REF!</v>
      </c>
      <c r="K10" s="37" t="e">
        <f>IF(AND('Mapa final'!#REF!="Muy Alta",'Mapa final'!#REF!="Leve"),CONCATENATE("R5C",'Mapa final'!#REF!),"")</f>
        <v>#REF!</v>
      </c>
      <c r="L10" s="37" t="e">
        <f>IF(AND('Mapa final'!#REF!="Muy Alta",'Mapa final'!#REF!="Leve"),CONCATENATE("R5C",'Mapa final'!#REF!),"")</f>
        <v>#REF!</v>
      </c>
      <c r="M10" s="37" t="e">
        <f>IF(AND('Mapa final'!#REF!="Muy Alta",'Mapa final'!#REF!="Leve"),CONCATENATE("R5C",'Mapa final'!#REF!),"")</f>
        <v>#REF!</v>
      </c>
      <c r="N10" s="37" t="e">
        <f>IF(AND('Mapa final'!#REF!="Muy Alta",'Mapa final'!#REF!="Leve"),CONCATENATE("R5C",'Mapa final'!#REF!),"")</f>
        <v>#REF!</v>
      </c>
      <c r="O10" s="38" t="e">
        <f>IF(AND('Mapa final'!#REF!="Muy Alta",'Mapa final'!#REF!="Leve"),CONCATENATE("R5C",'Mapa final'!#REF!),"")</f>
        <v>#REF!</v>
      </c>
      <c r="P10" s="36" t="e">
        <f>IF(AND('Mapa final'!#REF!="Muy Alta",'Mapa final'!#REF!="Menor"),CONCATENATE("R5C",'Mapa final'!#REF!),"")</f>
        <v>#REF!</v>
      </c>
      <c r="Q10" s="37" t="e">
        <f>IF(AND('Mapa final'!#REF!="Muy Alta",'Mapa final'!#REF!="Menor"),CONCATENATE("R5C",'Mapa final'!#REF!),"")</f>
        <v>#REF!</v>
      </c>
      <c r="R10" s="37" t="e">
        <f>IF(AND('Mapa final'!#REF!="Muy Alta",'Mapa final'!#REF!="Menor"),CONCATENATE("R5C",'Mapa final'!#REF!),"")</f>
        <v>#REF!</v>
      </c>
      <c r="S10" s="37" t="e">
        <f>IF(AND('Mapa final'!#REF!="Muy Alta",'Mapa final'!#REF!="Menor"),CONCATENATE("R5C",'Mapa final'!#REF!),"")</f>
        <v>#REF!</v>
      </c>
      <c r="T10" s="37" t="e">
        <f>IF(AND('Mapa final'!#REF!="Muy Alta",'Mapa final'!#REF!="Menor"),CONCATENATE("R5C",'Mapa final'!#REF!),"")</f>
        <v>#REF!</v>
      </c>
      <c r="U10" s="38" t="e">
        <f>IF(AND('Mapa final'!#REF!="Muy Alta",'Mapa final'!#REF!="Menor"),CONCATENATE("R5C",'Mapa final'!#REF!),"")</f>
        <v>#REF!</v>
      </c>
      <c r="V10" s="36" t="e">
        <f>IF(AND('Mapa final'!#REF!="Muy Alta",'Mapa final'!#REF!="Moderado"),CONCATENATE("R5C",'Mapa final'!#REF!),"")</f>
        <v>#REF!</v>
      </c>
      <c r="W10" s="37" t="e">
        <f>IF(AND('Mapa final'!#REF!="Muy Alta",'Mapa final'!#REF!="Moderado"),CONCATENATE("R5C",'Mapa final'!#REF!),"")</f>
        <v>#REF!</v>
      </c>
      <c r="X10" s="37" t="e">
        <f>IF(AND('Mapa final'!#REF!="Muy Alta",'Mapa final'!#REF!="Moderado"),CONCATENATE("R5C",'Mapa final'!#REF!),"")</f>
        <v>#REF!</v>
      </c>
      <c r="Y10" s="37" t="e">
        <f>IF(AND('Mapa final'!#REF!="Muy Alta",'Mapa final'!#REF!="Moderado"),CONCATENATE("R5C",'Mapa final'!#REF!),"")</f>
        <v>#REF!</v>
      </c>
      <c r="Z10" s="37" t="e">
        <f>IF(AND('Mapa final'!#REF!="Muy Alta",'Mapa final'!#REF!="Moderado"),CONCATENATE("R5C",'Mapa final'!#REF!),"")</f>
        <v>#REF!</v>
      </c>
      <c r="AA10" s="38" t="e">
        <f>IF(AND('Mapa final'!#REF!="Muy Alta",'Mapa final'!#REF!="Moderado"),CONCATENATE("R5C",'Mapa final'!#REF!),"")</f>
        <v>#REF!</v>
      </c>
      <c r="AB10" s="36" t="e">
        <f>IF(AND('Mapa final'!#REF!="Muy Alta",'Mapa final'!#REF!="Mayor"),CONCATENATE("R5C",'Mapa final'!#REF!),"")</f>
        <v>#REF!</v>
      </c>
      <c r="AC10" s="37" t="e">
        <f>IF(AND('Mapa final'!#REF!="Muy Alta",'Mapa final'!#REF!="Mayor"),CONCATENATE("R5C",'Mapa final'!#REF!),"")</f>
        <v>#REF!</v>
      </c>
      <c r="AD10" s="37" t="e">
        <f>IF(AND('Mapa final'!#REF!="Muy Alta",'Mapa final'!#REF!="Mayor"),CONCATENATE("R5C",'Mapa final'!#REF!),"")</f>
        <v>#REF!</v>
      </c>
      <c r="AE10" s="37" t="e">
        <f>IF(AND('Mapa final'!#REF!="Muy Alta",'Mapa final'!#REF!="Mayor"),CONCATENATE("R5C",'Mapa final'!#REF!),"")</f>
        <v>#REF!</v>
      </c>
      <c r="AF10" s="37" t="e">
        <f>IF(AND('Mapa final'!#REF!="Muy Alta",'Mapa final'!#REF!="Mayor"),CONCATENATE("R5C",'Mapa final'!#REF!),"")</f>
        <v>#REF!</v>
      </c>
      <c r="AG10" s="38" t="e">
        <f>IF(AND('Mapa final'!#REF!="Muy Alta",'Mapa final'!#REF!="Mayor"),CONCATENATE("R5C",'Mapa final'!#REF!),"")</f>
        <v>#REF!</v>
      </c>
      <c r="AH10" s="39" t="e">
        <f>IF(AND('Mapa final'!#REF!="Muy Alta",'Mapa final'!#REF!="Catastrófico"),CONCATENATE("R5C",'Mapa final'!#REF!),"")</f>
        <v>#REF!</v>
      </c>
      <c r="AI10" s="40" t="e">
        <f>IF(AND('Mapa final'!#REF!="Muy Alta",'Mapa final'!#REF!="Catastrófico"),CONCATENATE("R5C",'Mapa final'!#REF!),"")</f>
        <v>#REF!</v>
      </c>
      <c r="AJ10" s="40" t="e">
        <f>IF(AND('Mapa final'!#REF!="Muy Alta",'Mapa final'!#REF!="Catastrófico"),CONCATENATE("R5C",'Mapa final'!#REF!),"")</f>
        <v>#REF!</v>
      </c>
      <c r="AK10" s="40" t="e">
        <f>IF(AND('Mapa final'!#REF!="Muy Alta",'Mapa final'!#REF!="Catastrófico"),CONCATENATE("R5C",'Mapa final'!#REF!),"")</f>
        <v>#REF!</v>
      </c>
      <c r="AL10" s="40" t="e">
        <f>IF(AND('Mapa final'!#REF!="Muy Alta",'Mapa final'!#REF!="Catastrófico"),CONCATENATE("R5C",'Mapa final'!#REF!),"")</f>
        <v>#REF!</v>
      </c>
      <c r="AM10" s="41" t="e">
        <f>IF(AND('Mapa final'!#REF!="Muy Alta",'Mapa final'!#REF!="Catastrófico"),CONCATENATE("R5C",'Mapa final'!#REF!),"")</f>
        <v>#REF!</v>
      </c>
      <c r="AN10" s="67"/>
      <c r="AO10" s="579"/>
      <c r="AP10" s="580"/>
      <c r="AQ10" s="580"/>
      <c r="AR10" s="580"/>
      <c r="AS10" s="580"/>
      <c r="AT10" s="581"/>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25">
      <c r="A11" s="67"/>
      <c r="B11" s="474"/>
      <c r="C11" s="474"/>
      <c r="D11" s="475"/>
      <c r="E11" s="573"/>
      <c r="F11" s="572"/>
      <c r="G11" s="572"/>
      <c r="H11" s="572"/>
      <c r="I11" s="588"/>
      <c r="J11" s="36" t="e">
        <f>IF(AND('Mapa final'!#REF!="Muy Alta",'Mapa final'!#REF!="Leve"),CONCATENATE("R6C",'Mapa final'!#REF!),"")</f>
        <v>#REF!</v>
      </c>
      <c r="K11" s="37" t="e">
        <f>IF(AND('Mapa final'!#REF!="Muy Alta",'Mapa final'!#REF!="Leve"),CONCATENATE("R6C",'Mapa final'!#REF!),"")</f>
        <v>#REF!</v>
      </c>
      <c r="L11" s="37" t="e">
        <f>IF(AND('Mapa final'!#REF!="Muy Alta",'Mapa final'!#REF!="Leve"),CONCATENATE("R6C",'Mapa final'!#REF!),"")</f>
        <v>#REF!</v>
      </c>
      <c r="M11" s="37" t="e">
        <f>IF(AND('Mapa final'!#REF!="Muy Alta",'Mapa final'!#REF!="Leve"),CONCATENATE("R6C",'Mapa final'!#REF!),"")</f>
        <v>#REF!</v>
      </c>
      <c r="N11" s="37" t="e">
        <f>IF(AND('Mapa final'!#REF!="Muy Alta",'Mapa final'!#REF!="Leve"),CONCATENATE("R6C",'Mapa final'!#REF!),"")</f>
        <v>#REF!</v>
      </c>
      <c r="O11" s="38" t="e">
        <f>IF(AND('Mapa final'!#REF!="Muy Alta",'Mapa final'!#REF!="Leve"),CONCATENATE("R6C",'Mapa final'!#REF!),"")</f>
        <v>#REF!</v>
      </c>
      <c r="P11" s="36" t="e">
        <f>IF(AND('Mapa final'!#REF!="Muy Alta",'Mapa final'!#REF!="Menor"),CONCATENATE("R6C",'Mapa final'!#REF!),"")</f>
        <v>#REF!</v>
      </c>
      <c r="Q11" s="37" t="e">
        <f>IF(AND('Mapa final'!#REF!="Muy Alta",'Mapa final'!#REF!="Menor"),CONCATENATE("R6C",'Mapa final'!#REF!),"")</f>
        <v>#REF!</v>
      </c>
      <c r="R11" s="37" t="e">
        <f>IF(AND('Mapa final'!#REF!="Muy Alta",'Mapa final'!#REF!="Menor"),CONCATENATE("R6C",'Mapa final'!#REF!),"")</f>
        <v>#REF!</v>
      </c>
      <c r="S11" s="37" t="e">
        <f>IF(AND('Mapa final'!#REF!="Muy Alta",'Mapa final'!#REF!="Menor"),CONCATENATE("R6C",'Mapa final'!#REF!),"")</f>
        <v>#REF!</v>
      </c>
      <c r="T11" s="37" t="e">
        <f>IF(AND('Mapa final'!#REF!="Muy Alta",'Mapa final'!#REF!="Menor"),CONCATENATE("R6C",'Mapa final'!#REF!),"")</f>
        <v>#REF!</v>
      </c>
      <c r="U11" s="38" t="e">
        <f>IF(AND('Mapa final'!#REF!="Muy Alta",'Mapa final'!#REF!="Menor"),CONCATENATE("R6C",'Mapa final'!#REF!),"")</f>
        <v>#REF!</v>
      </c>
      <c r="V11" s="36" t="e">
        <f>IF(AND('Mapa final'!#REF!="Muy Alta",'Mapa final'!#REF!="Moderado"),CONCATENATE("R6C",'Mapa final'!#REF!),"")</f>
        <v>#REF!</v>
      </c>
      <c r="W11" s="37" t="e">
        <f>IF(AND('Mapa final'!#REF!="Muy Alta",'Mapa final'!#REF!="Moderado"),CONCATENATE("R6C",'Mapa final'!#REF!),"")</f>
        <v>#REF!</v>
      </c>
      <c r="X11" s="37" t="e">
        <f>IF(AND('Mapa final'!#REF!="Muy Alta",'Mapa final'!#REF!="Moderado"),CONCATENATE("R6C",'Mapa final'!#REF!),"")</f>
        <v>#REF!</v>
      </c>
      <c r="Y11" s="37" t="e">
        <f>IF(AND('Mapa final'!#REF!="Muy Alta",'Mapa final'!#REF!="Moderado"),CONCATENATE("R6C",'Mapa final'!#REF!),"")</f>
        <v>#REF!</v>
      </c>
      <c r="Z11" s="37" t="e">
        <f>IF(AND('Mapa final'!#REF!="Muy Alta",'Mapa final'!#REF!="Moderado"),CONCATENATE("R6C",'Mapa final'!#REF!),"")</f>
        <v>#REF!</v>
      </c>
      <c r="AA11" s="38" t="e">
        <f>IF(AND('Mapa final'!#REF!="Muy Alta",'Mapa final'!#REF!="Moderado"),CONCATENATE("R6C",'Mapa final'!#REF!),"")</f>
        <v>#REF!</v>
      </c>
      <c r="AB11" s="36" t="e">
        <f>IF(AND('Mapa final'!#REF!="Muy Alta",'Mapa final'!#REF!="Mayor"),CONCATENATE("R6C",'Mapa final'!#REF!),"")</f>
        <v>#REF!</v>
      </c>
      <c r="AC11" s="37" t="e">
        <f>IF(AND('Mapa final'!#REF!="Muy Alta",'Mapa final'!#REF!="Mayor"),CONCATENATE("R6C",'Mapa final'!#REF!),"")</f>
        <v>#REF!</v>
      </c>
      <c r="AD11" s="37" t="e">
        <f>IF(AND('Mapa final'!#REF!="Muy Alta",'Mapa final'!#REF!="Mayor"),CONCATENATE("R6C",'Mapa final'!#REF!),"")</f>
        <v>#REF!</v>
      </c>
      <c r="AE11" s="37" t="e">
        <f>IF(AND('Mapa final'!#REF!="Muy Alta",'Mapa final'!#REF!="Mayor"),CONCATENATE("R6C",'Mapa final'!#REF!),"")</f>
        <v>#REF!</v>
      </c>
      <c r="AF11" s="37" t="e">
        <f>IF(AND('Mapa final'!#REF!="Muy Alta",'Mapa final'!#REF!="Mayor"),CONCATENATE("R6C",'Mapa final'!#REF!),"")</f>
        <v>#REF!</v>
      </c>
      <c r="AG11" s="38" t="e">
        <f>IF(AND('Mapa final'!#REF!="Muy Alta",'Mapa final'!#REF!="Mayor"),CONCATENATE("R6C",'Mapa final'!#REF!),"")</f>
        <v>#REF!</v>
      </c>
      <c r="AH11" s="39" t="e">
        <f>IF(AND('Mapa final'!#REF!="Muy Alta",'Mapa final'!#REF!="Catastrófico"),CONCATENATE("R6C",'Mapa final'!#REF!),"")</f>
        <v>#REF!</v>
      </c>
      <c r="AI11" s="40" t="e">
        <f>IF(AND('Mapa final'!#REF!="Muy Alta",'Mapa final'!#REF!="Catastrófico"),CONCATENATE("R6C",'Mapa final'!#REF!),"")</f>
        <v>#REF!</v>
      </c>
      <c r="AJ11" s="40" t="e">
        <f>IF(AND('Mapa final'!#REF!="Muy Alta",'Mapa final'!#REF!="Catastrófico"),CONCATENATE("R6C",'Mapa final'!#REF!),"")</f>
        <v>#REF!</v>
      </c>
      <c r="AK11" s="40" t="e">
        <f>IF(AND('Mapa final'!#REF!="Muy Alta",'Mapa final'!#REF!="Catastrófico"),CONCATENATE("R6C",'Mapa final'!#REF!),"")</f>
        <v>#REF!</v>
      </c>
      <c r="AL11" s="40" t="e">
        <f>IF(AND('Mapa final'!#REF!="Muy Alta",'Mapa final'!#REF!="Catastrófico"),CONCATENATE("R6C",'Mapa final'!#REF!),"")</f>
        <v>#REF!</v>
      </c>
      <c r="AM11" s="41" t="e">
        <f>IF(AND('Mapa final'!#REF!="Muy Alta",'Mapa final'!#REF!="Catastrófico"),CONCATENATE("R6C",'Mapa final'!#REF!),"")</f>
        <v>#REF!</v>
      </c>
      <c r="AN11" s="67"/>
      <c r="AO11" s="579"/>
      <c r="AP11" s="580"/>
      <c r="AQ11" s="580"/>
      <c r="AR11" s="580"/>
      <c r="AS11" s="580"/>
      <c r="AT11" s="581"/>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25">
      <c r="A12" s="67"/>
      <c r="B12" s="474"/>
      <c r="C12" s="474"/>
      <c r="D12" s="475"/>
      <c r="E12" s="573"/>
      <c r="F12" s="572"/>
      <c r="G12" s="572"/>
      <c r="H12" s="572"/>
      <c r="I12" s="588"/>
      <c r="J12" s="36" t="e">
        <f>IF(AND('Mapa final'!#REF!="Muy Alta",'Mapa final'!#REF!="Leve"),CONCATENATE("R7C",'Mapa final'!#REF!),"")</f>
        <v>#REF!</v>
      </c>
      <c r="K12" s="37" t="e">
        <f>IF(AND('Mapa final'!#REF!="Muy Alta",'Mapa final'!#REF!="Leve"),CONCATENATE("R7C",'Mapa final'!#REF!),"")</f>
        <v>#REF!</v>
      </c>
      <c r="L12" s="37" t="e">
        <f>IF(AND('Mapa final'!#REF!="Muy Alta",'Mapa final'!#REF!="Leve"),CONCATENATE("R7C",'Mapa final'!#REF!),"")</f>
        <v>#REF!</v>
      </c>
      <c r="M12" s="37" t="e">
        <f>IF(AND('Mapa final'!#REF!="Muy Alta",'Mapa final'!#REF!="Leve"),CONCATENATE("R7C",'Mapa final'!#REF!),"")</f>
        <v>#REF!</v>
      </c>
      <c r="N12" s="37" t="e">
        <f>IF(AND('Mapa final'!#REF!="Muy Alta",'Mapa final'!#REF!="Leve"),CONCATENATE("R7C",'Mapa final'!#REF!),"")</f>
        <v>#REF!</v>
      </c>
      <c r="O12" s="38" t="e">
        <f>IF(AND('Mapa final'!#REF!="Muy Alta",'Mapa final'!#REF!="Leve"),CONCATENATE("R7C",'Mapa final'!#REF!),"")</f>
        <v>#REF!</v>
      </c>
      <c r="P12" s="36" t="e">
        <f>IF(AND('Mapa final'!#REF!="Muy Alta",'Mapa final'!#REF!="Menor"),CONCATENATE("R7C",'Mapa final'!#REF!),"")</f>
        <v>#REF!</v>
      </c>
      <c r="Q12" s="37" t="e">
        <f>IF(AND('Mapa final'!#REF!="Muy Alta",'Mapa final'!#REF!="Menor"),CONCATENATE("R7C",'Mapa final'!#REF!),"")</f>
        <v>#REF!</v>
      </c>
      <c r="R12" s="37" t="e">
        <f>IF(AND('Mapa final'!#REF!="Muy Alta",'Mapa final'!#REF!="Menor"),CONCATENATE("R7C",'Mapa final'!#REF!),"")</f>
        <v>#REF!</v>
      </c>
      <c r="S12" s="37" t="e">
        <f>IF(AND('Mapa final'!#REF!="Muy Alta",'Mapa final'!#REF!="Menor"),CONCATENATE("R7C",'Mapa final'!#REF!),"")</f>
        <v>#REF!</v>
      </c>
      <c r="T12" s="37" t="e">
        <f>IF(AND('Mapa final'!#REF!="Muy Alta",'Mapa final'!#REF!="Menor"),CONCATENATE("R7C",'Mapa final'!#REF!),"")</f>
        <v>#REF!</v>
      </c>
      <c r="U12" s="38" t="e">
        <f>IF(AND('Mapa final'!#REF!="Muy Alta",'Mapa final'!#REF!="Menor"),CONCATENATE("R7C",'Mapa final'!#REF!),"")</f>
        <v>#REF!</v>
      </c>
      <c r="V12" s="36" t="e">
        <f>IF(AND('Mapa final'!#REF!="Muy Alta",'Mapa final'!#REF!="Moderado"),CONCATENATE("R7C",'Mapa final'!#REF!),"")</f>
        <v>#REF!</v>
      </c>
      <c r="W12" s="37" t="e">
        <f>IF(AND('Mapa final'!#REF!="Muy Alta",'Mapa final'!#REF!="Moderado"),CONCATENATE("R7C",'Mapa final'!#REF!),"")</f>
        <v>#REF!</v>
      </c>
      <c r="X12" s="37" t="e">
        <f>IF(AND('Mapa final'!#REF!="Muy Alta",'Mapa final'!#REF!="Moderado"),CONCATENATE("R7C",'Mapa final'!#REF!),"")</f>
        <v>#REF!</v>
      </c>
      <c r="Y12" s="37" t="e">
        <f>IF(AND('Mapa final'!#REF!="Muy Alta",'Mapa final'!#REF!="Moderado"),CONCATENATE("R7C",'Mapa final'!#REF!),"")</f>
        <v>#REF!</v>
      </c>
      <c r="Z12" s="37" t="e">
        <f>IF(AND('Mapa final'!#REF!="Muy Alta",'Mapa final'!#REF!="Moderado"),CONCATENATE("R7C",'Mapa final'!#REF!),"")</f>
        <v>#REF!</v>
      </c>
      <c r="AA12" s="38" t="e">
        <f>IF(AND('Mapa final'!#REF!="Muy Alta",'Mapa final'!#REF!="Moderado"),CONCATENATE("R7C",'Mapa final'!#REF!),"")</f>
        <v>#REF!</v>
      </c>
      <c r="AB12" s="36" t="e">
        <f>IF(AND('Mapa final'!#REF!="Muy Alta",'Mapa final'!#REF!="Mayor"),CONCATENATE("R7C",'Mapa final'!#REF!),"")</f>
        <v>#REF!</v>
      </c>
      <c r="AC12" s="37" t="e">
        <f>IF(AND('Mapa final'!#REF!="Muy Alta",'Mapa final'!#REF!="Mayor"),CONCATENATE("R7C",'Mapa final'!#REF!),"")</f>
        <v>#REF!</v>
      </c>
      <c r="AD12" s="37" t="e">
        <f>IF(AND('Mapa final'!#REF!="Muy Alta",'Mapa final'!#REF!="Mayor"),CONCATENATE("R7C",'Mapa final'!#REF!),"")</f>
        <v>#REF!</v>
      </c>
      <c r="AE12" s="37" t="e">
        <f>IF(AND('Mapa final'!#REF!="Muy Alta",'Mapa final'!#REF!="Mayor"),CONCATENATE("R7C",'Mapa final'!#REF!),"")</f>
        <v>#REF!</v>
      </c>
      <c r="AF12" s="37" t="e">
        <f>IF(AND('Mapa final'!#REF!="Muy Alta",'Mapa final'!#REF!="Mayor"),CONCATENATE("R7C",'Mapa final'!#REF!),"")</f>
        <v>#REF!</v>
      </c>
      <c r="AG12" s="38" t="e">
        <f>IF(AND('Mapa final'!#REF!="Muy Alta",'Mapa final'!#REF!="Mayor"),CONCATENATE("R7C",'Mapa final'!#REF!),"")</f>
        <v>#REF!</v>
      </c>
      <c r="AH12" s="39" t="e">
        <f>IF(AND('Mapa final'!#REF!="Muy Alta",'Mapa final'!#REF!="Catastrófico"),CONCATENATE("R7C",'Mapa final'!#REF!),"")</f>
        <v>#REF!</v>
      </c>
      <c r="AI12" s="40" t="e">
        <f>IF(AND('Mapa final'!#REF!="Muy Alta",'Mapa final'!#REF!="Catastrófico"),CONCATENATE("R7C",'Mapa final'!#REF!),"")</f>
        <v>#REF!</v>
      </c>
      <c r="AJ12" s="40" t="e">
        <f>IF(AND('Mapa final'!#REF!="Muy Alta",'Mapa final'!#REF!="Catastrófico"),CONCATENATE("R7C",'Mapa final'!#REF!),"")</f>
        <v>#REF!</v>
      </c>
      <c r="AK12" s="40" t="e">
        <f>IF(AND('Mapa final'!#REF!="Muy Alta",'Mapa final'!#REF!="Catastrófico"),CONCATENATE("R7C",'Mapa final'!#REF!),"")</f>
        <v>#REF!</v>
      </c>
      <c r="AL12" s="40" t="e">
        <f>IF(AND('Mapa final'!#REF!="Muy Alta",'Mapa final'!#REF!="Catastrófico"),CONCATENATE("R7C",'Mapa final'!#REF!),"")</f>
        <v>#REF!</v>
      </c>
      <c r="AM12" s="41" t="e">
        <f>IF(AND('Mapa final'!#REF!="Muy Alta",'Mapa final'!#REF!="Catastrófico"),CONCATENATE("R7C",'Mapa final'!#REF!),"")</f>
        <v>#REF!</v>
      </c>
      <c r="AN12" s="67"/>
      <c r="AO12" s="579"/>
      <c r="AP12" s="580"/>
      <c r="AQ12" s="580"/>
      <c r="AR12" s="580"/>
      <c r="AS12" s="580"/>
      <c r="AT12" s="581"/>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25">
      <c r="A13" s="67"/>
      <c r="B13" s="474"/>
      <c r="C13" s="474"/>
      <c r="D13" s="475"/>
      <c r="E13" s="573"/>
      <c r="F13" s="572"/>
      <c r="G13" s="572"/>
      <c r="H13" s="572"/>
      <c r="I13" s="588"/>
      <c r="J13" s="36" t="e">
        <f>IF(AND('Mapa final'!#REF!="Muy Alta",'Mapa final'!#REF!="Leve"),CONCATENATE("R8C",'Mapa final'!#REF!),"")</f>
        <v>#REF!</v>
      </c>
      <c r="K13" s="37" t="e">
        <f>IF(AND('Mapa final'!#REF!="Muy Alta",'Mapa final'!#REF!="Leve"),CONCATENATE("R8C",'Mapa final'!#REF!),"")</f>
        <v>#REF!</v>
      </c>
      <c r="L13" s="37" t="e">
        <f>IF(AND('Mapa final'!#REF!="Muy Alta",'Mapa final'!#REF!="Leve"),CONCATENATE("R8C",'Mapa final'!#REF!),"")</f>
        <v>#REF!</v>
      </c>
      <c r="M13" s="37" t="e">
        <f>IF(AND('Mapa final'!#REF!="Muy Alta",'Mapa final'!#REF!="Leve"),CONCATENATE("R8C",'Mapa final'!#REF!),"")</f>
        <v>#REF!</v>
      </c>
      <c r="N13" s="37" t="e">
        <f>IF(AND('Mapa final'!#REF!="Muy Alta",'Mapa final'!#REF!="Leve"),CONCATENATE("R8C",'Mapa final'!#REF!),"")</f>
        <v>#REF!</v>
      </c>
      <c r="O13" s="38" t="e">
        <f>IF(AND('Mapa final'!#REF!="Muy Alta",'Mapa final'!#REF!="Leve"),CONCATENATE("R8C",'Mapa final'!#REF!),"")</f>
        <v>#REF!</v>
      </c>
      <c r="P13" s="36" t="e">
        <f>IF(AND('Mapa final'!#REF!="Muy Alta",'Mapa final'!#REF!="Menor"),CONCATENATE("R8C",'Mapa final'!#REF!),"")</f>
        <v>#REF!</v>
      </c>
      <c r="Q13" s="37" t="e">
        <f>IF(AND('Mapa final'!#REF!="Muy Alta",'Mapa final'!#REF!="Menor"),CONCATENATE("R8C",'Mapa final'!#REF!),"")</f>
        <v>#REF!</v>
      </c>
      <c r="R13" s="37" t="e">
        <f>IF(AND('Mapa final'!#REF!="Muy Alta",'Mapa final'!#REF!="Menor"),CONCATENATE("R8C",'Mapa final'!#REF!),"")</f>
        <v>#REF!</v>
      </c>
      <c r="S13" s="37" t="e">
        <f>IF(AND('Mapa final'!#REF!="Muy Alta",'Mapa final'!#REF!="Menor"),CONCATENATE("R8C",'Mapa final'!#REF!),"")</f>
        <v>#REF!</v>
      </c>
      <c r="T13" s="37" t="e">
        <f>IF(AND('Mapa final'!#REF!="Muy Alta",'Mapa final'!#REF!="Menor"),CONCATENATE("R8C",'Mapa final'!#REF!),"")</f>
        <v>#REF!</v>
      </c>
      <c r="U13" s="38" t="e">
        <f>IF(AND('Mapa final'!#REF!="Muy Alta",'Mapa final'!#REF!="Menor"),CONCATENATE("R8C",'Mapa final'!#REF!),"")</f>
        <v>#REF!</v>
      </c>
      <c r="V13" s="36" t="e">
        <f>IF(AND('Mapa final'!#REF!="Muy Alta",'Mapa final'!#REF!="Moderado"),CONCATENATE("R8C",'Mapa final'!#REF!),"")</f>
        <v>#REF!</v>
      </c>
      <c r="W13" s="37" t="e">
        <f>IF(AND('Mapa final'!#REF!="Muy Alta",'Mapa final'!#REF!="Moderado"),CONCATENATE("R8C",'Mapa final'!#REF!),"")</f>
        <v>#REF!</v>
      </c>
      <c r="X13" s="37" t="e">
        <f>IF(AND('Mapa final'!#REF!="Muy Alta",'Mapa final'!#REF!="Moderado"),CONCATENATE("R8C",'Mapa final'!#REF!),"")</f>
        <v>#REF!</v>
      </c>
      <c r="Y13" s="37" t="e">
        <f>IF(AND('Mapa final'!#REF!="Muy Alta",'Mapa final'!#REF!="Moderado"),CONCATENATE("R8C",'Mapa final'!#REF!),"")</f>
        <v>#REF!</v>
      </c>
      <c r="Z13" s="37" t="e">
        <f>IF(AND('Mapa final'!#REF!="Muy Alta",'Mapa final'!#REF!="Moderado"),CONCATENATE("R8C",'Mapa final'!#REF!),"")</f>
        <v>#REF!</v>
      </c>
      <c r="AA13" s="38" t="e">
        <f>IF(AND('Mapa final'!#REF!="Muy Alta",'Mapa final'!#REF!="Moderado"),CONCATENATE("R8C",'Mapa final'!#REF!),"")</f>
        <v>#REF!</v>
      </c>
      <c r="AB13" s="36" t="e">
        <f>IF(AND('Mapa final'!#REF!="Muy Alta",'Mapa final'!#REF!="Mayor"),CONCATENATE("R8C",'Mapa final'!#REF!),"")</f>
        <v>#REF!</v>
      </c>
      <c r="AC13" s="37" t="e">
        <f>IF(AND('Mapa final'!#REF!="Muy Alta",'Mapa final'!#REF!="Mayor"),CONCATENATE("R8C",'Mapa final'!#REF!),"")</f>
        <v>#REF!</v>
      </c>
      <c r="AD13" s="37" t="e">
        <f>IF(AND('Mapa final'!#REF!="Muy Alta",'Mapa final'!#REF!="Mayor"),CONCATENATE("R8C",'Mapa final'!#REF!),"")</f>
        <v>#REF!</v>
      </c>
      <c r="AE13" s="37" t="e">
        <f>IF(AND('Mapa final'!#REF!="Muy Alta",'Mapa final'!#REF!="Mayor"),CONCATENATE("R8C",'Mapa final'!#REF!),"")</f>
        <v>#REF!</v>
      </c>
      <c r="AF13" s="37" t="e">
        <f>IF(AND('Mapa final'!#REF!="Muy Alta",'Mapa final'!#REF!="Mayor"),CONCATENATE("R8C",'Mapa final'!#REF!),"")</f>
        <v>#REF!</v>
      </c>
      <c r="AG13" s="38" t="e">
        <f>IF(AND('Mapa final'!#REF!="Muy Alta",'Mapa final'!#REF!="Mayor"),CONCATENATE("R8C",'Mapa final'!#REF!),"")</f>
        <v>#REF!</v>
      </c>
      <c r="AH13" s="39" t="e">
        <f>IF(AND('Mapa final'!#REF!="Muy Alta",'Mapa final'!#REF!="Catastrófico"),CONCATENATE("R8C",'Mapa final'!#REF!),"")</f>
        <v>#REF!</v>
      </c>
      <c r="AI13" s="40" t="e">
        <f>IF(AND('Mapa final'!#REF!="Muy Alta",'Mapa final'!#REF!="Catastrófico"),CONCATENATE("R8C",'Mapa final'!#REF!),"")</f>
        <v>#REF!</v>
      </c>
      <c r="AJ13" s="40" t="e">
        <f>IF(AND('Mapa final'!#REF!="Muy Alta",'Mapa final'!#REF!="Catastrófico"),CONCATENATE("R8C",'Mapa final'!#REF!),"")</f>
        <v>#REF!</v>
      </c>
      <c r="AK13" s="40" t="e">
        <f>IF(AND('Mapa final'!#REF!="Muy Alta",'Mapa final'!#REF!="Catastrófico"),CONCATENATE("R8C",'Mapa final'!#REF!),"")</f>
        <v>#REF!</v>
      </c>
      <c r="AL13" s="40" t="e">
        <f>IF(AND('Mapa final'!#REF!="Muy Alta",'Mapa final'!#REF!="Catastrófico"),CONCATENATE("R8C",'Mapa final'!#REF!),"")</f>
        <v>#REF!</v>
      </c>
      <c r="AM13" s="41" t="e">
        <f>IF(AND('Mapa final'!#REF!="Muy Alta",'Mapa final'!#REF!="Catastrófico"),CONCATENATE("R8C",'Mapa final'!#REF!),"")</f>
        <v>#REF!</v>
      </c>
      <c r="AN13" s="67"/>
      <c r="AO13" s="579"/>
      <c r="AP13" s="580"/>
      <c r="AQ13" s="580"/>
      <c r="AR13" s="580"/>
      <c r="AS13" s="580"/>
      <c r="AT13" s="581"/>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25">
      <c r="A14" s="67"/>
      <c r="B14" s="474"/>
      <c r="C14" s="474"/>
      <c r="D14" s="475"/>
      <c r="E14" s="573"/>
      <c r="F14" s="572"/>
      <c r="G14" s="572"/>
      <c r="H14" s="572"/>
      <c r="I14" s="588"/>
      <c r="J14" s="36" t="e">
        <f>IF(AND('Mapa final'!#REF!="Muy Alta",'Mapa final'!#REF!="Leve"),CONCATENATE("R9C",'Mapa final'!#REF!),"")</f>
        <v>#REF!</v>
      </c>
      <c r="K14" s="37" t="e">
        <f>IF(AND('Mapa final'!#REF!="Muy Alta",'Mapa final'!#REF!="Leve"),CONCATENATE("R9C",'Mapa final'!#REF!),"")</f>
        <v>#REF!</v>
      </c>
      <c r="L14" s="37" t="e">
        <f>IF(AND('Mapa final'!#REF!="Muy Alta",'Mapa final'!#REF!="Leve"),CONCATENATE("R9C",'Mapa final'!#REF!),"")</f>
        <v>#REF!</v>
      </c>
      <c r="M14" s="37" t="e">
        <f>IF(AND('Mapa final'!#REF!="Muy Alta",'Mapa final'!#REF!="Leve"),CONCATENATE("R9C",'Mapa final'!#REF!),"")</f>
        <v>#REF!</v>
      </c>
      <c r="N14" s="37" t="e">
        <f>IF(AND('Mapa final'!#REF!="Muy Alta",'Mapa final'!#REF!="Leve"),CONCATENATE("R9C",'Mapa final'!#REF!),"")</f>
        <v>#REF!</v>
      </c>
      <c r="O14" s="38" t="e">
        <f>IF(AND('Mapa final'!#REF!="Muy Alta",'Mapa final'!#REF!="Leve"),CONCATENATE("R9C",'Mapa final'!#REF!),"")</f>
        <v>#REF!</v>
      </c>
      <c r="P14" s="36" t="e">
        <f>IF(AND('Mapa final'!#REF!="Muy Alta",'Mapa final'!#REF!="Menor"),CONCATENATE("R9C",'Mapa final'!#REF!),"")</f>
        <v>#REF!</v>
      </c>
      <c r="Q14" s="37" t="e">
        <f>IF(AND('Mapa final'!#REF!="Muy Alta",'Mapa final'!#REF!="Menor"),CONCATENATE("R9C",'Mapa final'!#REF!),"")</f>
        <v>#REF!</v>
      </c>
      <c r="R14" s="37" t="e">
        <f>IF(AND('Mapa final'!#REF!="Muy Alta",'Mapa final'!#REF!="Menor"),CONCATENATE("R9C",'Mapa final'!#REF!),"")</f>
        <v>#REF!</v>
      </c>
      <c r="S14" s="37" t="e">
        <f>IF(AND('Mapa final'!#REF!="Muy Alta",'Mapa final'!#REF!="Menor"),CONCATENATE("R9C",'Mapa final'!#REF!),"")</f>
        <v>#REF!</v>
      </c>
      <c r="T14" s="37" t="e">
        <f>IF(AND('Mapa final'!#REF!="Muy Alta",'Mapa final'!#REF!="Menor"),CONCATENATE("R9C",'Mapa final'!#REF!),"")</f>
        <v>#REF!</v>
      </c>
      <c r="U14" s="38" t="e">
        <f>IF(AND('Mapa final'!#REF!="Muy Alta",'Mapa final'!#REF!="Menor"),CONCATENATE("R9C",'Mapa final'!#REF!),"")</f>
        <v>#REF!</v>
      </c>
      <c r="V14" s="36" t="e">
        <f>IF(AND('Mapa final'!#REF!="Muy Alta",'Mapa final'!#REF!="Moderado"),CONCATENATE("R9C",'Mapa final'!#REF!),"")</f>
        <v>#REF!</v>
      </c>
      <c r="W14" s="37" t="e">
        <f>IF(AND('Mapa final'!#REF!="Muy Alta",'Mapa final'!#REF!="Moderado"),CONCATENATE("R9C",'Mapa final'!#REF!),"")</f>
        <v>#REF!</v>
      </c>
      <c r="X14" s="37" t="e">
        <f>IF(AND('Mapa final'!#REF!="Muy Alta",'Mapa final'!#REF!="Moderado"),CONCATENATE("R9C",'Mapa final'!#REF!),"")</f>
        <v>#REF!</v>
      </c>
      <c r="Y14" s="37" t="e">
        <f>IF(AND('Mapa final'!#REF!="Muy Alta",'Mapa final'!#REF!="Moderado"),CONCATENATE("R9C",'Mapa final'!#REF!),"")</f>
        <v>#REF!</v>
      </c>
      <c r="Z14" s="37" t="e">
        <f>IF(AND('Mapa final'!#REF!="Muy Alta",'Mapa final'!#REF!="Moderado"),CONCATENATE("R9C",'Mapa final'!#REF!),"")</f>
        <v>#REF!</v>
      </c>
      <c r="AA14" s="38" t="e">
        <f>IF(AND('Mapa final'!#REF!="Muy Alta",'Mapa final'!#REF!="Moderado"),CONCATENATE("R9C",'Mapa final'!#REF!),"")</f>
        <v>#REF!</v>
      </c>
      <c r="AB14" s="36" t="e">
        <f>IF(AND('Mapa final'!#REF!="Muy Alta",'Mapa final'!#REF!="Mayor"),CONCATENATE("R9C",'Mapa final'!#REF!),"")</f>
        <v>#REF!</v>
      </c>
      <c r="AC14" s="37" t="e">
        <f>IF(AND('Mapa final'!#REF!="Muy Alta",'Mapa final'!#REF!="Mayor"),CONCATENATE("R9C",'Mapa final'!#REF!),"")</f>
        <v>#REF!</v>
      </c>
      <c r="AD14" s="37" t="e">
        <f>IF(AND('Mapa final'!#REF!="Muy Alta",'Mapa final'!#REF!="Mayor"),CONCATENATE("R9C",'Mapa final'!#REF!),"")</f>
        <v>#REF!</v>
      </c>
      <c r="AE14" s="37" t="e">
        <f>IF(AND('Mapa final'!#REF!="Muy Alta",'Mapa final'!#REF!="Mayor"),CONCATENATE("R9C",'Mapa final'!#REF!),"")</f>
        <v>#REF!</v>
      </c>
      <c r="AF14" s="37" t="e">
        <f>IF(AND('Mapa final'!#REF!="Muy Alta",'Mapa final'!#REF!="Mayor"),CONCATENATE("R9C",'Mapa final'!#REF!),"")</f>
        <v>#REF!</v>
      </c>
      <c r="AG14" s="38" t="e">
        <f>IF(AND('Mapa final'!#REF!="Muy Alta",'Mapa final'!#REF!="Mayor"),CONCATENATE("R9C",'Mapa final'!#REF!),"")</f>
        <v>#REF!</v>
      </c>
      <c r="AH14" s="39" t="e">
        <f>IF(AND('Mapa final'!#REF!="Muy Alta",'Mapa final'!#REF!="Catastrófico"),CONCATENATE("R9C",'Mapa final'!#REF!),"")</f>
        <v>#REF!</v>
      </c>
      <c r="AI14" s="40" t="e">
        <f>IF(AND('Mapa final'!#REF!="Muy Alta",'Mapa final'!#REF!="Catastrófico"),CONCATENATE("R9C",'Mapa final'!#REF!),"")</f>
        <v>#REF!</v>
      </c>
      <c r="AJ14" s="40" t="e">
        <f>IF(AND('Mapa final'!#REF!="Muy Alta",'Mapa final'!#REF!="Catastrófico"),CONCATENATE("R9C",'Mapa final'!#REF!),"")</f>
        <v>#REF!</v>
      </c>
      <c r="AK14" s="40" t="e">
        <f>IF(AND('Mapa final'!#REF!="Muy Alta",'Mapa final'!#REF!="Catastrófico"),CONCATENATE("R9C",'Mapa final'!#REF!),"")</f>
        <v>#REF!</v>
      </c>
      <c r="AL14" s="40" t="e">
        <f>IF(AND('Mapa final'!#REF!="Muy Alta",'Mapa final'!#REF!="Catastrófico"),CONCATENATE("R9C",'Mapa final'!#REF!),"")</f>
        <v>#REF!</v>
      </c>
      <c r="AM14" s="41" t="e">
        <f>IF(AND('Mapa final'!#REF!="Muy Alta",'Mapa final'!#REF!="Catastrófico"),CONCATENATE("R9C",'Mapa final'!#REF!),"")</f>
        <v>#REF!</v>
      </c>
      <c r="AN14" s="67"/>
      <c r="AO14" s="579"/>
      <c r="AP14" s="580"/>
      <c r="AQ14" s="580"/>
      <c r="AR14" s="580"/>
      <c r="AS14" s="580"/>
      <c r="AT14" s="581"/>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
      <c r="A15" s="67"/>
      <c r="B15" s="474"/>
      <c r="C15" s="474"/>
      <c r="D15" s="475"/>
      <c r="E15" s="574"/>
      <c r="F15" s="575"/>
      <c r="G15" s="575"/>
      <c r="H15" s="575"/>
      <c r="I15" s="589"/>
      <c r="J15" s="42" t="e">
        <f>IF(AND('Mapa final'!#REF!="Muy Alta",'Mapa final'!#REF!="Leve"),CONCATENATE("R10C",'Mapa final'!#REF!),"")</f>
        <v>#REF!</v>
      </c>
      <c r="K15" s="43" t="e">
        <f>IF(AND('Mapa final'!#REF!="Muy Alta",'Mapa final'!#REF!="Leve"),CONCATENATE("R10C",'Mapa final'!#REF!),"")</f>
        <v>#REF!</v>
      </c>
      <c r="L15" s="43" t="e">
        <f>IF(AND('Mapa final'!#REF!="Muy Alta",'Mapa final'!#REF!="Leve"),CONCATENATE("R10C",'Mapa final'!#REF!),"")</f>
        <v>#REF!</v>
      </c>
      <c r="M15" s="43" t="e">
        <f>IF(AND('Mapa final'!#REF!="Muy Alta",'Mapa final'!#REF!="Leve"),CONCATENATE("R10C",'Mapa final'!#REF!),"")</f>
        <v>#REF!</v>
      </c>
      <c r="N15" s="43" t="e">
        <f>IF(AND('Mapa final'!#REF!="Muy Alta",'Mapa final'!#REF!="Leve"),CONCATENATE("R10C",'Mapa final'!#REF!),"")</f>
        <v>#REF!</v>
      </c>
      <c r="O15" s="44" t="e">
        <f>IF(AND('Mapa final'!#REF!="Muy Alta",'Mapa final'!#REF!="Leve"),CONCATENATE("R10C",'Mapa final'!#REF!),"")</f>
        <v>#REF!</v>
      </c>
      <c r="P15" s="36" t="e">
        <f>IF(AND('Mapa final'!#REF!="Muy Alta",'Mapa final'!#REF!="Menor"),CONCATENATE("R10C",'Mapa final'!#REF!),"")</f>
        <v>#REF!</v>
      </c>
      <c r="Q15" s="37" t="e">
        <f>IF(AND('Mapa final'!#REF!="Muy Alta",'Mapa final'!#REF!="Menor"),CONCATENATE("R10C",'Mapa final'!#REF!),"")</f>
        <v>#REF!</v>
      </c>
      <c r="R15" s="37" t="e">
        <f>IF(AND('Mapa final'!#REF!="Muy Alta",'Mapa final'!#REF!="Menor"),CONCATENATE("R10C",'Mapa final'!#REF!),"")</f>
        <v>#REF!</v>
      </c>
      <c r="S15" s="37" t="e">
        <f>IF(AND('Mapa final'!#REF!="Muy Alta",'Mapa final'!#REF!="Menor"),CONCATENATE("R10C",'Mapa final'!#REF!),"")</f>
        <v>#REF!</v>
      </c>
      <c r="T15" s="37" t="e">
        <f>IF(AND('Mapa final'!#REF!="Muy Alta",'Mapa final'!#REF!="Menor"),CONCATENATE("R10C",'Mapa final'!#REF!),"")</f>
        <v>#REF!</v>
      </c>
      <c r="U15" s="38" t="e">
        <f>IF(AND('Mapa final'!#REF!="Muy Alta",'Mapa final'!#REF!="Menor"),CONCATENATE("R10C",'Mapa final'!#REF!),"")</f>
        <v>#REF!</v>
      </c>
      <c r="V15" s="42" t="e">
        <f>IF(AND('Mapa final'!#REF!="Muy Alta",'Mapa final'!#REF!="Moderado"),CONCATENATE("R10C",'Mapa final'!#REF!),"")</f>
        <v>#REF!</v>
      </c>
      <c r="W15" s="43" t="e">
        <f>IF(AND('Mapa final'!#REF!="Muy Alta",'Mapa final'!#REF!="Moderado"),CONCATENATE("R10C",'Mapa final'!#REF!),"")</f>
        <v>#REF!</v>
      </c>
      <c r="X15" s="43" t="e">
        <f>IF(AND('Mapa final'!#REF!="Muy Alta",'Mapa final'!#REF!="Moderado"),CONCATENATE("R10C",'Mapa final'!#REF!),"")</f>
        <v>#REF!</v>
      </c>
      <c r="Y15" s="43" t="e">
        <f>IF(AND('Mapa final'!#REF!="Muy Alta",'Mapa final'!#REF!="Moderado"),CONCATENATE("R10C",'Mapa final'!#REF!),"")</f>
        <v>#REF!</v>
      </c>
      <c r="Z15" s="43" t="e">
        <f>IF(AND('Mapa final'!#REF!="Muy Alta",'Mapa final'!#REF!="Moderado"),CONCATENATE("R10C",'Mapa final'!#REF!),"")</f>
        <v>#REF!</v>
      </c>
      <c r="AA15" s="44" t="e">
        <f>IF(AND('Mapa final'!#REF!="Muy Alta",'Mapa final'!#REF!="Moderado"),CONCATENATE("R10C",'Mapa final'!#REF!),"")</f>
        <v>#REF!</v>
      </c>
      <c r="AB15" s="36" t="e">
        <f>IF(AND('Mapa final'!#REF!="Muy Alta",'Mapa final'!#REF!="Mayor"),CONCATENATE("R10C",'Mapa final'!#REF!),"")</f>
        <v>#REF!</v>
      </c>
      <c r="AC15" s="37" t="e">
        <f>IF(AND('Mapa final'!#REF!="Muy Alta",'Mapa final'!#REF!="Mayor"),CONCATENATE("R10C",'Mapa final'!#REF!),"")</f>
        <v>#REF!</v>
      </c>
      <c r="AD15" s="37" t="e">
        <f>IF(AND('Mapa final'!#REF!="Muy Alta",'Mapa final'!#REF!="Mayor"),CONCATENATE("R10C",'Mapa final'!#REF!),"")</f>
        <v>#REF!</v>
      </c>
      <c r="AE15" s="37" t="e">
        <f>IF(AND('Mapa final'!#REF!="Muy Alta",'Mapa final'!#REF!="Mayor"),CONCATENATE("R10C",'Mapa final'!#REF!),"")</f>
        <v>#REF!</v>
      </c>
      <c r="AF15" s="37" t="e">
        <f>IF(AND('Mapa final'!#REF!="Muy Alta",'Mapa final'!#REF!="Mayor"),CONCATENATE("R10C",'Mapa final'!#REF!),"")</f>
        <v>#REF!</v>
      </c>
      <c r="AG15" s="38" t="e">
        <f>IF(AND('Mapa final'!#REF!="Muy Alta",'Mapa final'!#REF!="Mayor"),CONCATENATE("R10C",'Mapa final'!#REF!),"")</f>
        <v>#REF!</v>
      </c>
      <c r="AH15" s="45" t="e">
        <f>IF(AND('Mapa final'!#REF!="Muy Alta",'Mapa final'!#REF!="Catastrófico"),CONCATENATE("R10C",'Mapa final'!#REF!),"")</f>
        <v>#REF!</v>
      </c>
      <c r="AI15" s="46" t="e">
        <f>IF(AND('Mapa final'!#REF!="Muy Alta",'Mapa final'!#REF!="Catastrófico"),CONCATENATE("R10C",'Mapa final'!#REF!),"")</f>
        <v>#REF!</v>
      </c>
      <c r="AJ15" s="46" t="e">
        <f>IF(AND('Mapa final'!#REF!="Muy Alta",'Mapa final'!#REF!="Catastrófico"),CONCATENATE("R10C",'Mapa final'!#REF!),"")</f>
        <v>#REF!</v>
      </c>
      <c r="AK15" s="46" t="e">
        <f>IF(AND('Mapa final'!#REF!="Muy Alta",'Mapa final'!#REF!="Catastrófico"),CONCATENATE("R10C",'Mapa final'!#REF!),"")</f>
        <v>#REF!</v>
      </c>
      <c r="AL15" s="46" t="e">
        <f>IF(AND('Mapa final'!#REF!="Muy Alta",'Mapa final'!#REF!="Catastrófico"),CONCATENATE("R10C",'Mapa final'!#REF!),"")</f>
        <v>#REF!</v>
      </c>
      <c r="AM15" s="47" t="e">
        <f>IF(AND('Mapa final'!#REF!="Muy Alta",'Mapa final'!#REF!="Catastrófico"),CONCATENATE("R10C",'Mapa final'!#REF!),"")</f>
        <v>#REF!</v>
      </c>
      <c r="AN15" s="67"/>
      <c r="AO15" s="582"/>
      <c r="AP15" s="583"/>
      <c r="AQ15" s="583"/>
      <c r="AR15" s="583"/>
      <c r="AS15" s="583"/>
      <c r="AT15" s="584"/>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25">
      <c r="A16" s="67"/>
      <c r="B16" s="474"/>
      <c r="C16" s="474"/>
      <c r="D16" s="475"/>
      <c r="E16" s="569" t="s">
        <v>109</v>
      </c>
      <c r="F16" s="570"/>
      <c r="G16" s="570"/>
      <c r="H16" s="570"/>
      <c r="I16" s="570"/>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e">
        <f>IF(AND('Mapa final'!#REF!="Alta",'Mapa final'!#REF!="Leve"),CONCATENATE("R1C",'Mapa final'!#REF!),"")</f>
        <v>#REF!</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e">
        <f>IF(AND('Mapa final'!#REF!="Alta",'Mapa final'!#REF!="Menor"),CONCATENATE("R1C",'Mapa final'!#REF!),"")</f>
        <v>#REF!</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7"/>
      <c r="AO16" s="560" t="s">
        <v>78</v>
      </c>
      <c r="AP16" s="561"/>
      <c r="AQ16" s="561"/>
      <c r="AR16" s="561"/>
      <c r="AS16" s="561"/>
      <c r="AT16" s="56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25">
      <c r="A17" s="67"/>
      <c r="B17" s="474"/>
      <c r="C17" s="474"/>
      <c r="D17" s="475"/>
      <c r="E17" s="571"/>
      <c r="F17" s="572"/>
      <c r="G17" s="572"/>
      <c r="H17" s="572"/>
      <c r="I17" s="572"/>
      <c r="J17" s="51" t="str">
        <f>IF(AND('Mapa final'!$AB$13="Alta",'Mapa final'!$AD$13="Leve"),CONCATENATE("R2C",'Mapa final'!$R$13),"")</f>
        <v/>
      </c>
      <c r="K17" s="52" t="str">
        <f>IF(AND('Mapa final'!$AB$14="Alta",'Mapa final'!$AD$14="Leve"),CONCATENATE("R2C",'Mapa final'!$R$14),"")</f>
        <v/>
      </c>
      <c r="L17" s="52" t="e">
        <f>IF(AND('Mapa final'!#REF!="Alta",'Mapa final'!#REF!="Leve"),CONCATENATE("R2C",'Mapa final'!#REF!),"")</f>
        <v>#REF!</v>
      </c>
      <c r="M17" s="52" t="e">
        <f>IF(AND('Mapa final'!#REF!="Alta",'Mapa final'!#REF!="Leve"),CONCATENATE("R2C",'Mapa final'!#REF!),"")</f>
        <v>#REF!</v>
      </c>
      <c r="N17" s="52" t="e">
        <f>IF(AND('Mapa final'!#REF!="Alta",'Mapa final'!#REF!="Leve"),CONCATENATE("R2C",'Mapa final'!#REF!),"")</f>
        <v>#REF!</v>
      </c>
      <c r="O17" s="53" t="e">
        <f>IF(AND('Mapa final'!#REF!="Alta",'Mapa final'!#REF!="Leve"),CONCATENATE("R2C",'Mapa final'!#REF!),"")</f>
        <v>#REF!</v>
      </c>
      <c r="P17" s="51" t="str">
        <f>IF(AND('Mapa final'!$AB$13="Alta",'Mapa final'!$AD$13="Menor"),CONCATENATE("R2C",'Mapa final'!$R$13),"")</f>
        <v/>
      </c>
      <c r="Q17" s="52" t="str">
        <f>IF(AND('Mapa final'!$AB$14="Alta",'Mapa final'!$AD$14="Menor"),CONCATENATE("R2C",'Mapa final'!$R$14),"")</f>
        <v/>
      </c>
      <c r="R17" s="52" t="e">
        <f>IF(AND('Mapa final'!#REF!="Alta",'Mapa final'!#REF!="Menor"),CONCATENATE("R2C",'Mapa final'!#REF!),"")</f>
        <v>#REF!</v>
      </c>
      <c r="S17" s="52" t="e">
        <f>IF(AND('Mapa final'!#REF!="Alta",'Mapa final'!#REF!="Menor"),CONCATENATE("R2C",'Mapa final'!#REF!),"")</f>
        <v>#REF!</v>
      </c>
      <c r="T17" s="52" t="e">
        <f>IF(AND('Mapa final'!#REF!="Alta",'Mapa final'!#REF!="Menor"),CONCATENATE("R2C",'Mapa final'!#REF!),"")</f>
        <v>#REF!</v>
      </c>
      <c r="U17" s="53" t="e">
        <f>IF(AND('Mapa final'!#REF!="Alta",'Mapa final'!#REF!="Menor"),CONCATENATE("R2C",'Mapa final'!#REF!),"")</f>
        <v>#REF!</v>
      </c>
      <c r="V17" s="36" t="str">
        <f>IF(AND('Mapa final'!$AB$13="Alta",'Mapa final'!$AD$13="Moderado"),CONCATENATE("R2C",'Mapa final'!$R$13),"")</f>
        <v/>
      </c>
      <c r="W17" s="37" t="str">
        <f>IF(AND('Mapa final'!$AB$14="Alta",'Mapa final'!$AD$14="Moderado"),CONCATENATE("R2C",'Mapa final'!$R$14),"")</f>
        <v/>
      </c>
      <c r="X17" s="37" t="e">
        <f>IF(AND('Mapa final'!#REF!="Alta",'Mapa final'!#REF!="Moderado"),CONCATENATE("R2C",'Mapa final'!#REF!),"")</f>
        <v>#REF!</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str">
        <f>IF(AND('Mapa final'!$AB$13="Alta",'Mapa final'!$AD$13="Mayor"),CONCATENATE("R2C",'Mapa final'!$R$13),"")</f>
        <v/>
      </c>
      <c r="AC17" s="37" t="str">
        <f>IF(AND('Mapa final'!$AB$14="Alta",'Mapa final'!$AD$14="Mayor"),CONCATENATE("R2C",'Mapa final'!$R$14),"")</f>
        <v/>
      </c>
      <c r="AD17" s="37" t="e">
        <f>IF(AND('Mapa final'!#REF!="Alta",'Mapa final'!#REF!="Mayor"),CONCATENATE("R2C",'Mapa final'!#REF!),"")</f>
        <v>#REF!</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str">
        <f>IF(AND('Mapa final'!$AB$13="Alta",'Mapa final'!$AD$13="Catastrófico"),CONCATENATE("R2C",'Mapa final'!$R$13),"")</f>
        <v/>
      </c>
      <c r="AI17" s="40" t="str">
        <f>IF(AND('Mapa final'!$AB$14="Alta",'Mapa final'!$AD$14="Catastrófico"),CONCATENATE("R2C",'Mapa final'!$R$14),"")</f>
        <v/>
      </c>
      <c r="AJ17" s="40" t="e">
        <f>IF(AND('Mapa final'!#REF!="Alta",'Mapa final'!#REF!="Catastrófico"),CONCATENATE("R2C",'Mapa final'!#REF!),"")</f>
        <v>#REF!</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7"/>
      <c r="AO17" s="563"/>
      <c r="AP17" s="564"/>
      <c r="AQ17" s="564"/>
      <c r="AR17" s="564"/>
      <c r="AS17" s="564"/>
      <c r="AT17" s="56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25">
      <c r="A18" s="67"/>
      <c r="B18" s="474"/>
      <c r="C18" s="474"/>
      <c r="D18" s="475"/>
      <c r="E18" s="573"/>
      <c r="F18" s="572"/>
      <c r="G18" s="572"/>
      <c r="H18" s="572"/>
      <c r="I18" s="572"/>
      <c r="J18" s="51" t="str">
        <f>IF(AND('Mapa final'!$AB$15="Alta",'Mapa final'!$AD$15="Leve"),CONCATENATE("R3C",'Mapa final'!$R$15),"")</f>
        <v/>
      </c>
      <c r="K18" s="52" t="str">
        <f>IF(AND('Mapa final'!$AB$16="Alta",'Mapa final'!$AD$16="Leve"),CONCATENATE("R3C",'Mapa final'!$R$16),"")</f>
        <v/>
      </c>
      <c r="L18" s="52" t="e">
        <f>IF(AND('Mapa final'!#REF!="Alta",'Mapa final'!#REF!="Leve"),CONCATENATE("R3C",'Mapa final'!#REF!),"")</f>
        <v>#REF!</v>
      </c>
      <c r="M18" s="52" t="e">
        <f>IF(AND('Mapa final'!#REF!="Alta",'Mapa final'!#REF!="Leve"),CONCATENATE("R3C",'Mapa final'!#REF!),"")</f>
        <v>#REF!</v>
      </c>
      <c r="N18" s="52" t="e">
        <f>IF(AND('Mapa final'!#REF!="Alta",'Mapa final'!#REF!="Leve"),CONCATENATE("R3C",'Mapa final'!#REF!),"")</f>
        <v>#REF!</v>
      </c>
      <c r="O18" s="53" t="e">
        <f>IF(AND('Mapa final'!#REF!="Alta",'Mapa final'!#REF!="Leve"),CONCATENATE("R3C",'Mapa final'!#REF!),"")</f>
        <v>#REF!</v>
      </c>
      <c r="P18" s="51" t="str">
        <f>IF(AND('Mapa final'!$AB$15="Alta",'Mapa final'!$AD$15="Menor"),CONCATENATE("R3C",'Mapa final'!$R$15),"")</f>
        <v/>
      </c>
      <c r="Q18" s="52" t="str">
        <f>IF(AND('Mapa final'!$AB$16="Alta",'Mapa final'!$AD$16="Menor"),CONCATENATE("R3C",'Mapa final'!$R$16),"")</f>
        <v/>
      </c>
      <c r="R18" s="52" t="e">
        <f>IF(AND('Mapa final'!#REF!="Alta",'Mapa final'!#REF!="Menor"),CONCATENATE("R3C",'Mapa final'!#REF!),"")</f>
        <v>#REF!</v>
      </c>
      <c r="S18" s="52" t="e">
        <f>IF(AND('Mapa final'!#REF!="Alta",'Mapa final'!#REF!="Menor"),CONCATENATE("R3C",'Mapa final'!#REF!),"")</f>
        <v>#REF!</v>
      </c>
      <c r="T18" s="52" t="e">
        <f>IF(AND('Mapa final'!#REF!="Alta",'Mapa final'!#REF!="Menor"),CONCATENATE("R3C",'Mapa final'!#REF!),"")</f>
        <v>#REF!</v>
      </c>
      <c r="U18" s="53" t="e">
        <f>IF(AND('Mapa final'!#REF!="Alta",'Mapa final'!#REF!="Menor"),CONCATENATE("R3C",'Mapa final'!#REF!),"")</f>
        <v>#REF!</v>
      </c>
      <c r="V18" s="36" t="str">
        <f>IF(AND('Mapa final'!$AB$15="Alta",'Mapa final'!$AD$15="Moderado"),CONCATENATE("R3C",'Mapa final'!$R$15),"")</f>
        <v/>
      </c>
      <c r="W18" s="37" t="str">
        <f>IF(AND('Mapa final'!$AB$16="Alta",'Mapa final'!$AD$16="Moderado"),CONCATENATE("R3C",'Mapa final'!$R$16),"")</f>
        <v/>
      </c>
      <c r="X18" s="37" t="e">
        <f>IF(AND('Mapa final'!#REF!="Alta",'Mapa final'!#REF!="Moderado"),CONCATENATE("R3C",'Mapa final'!#REF!),"")</f>
        <v>#REF!</v>
      </c>
      <c r="Y18" s="37" t="e">
        <f>IF(AND('Mapa final'!#REF!="Alta",'Mapa final'!#REF!="Moderado"),CONCATENATE("R3C",'Mapa final'!#REF!),"")</f>
        <v>#REF!</v>
      </c>
      <c r="Z18" s="37" t="e">
        <f>IF(AND('Mapa final'!#REF!="Alta",'Mapa final'!#REF!="Moderado"),CONCATENATE("R3C",'Mapa final'!#REF!),"")</f>
        <v>#REF!</v>
      </c>
      <c r="AA18" s="38" t="e">
        <f>IF(AND('Mapa final'!#REF!="Alta",'Mapa final'!#REF!="Moderado"),CONCATENATE("R3C",'Mapa final'!#REF!),"")</f>
        <v>#REF!</v>
      </c>
      <c r="AB18" s="36" t="str">
        <f>IF(AND('Mapa final'!$AB$15="Alta",'Mapa final'!$AD$15="Mayor"),CONCATENATE("R3C",'Mapa final'!$R$15),"")</f>
        <v/>
      </c>
      <c r="AC18" s="37" t="str">
        <f>IF(AND('Mapa final'!$AB$16="Alta",'Mapa final'!$AD$16="Mayor"),CONCATENATE("R3C",'Mapa final'!$R$16),"")</f>
        <v/>
      </c>
      <c r="AD18" s="37" t="e">
        <f>IF(AND('Mapa final'!#REF!="Alta",'Mapa final'!#REF!="Mayor"),CONCATENATE("R3C",'Mapa final'!#REF!),"")</f>
        <v>#REF!</v>
      </c>
      <c r="AE18" s="37" t="e">
        <f>IF(AND('Mapa final'!#REF!="Alta",'Mapa final'!#REF!="Mayor"),CONCATENATE("R3C",'Mapa final'!#REF!),"")</f>
        <v>#REF!</v>
      </c>
      <c r="AF18" s="37" t="e">
        <f>IF(AND('Mapa final'!#REF!="Alta",'Mapa final'!#REF!="Mayor"),CONCATENATE("R3C",'Mapa final'!#REF!),"")</f>
        <v>#REF!</v>
      </c>
      <c r="AG18" s="38" t="e">
        <f>IF(AND('Mapa final'!#REF!="Alta",'Mapa final'!#REF!="Mayor"),CONCATENATE("R3C",'Mapa final'!#REF!),"")</f>
        <v>#REF!</v>
      </c>
      <c r="AH18" s="39" t="str">
        <f>IF(AND('Mapa final'!$AB$15="Alta",'Mapa final'!$AD$15="Catastrófico"),CONCATENATE("R3C",'Mapa final'!$R$15),"")</f>
        <v/>
      </c>
      <c r="AI18" s="40" t="str">
        <f>IF(AND('Mapa final'!$AB$16="Alta",'Mapa final'!$AD$16="Catastrófico"),CONCATENATE("R3C",'Mapa final'!$R$16),"")</f>
        <v/>
      </c>
      <c r="AJ18" s="40" t="e">
        <f>IF(AND('Mapa final'!#REF!="Alta",'Mapa final'!#REF!="Catastrófico"),CONCATENATE("R3C",'Mapa final'!#REF!),"")</f>
        <v>#REF!</v>
      </c>
      <c r="AK18" s="40" t="e">
        <f>IF(AND('Mapa final'!#REF!="Alta",'Mapa final'!#REF!="Catastrófico"),CONCATENATE("R3C",'Mapa final'!#REF!),"")</f>
        <v>#REF!</v>
      </c>
      <c r="AL18" s="40" t="e">
        <f>IF(AND('Mapa final'!#REF!="Alta",'Mapa final'!#REF!="Catastrófico"),CONCATENATE("R3C",'Mapa final'!#REF!),"")</f>
        <v>#REF!</v>
      </c>
      <c r="AM18" s="41" t="e">
        <f>IF(AND('Mapa final'!#REF!="Alta",'Mapa final'!#REF!="Catastrófico"),CONCATENATE("R3C",'Mapa final'!#REF!),"")</f>
        <v>#REF!</v>
      </c>
      <c r="AN18" s="67"/>
      <c r="AO18" s="563"/>
      <c r="AP18" s="564"/>
      <c r="AQ18" s="564"/>
      <c r="AR18" s="564"/>
      <c r="AS18" s="564"/>
      <c r="AT18" s="56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25">
      <c r="A19" s="67"/>
      <c r="B19" s="474"/>
      <c r="C19" s="474"/>
      <c r="D19" s="475"/>
      <c r="E19" s="573"/>
      <c r="F19" s="572"/>
      <c r="G19" s="572"/>
      <c r="H19" s="572"/>
      <c r="I19" s="572"/>
      <c r="J19" s="51" t="e">
        <f>IF(AND('Mapa final'!#REF!="Alta",'Mapa final'!#REF!="Leve"),CONCATENATE("R4C",'Mapa final'!#REF!),"")</f>
        <v>#REF!</v>
      </c>
      <c r="K19" s="52" t="e">
        <f>IF(AND('Mapa final'!#REF!="Alta",'Mapa final'!#REF!="Leve"),CONCATENATE("R4C",'Mapa final'!#REF!),"")</f>
        <v>#REF!</v>
      </c>
      <c r="L19" s="52" t="e">
        <f>IF(AND('Mapa final'!#REF!="Alta",'Mapa final'!#REF!="Leve"),CONCATENATE("R4C",'Mapa final'!#REF!),"")</f>
        <v>#REF!</v>
      </c>
      <c r="M19" s="52" t="e">
        <f>IF(AND('Mapa final'!#REF!="Alta",'Mapa final'!#REF!="Leve"),CONCATENATE("R4C",'Mapa final'!#REF!),"")</f>
        <v>#REF!</v>
      </c>
      <c r="N19" s="52" t="e">
        <f>IF(AND('Mapa final'!#REF!="Alta",'Mapa final'!#REF!="Leve"),CONCATENATE("R4C",'Mapa final'!#REF!),"")</f>
        <v>#REF!</v>
      </c>
      <c r="O19" s="53" t="e">
        <f>IF(AND('Mapa final'!#REF!="Alta",'Mapa final'!#REF!="Leve"),CONCATENATE("R4C",'Mapa final'!#REF!),"")</f>
        <v>#REF!</v>
      </c>
      <c r="P19" s="51" t="e">
        <f>IF(AND('Mapa final'!#REF!="Alta",'Mapa final'!#REF!="Menor"),CONCATENATE("R4C",'Mapa final'!#REF!),"")</f>
        <v>#REF!</v>
      </c>
      <c r="Q19" s="52" t="e">
        <f>IF(AND('Mapa final'!#REF!="Alta",'Mapa final'!#REF!="Menor"),CONCATENATE("R4C",'Mapa final'!#REF!),"")</f>
        <v>#REF!</v>
      </c>
      <c r="R19" s="52" t="e">
        <f>IF(AND('Mapa final'!#REF!="Alta",'Mapa final'!#REF!="Menor"),CONCATENATE("R4C",'Mapa final'!#REF!),"")</f>
        <v>#REF!</v>
      </c>
      <c r="S19" s="52" t="e">
        <f>IF(AND('Mapa final'!#REF!="Alta",'Mapa final'!#REF!="Menor"),CONCATENATE("R4C",'Mapa final'!#REF!),"")</f>
        <v>#REF!</v>
      </c>
      <c r="T19" s="52" t="e">
        <f>IF(AND('Mapa final'!#REF!="Alta",'Mapa final'!#REF!="Menor"),CONCATENATE("R4C",'Mapa final'!#REF!),"")</f>
        <v>#REF!</v>
      </c>
      <c r="U19" s="53" t="e">
        <f>IF(AND('Mapa final'!#REF!="Alta",'Mapa final'!#REF!="Menor"),CONCATENATE("R4C",'Mapa final'!#REF!),"")</f>
        <v>#REF!</v>
      </c>
      <c r="V19" s="36" t="e">
        <f>IF(AND('Mapa final'!#REF!="Alta",'Mapa final'!#REF!="Moderado"),CONCATENATE("R4C",'Mapa final'!#REF!),"")</f>
        <v>#REF!</v>
      </c>
      <c r="W19" s="37" t="e">
        <f>IF(AND('Mapa final'!#REF!="Alta",'Mapa final'!#REF!="Moderado"),CONCATENATE("R4C",'Mapa final'!#REF!),"")</f>
        <v>#REF!</v>
      </c>
      <c r="X19" s="37" t="e">
        <f>IF(AND('Mapa final'!#REF!="Alta",'Mapa final'!#REF!="Moderado"),CONCATENATE("R4C",'Mapa final'!#REF!),"")</f>
        <v>#REF!</v>
      </c>
      <c r="Y19" s="37" t="e">
        <f>IF(AND('Mapa final'!#REF!="Alta",'Mapa final'!#REF!="Moderado"),CONCATENATE("R4C",'Mapa final'!#REF!),"")</f>
        <v>#REF!</v>
      </c>
      <c r="Z19" s="37" t="e">
        <f>IF(AND('Mapa final'!#REF!="Alta",'Mapa final'!#REF!="Moderado"),CONCATENATE("R4C",'Mapa final'!#REF!),"")</f>
        <v>#REF!</v>
      </c>
      <c r="AA19" s="38" t="e">
        <f>IF(AND('Mapa final'!#REF!="Alta",'Mapa final'!#REF!="Moderado"),CONCATENATE("R4C",'Mapa final'!#REF!),"")</f>
        <v>#REF!</v>
      </c>
      <c r="AB19" s="36" t="e">
        <f>IF(AND('Mapa final'!#REF!="Alta",'Mapa final'!#REF!="Mayor"),CONCATENATE("R4C",'Mapa final'!#REF!),"")</f>
        <v>#REF!</v>
      </c>
      <c r="AC19" s="37" t="e">
        <f>IF(AND('Mapa final'!#REF!="Alta",'Mapa final'!#REF!="Mayor"),CONCATENATE("R4C",'Mapa final'!#REF!),"")</f>
        <v>#REF!</v>
      </c>
      <c r="AD19" s="37" t="e">
        <f>IF(AND('Mapa final'!#REF!="Alta",'Mapa final'!#REF!="Mayor"),CONCATENATE("R4C",'Mapa final'!#REF!),"")</f>
        <v>#REF!</v>
      </c>
      <c r="AE19" s="37" t="e">
        <f>IF(AND('Mapa final'!#REF!="Alta",'Mapa final'!#REF!="Mayor"),CONCATENATE("R4C",'Mapa final'!#REF!),"")</f>
        <v>#REF!</v>
      </c>
      <c r="AF19" s="37" t="e">
        <f>IF(AND('Mapa final'!#REF!="Alta",'Mapa final'!#REF!="Mayor"),CONCATENATE("R4C",'Mapa final'!#REF!),"")</f>
        <v>#REF!</v>
      </c>
      <c r="AG19" s="38" t="e">
        <f>IF(AND('Mapa final'!#REF!="Alta",'Mapa final'!#REF!="Mayor"),CONCATENATE("R4C",'Mapa final'!#REF!),"")</f>
        <v>#REF!</v>
      </c>
      <c r="AH19" s="39" t="e">
        <f>IF(AND('Mapa final'!#REF!="Alta",'Mapa final'!#REF!="Catastrófico"),CONCATENATE("R4C",'Mapa final'!#REF!),"")</f>
        <v>#REF!</v>
      </c>
      <c r="AI19" s="40" t="e">
        <f>IF(AND('Mapa final'!#REF!="Alta",'Mapa final'!#REF!="Catastrófico"),CONCATENATE("R4C",'Mapa final'!#REF!),"")</f>
        <v>#REF!</v>
      </c>
      <c r="AJ19" s="40" t="e">
        <f>IF(AND('Mapa final'!#REF!="Alta",'Mapa final'!#REF!="Catastrófico"),CONCATENATE("R4C",'Mapa final'!#REF!),"")</f>
        <v>#REF!</v>
      </c>
      <c r="AK19" s="40" t="e">
        <f>IF(AND('Mapa final'!#REF!="Alta",'Mapa final'!#REF!="Catastrófico"),CONCATENATE("R4C",'Mapa final'!#REF!),"")</f>
        <v>#REF!</v>
      </c>
      <c r="AL19" s="40" t="e">
        <f>IF(AND('Mapa final'!#REF!="Alta",'Mapa final'!#REF!="Catastrófico"),CONCATENATE("R4C",'Mapa final'!#REF!),"")</f>
        <v>#REF!</v>
      </c>
      <c r="AM19" s="41" t="e">
        <f>IF(AND('Mapa final'!#REF!="Alta",'Mapa final'!#REF!="Catastrófico"),CONCATENATE("R4C",'Mapa final'!#REF!),"")</f>
        <v>#REF!</v>
      </c>
      <c r="AN19" s="67"/>
      <c r="AO19" s="563"/>
      <c r="AP19" s="564"/>
      <c r="AQ19" s="564"/>
      <c r="AR19" s="564"/>
      <c r="AS19" s="564"/>
      <c r="AT19" s="56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25">
      <c r="A20" s="67"/>
      <c r="B20" s="474"/>
      <c r="C20" s="474"/>
      <c r="D20" s="475"/>
      <c r="E20" s="573"/>
      <c r="F20" s="572"/>
      <c r="G20" s="572"/>
      <c r="H20" s="572"/>
      <c r="I20" s="572"/>
      <c r="J20" s="51" t="e">
        <f>IF(AND('Mapa final'!#REF!="Alta",'Mapa final'!#REF!="Leve"),CONCATENATE("R5C",'Mapa final'!#REF!),"")</f>
        <v>#REF!</v>
      </c>
      <c r="K20" s="52" t="e">
        <f>IF(AND('Mapa final'!#REF!="Alta",'Mapa final'!#REF!="Leve"),CONCATENATE("R5C",'Mapa final'!#REF!),"")</f>
        <v>#REF!</v>
      </c>
      <c r="L20" s="52" t="e">
        <f>IF(AND('Mapa final'!#REF!="Alta",'Mapa final'!#REF!="Leve"),CONCATENATE("R5C",'Mapa final'!#REF!),"")</f>
        <v>#REF!</v>
      </c>
      <c r="M20" s="52" t="e">
        <f>IF(AND('Mapa final'!#REF!="Alta",'Mapa final'!#REF!="Leve"),CONCATENATE("R5C",'Mapa final'!#REF!),"")</f>
        <v>#REF!</v>
      </c>
      <c r="N20" s="52" t="e">
        <f>IF(AND('Mapa final'!#REF!="Alta",'Mapa final'!#REF!="Leve"),CONCATENATE("R5C",'Mapa final'!#REF!),"")</f>
        <v>#REF!</v>
      </c>
      <c r="O20" s="53" t="e">
        <f>IF(AND('Mapa final'!#REF!="Alta",'Mapa final'!#REF!="Leve"),CONCATENATE("R5C",'Mapa final'!#REF!),"")</f>
        <v>#REF!</v>
      </c>
      <c r="P20" s="51" t="e">
        <f>IF(AND('Mapa final'!#REF!="Alta",'Mapa final'!#REF!="Menor"),CONCATENATE("R5C",'Mapa final'!#REF!),"")</f>
        <v>#REF!</v>
      </c>
      <c r="Q20" s="52" t="e">
        <f>IF(AND('Mapa final'!#REF!="Alta",'Mapa final'!#REF!="Menor"),CONCATENATE("R5C",'Mapa final'!#REF!),"")</f>
        <v>#REF!</v>
      </c>
      <c r="R20" s="52" t="e">
        <f>IF(AND('Mapa final'!#REF!="Alta",'Mapa final'!#REF!="Menor"),CONCATENATE("R5C",'Mapa final'!#REF!),"")</f>
        <v>#REF!</v>
      </c>
      <c r="S20" s="52" t="e">
        <f>IF(AND('Mapa final'!#REF!="Alta",'Mapa final'!#REF!="Menor"),CONCATENATE("R5C",'Mapa final'!#REF!),"")</f>
        <v>#REF!</v>
      </c>
      <c r="T20" s="52" t="e">
        <f>IF(AND('Mapa final'!#REF!="Alta",'Mapa final'!#REF!="Menor"),CONCATENATE("R5C",'Mapa final'!#REF!),"")</f>
        <v>#REF!</v>
      </c>
      <c r="U20" s="53" t="e">
        <f>IF(AND('Mapa final'!#REF!="Alta",'Mapa final'!#REF!="Menor"),CONCATENATE("R5C",'Mapa final'!#REF!),"")</f>
        <v>#REF!</v>
      </c>
      <c r="V20" s="36" t="e">
        <f>IF(AND('Mapa final'!#REF!="Alta",'Mapa final'!#REF!="Moderado"),CONCATENATE("R5C",'Mapa final'!#REF!),"")</f>
        <v>#REF!</v>
      </c>
      <c r="W20" s="37" t="e">
        <f>IF(AND('Mapa final'!#REF!="Alta",'Mapa final'!#REF!="Moderado"),CONCATENATE("R5C",'Mapa final'!#REF!),"")</f>
        <v>#REF!</v>
      </c>
      <c r="X20" s="37" t="e">
        <f>IF(AND('Mapa final'!#REF!="Alta",'Mapa final'!#REF!="Moderado"),CONCATENATE("R5C",'Mapa final'!#REF!),"")</f>
        <v>#REF!</v>
      </c>
      <c r="Y20" s="37" t="e">
        <f>IF(AND('Mapa final'!#REF!="Alta",'Mapa final'!#REF!="Moderado"),CONCATENATE("R5C",'Mapa final'!#REF!),"")</f>
        <v>#REF!</v>
      </c>
      <c r="Z20" s="37" t="e">
        <f>IF(AND('Mapa final'!#REF!="Alta",'Mapa final'!#REF!="Moderado"),CONCATENATE("R5C",'Mapa final'!#REF!),"")</f>
        <v>#REF!</v>
      </c>
      <c r="AA20" s="38" t="e">
        <f>IF(AND('Mapa final'!#REF!="Alta",'Mapa final'!#REF!="Moderado"),CONCATENATE("R5C",'Mapa final'!#REF!),"")</f>
        <v>#REF!</v>
      </c>
      <c r="AB20" s="36" t="e">
        <f>IF(AND('Mapa final'!#REF!="Alta",'Mapa final'!#REF!="Mayor"),CONCATENATE("R5C",'Mapa final'!#REF!),"")</f>
        <v>#REF!</v>
      </c>
      <c r="AC20" s="37" t="e">
        <f>IF(AND('Mapa final'!#REF!="Alta",'Mapa final'!#REF!="Mayor"),CONCATENATE("R5C",'Mapa final'!#REF!),"")</f>
        <v>#REF!</v>
      </c>
      <c r="AD20" s="37" t="e">
        <f>IF(AND('Mapa final'!#REF!="Alta",'Mapa final'!#REF!="Mayor"),CONCATENATE("R5C",'Mapa final'!#REF!),"")</f>
        <v>#REF!</v>
      </c>
      <c r="AE20" s="37" t="e">
        <f>IF(AND('Mapa final'!#REF!="Alta",'Mapa final'!#REF!="Mayor"),CONCATENATE("R5C",'Mapa final'!#REF!),"")</f>
        <v>#REF!</v>
      </c>
      <c r="AF20" s="37" t="e">
        <f>IF(AND('Mapa final'!#REF!="Alta",'Mapa final'!#REF!="Mayor"),CONCATENATE("R5C",'Mapa final'!#REF!),"")</f>
        <v>#REF!</v>
      </c>
      <c r="AG20" s="38" t="e">
        <f>IF(AND('Mapa final'!#REF!="Alta",'Mapa final'!#REF!="Mayor"),CONCATENATE("R5C",'Mapa final'!#REF!),"")</f>
        <v>#REF!</v>
      </c>
      <c r="AH20" s="39" t="e">
        <f>IF(AND('Mapa final'!#REF!="Alta",'Mapa final'!#REF!="Catastrófico"),CONCATENATE("R5C",'Mapa final'!#REF!),"")</f>
        <v>#REF!</v>
      </c>
      <c r="AI20" s="40" t="e">
        <f>IF(AND('Mapa final'!#REF!="Alta",'Mapa final'!#REF!="Catastrófico"),CONCATENATE("R5C",'Mapa final'!#REF!),"")</f>
        <v>#REF!</v>
      </c>
      <c r="AJ20" s="40" t="e">
        <f>IF(AND('Mapa final'!#REF!="Alta",'Mapa final'!#REF!="Catastrófico"),CONCATENATE("R5C",'Mapa final'!#REF!),"")</f>
        <v>#REF!</v>
      </c>
      <c r="AK20" s="40" t="e">
        <f>IF(AND('Mapa final'!#REF!="Alta",'Mapa final'!#REF!="Catastrófico"),CONCATENATE("R5C",'Mapa final'!#REF!),"")</f>
        <v>#REF!</v>
      </c>
      <c r="AL20" s="40" t="e">
        <f>IF(AND('Mapa final'!#REF!="Alta",'Mapa final'!#REF!="Catastrófico"),CONCATENATE("R5C",'Mapa final'!#REF!),"")</f>
        <v>#REF!</v>
      </c>
      <c r="AM20" s="41" t="e">
        <f>IF(AND('Mapa final'!#REF!="Alta",'Mapa final'!#REF!="Catastrófico"),CONCATENATE("R5C",'Mapa final'!#REF!),"")</f>
        <v>#REF!</v>
      </c>
      <c r="AN20" s="67"/>
      <c r="AO20" s="563"/>
      <c r="AP20" s="564"/>
      <c r="AQ20" s="564"/>
      <c r="AR20" s="564"/>
      <c r="AS20" s="564"/>
      <c r="AT20" s="56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25">
      <c r="A21" s="67"/>
      <c r="B21" s="474"/>
      <c r="C21" s="474"/>
      <c r="D21" s="475"/>
      <c r="E21" s="573"/>
      <c r="F21" s="572"/>
      <c r="G21" s="572"/>
      <c r="H21" s="572"/>
      <c r="I21" s="572"/>
      <c r="J21" s="51" t="e">
        <f>IF(AND('Mapa final'!#REF!="Alta",'Mapa final'!#REF!="Leve"),CONCATENATE("R6C",'Mapa final'!#REF!),"")</f>
        <v>#REF!</v>
      </c>
      <c r="K21" s="52" t="e">
        <f>IF(AND('Mapa final'!#REF!="Alta",'Mapa final'!#REF!="Leve"),CONCATENATE("R6C",'Mapa final'!#REF!),"")</f>
        <v>#REF!</v>
      </c>
      <c r="L21" s="52" t="e">
        <f>IF(AND('Mapa final'!#REF!="Alta",'Mapa final'!#REF!="Leve"),CONCATENATE("R6C",'Mapa final'!#REF!),"")</f>
        <v>#REF!</v>
      </c>
      <c r="M21" s="52" t="e">
        <f>IF(AND('Mapa final'!#REF!="Alta",'Mapa final'!#REF!="Leve"),CONCATENATE("R6C",'Mapa final'!#REF!),"")</f>
        <v>#REF!</v>
      </c>
      <c r="N21" s="52" t="e">
        <f>IF(AND('Mapa final'!#REF!="Alta",'Mapa final'!#REF!="Leve"),CONCATENATE("R6C",'Mapa final'!#REF!),"")</f>
        <v>#REF!</v>
      </c>
      <c r="O21" s="53" t="e">
        <f>IF(AND('Mapa final'!#REF!="Alta",'Mapa final'!#REF!="Leve"),CONCATENATE("R6C",'Mapa final'!#REF!),"")</f>
        <v>#REF!</v>
      </c>
      <c r="P21" s="51" t="e">
        <f>IF(AND('Mapa final'!#REF!="Alta",'Mapa final'!#REF!="Menor"),CONCATENATE("R6C",'Mapa final'!#REF!),"")</f>
        <v>#REF!</v>
      </c>
      <c r="Q21" s="52" t="e">
        <f>IF(AND('Mapa final'!#REF!="Alta",'Mapa final'!#REF!="Menor"),CONCATENATE("R6C",'Mapa final'!#REF!),"")</f>
        <v>#REF!</v>
      </c>
      <c r="R21" s="52" t="e">
        <f>IF(AND('Mapa final'!#REF!="Alta",'Mapa final'!#REF!="Menor"),CONCATENATE("R6C",'Mapa final'!#REF!),"")</f>
        <v>#REF!</v>
      </c>
      <c r="S21" s="52" t="e">
        <f>IF(AND('Mapa final'!#REF!="Alta",'Mapa final'!#REF!="Menor"),CONCATENATE("R6C",'Mapa final'!#REF!),"")</f>
        <v>#REF!</v>
      </c>
      <c r="T21" s="52" t="e">
        <f>IF(AND('Mapa final'!#REF!="Alta",'Mapa final'!#REF!="Menor"),CONCATENATE("R6C",'Mapa final'!#REF!),"")</f>
        <v>#REF!</v>
      </c>
      <c r="U21" s="53" t="e">
        <f>IF(AND('Mapa final'!#REF!="Alta",'Mapa final'!#REF!="Menor"),CONCATENATE("R6C",'Mapa final'!#REF!),"")</f>
        <v>#REF!</v>
      </c>
      <c r="V21" s="36" t="e">
        <f>IF(AND('Mapa final'!#REF!="Alta",'Mapa final'!#REF!="Moderado"),CONCATENATE("R6C",'Mapa final'!#REF!),"")</f>
        <v>#REF!</v>
      </c>
      <c r="W21" s="37" t="e">
        <f>IF(AND('Mapa final'!#REF!="Alta",'Mapa final'!#REF!="Moderado"),CONCATENATE("R6C",'Mapa final'!#REF!),"")</f>
        <v>#REF!</v>
      </c>
      <c r="X21" s="37" t="e">
        <f>IF(AND('Mapa final'!#REF!="Alta",'Mapa final'!#REF!="Moderado"),CONCATENATE("R6C",'Mapa final'!#REF!),"")</f>
        <v>#REF!</v>
      </c>
      <c r="Y21" s="37" t="e">
        <f>IF(AND('Mapa final'!#REF!="Alta",'Mapa final'!#REF!="Moderado"),CONCATENATE("R6C",'Mapa final'!#REF!),"")</f>
        <v>#REF!</v>
      </c>
      <c r="Z21" s="37" t="e">
        <f>IF(AND('Mapa final'!#REF!="Alta",'Mapa final'!#REF!="Moderado"),CONCATENATE("R6C",'Mapa final'!#REF!),"")</f>
        <v>#REF!</v>
      </c>
      <c r="AA21" s="38" t="e">
        <f>IF(AND('Mapa final'!#REF!="Alta",'Mapa final'!#REF!="Moderado"),CONCATENATE("R6C",'Mapa final'!#REF!),"")</f>
        <v>#REF!</v>
      </c>
      <c r="AB21" s="36" t="e">
        <f>IF(AND('Mapa final'!#REF!="Alta",'Mapa final'!#REF!="Mayor"),CONCATENATE("R6C",'Mapa final'!#REF!),"")</f>
        <v>#REF!</v>
      </c>
      <c r="AC21" s="37" t="e">
        <f>IF(AND('Mapa final'!#REF!="Alta",'Mapa final'!#REF!="Mayor"),CONCATENATE("R6C",'Mapa final'!#REF!),"")</f>
        <v>#REF!</v>
      </c>
      <c r="AD21" s="37" t="e">
        <f>IF(AND('Mapa final'!#REF!="Alta",'Mapa final'!#REF!="Mayor"),CONCATENATE("R6C",'Mapa final'!#REF!),"")</f>
        <v>#REF!</v>
      </c>
      <c r="AE21" s="37" t="e">
        <f>IF(AND('Mapa final'!#REF!="Alta",'Mapa final'!#REF!="Mayor"),CONCATENATE("R6C",'Mapa final'!#REF!),"")</f>
        <v>#REF!</v>
      </c>
      <c r="AF21" s="37" t="e">
        <f>IF(AND('Mapa final'!#REF!="Alta",'Mapa final'!#REF!="Mayor"),CONCATENATE("R6C",'Mapa final'!#REF!),"")</f>
        <v>#REF!</v>
      </c>
      <c r="AG21" s="38" t="e">
        <f>IF(AND('Mapa final'!#REF!="Alta",'Mapa final'!#REF!="Mayor"),CONCATENATE("R6C",'Mapa final'!#REF!),"")</f>
        <v>#REF!</v>
      </c>
      <c r="AH21" s="39" t="e">
        <f>IF(AND('Mapa final'!#REF!="Alta",'Mapa final'!#REF!="Catastrófico"),CONCATENATE("R6C",'Mapa final'!#REF!),"")</f>
        <v>#REF!</v>
      </c>
      <c r="AI21" s="40" t="e">
        <f>IF(AND('Mapa final'!#REF!="Alta",'Mapa final'!#REF!="Catastrófico"),CONCATENATE("R6C",'Mapa final'!#REF!),"")</f>
        <v>#REF!</v>
      </c>
      <c r="AJ21" s="40" t="e">
        <f>IF(AND('Mapa final'!#REF!="Alta",'Mapa final'!#REF!="Catastrófico"),CONCATENATE("R6C",'Mapa final'!#REF!),"")</f>
        <v>#REF!</v>
      </c>
      <c r="AK21" s="40" t="e">
        <f>IF(AND('Mapa final'!#REF!="Alta",'Mapa final'!#REF!="Catastrófico"),CONCATENATE("R6C",'Mapa final'!#REF!),"")</f>
        <v>#REF!</v>
      </c>
      <c r="AL21" s="40" t="e">
        <f>IF(AND('Mapa final'!#REF!="Alta",'Mapa final'!#REF!="Catastrófico"),CONCATENATE("R6C",'Mapa final'!#REF!),"")</f>
        <v>#REF!</v>
      </c>
      <c r="AM21" s="41" t="e">
        <f>IF(AND('Mapa final'!#REF!="Alta",'Mapa final'!#REF!="Catastrófico"),CONCATENATE("R6C",'Mapa final'!#REF!),"")</f>
        <v>#REF!</v>
      </c>
      <c r="AN21" s="67"/>
      <c r="AO21" s="563"/>
      <c r="AP21" s="564"/>
      <c r="AQ21" s="564"/>
      <c r="AR21" s="564"/>
      <c r="AS21" s="564"/>
      <c r="AT21" s="565"/>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25">
      <c r="A22" s="67"/>
      <c r="B22" s="474"/>
      <c r="C22" s="474"/>
      <c r="D22" s="475"/>
      <c r="E22" s="573"/>
      <c r="F22" s="572"/>
      <c r="G22" s="572"/>
      <c r="H22" s="572"/>
      <c r="I22" s="572"/>
      <c r="J22" s="51" t="e">
        <f>IF(AND('Mapa final'!#REF!="Alta",'Mapa final'!#REF!="Leve"),CONCATENATE("R7C",'Mapa final'!#REF!),"")</f>
        <v>#REF!</v>
      </c>
      <c r="K22" s="52" t="e">
        <f>IF(AND('Mapa final'!#REF!="Alta",'Mapa final'!#REF!="Leve"),CONCATENATE("R7C",'Mapa final'!#REF!),"")</f>
        <v>#REF!</v>
      </c>
      <c r="L22" s="52" t="e">
        <f>IF(AND('Mapa final'!#REF!="Alta",'Mapa final'!#REF!="Leve"),CONCATENATE("R7C",'Mapa final'!#REF!),"")</f>
        <v>#REF!</v>
      </c>
      <c r="M22" s="52" t="e">
        <f>IF(AND('Mapa final'!#REF!="Alta",'Mapa final'!#REF!="Leve"),CONCATENATE("R7C",'Mapa final'!#REF!),"")</f>
        <v>#REF!</v>
      </c>
      <c r="N22" s="52" t="e">
        <f>IF(AND('Mapa final'!#REF!="Alta",'Mapa final'!#REF!="Leve"),CONCATENATE("R7C",'Mapa final'!#REF!),"")</f>
        <v>#REF!</v>
      </c>
      <c r="O22" s="53" t="e">
        <f>IF(AND('Mapa final'!#REF!="Alta",'Mapa final'!#REF!="Leve"),CONCATENATE("R7C",'Mapa final'!#REF!),"")</f>
        <v>#REF!</v>
      </c>
      <c r="P22" s="51" t="e">
        <f>IF(AND('Mapa final'!#REF!="Alta",'Mapa final'!#REF!="Menor"),CONCATENATE("R7C",'Mapa final'!#REF!),"")</f>
        <v>#REF!</v>
      </c>
      <c r="Q22" s="52" t="e">
        <f>IF(AND('Mapa final'!#REF!="Alta",'Mapa final'!#REF!="Menor"),CONCATENATE("R7C",'Mapa final'!#REF!),"")</f>
        <v>#REF!</v>
      </c>
      <c r="R22" s="52" t="e">
        <f>IF(AND('Mapa final'!#REF!="Alta",'Mapa final'!#REF!="Menor"),CONCATENATE("R7C",'Mapa final'!#REF!),"")</f>
        <v>#REF!</v>
      </c>
      <c r="S22" s="52" t="e">
        <f>IF(AND('Mapa final'!#REF!="Alta",'Mapa final'!#REF!="Menor"),CONCATENATE("R7C",'Mapa final'!#REF!),"")</f>
        <v>#REF!</v>
      </c>
      <c r="T22" s="52" t="e">
        <f>IF(AND('Mapa final'!#REF!="Alta",'Mapa final'!#REF!="Menor"),CONCATENATE("R7C",'Mapa final'!#REF!),"")</f>
        <v>#REF!</v>
      </c>
      <c r="U22" s="53" t="e">
        <f>IF(AND('Mapa final'!#REF!="Alta",'Mapa final'!#REF!="Menor"),CONCATENATE("R7C",'Mapa final'!#REF!),"")</f>
        <v>#REF!</v>
      </c>
      <c r="V22" s="36" t="e">
        <f>IF(AND('Mapa final'!#REF!="Alta",'Mapa final'!#REF!="Moderado"),CONCATENATE("R7C",'Mapa final'!#REF!),"")</f>
        <v>#REF!</v>
      </c>
      <c r="W22" s="37" t="e">
        <f>IF(AND('Mapa final'!#REF!="Alta",'Mapa final'!#REF!="Moderado"),CONCATENATE("R7C",'Mapa final'!#REF!),"")</f>
        <v>#REF!</v>
      </c>
      <c r="X22" s="37" t="e">
        <f>IF(AND('Mapa final'!#REF!="Alta",'Mapa final'!#REF!="Moderado"),CONCATENATE("R7C",'Mapa final'!#REF!),"")</f>
        <v>#REF!</v>
      </c>
      <c r="Y22" s="37" t="e">
        <f>IF(AND('Mapa final'!#REF!="Alta",'Mapa final'!#REF!="Moderado"),CONCATENATE("R7C",'Mapa final'!#REF!),"")</f>
        <v>#REF!</v>
      </c>
      <c r="Z22" s="37" t="e">
        <f>IF(AND('Mapa final'!#REF!="Alta",'Mapa final'!#REF!="Moderado"),CONCATENATE("R7C",'Mapa final'!#REF!),"")</f>
        <v>#REF!</v>
      </c>
      <c r="AA22" s="38" t="e">
        <f>IF(AND('Mapa final'!#REF!="Alta",'Mapa final'!#REF!="Moderado"),CONCATENATE("R7C",'Mapa final'!#REF!),"")</f>
        <v>#REF!</v>
      </c>
      <c r="AB22" s="36" t="e">
        <f>IF(AND('Mapa final'!#REF!="Alta",'Mapa final'!#REF!="Mayor"),CONCATENATE("R7C",'Mapa final'!#REF!),"")</f>
        <v>#REF!</v>
      </c>
      <c r="AC22" s="37" t="e">
        <f>IF(AND('Mapa final'!#REF!="Alta",'Mapa final'!#REF!="Mayor"),CONCATENATE("R7C",'Mapa final'!#REF!),"")</f>
        <v>#REF!</v>
      </c>
      <c r="AD22" s="37" t="e">
        <f>IF(AND('Mapa final'!#REF!="Alta",'Mapa final'!#REF!="Mayor"),CONCATENATE("R7C",'Mapa final'!#REF!),"")</f>
        <v>#REF!</v>
      </c>
      <c r="AE22" s="37" t="e">
        <f>IF(AND('Mapa final'!#REF!="Alta",'Mapa final'!#REF!="Mayor"),CONCATENATE("R7C",'Mapa final'!#REF!),"")</f>
        <v>#REF!</v>
      </c>
      <c r="AF22" s="37" t="e">
        <f>IF(AND('Mapa final'!#REF!="Alta",'Mapa final'!#REF!="Mayor"),CONCATENATE("R7C",'Mapa final'!#REF!),"")</f>
        <v>#REF!</v>
      </c>
      <c r="AG22" s="38" t="e">
        <f>IF(AND('Mapa final'!#REF!="Alta",'Mapa final'!#REF!="Mayor"),CONCATENATE("R7C",'Mapa final'!#REF!),"")</f>
        <v>#REF!</v>
      </c>
      <c r="AH22" s="39" t="e">
        <f>IF(AND('Mapa final'!#REF!="Alta",'Mapa final'!#REF!="Catastrófico"),CONCATENATE("R7C",'Mapa final'!#REF!),"")</f>
        <v>#REF!</v>
      </c>
      <c r="AI22" s="40" t="e">
        <f>IF(AND('Mapa final'!#REF!="Alta",'Mapa final'!#REF!="Catastrófico"),CONCATENATE("R7C",'Mapa final'!#REF!),"")</f>
        <v>#REF!</v>
      </c>
      <c r="AJ22" s="40" t="e">
        <f>IF(AND('Mapa final'!#REF!="Alta",'Mapa final'!#REF!="Catastrófico"),CONCATENATE("R7C",'Mapa final'!#REF!),"")</f>
        <v>#REF!</v>
      </c>
      <c r="AK22" s="40" t="e">
        <f>IF(AND('Mapa final'!#REF!="Alta",'Mapa final'!#REF!="Catastrófico"),CONCATENATE("R7C",'Mapa final'!#REF!),"")</f>
        <v>#REF!</v>
      </c>
      <c r="AL22" s="40" t="e">
        <f>IF(AND('Mapa final'!#REF!="Alta",'Mapa final'!#REF!="Catastrófico"),CONCATENATE("R7C",'Mapa final'!#REF!),"")</f>
        <v>#REF!</v>
      </c>
      <c r="AM22" s="41" t="e">
        <f>IF(AND('Mapa final'!#REF!="Alta",'Mapa final'!#REF!="Catastrófico"),CONCATENATE("R7C",'Mapa final'!#REF!),"")</f>
        <v>#REF!</v>
      </c>
      <c r="AN22" s="67"/>
      <c r="AO22" s="563"/>
      <c r="AP22" s="564"/>
      <c r="AQ22" s="564"/>
      <c r="AR22" s="564"/>
      <c r="AS22" s="564"/>
      <c r="AT22" s="565"/>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25">
      <c r="A23" s="67"/>
      <c r="B23" s="474"/>
      <c r="C23" s="474"/>
      <c r="D23" s="475"/>
      <c r="E23" s="573"/>
      <c r="F23" s="572"/>
      <c r="G23" s="572"/>
      <c r="H23" s="572"/>
      <c r="I23" s="572"/>
      <c r="J23" s="51" t="e">
        <f>IF(AND('Mapa final'!#REF!="Alta",'Mapa final'!#REF!="Leve"),CONCATENATE("R8C",'Mapa final'!#REF!),"")</f>
        <v>#REF!</v>
      </c>
      <c r="K23" s="52" t="e">
        <f>IF(AND('Mapa final'!#REF!="Alta",'Mapa final'!#REF!="Leve"),CONCATENATE("R8C",'Mapa final'!#REF!),"")</f>
        <v>#REF!</v>
      </c>
      <c r="L23" s="52" t="e">
        <f>IF(AND('Mapa final'!#REF!="Alta",'Mapa final'!#REF!="Leve"),CONCATENATE("R8C",'Mapa final'!#REF!),"")</f>
        <v>#REF!</v>
      </c>
      <c r="M23" s="52" t="e">
        <f>IF(AND('Mapa final'!#REF!="Alta",'Mapa final'!#REF!="Leve"),CONCATENATE("R8C",'Mapa final'!#REF!),"")</f>
        <v>#REF!</v>
      </c>
      <c r="N23" s="52" t="e">
        <f>IF(AND('Mapa final'!#REF!="Alta",'Mapa final'!#REF!="Leve"),CONCATENATE("R8C",'Mapa final'!#REF!),"")</f>
        <v>#REF!</v>
      </c>
      <c r="O23" s="53" t="e">
        <f>IF(AND('Mapa final'!#REF!="Alta",'Mapa final'!#REF!="Leve"),CONCATENATE("R8C",'Mapa final'!#REF!),"")</f>
        <v>#REF!</v>
      </c>
      <c r="P23" s="51" t="e">
        <f>IF(AND('Mapa final'!#REF!="Alta",'Mapa final'!#REF!="Menor"),CONCATENATE("R8C",'Mapa final'!#REF!),"")</f>
        <v>#REF!</v>
      </c>
      <c r="Q23" s="52" t="e">
        <f>IF(AND('Mapa final'!#REF!="Alta",'Mapa final'!#REF!="Menor"),CONCATENATE("R8C",'Mapa final'!#REF!),"")</f>
        <v>#REF!</v>
      </c>
      <c r="R23" s="52" t="e">
        <f>IF(AND('Mapa final'!#REF!="Alta",'Mapa final'!#REF!="Menor"),CONCATENATE("R8C",'Mapa final'!#REF!),"")</f>
        <v>#REF!</v>
      </c>
      <c r="S23" s="52" t="e">
        <f>IF(AND('Mapa final'!#REF!="Alta",'Mapa final'!#REF!="Menor"),CONCATENATE("R8C",'Mapa final'!#REF!),"")</f>
        <v>#REF!</v>
      </c>
      <c r="T23" s="52" t="e">
        <f>IF(AND('Mapa final'!#REF!="Alta",'Mapa final'!#REF!="Menor"),CONCATENATE("R8C",'Mapa final'!#REF!),"")</f>
        <v>#REF!</v>
      </c>
      <c r="U23" s="53" t="e">
        <f>IF(AND('Mapa final'!#REF!="Alta",'Mapa final'!#REF!="Menor"),CONCATENATE("R8C",'Mapa final'!#REF!),"")</f>
        <v>#REF!</v>
      </c>
      <c r="V23" s="36" t="e">
        <f>IF(AND('Mapa final'!#REF!="Alta",'Mapa final'!#REF!="Moderado"),CONCATENATE("R8C",'Mapa final'!#REF!),"")</f>
        <v>#REF!</v>
      </c>
      <c r="W23" s="37" t="e">
        <f>IF(AND('Mapa final'!#REF!="Alta",'Mapa final'!#REF!="Moderado"),CONCATENATE("R8C",'Mapa final'!#REF!),"")</f>
        <v>#REF!</v>
      </c>
      <c r="X23" s="37" t="e">
        <f>IF(AND('Mapa final'!#REF!="Alta",'Mapa final'!#REF!="Moderado"),CONCATENATE("R8C",'Mapa final'!#REF!),"")</f>
        <v>#REF!</v>
      </c>
      <c r="Y23" s="37" t="e">
        <f>IF(AND('Mapa final'!#REF!="Alta",'Mapa final'!#REF!="Moderado"),CONCATENATE("R8C",'Mapa final'!#REF!),"")</f>
        <v>#REF!</v>
      </c>
      <c r="Z23" s="37" t="e">
        <f>IF(AND('Mapa final'!#REF!="Alta",'Mapa final'!#REF!="Moderado"),CONCATENATE("R8C",'Mapa final'!#REF!),"")</f>
        <v>#REF!</v>
      </c>
      <c r="AA23" s="38" t="e">
        <f>IF(AND('Mapa final'!#REF!="Alta",'Mapa final'!#REF!="Moderado"),CONCATENATE("R8C",'Mapa final'!#REF!),"")</f>
        <v>#REF!</v>
      </c>
      <c r="AB23" s="36" t="e">
        <f>IF(AND('Mapa final'!#REF!="Alta",'Mapa final'!#REF!="Mayor"),CONCATENATE("R8C",'Mapa final'!#REF!),"")</f>
        <v>#REF!</v>
      </c>
      <c r="AC23" s="37" t="e">
        <f>IF(AND('Mapa final'!#REF!="Alta",'Mapa final'!#REF!="Mayor"),CONCATENATE("R8C",'Mapa final'!#REF!),"")</f>
        <v>#REF!</v>
      </c>
      <c r="AD23" s="37" t="e">
        <f>IF(AND('Mapa final'!#REF!="Alta",'Mapa final'!#REF!="Mayor"),CONCATENATE("R8C",'Mapa final'!#REF!),"")</f>
        <v>#REF!</v>
      </c>
      <c r="AE23" s="37" t="e">
        <f>IF(AND('Mapa final'!#REF!="Alta",'Mapa final'!#REF!="Mayor"),CONCATENATE("R8C",'Mapa final'!#REF!),"")</f>
        <v>#REF!</v>
      </c>
      <c r="AF23" s="37" t="e">
        <f>IF(AND('Mapa final'!#REF!="Alta",'Mapa final'!#REF!="Mayor"),CONCATENATE("R8C",'Mapa final'!#REF!),"")</f>
        <v>#REF!</v>
      </c>
      <c r="AG23" s="38" t="e">
        <f>IF(AND('Mapa final'!#REF!="Alta",'Mapa final'!#REF!="Mayor"),CONCATENATE("R8C",'Mapa final'!#REF!),"")</f>
        <v>#REF!</v>
      </c>
      <c r="AH23" s="39" t="e">
        <f>IF(AND('Mapa final'!#REF!="Alta",'Mapa final'!#REF!="Catastrófico"),CONCATENATE("R8C",'Mapa final'!#REF!),"")</f>
        <v>#REF!</v>
      </c>
      <c r="AI23" s="40" t="e">
        <f>IF(AND('Mapa final'!#REF!="Alta",'Mapa final'!#REF!="Catastrófico"),CONCATENATE("R8C",'Mapa final'!#REF!),"")</f>
        <v>#REF!</v>
      </c>
      <c r="AJ23" s="40" t="e">
        <f>IF(AND('Mapa final'!#REF!="Alta",'Mapa final'!#REF!="Catastrófico"),CONCATENATE("R8C",'Mapa final'!#REF!),"")</f>
        <v>#REF!</v>
      </c>
      <c r="AK23" s="40" t="e">
        <f>IF(AND('Mapa final'!#REF!="Alta",'Mapa final'!#REF!="Catastrófico"),CONCATENATE("R8C",'Mapa final'!#REF!),"")</f>
        <v>#REF!</v>
      </c>
      <c r="AL23" s="40" t="e">
        <f>IF(AND('Mapa final'!#REF!="Alta",'Mapa final'!#REF!="Catastrófico"),CONCATENATE("R8C",'Mapa final'!#REF!),"")</f>
        <v>#REF!</v>
      </c>
      <c r="AM23" s="41" t="e">
        <f>IF(AND('Mapa final'!#REF!="Alta",'Mapa final'!#REF!="Catastrófico"),CONCATENATE("R8C",'Mapa final'!#REF!),"")</f>
        <v>#REF!</v>
      </c>
      <c r="AN23" s="67"/>
      <c r="AO23" s="563"/>
      <c r="AP23" s="564"/>
      <c r="AQ23" s="564"/>
      <c r="AR23" s="564"/>
      <c r="AS23" s="564"/>
      <c r="AT23" s="56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25">
      <c r="A24" s="67"/>
      <c r="B24" s="474"/>
      <c r="C24" s="474"/>
      <c r="D24" s="475"/>
      <c r="E24" s="573"/>
      <c r="F24" s="572"/>
      <c r="G24" s="572"/>
      <c r="H24" s="572"/>
      <c r="I24" s="572"/>
      <c r="J24" s="51" t="e">
        <f>IF(AND('Mapa final'!#REF!="Alta",'Mapa final'!#REF!="Leve"),CONCATENATE("R9C",'Mapa final'!#REF!),"")</f>
        <v>#REF!</v>
      </c>
      <c r="K24" s="52" t="e">
        <f>IF(AND('Mapa final'!#REF!="Alta",'Mapa final'!#REF!="Leve"),CONCATENATE("R9C",'Mapa final'!#REF!),"")</f>
        <v>#REF!</v>
      </c>
      <c r="L24" s="52" t="e">
        <f>IF(AND('Mapa final'!#REF!="Alta",'Mapa final'!#REF!="Leve"),CONCATENATE("R9C",'Mapa final'!#REF!),"")</f>
        <v>#REF!</v>
      </c>
      <c r="M24" s="52" t="e">
        <f>IF(AND('Mapa final'!#REF!="Alta",'Mapa final'!#REF!="Leve"),CONCATENATE("R9C",'Mapa final'!#REF!),"")</f>
        <v>#REF!</v>
      </c>
      <c r="N24" s="52" t="e">
        <f>IF(AND('Mapa final'!#REF!="Alta",'Mapa final'!#REF!="Leve"),CONCATENATE("R9C",'Mapa final'!#REF!),"")</f>
        <v>#REF!</v>
      </c>
      <c r="O24" s="53" t="e">
        <f>IF(AND('Mapa final'!#REF!="Alta",'Mapa final'!#REF!="Leve"),CONCATENATE("R9C",'Mapa final'!#REF!),"")</f>
        <v>#REF!</v>
      </c>
      <c r="P24" s="51" t="e">
        <f>IF(AND('Mapa final'!#REF!="Alta",'Mapa final'!#REF!="Menor"),CONCATENATE("R9C",'Mapa final'!#REF!),"")</f>
        <v>#REF!</v>
      </c>
      <c r="Q24" s="52" t="e">
        <f>IF(AND('Mapa final'!#REF!="Alta",'Mapa final'!#REF!="Menor"),CONCATENATE("R9C",'Mapa final'!#REF!),"")</f>
        <v>#REF!</v>
      </c>
      <c r="R24" s="52" t="e">
        <f>IF(AND('Mapa final'!#REF!="Alta",'Mapa final'!#REF!="Menor"),CONCATENATE("R9C",'Mapa final'!#REF!),"")</f>
        <v>#REF!</v>
      </c>
      <c r="S24" s="52" t="e">
        <f>IF(AND('Mapa final'!#REF!="Alta",'Mapa final'!#REF!="Menor"),CONCATENATE("R9C",'Mapa final'!#REF!),"")</f>
        <v>#REF!</v>
      </c>
      <c r="T24" s="52" t="e">
        <f>IF(AND('Mapa final'!#REF!="Alta",'Mapa final'!#REF!="Menor"),CONCATENATE("R9C",'Mapa final'!#REF!),"")</f>
        <v>#REF!</v>
      </c>
      <c r="U24" s="53" t="e">
        <f>IF(AND('Mapa final'!#REF!="Alta",'Mapa final'!#REF!="Menor"),CONCATENATE("R9C",'Mapa final'!#REF!),"")</f>
        <v>#REF!</v>
      </c>
      <c r="V24" s="36" t="e">
        <f>IF(AND('Mapa final'!#REF!="Alta",'Mapa final'!#REF!="Moderado"),CONCATENATE("R9C",'Mapa final'!#REF!),"")</f>
        <v>#REF!</v>
      </c>
      <c r="W24" s="37" t="e">
        <f>IF(AND('Mapa final'!#REF!="Alta",'Mapa final'!#REF!="Moderado"),CONCATENATE("R9C",'Mapa final'!#REF!),"")</f>
        <v>#REF!</v>
      </c>
      <c r="X24" s="37" t="e">
        <f>IF(AND('Mapa final'!#REF!="Alta",'Mapa final'!#REF!="Moderado"),CONCATENATE("R9C",'Mapa final'!#REF!),"")</f>
        <v>#REF!</v>
      </c>
      <c r="Y24" s="37" t="e">
        <f>IF(AND('Mapa final'!#REF!="Alta",'Mapa final'!#REF!="Moderado"),CONCATENATE("R9C",'Mapa final'!#REF!),"")</f>
        <v>#REF!</v>
      </c>
      <c r="Z24" s="37" t="e">
        <f>IF(AND('Mapa final'!#REF!="Alta",'Mapa final'!#REF!="Moderado"),CONCATENATE("R9C",'Mapa final'!#REF!),"")</f>
        <v>#REF!</v>
      </c>
      <c r="AA24" s="38" t="e">
        <f>IF(AND('Mapa final'!#REF!="Alta",'Mapa final'!#REF!="Moderado"),CONCATENATE("R9C",'Mapa final'!#REF!),"")</f>
        <v>#REF!</v>
      </c>
      <c r="AB24" s="36" t="e">
        <f>IF(AND('Mapa final'!#REF!="Alta",'Mapa final'!#REF!="Mayor"),CONCATENATE("R9C",'Mapa final'!#REF!),"")</f>
        <v>#REF!</v>
      </c>
      <c r="AC24" s="37" t="e">
        <f>IF(AND('Mapa final'!#REF!="Alta",'Mapa final'!#REF!="Mayor"),CONCATENATE("R9C",'Mapa final'!#REF!),"")</f>
        <v>#REF!</v>
      </c>
      <c r="AD24" s="37" t="e">
        <f>IF(AND('Mapa final'!#REF!="Alta",'Mapa final'!#REF!="Mayor"),CONCATENATE("R9C",'Mapa final'!#REF!),"")</f>
        <v>#REF!</v>
      </c>
      <c r="AE24" s="37" t="e">
        <f>IF(AND('Mapa final'!#REF!="Alta",'Mapa final'!#REF!="Mayor"),CONCATENATE("R9C",'Mapa final'!#REF!),"")</f>
        <v>#REF!</v>
      </c>
      <c r="AF24" s="37" t="e">
        <f>IF(AND('Mapa final'!#REF!="Alta",'Mapa final'!#REF!="Mayor"),CONCATENATE("R9C",'Mapa final'!#REF!),"")</f>
        <v>#REF!</v>
      </c>
      <c r="AG24" s="38" t="e">
        <f>IF(AND('Mapa final'!#REF!="Alta",'Mapa final'!#REF!="Mayor"),CONCATENATE("R9C",'Mapa final'!#REF!),"")</f>
        <v>#REF!</v>
      </c>
      <c r="AH24" s="39" t="e">
        <f>IF(AND('Mapa final'!#REF!="Alta",'Mapa final'!#REF!="Catastrófico"),CONCATENATE("R9C",'Mapa final'!#REF!),"")</f>
        <v>#REF!</v>
      </c>
      <c r="AI24" s="40" t="e">
        <f>IF(AND('Mapa final'!#REF!="Alta",'Mapa final'!#REF!="Catastrófico"),CONCATENATE("R9C",'Mapa final'!#REF!),"")</f>
        <v>#REF!</v>
      </c>
      <c r="AJ24" s="40" t="e">
        <f>IF(AND('Mapa final'!#REF!="Alta",'Mapa final'!#REF!="Catastrófico"),CONCATENATE("R9C",'Mapa final'!#REF!),"")</f>
        <v>#REF!</v>
      </c>
      <c r="AK24" s="40" t="e">
        <f>IF(AND('Mapa final'!#REF!="Alta",'Mapa final'!#REF!="Catastrófico"),CONCATENATE("R9C",'Mapa final'!#REF!),"")</f>
        <v>#REF!</v>
      </c>
      <c r="AL24" s="40" t="e">
        <f>IF(AND('Mapa final'!#REF!="Alta",'Mapa final'!#REF!="Catastrófico"),CONCATENATE("R9C",'Mapa final'!#REF!),"")</f>
        <v>#REF!</v>
      </c>
      <c r="AM24" s="41" t="e">
        <f>IF(AND('Mapa final'!#REF!="Alta",'Mapa final'!#REF!="Catastrófico"),CONCATENATE("R9C",'Mapa final'!#REF!),"")</f>
        <v>#REF!</v>
      </c>
      <c r="AN24" s="67"/>
      <c r="AO24" s="563"/>
      <c r="AP24" s="564"/>
      <c r="AQ24" s="564"/>
      <c r="AR24" s="564"/>
      <c r="AS24" s="564"/>
      <c r="AT24" s="56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
      <c r="A25" s="67"/>
      <c r="B25" s="474"/>
      <c r="C25" s="474"/>
      <c r="D25" s="475"/>
      <c r="E25" s="574"/>
      <c r="F25" s="575"/>
      <c r="G25" s="575"/>
      <c r="H25" s="575"/>
      <c r="I25" s="575"/>
      <c r="J25" s="54" t="e">
        <f>IF(AND('Mapa final'!#REF!="Alta",'Mapa final'!#REF!="Leve"),CONCATENATE("R10C",'Mapa final'!#REF!),"")</f>
        <v>#REF!</v>
      </c>
      <c r="K25" s="55" t="e">
        <f>IF(AND('Mapa final'!#REF!="Alta",'Mapa final'!#REF!="Leve"),CONCATENATE("R10C",'Mapa final'!#REF!),"")</f>
        <v>#REF!</v>
      </c>
      <c r="L25" s="55" t="e">
        <f>IF(AND('Mapa final'!#REF!="Alta",'Mapa final'!#REF!="Leve"),CONCATENATE("R10C",'Mapa final'!#REF!),"")</f>
        <v>#REF!</v>
      </c>
      <c r="M25" s="55" t="e">
        <f>IF(AND('Mapa final'!#REF!="Alta",'Mapa final'!#REF!="Leve"),CONCATENATE("R10C",'Mapa final'!#REF!),"")</f>
        <v>#REF!</v>
      </c>
      <c r="N25" s="55" t="e">
        <f>IF(AND('Mapa final'!#REF!="Alta",'Mapa final'!#REF!="Leve"),CONCATENATE("R10C",'Mapa final'!#REF!),"")</f>
        <v>#REF!</v>
      </c>
      <c r="O25" s="56" t="e">
        <f>IF(AND('Mapa final'!#REF!="Alta",'Mapa final'!#REF!="Leve"),CONCATENATE("R10C",'Mapa final'!#REF!),"")</f>
        <v>#REF!</v>
      </c>
      <c r="P25" s="54" t="e">
        <f>IF(AND('Mapa final'!#REF!="Alta",'Mapa final'!#REF!="Menor"),CONCATENATE("R10C",'Mapa final'!#REF!),"")</f>
        <v>#REF!</v>
      </c>
      <c r="Q25" s="55" t="e">
        <f>IF(AND('Mapa final'!#REF!="Alta",'Mapa final'!#REF!="Menor"),CONCATENATE("R10C",'Mapa final'!#REF!),"")</f>
        <v>#REF!</v>
      </c>
      <c r="R25" s="55" t="e">
        <f>IF(AND('Mapa final'!#REF!="Alta",'Mapa final'!#REF!="Menor"),CONCATENATE("R10C",'Mapa final'!#REF!),"")</f>
        <v>#REF!</v>
      </c>
      <c r="S25" s="55" t="e">
        <f>IF(AND('Mapa final'!#REF!="Alta",'Mapa final'!#REF!="Menor"),CONCATENATE("R10C",'Mapa final'!#REF!),"")</f>
        <v>#REF!</v>
      </c>
      <c r="T25" s="55" t="e">
        <f>IF(AND('Mapa final'!#REF!="Alta",'Mapa final'!#REF!="Menor"),CONCATENATE("R10C",'Mapa final'!#REF!),"")</f>
        <v>#REF!</v>
      </c>
      <c r="U25" s="56" t="e">
        <f>IF(AND('Mapa final'!#REF!="Alta",'Mapa final'!#REF!="Menor"),CONCATENATE("R10C",'Mapa final'!#REF!),"")</f>
        <v>#REF!</v>
      </c>
      <c r="V25" s="42" t="e">
        <f>IF(AND('Mapa final'!#REF!="Alta",'Mapa final'!#REF!="Moderado"),CONCATENATE("R10C",'Mapa final'!#REF!),"")</f>
        <v>#REF!</v>
      </c>
      <c r="W25" s="43" t="e">
        <f>IF(AND('Mapa final'!#REF!="Alta",'Mapa final'!#REF!="Moderado"),CONCATENATE("R10C",'Mapa final'!#REF!),"")</f>
        <v>#REF!</v>
      </c>
      <c r="X25" s="43" t="e">
        <f>IF(AND('Mapa final'!#REF!="Alta",'Mapa final'!#REF!="Moderado"),CONCATENATE("R10C",'Mapa final'!#REF!),"")</f>
        <v>#REF!</v>
      </c>
      <c r="Y25" s="43" t="e">
        <f>IF(AND('Mapa final'!#REF!="Alta",'Mapa final'!#REF!="Moderado"),CONCATENATE("R10C",'Mapa final'!#REF!),"")</f>
        <v>#REF!</v>
      </c>
      <c r="Z25" s="43" t="e">
        <f>IF(AND('Mapa final'!#REF!="Alta",'Mapa final'!#REF!="Moderado"),CONCATENATE("R10C",'Mapa final'!#REF!),"")</f>
        <v>#REF!</v>
      </c>
      <c r="AA25" s="44" t="e">
        <f>IF(AND('Mapa final'!#REF!="Alta",'Mapa final'!#REF!="Moderado"),CONCATENATE("R10C",'Mapa final'!#REF!),"")</f>
        <v>#REF!</v>
      </c>
      <c r="AB25" s="42" t="e">
        <f>IF(AND('Mapa final'!#REF!="Alta",'Mapa final'!#REF!="Mayor"),CONCATENATE("R10C",'Mapa final'!#REF!),"")</f>
        <v>#REF!</v>
      </c>
      <c r="AC25" s="43" t="e">
        <f>IF(AND('Mapa final'!#REF!="Alta",'Mapa final'!#REF!="Mayor"),CONCATENATE("R10C",'Mapa final'!#REF!),"")</f>
        <v>#REF!</v>
      </c>
      <c r="AD25" s="43" t="e">
        <f>IF(AND('Mapa final'!#REF!="Alta",'Mapa final'!#REF!="Mayor"),CONCATENATE("R10C",'Mapa final'!#REF!),"")</f>
        <v>#REF!</v>
      </c>
      <c r="AE25" s="43" t="e">
        <f>IF(AND('Mapa final'!#REF!="Alta",'Mapa final'!#REF!="Mayor"),CONCATENATE("R10C",'Mapa final'!#REF!),"")</f>
        <v>#REF!</v>
      </c>
      <c r="AF25" s="43" t="e">
        <f>IF(AND('Mapa final'!#REF!="Alta",'Mapa final'!#REF!="Mayor"),CONCATENATE("R10C",'Mapa final'!#REF!),"")</f>
        <v>#REF!</v>
      </c>
      <c r="AG25" s="44" t="e">
        <f>IF(AND('Mapa final'!#REF!="Alta",'Mapa final'!#REF!="Mayor"),CONCATENATE("R10C",'Mapa final'!#REF!),"")</f>
        <v>#REF!</v>
      </c>
      <c r="AH25" s="45" t="e">
        <f>IF(AND('Mapa final'!#REF!="Alta",'Mapa final'!#REF!="Catastrófico"),CONCATENATE("R10C",'Mapa final'!#REF!),"")</f>
        <v>#REF!</v>
      </c>
      <c r="AI25" s="46" t="e">
        <f>IF(AND('Mapa final'!#REF!="Alta",'Mapa final'!#REF!="Catastrófico"),CONCATENATE("R10C",'Mapa final'!#REF!),"")</f>
        <v>#REF!</v>
      </c>
      <c r="AJ25" s="46" t="e">
        <f>IF(AND('Mapa final'!#REF!="Alta",'Mapa final'!#REF!="Catastrófico"),CONCATENATE("R10C",'Mapa final'!#REF!),"")</f>
        <v>#REF!</v>
      </c>
      <c r="AK25" s="46" t="e">
        <f>IF(AND('Mapa final'!#REF!="Alta",'Mapa final'!#REF!="Catastrófico"),CONCATENATE("R10C",'Mapa final'!#REF!),"")</f>
        <v>#REF!</v>
      </c>
      <c r="AL25" s="46" t="e">
        <f>IF(AND('Mapa final'!#REF!="Alta",'Mapa final'!#REF!="Catastrófico"),CONCATENATE("R10C",'Mapa final'!#REF!),"")</f>
        <v>#REF!</v>
      </c>
      <c r="AM25" s="47" t="e">
        <f>IF(AND('Mapa final'!#REF!="Alta",'Mapa final'!#REF!="Catastrófico"),CONCATENATE("R10C",'Mapa final'!#REF!),"")</f>
        <v>#REF!</v>
      </c>
      <c r="AN25" s="67"/>
      <c r="AO25" s="566"/>
      <c r="AP25" s="567"/>
      <c r="AQ25" s="567"/>
      <c r="AR25" s="567"/>
      <c r="AS25" s="567"/>
      <c r="AT25" s="568"/>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25">
      <c r="A26" s="67"/>
      <c r="B26" s="474"/>
      <c r="C26" s="474"/>
      <c r="D26" s="475"/>
      <c r="E26" s="569" t="s">
        <v>111</v>
      </c>
      <c r="F26" s="570"/>
      <c r="G26" s="570"/>
      <c r="H26" s="570"/>
      <c r="I26" s="587"/>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e">
        <f>IF(AND('Mapa final'!#REF!="Media",'Mapa final'!#REF!="Leve"),CONCATENATE("R1C",'Mapa final'!#REF!),"")</f>
        <v>#REF!</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e">
        <f>IF(AND('Mapa final'!#REF!="Media",'Mapa final'!#REF!="Menor"),CONCATENATE("R1C",'Mapa final'!#REF!),"")</f>
        <v>#REF!</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e">
        <f>IF(AND('Mapa final'!#REF!="Media",'Mapa final'!#REF!="Moderado"),CONCATENATE("R1C",'Mapa final'!#REF!),"")</f>
        <v>#REF!</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7"/>
      <c r="AO26" s="599" t="s">
        <v>79</v>
      </c>
      <c r="AP26" s="600"/>
      <c r="AQ26" s="600"/>
      <c r="AR26" s="600"/>
      <c r="AS26" s="600"/>
      <c r="AT26" s="601"/>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25">
      <c r="A27" s="67"/>
      <c r="B27" s="474"/>
      <c r="C27" s="474"/>
      <c r="D27" s="475"/>
      <c r="E27" s="571"/>
      <c r="F27" s="572"/>
      <c r="G27" s="572"/>
      <c r="H27" s="572"/>
      <c r="I27" s="588"/>
      <c r="J27" s="51" t="str">
        <f>IF(AND('Mapa final'!$AB$13="Media",'Mapa final'!$AD$13="Leve"),CONCATENATE("R2C",'Mapa final'!$R$13),"")</f>
        <v/>
      </c>
      <c r="K27" s="52" t="str">
        <f>IF(AND('Mapa final'!$AB$14="Media",'Mapa final'!$AD$14="Leve"),CONCATENATE("R2C",'Mapa final'!$R$14),"")</f>
        <v/>
      </c>
      <c r="L27" s="52" t="e">
        <f>IF(AND('Mapa final'!#REF!="Media",'Mapa final'!#REF!="Leve"),CONCATENATE("R2C",'Mapa final'!#REF!),"")</f>
        <v>#REF!</v>
      </c>
      <c r="M27" s="52" t="e">
        <f>IF(AND('Mapa final'!#REF!="Media",'Mapa final'!#REF!="Leve"),CONCATENATE("R2C",'Mapa final'!#REF!),"")</f>
        <v>#REF!</v>
      </c>
      <c r="N27" s="52" t="e">
        <f>IF(AND('Mapa final'!#REF!="Media",'Mapa final'!#REF!="Leve"),CONCATENATE("R2C",'Mapa final'!#REF!),"")</f>
        <v>#REF!</v>
      </c>
      <c r="O27" s="53" t="e">
        <f>IF(AND('Mapa final'!#REF!="Media",'Mapa final'!#REF!="Leve"),CONCATENATE("R2C",'Mapa final'!#REF!),"")</f>
        <v>#REF!</v>
      </c>
      <c r="P27" s="51" t="str">
        <f>IF(AND('Mapa final'!$AB$13="Media",'Mapa final'!$AD$13="Menor"),CONCATENATE("R2C",'Mapa final'!$R$13),"")</f>
        <v/>
      </c>
      <c r="Q27" s="52" t="str">
        <f>IF(AND('Mapa final'!$AB$14="Media",'Mapa final'!$AD$14="Menor"),CONCATENATE("R2C",'Mapa final'!$R$14),"")</f>
        <v/>
      </c>
      <c r="R27" s="52" t="e">
        <f>IF(AND('Mapa final'!#REF!="Media",'Mapa final'!#REF!="Menor"),CONCATENATE("R2C",'Mapa final'!#REF!),"")</f>
        <v>#REF!</v>
      </c>
      <c r="S27" s="52" t="e">
        <f>IF(AND('Mapa final'!#REF!="Media",'Mapa final'!#REF!="Menor"),CONCATENATE("R2C",'Mapa final'!#REF!),"")</f>
        <v>#REF!</v>
      </c>
      <c r="T27" s="52" t="e">
        <f>IF(AND('Mapa final'!#REF!="Media",'Mapa final'!#REF!="Menor"),CONCATENATE("R2C",'Mapa final'!#REF!),"")</f>
        <v>#REF!</v>
      </c>
      <c r="U27" s="53" t="e">
        <f>IF(AND('Mapa final'!#REF!="Media",'Mapa final'!#REF!="Menor"),CONCATENATE("R2C",'Mapa final'!#REF!),"")</f>
        <v>#REF!</v>
      </c>
      <c r="V27" s="51" t="str">
        <f>IF(AND('Mapa final'!$AB$13="Media",'Mapa final'!$AD$13="Moderado"),CONCATENATE("R2C",'Mapa final'!$R$13),"")</f>
        <v>R2C1</v>
      </c>
      <c r="W27" s="52" t="str">
        <f>IF(AND('Mapa final'!$AB$14="Media",'Mapa final'!$AD$14="Moderado"),CONCATENATE("R2C",'Mapa final'!$R$14),"")</f>
        <v>R2C2</v>
      </c>
      <c r="X27" s="52" t="e">
        <f>IF(AND('Mapa final'!#REF!="Media",'Mapa final'!#REF!="Moderado"),CONCATENATE("R2C",'Mapa final'!#REF!),"")</f>
        <v>#REF!</v>
      </c>
      <c r="Y27" s="52" t="e">
        <f>IF(AND('Mapa final'!#REF!="Media",'Mapa final'!#REF!="Moderado"),CONCATENATE("R2C",'Mapa final'!#REF!),"")</f>
        <v>#REF!</v>
      </c>
      <c r="Z27" s="52" t="e">
        <f>IF(AND('Mapa final'!#REF!="Media",'Mapa final'!#REF!="Moderado"),CONCATENATE("R2C",'Mapa final'!#REF!),"")</f>
        <v>#REF!</v>
      </c>
      <c r="AA27" s="53" t="e">
        <f>IF(AND('Mapa final'!#REF!="Media",'Mapa final'!#REF!="Moderado"),CONCATENATE("R2C",'Mapa final'!#REF!),"")</f>
        <v>#REF!</v>
      </c>
      <c r="AB27" s="36" t="str">
        <f>IF(AND('Mapa final'!$AB$13="Media",'Mapa final'!$AD$13="Mayor"),CONCATENATE("R2C",'Mapa final'!$R$13),"")</f>
        <v/>
      </c>
      <c r="AC27" s="37" t="str">
        <f>IF(AND('Mapa final'!$AB$14="Media",'Mapa final'!$AD$14="Mayor"),CONCATENATE("R2C",'Mapa final'!$R$14),"")</f>
        <v/>
      </c>
      <c r="AD27" s="37" t="e">
        <f>IF(AND('Mapa final'!#REF!="Media",'Mapa final'!#REF!="Mayor"),CONCATENATE("R2C",'Mapa final'!#REF!),"")</f>
        <v>#REF!</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str">
        <f>IF(AND('Mapa final'!$AB$13="Media",'Mapa final'!$AD$13="Catastrófico"),CONCATENATE("R2C",'Mapa final'!$R$13),"")</f>
        <v/>
      </c>
      <c r="AI27" s="40" t="str">
        <f>IF(AND('Mapa final'!$AB$14="Media",'Mapa final'!$AD$14="Catastrófico"),CONCATENATE("R2C",'Mapa final'!$R$14),"")</f>
        <v/>
      </c>
      <c r="AJ27" s="40" t="e">
        <f>IF(AND('Mapa final'!#REF!="Media",'Mapa final'!#REF!="Catastrófico"),CONCATENATE("R2C",'Mapa final'!#REF!),"")</f>
        <v>#REF!</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7"/>
      <c r="AO27" s="602"/>
      <c r="AP27" s="603"/>
      <c r="AQ27" s="603"/>
      <c r="AR27" s="603"/>
      <c r="AS27" s="603"/>
      <c r="AT27" s="604"/>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25">
      <c r="A28" s="67"/>
      <c r="B28" s="474"/>
      <c r="C28" s="474"/>
      <c r="D28" s="475"/>
      <c r="E28" s="573"/>
      <c r="F28" s="572"/>
      <c r="G28" s="572"/>
      <c r="H28" s="572"/>
      <c r="I28" s="588"/>
      <c r="J28" s="51" t="str">
        <f>IF(AND('Mapa final'!$AB$15="Media",'Mapa final'!$AD$15="Leve"),CONCATENATE("R3C",'Mapa final'!$R$15),"")</f>
        <v/>
      </c>
      <c r="K28" s="52" t="str">
        <f>IF(AND('Mapa final'!$AB$16="Media",'Mapa final'!$AD$16="Leve"),CONCATENATE("R3C",'Mapa final'!$R$16),"")</f>
        <v/>
      </c>
      <c r="L28" s="52" t="e">
        <f>IF(AND('Mapa final'!#REF!="Media",'Mapa final'!#REF!="Leve"),CONCATENATE("R3C",'Mapa final'!#REF!),"")</f>
        <v>#REF!</v>
      </c>
      <c r="M28" s="52" t="e">
        <f>IF(AND('Mapa final'!#REF!="Media",'Mapa final'!#REF!="Leve"),CONCATENATE("R3C",'Mapa final'!#REF!),"")</f>
        <v>#REF!</v>
      </c>
      <c r="N28" s="52" t="e">
        <f>IF(AND('Mapa final'!#REF!="Media",'Mapa final'!#REF!="Leve"),CONCATENATE("R3C",'Mapa final'!#REF!),"")</f>
        <v>#REF!</v>
      </c>
      <c r="O28" s="53" t="e">
        <f>IF(AND('Mapa final'!#REF!="Media",'Mapa final'!#REF!="Leve"),CONCATENATE("R3C",'Mapa final'!#REF!),"")</f>
        <v>#REF!</v>
      </c>
      <c r="P28" s="51" t="str">
        <f>IF(AND('Mapa final'!$AB$15="Media",'Mapa final'!$AD$15="Menor"),CONCATENATE("R3C",'Mapa final'!$R$15),"")</f>
        <v/>
      </c>
      <c r="Q28" s="52" t="str">
        <f>IF(AND('Mapa final'!$AB$16="Media",'Mapa final'!$AD$16="Menor"),CONCATENATE("R3C",'Mapa final'!$R$16),"")</f>
        <v/>
      </c>
      <c r="R28" s="52" t="e">
        <f>IF(AND('Mapa final'!#REF!="Media",'Mapa final'!#REF!="Menor"),CONCATENATE("R3C",'Mapa final'!#REF!),"")</f>
        <v>#REF!</v>
      </c>
      <c r="S28" s="52" t="e">
        <f>IF(AND('Mapa final'!#REF!="Media",'Mapa final'!#REF!="Menor"),CONCATENATE("R3C",'Mapa final'!#REF!),"")</f>
        <v>#REF!</v>
      </c>
      <c r="T28" s="52" t="e">
        <f>IF(AND('Mapa final'!#REF!="Media",'Mapa final'!#REF!="Menor"),CONCATENATE("R3C",'Mapa final'!#REF!),"")</f>
        <v>#REF!</v>
      </c>
      <c r="U28" s="53" t="e">
        <f>IF(AND('Mapa final'!#REF!="Media",'Mapa final'!#REF!="Menor"),CONCATENATE("R3C",'Mapa final'!#REF!),"")</f>
        <v>#REF!</v>
      </c>
      <c r="V28" s="51" t="str">
        <f>IF(AND('Mapa final'!$AB$15="Media",'Mapa final'!$AD$15="Moderado"),CONCATENATE("R3C",'Mapa final'!$R$15),"")</f>
        <v/>
      </c>
      <c r="W28" s="52" t="str">
        <f>IF(AND('Mapa final'!$AB$16="Media",'Mapa final'!$AD$16="Moderado"),CONCATENATE("R3C",'Mapa final'!$R$16),"")</f>
        <v/>
      </c>
      <c r="X28" s="52" t="e">
        <f>IF(AND('Mapa final'!#REF!="Media",'Mapa final'!#REF!="Moderado"),CONCATENATE("R3C",'Mapa final'!#REF!),"")</f>
        <v>#REF!</v>
      </c>
      <c r="Y28" s="52" t="e">
        <f>IF(AND('Mapa final'!#REF!="Media",'Mapa final'!#REF!="Moderado"),CONCATENATE("R3C",'Mapa final'!#REF!),"")</f>
        <v>#REF!</v>
      </c>
      <c r="Z28" s="52" t="e">
        <f>IF(AND('Mapa final'!#REF!="Media",'Mapa final'!#REF!="Moderado"),CONCATENATE("R3C",'Mapa final'!#REF!),"")</f>
        <v>#REF!</v>
      </c>
      <c r="AA28" s="53" t="e">
        <f>IF(AND('Mapa final'!#REF!="Media",'Mapa final'!#REF!="Moderado"),CONCATENATE("R3C",'Mapa final'!#REF!),"")</f>
        <v>#REF!</v>
      </c>
      <c r="AB28" s="36" t="str">
        <f>IF(AND('Mapa final'!$AB$15="Media",'Mapa final'!$AD$15="Mayor"),CONCATENATE("R3C",'Mapa final'!$R$15),"")</f>
        <v/>
      </c>
      <c r="AC28" s="37" t="str">
        <f>IF(AND('Mapa final'!$AB$16="Media",'Mapa final'!$AD$16="Mayor"),CONCATENATE("R3C",'Mapa final'!$R$16),"")</f>
        <v/>
      </c>
      <c r="AD28" s="37" t="e">
        <f>IF(AND('Mapa final'!#REF!="Media",'Mapa final'!#REF!="Mayor"),CONCATENATE("R3C",'Mapa final'!#REF!),"")</f>
        <v>#REF!</v>
      </c>
      <c r="AE28" s="37" t="e">
        <f>IF(AND('Mapa final'!#REF!="Media",'Mapa final'!#REF!="Mayor"),CONCATENATE("R3C",'Mapa final'!#REF!),"")</f>
        <v>#REF!</v>
      </c>
      <c r="AF28" s="37" t="e">
        <f>IF(AND('Mapa final'!#REF!="Media",'Mapa final'!#REF!="Mayor"),CONCATENATE("R3C",'Mapa final'!#REF!),"")</f>
        <v>#REF!</v>
      </c>
      <c r="AG28" s="38" t="e">
        <f>IF(AND('Mapa final'!#REF!="Media",'Mapa final'!#REF!="Mayor"),CONCATENATE("R3C",'Mapa final'!#REF!),"")</f>
        <v>#REF!</v>
      </c>
      <c r="AH28" s="39" t="str">
        <f>IF(AND('Mapa final'!$AB$15="Media",'Mapa final'!$AD$15="Catastrófico"),CONCATENATE("R3C",'Mapa final'!$R$15),"")</f>
        <v/>
      </c>
      <c r="AI28" s="40" t="str">
        <f>IF(AND('Mapa final'!$AB$16="Media",'Mapa final'!$AD$16="Catastrófico"),CONCATENATE("R3C",'Mapa final'!$R$16),"")</f>
        <v/>
      </c>
      <c r="AJ28" s="40" t="e">
        <f>IF(AND('Mapa final'!#REF!="Media",'Mapa final'!#REF!="Catastrófico"),CONCATENATE("R3C",'Mapa final'!#REF!),"")</f>
        <v>#REF!</v>
      </c>
      <c r="AK28" s="40" t="e">
        <f>IF(AND('Mapa final'!#REF!="Media",'Mapa final'!#REF!="Catastrófico"),CONCATENATE("R3C",'Mapa final'!#REF!),"")</f>
        <v>#REF!</v>
      </c>
      <c r="AL28" s="40" t="e">
        <f>IF(AND('Mapa final'!#REF!="Media",'Mapa final'!#REF!="Catastrófico"),CONCATENATE("R3C",'Mapa final'!#REF!),"")</f>
        <v>#REF!</v>
      </c>
      <c r="AM28" s="41" t="e">
        <f>IF(AND('Mapa final'!#REF!="Media",'Mapa final'!#REF!="Catastrófico"),CONCATENATE("R3C",'Mapa final'!#REF!),"")</f>
        <v>#REF!</v>
      </c>
      <c r="AN28" s="67"/>
      <c r="AO28" s="602"/>
      <c r="AP28" s="603"/>
      <c r="AQ28" s="603"/>
      <c r="AR28" s="603"/>
      <c r="AS28" s="603"/>
      <c r="AT28" s="604"/>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25">
      <c r="A29" s="67"/>
      <c r="B29" s="474"/>
      <c r="C29" s="474"/>
      <c r="D29" s="475"/>
      <c r="E29" s="573"/>
      <c r="F29" s="572"/>
      <c r="G29" s="572"/>
      <c r="H29" s="572"/>
      <c r="I29" s="588"/>
      <c r="J29" s="51" t="e">
        <f>IF(AND('Mapa final'!#REF!="Media",'Mapa final'!#REF!="Leve"),CONCATENATE("R4C",'Mapa final'!#REF!),"")</f>
        <v>#REF!</v>
      </c>
      <c r="K29" s="52" t="e">
        <f>IF(AND('Mapa final'!#REF!="Media",'Mapa final'!#REF!="Leve"),CONCATENATE("R4C",'Mapa final'!#REF!),"")</f>
        <v>#REF!</v>
      </c>
      <c r="L29" s="52" t="e">
        <f>IF(AND('Mapa final'!#REF!="Media",'Mapa final'!#REF!="Leve"),CONCATENATE("R4C",'Mapa final'!#REF!),"")</f>
        <v>#REF!</v>
      </c>
      <c r="M29" s="52" t="e">
        <f>IF(AND('Mapa final'!#REF!="Media",'Mapa final'!#REF!="Leve"),CONCATENATE("R4C",'Mapa final'!#REF!),"")</f>
        <v>#REF!</v>
      </c>
      <c r="N29" s="52" t="e">
        <f>IF(AND('Mapa final'!#REF!="Media",'Mapa final'!#REF!="Leve"),CONCATENATE("R4C",'Mapa final'!#REF!),"")</f>
        <v>#REF!</v>
      </c>
      <c r="O29" s="53" t="e">
        <f>IF(AND('Mapa final'!#REF!="Media",'Mapa final'!#REF!="Leve"),CONCATENATE("R4C",'Mapa final'!#REF!),"")</f>
        <v>#REF!</v>
      </c>
      <c r="P29" s="51" t="e">
        <f>IF(AND('Mapa final'!#REF!="Media",'Mapa final'!#REF!="Menor"),CONCATENATE("R4C",'Mapa final'!#REF!),"")</f>
        <v>#REF!</v>
      </c>
      <c r="Q29" s="52" t="e">
        <f>IF(AND('Mapa final'!#REF!="Media",'Mapa final'!#REF!="Menor"),CONCATENATE("R4C",'Mapa final'!#REF!),"")</f>
        <v>#REF!</v>
      </c>
      <c r="R29" s="52" t="e">
        <f>IF(AND('Mapa final'!#REF!="Media",'Mapa final'!#REF!="Menor"),CONCATENATE("R4C",'Mapa final'!#REF!),"")</f>
        <v>#REF!</v>
      </c>
      <c r="S29" s="52" t="e">
        <f>IF(AND('Mapa final'!#REF!="Media",'Mapa final'!#REF!="Menor"),CONCATENATE("R4C",'Mapa final'!#REF!),"")</f>
        <v>#REF!</v>
      </c>
      <c r="T29" s="52" t="e">
        <f>IF(AND('Mapa final'!#REF!="Media",'Mapa final'!#REF!="Menor"),CONCATENATE("R4C",'Mapa final'!#REF!),"")</f>
        <v>#REF!</v>
      </c>
      <c r="U29" s="53" t="e">
        <f>IF(AND('Mapa final'!#REF!="Media",'Mapa final'!#REF!="Menor"),CONCATENATE("R4C",'Mapa final'!#REF!),"")</f>
        <v>#REF!</v>
      </c>
      <c r="V29" s="51" t="e">
        <f>IF(AND('Mapa final'!#REF!="Media",'Mapa final'!#REF!="Moderado"),CONCATENATE("R4C",'Mapa final'!#REF!),"")</f>
        <v>#REF!</v>
      </c>
      <c r="W29" s="52" t="e">
        <f>IF(AND('Mapa final'!#REF!="Media",'Mapa final'!#REF!="Moderado"),CONCATENATE("R4C",'Mapa final'!#REF!),"")</f>
        <v>#REF!</v>
      </c>
      <c r="X29" s="52" t="e">
        <f>IF(AND('Mapa final'!#REF!="Media",'Mapa final'!#REF!="Moderado"),CONCATENATE("R4C",'Mapa final'!#REF!),"")</f>
        <v>#REF!</v>
      </c>
      <c r="Y29" s="52" t="e">
        <f>IF(AND('Mapa final'!#REF!="Media",'Mapa final'!#REF!="Moderado"),CONCATENATE("R4C",'Mapa final'!#REF!),"")</f>
        <v>#REF!</v>
      </c>
      <c r="Z29" s="52" t="e">
        <f>IF(AND('Mapa final'!#REF!="Media",'Mapa final'!#REF!="Moderado"),CONCATENATE("R4C",'Mapa final'!#REF!),"")</f>
        <v>#REF!</v>
      </c>
      <c r="AA29" s="53" t="e">
        <f>IF(AND('Mapa final'!#REF!="Media",'Mapa final'!#REF!="Moderado"),CONCATENATE("R4C",'Mapa final'!#REF!),"")</f>
        <v>#REF!</v>
      </c>
      <c r="AB29" s="36" t="e">
        <f>IF(AND('Mapa final'!#REF!="Media",'Mapa final'!#REF!="Mayor"),CONCATENATE("R4C",'Mapa final'!#REF!),"")</f>
        <v>#REF!</v>
      </c>
      <c r="AC29" s="37" t="e">
        <f>IF(AND('Mapa final'!#REF!="Media",'Mapa final'!#REF!="Mayor"),CONCATENATE("R4C",'Mapa final'!#REF!),"")</f>
        <v>#REF!</v>
      </c>
      <c r="AD29" s="37" t="e">
        <f>IF(AND('Mapa final'!#REF!="Media",'Mapa final'!#REF!="Mayor"),CONCATENATE("R4C",'Mapa final'!#REF!),"")</f>
        <v>#REF!</v>
      </c>
      <c r="AE29" s="37" t="e">
        <f>IF(AND('Mapa final'!#REF!="Media",'Mapa final'!#REF!="Mayor"),CONCATENATE("R4C",'Mapa final'!#REF!),"")</f>
        <v>#REF!</v>
      </c>
      <c r="AF29" s="37" t="e">
        <f>IF(AND('Mapa final'!#REF!="Media",'Mapa final'!#REF!="Mayor"),CONCATENATE("R4C",'Mapa final'!#REF!),"")</f>
        <v>#REF!</v>
      </c>
      <c r="AG29" s="38" t="e">
        <f>IF(AND('Mapa final'!#REF!="Media",'Mapa final'!#REF!="Mayor"),CONCATENATE("R4C",'Mapa final'!#REF!),"")</f>
        <v>#REF!</v>
      </c>
      <c r="AH29" s="39" t="e">
        <f>IF(AND('Mapa final'!#REF!="Media",'Mapa final'!#REF!="Catastrófico"),CONCATENATE("R4C",'Mapa final'!#REF!),"")</f>
        <v>#REF!</v>
      </c>
      <c r="AI29" s="40" t="e">
        <f>IF(AND('Mapa final'!#REF!="Media",'Mapa final'!#REF!="Catastrófico"),CONCATENATE("R4C",'Mapa final'!#REF!),"")</f>
        <v>#REF!</v>
      </c>
      <c r="AJ29" s="40" t="e">
        <f>IF(AND('Mapa final'!#REF!="Media",'Mapa final'!#REF!="Catastrófico"),CONCATENATE("R4C",'Mapa final'!#REF!),"")</f>
        <v>#REF!</v>
      </c>
      <c r="AK29" s="40" t="e">
        <f>IF(AND('Mapa final'!#REF!="Media",'Mapa final'!#REF!="Catastrófico"),CONCATENATE("R4C",'Mapa final'!#REF!),"")</f>
        <v>#REF!</v>
      </c>
      <c r="AL29" s="40" t="e">
        <f>IF(AND('Mapa final'!#REF!="Media",'Mapa final'!#REF!="Catastrófico"),CONCATENATE("R4C",'Mapa final'!#REF!),"")</f>
        <v>#REF!</v>
      </c>
      <c r="AM29" s="41" t="e">
        <f>IF(AND('Mapa final'!#REF!="Media",'Mapa final'!#REF!="Catastrófico"),CONCATENATE("R4C",'Mapa final'!#REF!),"")</f>
        <v>#REF!</v>
      </c>
      <c r="AN29" s="67"/>
      <c r="AO29" s="602"/>
      <c r="AP29" s="603"/>
      <c r="AQ29" s="603"/>
      <c r="AR29" s="603"/>
      <c r="AS29" s="603"/>
      <c r="AT29" s="604"/>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25">
      <c r="A30" s="67"/>
      <c r="B30" s="474"/>
      <c r="C30" s="474"/>
      <c r="D30" s="475"/>
      <c r="E30" s="573"/>
      <c r="F30" s="572"/>
      <c r="G30" s="572"/>
      <c r="H30" s="572"/>
      <c r="I30" s="588"/>
      <c r="J30" s="51" t="e">
        <f>IF(AND('Mapa final'!#REF!="Media",'Mapa final'!#REF!="Leve"),CONCATENATE("R5C",'Mapa final'!#REF!),"")</f>
        <v>#REF!</v>
      </c>
      <c r="K30" s="52" t="e">
        <f>IF(AND('Mapa final'!#REF!="Media",'Mapa final'!#REF!="Leve"),CONCATENATE("R5C",'Mapa final'!#REF!),"")</f>
        <v>#REF!</v>
      </c>
      <c r="L30" s="52" t="e">
        <f>IF(AND('Mapa final'!#REF!="Media",'Mapa final'!#REF!="Leve"),CONCATENATE("R5C",'Mapa final'!#REF!),"")</f>
        <v>#REF!</v>
      </c>
      <c r="M30" s="52" t="e">
        <f>IF(AND('Mapa final'!#REF!="Media",'Mapa final'!#REF!="Leve"),CONCATENATE("R5C",'Mapa final'!#REF!),"")</f>
        <v>#REF!</v>
      </c>
      <c r="N30" s="52" t="e">
        <f>IF(AND('Mapa final'!#REF!="Media",'Mapa final'!#REF!="Leve"),CONCATENATE("R5C",'Mapa final'!#REF!),"")</f>
        <v>#REF!</v>
      </c>
      <c r="O30" s="53" t="e">
        <f>IF(AND('Mapa final'!#REF!="Media",'Mapa final'!#REF!="Leve"),CONCATENATE("R5C",'Mapa final'!#REF!),"")</f>
        <v>#REF!</v>
      </c>
      <c r="P30" s="51" t="e">
        <f>IF(AND('Mapa final'!#REF!="Media",'Mapa final'!#REF!="Menor"),CONCATENATE("R5C",'Mapa final'!#REF!),"")</f>
        <v>#REF!</v>
      </c>
      <c r="Q30" s="52" t="e">
        <f>IF(AND('Mapa final'!#REF!="Media",'Mapa final'!#REF!="Menor"),CONCATENATE("R5C",'Mapa final'!#REF!),"")</f>
        <v>#REF!</v>
      </c>
      <c r="R30" s="52" t="e">
        <f>IF(AND('Mapa final'!#REF!="Media",'Mapa final'!#REF!="Menor"),CONCATENATE("R5C",'Mapa final'!#REF!),"")</f>
        <v>#REF!</v>
      </c>
      <c r="S30" s="52" t="e">
        <f>IF(AND('Mapa final'!#REF!="Media",'Mapa final'!#REF!="Menor"),CONCATENATE("R5C",'Mapa final'!#REF!),"")</f>
        <v>#REF!</v>
      </c>
      <c r="T30" s="52" t="e">
        <f>IF(AND('Mapa final'!#REF!="Media",'Mapa final'!#REF!="Menor"),CONCATENATE("R5C",'Mapa final'!#REF!),"")</f>
        <v>#REF!</v>
      </c>
      <c r="U30" s="53" t="e">
        <f>IF(AND('Mapa final'!#REF!="Media",'Mapa final'!#REF!="Menor"),CONCATENATE("R5C",'Mapa final'!#REF!),"")</f>
        <v>#REF!</v>
      </c>
      <c r="V30" s="51" t="e">
        <f>IF(AND('Mapa final'!#REF!="Media",'Mapa final'!#REF!="Moderado"),CONCATENATE("R5C",'Mapa final'!#REF!),"")</f>
        <v>#REF!</v>
      </c>
      <c r="W30" s="52" t="e">
        <f>IF(AND('Mapa final'!#REF!="Media",'Mapa final'!#REF!="Moderado"),CONCATENATE("R5C",'Mapa final'!#REF!),"")</f>
        <v>#REF!</v>
      </c>
      <c r="X30" s="52" t="e">
        <f>IF(AND('Mapa final'!#REF!="Media",'Mapa final'!#REF!="Moderado"),CONCATENATE("R5C",'Mapa final'!#REF!),"")</f>
        <v>#REF!</v>
      </c>
      <c r="Y30" s="52" t="e">
        <f>IF(AND('Mapa final'!#REF!="Media",'Mapa final'!#REF!="Moderado"),CONCATENATE("R5C",'Mapa final'!#REF!),"")</f>
        <v>#REF!</v>
      </c>
      <c r="Z30" s="52" t="e">
        <f>IF(AND('Mapa final'!#REF!="Media",'Mapa final'!#REF!="Moderado"),CONCATENATE("R5C",'Mapa final'!#REF!),"")</f>
        <v>#REF!</v>
      </c>
      <c r="AA30" s="53" t="e">
        <f>IF(AND('Mapa final'!#REF!="Media",'Mapa final'!#REF!="Moderado"),CONCATENATE("R5C",'Mapa final'!#REF!),"")</f>
        <v>#REF!</v>
      </c>
      <c r="AB30" s="36" t="e">
        <f>IF(AND('Mapa final'!#REF!="Media",'Mapa final'!#REF!="Mayor"),CONCATENATE("R5C",'Mapa final'!#REF!),"")</f>
        <v>#REF!</v>
      </c>
      <c r="AC30" s="37" t="e">
        <f>IF(AND('Mapa final'!#REF!="Media",'Mapa final'!#REF!="Mayor"),CONCATENATE("R5C",'Mapa final'!#REF!),"")</f>
        <v>#REF!</v>
      </c>
      <c r="AD30" s="37" t="e">
        <f>IF(AND('Mapa final'!#REF!="Media",'Mapa final'!#REF!="Mayor"),CONCATENATE("R5C",'Mapa final'!#REF!),"")</f>
        <v>#REF!</v>
      </c>
      <c r="AE30" s="37" t="e">
        <f>IF(AND('Mapa final'!#REF!="Media",'Mapa final'!#REF!="Mayor"),CONCATENATE("R5C",'Mapa final'!#REF!),"")</f>
        <v>#REF!</v>
      </c>
      <c r="AF30" s="37" t="e">
        <f>IF(AND('Mapa final'!#REF!="Media",'Mapa final'!#REF!="Mayor"),CONCATENATE("R5C",'Mapa final'!#REF!),"")</f>
        <v>#REF!</v>
      </c>
      <c r="AG30" s="38" t="e">
        <f>IF(AND('Mapa final'!#REF!="Media",'Mapa final'!#REF!="Mayor"),CONCATENATE("R5C",'Mapa final'!#REF!),"")</f>
        <v>#REF!</v>
      </c>
      <c r="AH30" s="39" t="e">
        <f>IF(AND('Mapa final'!#REF!="Media",'Mapa final'!#REF!="Catastrófico"),CONCATENATE("R5C",'Mapa final'!#REF!),"")</f>
        <v>#REF!</v>
      </c>
      <c r="AI30" s="40" t="e">
        <f>IF(AND('Mapa final'!#REF!="Media",'Mapa final'!#REF!="Catastrófico"),CONCATENATE("R5C",'Mapa final'!#REF!),"")</f>
        <v>#REF!</v>
      </c>
      <c r="AJ30" s="40" t="e">
        <f>IF(AND('Mapa final'!#REF!="Media",'Mapa final'!#REF!="Catastrófico"),CONCATENATE("R5C",'Mapa final'!#REF!),"")</f>
        <v>#REF!</v>
      </c>
      <c r="AK30" s="40" t="e">
        <f>IF(AND('Mapa final'!#REF!="Media",'Mapa final'!#REF!="Catastrófico"),CONCATENATE("R5C",'Mapa final'!#REF!),"")</f>
        <v>#REF!</v>
      </c>
      <c r="AL30" s="40" t="e">
        <f>IF(AND('Mapa final'!#REF!="Media",'Mapa final'!#REF!="Catastrófico"),CONCATENATE("R5C",'Mapa final'!#REF!),"")</f>
        <v>#REF!</v>
      </c>
      <c r="AM30" s="41" t="e">
        <f>IF(AND('Mapa final'!#REF!="Media",'Mapa final'!#REF!="Catastrófico"),CONCATENATE("R5C",'Mapa final'!#REF!),"")</f>
        <v>#REF!</v>
      </c>
      <c r="AN30" s="67"/>
      <c r="AO30" s="602"/>
      <c r="AP30" s="603"/>
      <c r="AQ30" s="603"/>
      <c r="AR30" s="603"/>
      <c r="AS30" s="603"/>
      <c r="AT30" s="604"/>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25">
      <c r="A31" s="67"/>
      <c r="B31" s="474"/>
      <c r="C31" s="474"/>
      <c r="D31" s="475"/>
      <c r="E31" s="573"/>
      <c r="F31" s="572"/>
      <c r="G31" s="572"/>
      <c r="H31" s="572"/>
      <c r="I31" s="588"/>
      <c r="J31" s="51" t="e">
        <f>IF(AND('Mapa final'!#REF!="Media",'Mapa final'!#REF!="Leve"),CONCATENATE("R6C",'Mapa final'!#REF!),"")</f>
        <v>#REF!</v>
      </c>
      <c r="K31" s="52" t="e">
        <f>IF(AND('Mapa final'!#REF!="Media",'Mapa final'!#REF!="Leve"),CONCATENATE("R6C",'Mapa final'!#REF!),"")</f>
        <v>#REF!</v>
      </c>
      <c r="L31" s="52" t="e">
        <f>IF(AND('Mapa final'!#REF!="Media",'Mapa final'!#REF!="Leve"),CONCATENATE("R6C",'Mapa final'!#REF!),"")</f>
        <v>#REF!</v>
      </c>
      <c r="M31" s="52" t="e">
        <f>IF(AND('Mapa final'!#REF!="Media",'Mapa final'!#REF!="Leve"),CONCATENATE("R6C",'Mapa final'!#REF!),"")</f>
        <v>#REF!</v>
      </c>
      <c r="N31" s="52" t="e">
        <f>IF(AND('Mapa final'!#REF!="Media",'Mapa final'!#REF!="Leve"),CONCATENATE("R6C",'Mapa final'!#REF!),"")</f>
        <v>#REF!</v>
      </c>
      <c r="O31" s="53" t="e">
        <f>IF(AND('Mapa final'!#REF!="Media",'Mapa final'!#REF!="Leve"),CONCATENATE("R6C",'Mapa final'!#REF!),"")</f>
        <v>#REF!</v>
      </c>
      <c r="P31" s="51" t="e">
        <f>IF(AND('Mapa final'!#REF!="Media",'Mapa final'!#REF!="Menor"),CONCATENATE("R6C",'Mapa final'!#REF!),"")</f>
        <v>#REF!</v>
      </c>
      <c r="Q31" s="52" t="e">
        <f>IF(AND('Mapa final'!#REF!="Media",'Mapa final'!#REF!="Menor"),CONCATENATE("R6C",'Mapa final'!#REF!),"")</f>
        <v>#REF!</v>
      </c>
      <c r="R31" s="52" t="e">
        <f>IF(AND('Mapa final'!#REF!="Media",'Mapa final'!#REF!="Menor"),CONCATENATE("R6C",'Mapa final'!#REF!),"")</f>
        <v>#REF!</v>
      </c>
      <c r="S31" s="52" t="e">
        <f>IF(AND('Mapa final'!#REF!="Media",'Mapa final'!#REF!="Menor"),CONCATENATE("R6C",'Mapa final'!#REF!),"")</f>
        <v>#REF!</v>
      </c>
      <c r="T31" s="52" t="e">
        <f>IF(AND('Mapa final'!#REF!="Media",'Mapa final'!#REF!="Menor"),CONCATENATE("R6C",'Mapa final'!#REF!),"")</f>
        <v>#REF!</v>
      </c>
      <c r="U31" s="53" t="e">
        <f>IF(AND('Mapa final'!#REF!="Media",'Mapa final'!#REF!="Menor"),CONCATENATE("R6C",'Mapa final'!#REF!),"")</f>
        <v>#REF!</v>
      </c>
      <c r="V31" s="51" t="e">
        <f>IF(AND('Mapa final'!#REF!="Media",'Mapa final'!#REF!="Moderado"),CONCATENATE("R6C",'Mapa final'!#REF!),"")</f>
        <v>#REF!</v>
      </c>
      <c r="W31" s="52" t="e">
        <f>IF(AND('Mapa final'!#REF!="Media",'Mapa final'!#REF!="Moderado"),CONCATENATE("R6C",'Mapa final'!#REF!),"")</f>
        <v>#REF!</v>
      </c>
      <c r="X31" s="52" t="e">
        <f>IF(AND('Mapa final'!#REF!="Media",'Mapa final'!#REF!="Moderado"),CONCATENATE("R6C",'Mapa final'!#REF!),"")</f>
        <v>#REF!</v>
      </c>
      <c r="Y31" s="52" t="e">
        <f>IF(AND('Mapa final'!#REF!="Media",'Mapa final'!#REF!="Moderado"),CONCATENATE("R6C",'Mapa final'!#REF!),"")</f>
        <v>#REF!</v>
      </c>
      <c r="Z31" s="52" t="e">
        <f>IF(AND('Mapa final'!#REF!="Media",'Mapa final'!#REF!="Moderado"),CONCATENATE("R6C",'Mapa final'!#REF!),"")</f>
        <v>#REF!</v>
      </c>
      <c r="AA31" s="53" t="e">
        <f>IF(AND('Mapa final'!#REF!="Media",'Mapa final'!#REF!="Moderado"),CONCATENATE("R6C",'Mapa final'!#REF!),"")</f>
        <v>#REF!</v>
      </c>
      <c r="AB31" s="36" t="e">
        <f>IF(AND('Mapa final'!#REF!="Media",'Mapa final'!#REF!="Mayor"),CONCATENATE("R6C",'Mapa final'!#REF!),"")</f>
        <v>#REF!</v>
      </c>
      <c r="AC31" s="37" t="e">
        <f>IF(AND('Mapa final'!#REF!="Media",'Mapa final'!#REF!="Mayor"),CONCATENATE("R6C",'Mapa final'!#REF!),"")</f>
        <v>#REF!</v>
      </c>
      <c r="AD31" s="37" t="e">
        <f>IF(AND('Mapa final'!#REF!="Media",'Mapa final'!#REF!="Mayor"),CONCATENATE("R6C",'Mapa final'!#REF!),"")</f>
        <v>#REF!</v>
      </c>
      <c r="AE31" s="37" t="e">
        <f>IF(AND('Mapa final'!#REF!="Media",'Mapa final'!#REF!="Mayor"),CONCATENATE("R6C",'Mapa final'!#REF!),"")</f>
        <v>#REF!</v>
      </c>
      <c r="AF31" s="37" t="e">
        <f>IF(AND('Mapa final'!#REF!="Media",'Mapa final'!#REF!="Mayor"),CONCATENATE("R6C",'Mapa final'!#REF!),"")</f>
        <v>#REF!</v>
      </c>
      <c r="AG31" s="38" t="e">
        <f>IF(AND('Mapa final'!#REF!="Media",'Mapa final'!#REF!="Mayor"),CONCATENATE("R6C",'Mapa final'!#REF!),"")</f>
        <v>#REF!</v>
      </c>
      <c r="AH31" s="39" t="e">
        <f>IF(AND('Mapa final'!#REF!="Media",'Mapa final'!#REF!="Catastrófico"),CONCATENATE("R6C",'Mapa final'!#REF!),"")</f>
        <v>#REF!</v>
      </c>
      <c r="AI31" s="40" t="e">
        <f>IF(AND('Mapa final'!#REF!="Media",'Mapa final'!#REF!="Catastrófico"),CONCATENATE("R6C",'Mapa final'!#REF!),"")</f>
        <v>#REF!</v>
      </c>
      <c r="AJ31" s="40" t="e">
        <f>IF(AND('Mapa final'!#REF!="Media",'Mapa final'!#REF!="Catastrófico"),CONCATENATE("R6C",'Mapa final'!#REF!),"")</f>
        <v>#REF!</v>
      </c>
      <c r="AK31" s="40" t="e">
        <f>IF(AND('Mapa final'!#REF!="Media",'Mapa final'!#REF!="Catastrófico"),CONCATENATE("R6C",'Mapa final'!#REF!),"")</f>
        <v>#REF!</v>
      </c>
      <c r="AL31" s="40" t="e">
        <f>IF(AND('Mapa final'!#REF!="Media",'Mapa final'!#REF!="Catastrófico"),CONCATENATE("R6C",'Mapa final'!#REF!),"")</f>
        <v>#REF!</v>
      </c>
      <c r="AM31" s="41" t="e">
        <f>IF(AND('Mapa final'!#REF!="Media",'Mapa final'!#REF!="Catastrófico"),CONCATENATE("R6C",'Mapa final'!#REF!),"")</f>
        <v>#REF!</v>
      </c>
      <c r="AN31" s="67"/>
      <c r="AO31" s="602"/>
      <c r="AP31" s="603"/>
      <c r="AQ31" s="603"/>
      <c r="AR31" s="603"/>
      <c r="AS31" s="603"/>
      <c r="AT31" s="604"/>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25">
      <c r="A32" s="67"/>
      <c r="B32" s="474"/>
      <c r="C32" s="474"/>
      <c r="D32" s="475"/>
      <c r="E32" s="573"/>
      <c r="F32" s="572"/>
      <c r="G32" s="572"/>
      <c r="H32" s="572"/>
      <c r="I32" s="588"/>
      <c r="J32" s="51" t="e">
        <f>IF(AND('Mapa final'!#REF!="Media",'Mapa final'!#REF!="Leve"),CONCATENATE("R7C",'Mapa final'!#REF!),"")</f>
        <v>#REF!</v>
      </c>
      <c r="K32" s="52" t="e">
        <f>IF(AND('Mapa final'!#REF!="Media",'Mapa final'!#REF!="Leve"),CONCATENATE("R7C",'Mapa final'!#REF!),"")</f>
        <v>#REF!</v>
      </c>
      <c r="L32" s="52" t="e">
        <f>IF(AND('Mapa final'!#REF!="Media",'Mapa final'!#REF!="Leve"),CONCATENATE("R7C",'Mapa final'!#REF!),"")</f>
        <v>#REF!</v>
      </c>
      <c r="M32" s="52" t="e">
        <f>IF(AND('Mapa final'!#REF!="Media",'Mapa final'!#REF!="Leve"),CONCATENATE("R7C",'Mapa final'!#REF!),"")</f>
        <v>#REF!</v>
      </c>
      <c r="N32" s="52" t="e">
        <f>IF(AND('Mapa final'!#REF!="Media",'Mapa final'!#REF!="Leve"),CONCATENATE("R7C",'Mapa final'!#REF!),"")</f>
        <v>#REF!</v>
      </c>
      <c r="O32" s="53" t="e">
        <f>IF(AND('Mapa final'!#REF!="Media",'Mapa final'!#REF!="Leve"),CONCATENATE("R7C",'Mapa final'!#REF!),"")</f>
        <v>#REF!</v>
      </c>
      <c r="P32" s="51" t="e">
        <f>IF(AND('Mapa final'!#REF!="Media",'Mapa final'!#REF!="Menor"),CONCATENATE("R7C",'Mapa final'!#REF!),"")</f>
        <v>#REF!</v>
      </c>
      <c r="Q32" s="52" t="e">
        <f>IF(AND('Mapa final'!#REF!="Media",'Mapa final'!#REF!="Menor"),CONCATENATE("R7C",'Mapa final'!#REF!),"")</f>
        <v>#REF!</v>
      </c>
      <c r="R32" s="52" t="e">
        <f>IF(AND('Mapa final'!#REF!="Media",'Mapa final'!#REF!="Menor"),CONCATENATE("R7C",'Mapa final'!#REF!),"")</f>
        <v>#REF!</v>
      </c>
      <c r="S32" s="52" t="e">
        <f>IF(AND('Mapa final'!#REF!="Media",'Mapa final'!#REF!="Menor"),CONCATENATE("R7C",'Mapa final'!#REF!),"")</f>
        <v>#REF!</v>
      </c>
      <c r="T32" s="52" t="e">
        <f>IF(AND('Mapa final'!#REF!="Media",'Mapa final'!#REF!="Menor"),CONCATENATE("R7C",'Mapa final'!#REF!),"")</f>
        <v>#REF!</v>
      </c>
      <c r="U32" s="53" t="e">
        <f>IF(AND('Mapa final'!#REF!="Media",'Mapa final'!#REF!="Menor"),CONCATENATE("R7C",'Mapa final'!#REF!),"")</f>
        <v>#REF!</v>
      </c>
      <c r="V32" s="51" t="e">
        <f>IF(AND('Mapa final'!#REF!="Media",'Mapa final'!#REF!="Moderado"),CONCATENATE("R7C",'Mapa final'!#REF!),"")</f>
        <v>#REF!</v>
      </c>
      <c r="W32" s="52" t="e">
        <f>IF(AND('Mapa final'!#REF!="Media",'Mapa final'!#REF!="Moderado"),CONCATENATE("R7C",'Mapa final'!#REF!),"")</f>
        <v>#REF!</v>
      </c>
      <c r="X32" s="52" t="e">
        <f>IF(AND('Mapa final'!#REF!="Media",'Mapa final'!#REF!="Moderado"),CONCATENATE("R7C",'Mapa final'!#REF!),"")</f>
        <v>#REF!</v>
      </c>
      <c r="Y32" s="52" t="e">
        <f>IF(AND('Mapa final'!#REF!="Media",'Mapa final'!#REF!="Moderado"),CONCATENATE("R7C",'Mapa final'!#REF!),"")</f>
        <v>#REF!</v>
      </c>
      <c r="Z32" s="52" t="e">
        <f>IF(AND('Mapa final'!#REF!="Media",'Mapa final'!#REF!="Moderado"),CONCATENATE("R7C",'Mapa final'!#REF!),"")</f>
        <v>#REF!</v>
      </c>
      <c r="AA32" s="53" t="e">
        <f>IF(AND('Mapa final'!#REF!="Media",'Mapa final'!#REF!="Moderado"),CONCATENATE("R7C",'Mapa final'!#REF!),"")</f>
        <v>#REF!</v>
      </c>
      <c r="AB32" s="36" t="e">
        <f>IF(AND('Mapa final'!#REF!="Media",'Mapa final'!#REF!="Mayor"),CONCATENATE("R7C",'Mapa final'!#REF!),"")</f>
        <v>#REF!</v>
      </c>
      <c r="AC32" s="37" t="e">
        <f>IF(AND('Mapa final'!#REF!="Media",'Mapa final'!#REF!="Mayor"),CONCATENATE("R7C",'Mapa final'!#REF!),"")</f>
        <v>#REF!</v>
      </c>
      <c r="AD32" s="37" t="e">
        <f>IF(AND('Mapa final'!#REF!="Media",'Mapa final'!#REF!="Mayor"),CONCATENATE("R7C",'Mapa final'!#REF!),"")</f>
        <v>#REF!</v>
      </c>
      <c r="AE32" s="37" t="e">
        <f>IF(AND('Mapa final'!#REF!="Media",'Mapa final'!#REF!="Mayor"),CONCATENATE("R7C",'Mapa final'!#REF!),"")</f>
        <v>#REF!</v>
      </c>
      <c r="AF32" s="37" t="e">
        <f>IF(AND('Mapa final'!#REF!="Media",'Mapa final'!#REF!="Mayor"),CONCATENATE("R7C",'Mapa final'!#REF!),"")</f>
        <v>#REF!</v>
      </c>
      <c r="AG32" s="38" t="e">
        <f>IF(AND('Mapa final'!#REF!="Media",'Mapa final'!#REF!="Mayor"),CONCATENATE("R7C",'Mapa final'!#REF!),"")</f>
        <v>#REF!</v>
      </c>
      <c r="AH32" s="39" t="e">
        <f>IF(AND('Mapa final'!#REF!="Media",'Mapa final'!#REF!="Catastrófico"),CONCATENATE("R7C",'Mapa final'!#REF!),"")</f>
        <v>#REF!</v>
      </c>
      <c r="AI32" s="40" t="e">
        <f>IF(AND('Mapa final'!#REF!="Media",'Mapa final'!#REF!="Catastrófico"),CONCATENATE("R7C",'Mapa final'!#REF!),"")</f>
        <v>#REF!</v>
      </c>
      <c r="AJ32" s="40" t="e">
        <f>IF(AND('Mapa final'!#REF!="Media",'Mapa final'!#REF!="Catastrófico"),CONCATENATE("R7C",'Mapa final'!#REF!),"")</f>
        <v>#REF!</v>
      </c>
      <c r="AK32" s="40" t="e">
        <f>IF(AND('Mapa final'!#REF!="Media",'Mapa final'!#REF!="Catastrófico"),CONCATENATE("R7C",'Mapa final'!#REF!),"")</f>
        <v>#REF!</v>
      </c>
      <c r="AL32" s="40" t="e">
        <f>IF(AND('Mapa final'!#REF!="Media",'Mapa final'!#REF!="Catastrófico"),CONCATENATE("R7C",'Mapa final'!#REF!),"")</f>
        <v>#REF!</v>
      </c>
      <c r="AM32" s="41" t="e">
        <f>IF(AND('Mapa final'!#REF!="Media",'Mapa final'!#REF!="Catastrófico"),CONCATENATE("R7C",'Mapa final'!#REF!),"")</f>
        <v>#REF!</v>
      </c>
      <c r="AN32" s="67"/>
      <c r="AO32" s="602"/>
      <c r="AP32" s="603"/>
      <c r="AQ32" s="603"/>
      <c r="AR32" s="603"/>
      <c r="AS32" s="603"/>
      <c r="AT32" s="604"/>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25">
      <c r="A33" s="67"/>
      <c r="B33" s="474"/>
      <c r="C33" s="474"/>
      <c r="D33" s="475"/>
      <c r="E33" s="573"/>
      <c r="F33" s="572"/>
      <c r="G33" s="572"/>
      <c r="H33" s="572"/>
      <c r="I33" s="588"/>
      <c r="J33" s="51" t="e">
        <f>IF(AND('Mapa final'!#REF!="Media",'Mapa final'!#REF!="Leve"),CONCATENATE("R8C",'Mapa final'!#REF!),"")</f>
        <v>#REF!</v>
      </c>
      <c r="K33" s="52" t="e">
        <f>IF(AND('Mapa final'!#REF!="Media",'Mapa final'!#REF!="Leve"),CONCATENATE("R8C",'Mapa final'!#REF!),"")</f>
        <v>#REF!</v>
      </c>
      <c r="L33" s="52" t="e">
        <f>IF(AND('Mapa final'!#REF!="Media",'Mapa final'!#REF!="Leve"),CONCATENATE("R8C",'Mapa final'!#REF!),"")</f>
        <v>#REF!</v>
      </c>
      <c r="M33" s="52" t="e">
        <f>IF(AND('Mapa final'!#REF!="Media",'Mapa final'!#REF!="Leve"),CONCATENATE("R8C",'Mapa final'!#REF!),"")</f>
        <v>#REF!</v>
      </c>
      <c r="N33" s="52" t="e">
        <f>IF(AND('Mapa final'!#REF!="Media",'Mapa final'!#REF!="Leve"),CONCATENATE("R8C",'Mapa final'!#REF!),"")</f>
        <v>#REF!</v>
      </c>
      <c r="O33" s="53" t="e">
        <f>IF(AND('Mapa final'!#REF!="Media",'Mapa final'!#REF!="Leve"),CONCATENATE("R8C",'Mapa final'!#REF!),"")</f>
        <v>#REF!</v>
      </c>
      <c r="P33" s="51" t="e">
        <f>IF(AND('Mapa final'!#REF!="Media",'Mapa final'!#REF!="Menor"),CONCATENATE("R8C",'Mapa final'!#REF!),"")</f>
        <v>#REF!</v>
      </c>
      <c r="Q33" s="52" t="e">
        <f>IF(AND('Mapa final'!#REF!="Media",'Mapa final'!#REF!="Menor"),CONCATENATE("R8C",'Mapa final'!#REF!),"")</f>
        <v>#REF!</v>
      </c>
      <c r="R33" s="52" t="e">
        <f>IF(AND('Mapa final'!#REF!="Media",'Mapa final'!#REF!="Menor"),CONCATENATE("R8C",'Mapa final'!#REF!),"")</f>
        <v>#REF!</v>
      </c>
      <c r="S33" s="52" t="e">
        <f>IF(AND('Mapa final'!#REF!="Media",'Mapa final'!#REF!="Menor"),CONCATENATE("R8C",'Mapa final'!#REF!),"")</f>
        <v>#REF!</v>
      </c>
      <c r="T33" s="52" t="e">
        <f>IF(AND('Mapa final'!#REF!="Media",'Mapa final'!#REF!="Menor"),CONCATENATE("R8C",'Mapa final'!#REF!),"")</f>
        <v>#REF!</v>
      </c>
      <c r="U33" s="53" t="e">
        <f>IF(AND('Mapa final'!#REF!="Media",'Mapa final'!#REF!="Menor"),CONCATENATE("R8C",'Mapa final'!#REF!),"")</f>
        <v>#REF!</v>
      </c>
      <c r="V33" s="51" t="e">
        <f>IF(AND('Mapa final'!#REF!="Media",'Mapa final'!#REF!="Moderado"),CONCATENATE("R8C",'Mapa final'!#REF!),"")</f>
        <v>#REF!</v>
      </c>
      <c r="W33" s="52" t="e">
        <f>IF(AND('Mapa final'!#REF!="Media",'Mapa final'!#REF!="Moderado"),CONCATENATE("R8C",'Mapa final'!#REF!),"")</f>
        <v>#REF!</v>
      </c>
      <c r="X33" s="52" t="e">
        <f>IF(AND('Mapa final'!#REF!="Media",'Mapa final'!#REF!="Moderado"),CONCATENATE("R8C",'Mapa final'!#REF!),"")</f>
        <v>#REF!</v>
      </c>
      <c r="Y33" s="52" t="e">
        <f>IF(AND('Mapa final'!#REF!="Media",'Mapa final'!#REF!="Moderado"),CONCATENATE("R8C",'Mapa final'!#REF!),"")</f>
        <v>#REF!</v>
      </c>
      <c r="Z33" s="52" t="e">
        <f>IF(AND('Mapa final'!#REF!="Media",'Mapa final'!#REF!="Moderado"),CONCATENATE("R8C",'Mapa final'!#REF!),"")</f>
        <v>#REF!</v>
      </c>
      <c r="AA33" s="53" t="e">
        <f>IF(AND('Mapa final'!#REF!="Media",'Mapa final'!#REF!="Moderado"),CONCATENATE("R8C",'Mapa final'!#REF!),"")</f>
        <v>#REF!</v>
      </c>
      <c r="AB33" s="36" t="e">
        <f>IF(AND('Mapa final'!#REF!="Media",'Mapa final'!#REF!="Mayor"),CONCATENATE("R8C",'Mapa final'!#REF!),"")</f>
        <v>#REF!</v>
      </c>
      <c r="AC33" s="37" t="e">
        <f>IF(AND('Mapa final'!#REF!="Media",'Mapa final'!#REF!="Mayor"),CONCATENATE("R8C",'Mapa final'!#REF!),"")</f>
        <v>#REF!</v>
      </c>
      <c r="AD33" s="37" t="e">
        <f>IF(AND('Mapa final'!#REF!="Media",'Mapa final'!#REF!="Mayor"),CONCATENATE("R8C",'Mapa final'!#REF!),"")</f>
        <v>#REF!</v>
      </c>
      <c r="AE33" s="37" t="e">
        <f>IF(AND('Mapa final'!#REF!="Media",'Mapa final'!#REF!="Mayor"),CONCATENATE("R8C",'Mapa final'!#REF!),"")</f>
        <v>#REF!</v>
      </c>
      <c r="AF33" s="37" t="e">
        <f>IF(AND('Mapa final'!#REF!="Media",'Mapa final'!#REF!="Mayor"),CONCATENATE("R8C",'Mapa final'!#REF!),"")</f>
        <v>#REF!</v>
      </c>
      <c r="AG33" s="38" t="e">
        <f>IF(AND('Mapa final'!#REF!="Media",'Mapa final'!#REF!="Mayor"),CONCATENATE("R8C",'Mapa final'!#REF!),"")</f>
        <v>#REF!</v>
      </c>
      <c r="AH33" s="39" t="e">
        <f>IF(AND('Mapa final'!#REF!="Media",'Mapa final'!#REF!="Catastrófico"),CONCATENATE("R8C",'Mapa final'!#REF!),"")</f>
        <v>#REF!</v>
      </c>
      <c r="AI33" s="40" t="e">
        <f>IF(AND('Mapa final'!#REF!="Media",'Mapa final'!#REF!="Catastrófico"),CONCATENATE("R8C",'Mapa final'!#REF!),"")</f>
        <v>#REF!</v>
      </c>
      <c r="AJ33" s="40" t="e">
        <f>IF(AND('Mapa final'!#REF!="Media",'Mapa final'!#REF!="Catastrófico"),CONCATENATE("R8C",'Mapa final'!#REF!),"")</f>
        <v>#REF!</v>
      </c>
      <c r="AK33" s="40" t="e">
        <f>IF(AND('Mapa final'!#REF!="Media",'Mapa final'!#REF!="Catastrófico"),CONCATENATE("R8C",'Mapa final'!#REF!),"")</f>
        <v>#REF!</v>
      </c>
      <c r="AL33" s="40" t="e">
        <f>IF(AND('Mapa final'!#REF!="Media",'Mapa final'!#REF!="Catastrófico"),CONCATENATE("R8C",'Mapa final'!#REF!),"")</f>
        <v>#REF!</v>
      </c>
      <c r="AM33" s="41" t="e">
        <f>IF(AND('Mapa final'!#REF!="Media",'Mapa final'!#REF!="Catastrófico"),CONCATENATE("R8C",'Mapa final'!#REF!),"")</f>
        <v>#REF!</v>
      </c>
      <c r="AN33" s="67"/>
      <c r="AO33" s="602"/>
      <c r="AP33" s="603"/>
      <c r="AQ33" s="603"/>
      <c r="AR33" s="603"/>
      <c r="AS33" s="603"/>
      <c r="AT33" s="604"/>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25">
      <c r="A34" s="67"/>
      <c r="B34" s="474"/>
      <c r="C34" s="474"/>
      <c r="D34" s="475"/>
      <c r="E34" s="573"/>
      <c r="F34" s="572"/>
      <c r="G34" s="572"/>
      <c r="H34" s="572"/>
      <c r="I34" s="588"/>
      <c r="J34" s="51" t="e">
        <f>IF(AND('Mapa final'!#REF!="Media",'Mapa final'!#REF!="Leve"),CONCATENATE("R9C",'Mapa final'!#REF!),"")</f>
        <v>#REF!</v>
      </c>
      <c r="K34" s="52" t="e">
        <f>IF(AND('Mapa final'!#REF!="Media",'Mapa final'!#REF!="Leve"),CONCATENATE("R9C",'Mapa final'!#REF!),"")</f>
        <v>#REF!</v>
      </c>
      <c r="L34" s="52" t="e">
        <f>IF(AND('Mapa final'!#REF!="Media",'Mapa final'!#REF!="Leve"),CONCATENATE("R9C",'Mapa final'!#REF!),"")</f>
        <v>#REF!</v>
      </c>
      <c r="M34" s="52" t="e">
        <f>IF(AND('Mapa final'!#REF!="Media",'Mapa final'!#REF!="Leve"),CONCATENATE("R9C",'Mapa final'!#REF!),"")</f>
        <v>#REF!</v>
      </c>
      <c r="N34" s="52" t="e">
        <f>IF(AND('Mapa final'!#REF!="Media",'Mapa final'!#REF!="Leve"),CONCATENATE("R9C",'Mapa final'!#REF!),"")</f>
        <v>#REF!</v>
      </c>
      <c r="O34" s="53" t="e">
        <f>IF(AND('Mapa final'!#REF!="Media",'Mapa final'!#REF!="Leve"),CONCATENATE("R9C",'Mapa final'!#REF!),"")</f>
        <v>#REF!</v>
      </c>
      <c r="P34" s="51" t="e">
        <f>IF(AND('Mapa final'!#REF!="Media",'Mapa final'!#REF!="Menor"),CONCATENATE("R9C",'Mapa final'!#REF!),"")</f>
        <v>#REF!</v>
      </c>
      <c r="Q34" s="52" t="e">
        <f>IF(AND('Mapa final'!#REF!="Media",'Mapa final'!#REF!="Menor"),CONCATENATE("R9C",'Mapa final'!#REF!),"")</f>
        <v>#REF!</v>
      </c>
      <c r="R34" s="52" t="e">
        <f>IF(AND('Mapa final'!#REF!="Media",'Mapa final'!#REF!="Menor"),CONCATENATE("R9C",'Mapa final'!#REF!),"")</f>
        <v>#REF!</v>
      </c>
      <c r="S34" s="52" t="e">
        <f>IF(AND('Mapa final'!#REF!="Media",'Mapa final'!#REF!="Menor"),CONCATENATE("R9C",'Mapa final'!#REF!),"")</f>
        <v>#REF!</v>
      </c>
      <c r="T34" s="52" t="e">
        <f>IF(AND('Mapa final'!#REF!="Media",'Mapa final'!#REF!="Menor"),CONCATENATE("R9C",'Mapa final'!#REF!),"")</f>
        <v>#REF!</v>
      </c>
      <c r="U34" s="53" t="e">
        <f>IF(AND('Mapa final'!#REF!="Media",'Mapa final'!#REF!="Menor"),CONCATENATE("R9C",'Mapa final'!#REF!),"")</f>
        <v>#REF!</v>
      </c>
      <c r="V34" s="51" t="e">
        <f>IF(AND('Mapa final'!#REF!="Media",'Mapa final'!#REF!="Moderado"),CONCATENATE("R9C",'Mapa final'!#REF!),"")</f>
        <v>#REF!</v>
      </c>
      <c r="W34" s="52" t="e">
        <f>IF(AND('Mapa final'!#REF!="Media",'Mapa final'!#REF!="Moderado"),CONCATENATE("R9C",'Mapa final'!#REF!),"")</f>
        <v>#REF!</v>
      </c>
      <c r="X34" s="52" t="e">
        <f>IF(AND('Mapa final'!#REF!="Media",'Mapa final'!#REF!="Moderado"),CONCATENATE("R9C",'Mapa final'!#REF!),"")</f>
        <v>#REF!</v>
      </c>
      <c r="Y34" s="52" t="e">
        <f>IF(AND('Mapa final'!#REF!="Media",'Mapa final'!#REF!="Moderado"),CONCATENATE("R9C",'Mapa final'!#REF!),"")</f>
        <v>#REF!</v>
      </c>
      <c r="Z34" s="52" t="e">
        <f>IF(AND('Mapa final'!#REF!="Media",'Mapa final'!#REF!="Moderado"),CONCATENATE("R9C",'Mapa final'!#REF!),"")</f>
        <v>#REF!</v>
      </c>
      <c r="AA34" s="53" t="e">
        <f>IF(AND('Mapa final'!#REF!="Media",'Mapa final'!#REF!="Moderado"),CONCATENATE("R9C",'Mapa final'!#REF!),"")</f>
        <v>#REF!</v>
      </c>
      <c r="AB34" s="36" t="e">
        <f>IF(AND('Mapa final'!#REF!="Media",'Mapa final'!#REF!="Mayor"),CONCATENATE("R9C",'Mapa final'!#REF!),"")</f>
        <v>#REF!</v>
      </c>
      <c r="AC34" s="37" t="e">
        <f>IF(AND('Mapa final'!#REF!="Media",'Mapa final'!#REF!="Mayor"),CONCATENATE("R9C",'Mapa final'!#REF!),"")</f>
        <v>#REF!</v>
      </c>
      <c r="AD34" s="37" t="e">
        <f>IF(AND('Mapa final'!#REF!="Media",'Mapa final'!#REF!="Mayor"),CONCATENATE("R9C",'Mapa final'!#REF!),"")</f>
        <v>#REF!</v>
      </c>
      <c r="AE34" s="37" t="e">
        <f>IF(AND('Mapa final'!#REF!="Media",'Mapa final'!#REF!="Mayor"),CONCATENATE("R9C",'Mapa final'!#REF!),"")</f>
        <v>#REF!</v>
      </c>
      <c r="AF34" s="37" t="e">
        <f>IF(AND('Mapa final'!#REF!="Media",'Mapa final'!#REF!="Mayor"),CONCATENATE("R9C",'Mapa final'!#REF!),"")</f>
        <v>#REF!</v>
      </c>
      <c r="AG34" s="38" t="e">
        <f>IF(AND('Mapa final'!#REF!="Media",'Mapa final'!#REF!="Mayor"),CONCATENATE("R9C",'Mapa final'!#REF!),"")</f>
        <v>#REF!</v>
      </c>
      <c r="AH34" s="39" t="e">
        <f>IF(AND('Mapa final'!#REF!="Media",'Mapa final'!#REF!="Catastrófico"),CONCATENATE("R9C",'Mapa final'!#REF!),"")</f>
        <v>#REF!</v>
      </c>
      <c r="AI34" s="40" t="e">
        <f>IF(AND('Mapa final'!#REF!="Media",'Mapa final'!#REF!="Catastrófico"),CONCATENATE("R9C",'Mapa final'!#REF!),"")</f>
        <v>#REF!</v>
      </c>
      <c r="AJ34" s="40" t="e">
        <f>IF(AND('Mapa final'!#REF!="Media",'Mapa final'!#REF!="Catastrófico"),CONCATENATE("R9C",'Mapa final'!#REF!),"")</f>
        <v>#REF!</v>
      </c>
      <c r="AK34" s="40" t="e">
        <f>IF(AND('Mapa final'!#REF!="Media",'Mapa final'!#REF!="Catastrófico"),CONCATENATE("R9C",'Mapa final'!#REF!),"")</f>
        <v>#REF!</v>
      </c>
      <c r="AL34" s="40" t="e">
        <f>IF(AND('Mapa final'!#REF!="Media",'Mapa final'!#REF!="Catastrófico"),CONCATENATE("R9C",'Mapa final'!#REF!),"")</f>
        <v>#REF!</v>
      </c>
      <c r="AM34" s="41" t="e">
        <f>IF(AND('Mapa final'!#REF!="Media",'Mapa final'!#REF!="Catastrófico"),CONCATENATE("R9C",'Mapa final'!#REF!),"")</f>
        <v>#REF!</v>
      </c>
      <c r="AN34" s="67"/>
      <c r="AO34" s="602"/>
      <c r="AP34" s="603"/>
      <c r="AQ34" s="603"/>
      <c r="AR34" s="603"/>
      <c r="AS34" s="603"/>
      <c r="AT34" s="604"/>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
      <c r="A35" s="67"/>
      <c r="B35" s="474"/>
      <c r="C35" s="474"/>
      <c r="D35" s="475"/>
      <c r="E35" s="574"/>
      <c r="F35" s="575"/>
      <c r="G35" s="575"/>
      <c r="H35" s="575"/>
      <c r="I35" s="589"/>
      <c r="J35" s="51" t="e">
        <f>IF(AND('Mapa final'!#REF!="Media",'Mapa final'!#REF!="Leve"),CONCATENATE("R10C",'Mapa final'!#REF!),"")</f>
        <v>#REF!</v>
      </c>
      <c r="K35" s="52" t="e">
        <f>IF(AND('Mapa final'!#REF!="Media",'Mapa final'!#REF!="Leve"),CONCATENATE("R10C",'Mapa final'!#REF!),"")</f>
        <v>#REF!</v>
      </c>
      <c r="L35" s="52" t="e">
        <f>IF(AND('Mapa final'!#REF!="Media",'Mapa final'!#REF!="Leve"),CONCATENATE("R10C",'Mapa final'!#REF!),"")</f>
        <v>#REF!</v>
      </c>
      <c r="M35" s="52" t="e">
        <f>IF(AND('Mapa final'!#REF!="Media",'Mapa final'!#REF!="Leve"),CONCATENATE("R10C",'Mapa final'!#REF!),"")</f>
        <v>#REF!</v>
      </c>
      <c r="N35" s="52" t="e">
        <f>IF(AND('Mapa final'!#REF!="Media",'Mapa final'!#REF!="Leve"),CONCATENATE("R10C",'Mapa final'!#REF!),"")</f>
        <v>#REF!</v>
      </c>
      <c r="O35" s="53" t="e">
        <f>IF(AND('Mapa final'!#REF!="Media",'Mapa final'!#REF!="Leve"),CONCATENATE("R10C",'Mapa final'!#REF!),"")</f>
        <v>#REF!</v>
      </c>
      <c r="P35" s="51" t="e">
        <f>IF(AND('Mapa final'!#REF!="Media",'Mapa final'!#REF!="Menor"),CONCATENATE("R10C",'Mapa final'!#REF!),"")</f>
        <v>#REF!</v>
      </c>
      <c r="Q35" s="52" t="e">
        <f>IF(AND('Mapa final'!#REF!="Media",'Mapa final'!#REF!="Menor"),CONCATENATE("R10C",'Mapa final'!#REF!),"")</f>
        <v>#REF!</v>
      </c>
      <c r="R35" s="52" t="e">
        <f>IF(AND('Mapa final'!#REF!="Media",'Mapa final'!#REF!="Menor"),CONCATENATE("R10C",'Mapa final'!#REF!),"")</f>
        <v>#REF!</v>
      </c>
      <c r="S35" s="52" t="e">
        <f>IF(AND('Mapa final'!#REF!="Media",'Mapa final'!#REF!="Menor"),CONCATENATE("R10C",'Mapa final'!#REF!),"")</f>
        <v>#REF!</v>
      </c>
      <c r="T35" s="52" t="e">
        <f>IF(AND('Mapa final'!#REF!="Media",'Mapa final'!#REF!="Menor"),CONCATENATE("R10C",'Mapa final'!#REF!),"")</f>
        <v>#REF!</v>
      </c>
      <c r="U35" s="53" t="e">
        <f>IF(AND('Mapa final'!#REF!="Media",'Mapa final'!#REF!="Menor"),CONCATENATE("R10C",'Mapa final'!#REF!),"")</f>
        <v>#REF!</v>
      </c>
      <c r="V35" s="51" t="e">
        <f>IF(AND('Mapa final'!#REF!="Media",'Mapa final'!#REF!="Moderado"),CONCATENATE("R10C",'Mapa final'!#REF!),"")</f>
        <v>#REF!</v>
      </c>
      <c r="W35" s="52" t="e">
        <f>IF(AND('Mapa final'!#REF!="Media",'Mapa final'!#REF!="Moderado"),CONCATENATE("R10C",'Mapa final'!#REF!),"")</f>
        <v>#REF!</v>
      </c>
      <c r="X35" s="52" t="e">
        <f>IF(AND('Mapa final'!#REF!="Media",'Mapa final'!#REF!="Moderado"),CONCATENATE("R10C",'Mapa final'!#REF!),"")</f>
        <v>#REF!</v>
      </c>
      <c r="Y35" s="52" t="e">
        <f>IF(AND('Mapa final'!#REF!="Media",'Mapa final'!#REF!="Moderado"),CONCATENATE("R10C",'Mapa final'!#REF!),"")</f>
        <v>#REF!</v>
      </c>
      <c r="Z35" s="52" t="e">
        <f>IF(AND('Mapa final'!#REF!="Media",'Mapa final'!#REF!="Moderado"),CONCATENATE("R10C",'Mapa final'!#REF!),"")</f>
        <v>#REF!</v>
      </c>
      <c r="AA35" s="53" t="e">
        <f>IF(AND('Mapa final'!#REF!="Media",'Mapa final'!#REF!="Moderado"),CONCATENATE("R10C",'Mapa final'!#REF!),"")</f>
        <v>#REF!</v>
      </c>
      <c r="AB35" s="42" t="e">
        <f>IF(AND('Mapa final'!#REF!="Media",'Mapa final'!#REF!="Mayor"),CONCATENATE("R10C",'Mapa final'!#REF!),"")</f>
        <v>#REF!</v>
      </c>
      <c r="AC35" s="43" t="e">
        <f>IF(AND('Mapa final'!#REF!="Media",'Mapa final'!#REF!="Mayor"),CONCATENATE("R10C",'Mapa final'!#REF!),"")</f>
        <v>#REF!</v>
      </c>
      <c r="AD35" s="43" t="e">
        <f>IF(AND('Mapa final'!#REF!="Media",'Mapa final'!#REF!="Mayor"),CONCATENATE("R10C",'Mapa final'!#REF!),"")</f>
        <v>#REF!</v>
      </c>
      <c r="AE35" s="43" t="e">
        <f>IF(AND('Mapa final'!#REF!="Media",'Mapa final'!#REF!="Mayor"),CONCATENATE("R10C",'Mapa final'!#REF!),"")</f>
        <v>#REF!</v>
      </c>
      <c r="AF35" s="43" t="e">
        <f>IF(AND('Mapa final'!#REF!="Media",'Mapa final'!#REF!="Mayor"),CONCATENATE("R10C",'Mapa final'!#REF!),"")</f>
        <v>#REF!</v>
      </c>
      <c r="AG35" s="44" t="e">
        <f>IF(AND('Mapa final'!#REF!="Media",'Mapa final'!#REF!="Mayor"),CONCATENATE("R10C",'Mapa final'!#REF!),"")</f>
        <v>#REF!</v>
      </c>
      <c r="AH35" s="45" t="e">
        <f>IF(AND('Mapa final'!#REF!="Media",'Mapa final'!#REF!="Catastrófico"),CONCATENATE("R10C",'Mapa final'!#REF!),"")</f>
        <v>#REF!</v>
      </c>
      <c r="AI35" s="46" t="e">
        <f>IF(AND('Mapa final'!#REF!="Media",'Mapa final'!#REF!="Catastrófico"),CONCATENATE("R10C",'Mapa final'!#REF!),"")</f>
        <v>#REF!</v>
      </c>
      <c r="AJ35" s="46" t="e">
        <f>IF(AND('Mapa final'!#REF!="Media",'Mapa final'!#REF!="Catastrófico"),CONCATENATE("R10C",'Mapa final'!#REF!),"")</f>
        <v>#REF!</v>
      </c>
      <c r="AK35" s="46" t="e">
        <f>IF(AND('Mapa final'!#REF!="Media",'Mapa final'!#REF!="Catastrófico"),CONCATENATE("R10C",'Mapa final'!#REF!),"")</f>
        <v>#REF!</v>
      </c>
      <c r="AL35" s="46" t="e">
        <f>IF(AND('Mapa final'!#REF!="Media",'Mapa final'!#REF!="Catastrófico"),CONCATENATE("R10C",'Mapa final'!#REF!),"")</f>
        <v>#REF!</v>
      </c>
      <c r="AM35" s="47" t="e">
        <f>IF(AND('Mapa final'!#REF!="Media",'Mapa final'!#REF!="Catastrófico"),CONCATENATE("R10C",'Mapa final'!#REF!),"")</f>
        <v>#REF!</v>
      </c>
      <c r="AN35" s="67"/>
      <c r="AO35" s="605"/>
      <c r="AP35" s="606"/>
      <c r="AQ35" s="606"/>
      <c r="AR35" s="606"/>
      <c r="AS35" s="606"/>
      <c r="AT35" s="60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25">
      <c r="A36" s="67"/>
      <c r="B36" s="474"/>
      <c r="C36" s="474"/>
      <c r="D36" s="475"/>
      <c r="E36" s="569" t="s">
        <v>108</v>
      </c>
      <c r="F36" s="570"/>
      <c r="G36" s="570"/>
      <c r="H36" s="570"/>
      <c r="I36" s="570"/>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e">
        <f>IF(AND('Mapa final'!#REF!="Baja",'Mapa final'!#REF!="Leve"),CONCATENATE("R1C",'Mapa final'!#REF!),"")</f>
        <v>#REF!</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e">
        <f>IF(AND('Mapa final'!#REF!="Baja",'Mapa final'!#REF!="Menor"),CONCATENATE("R1C",'Mapa final'!#REF!),"")</f>
        <v>#REF!</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e">
        <f>IF(AND('Mapa final'!#REF!="Baja",'Mapa final'!#REF!="Moderado"),CONCATENATE("R1C",'Mapa final'!#REF!),"")</f>
        <v>#REF!</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R1C1</v>
      </c>
      <c r="AC36" s="31" t="str">
        <f>IF(AND('Mapa final'!$AB$11="Baja",'Mapa final'!$AD$11="Mayor"),CONCATENATE("R1C",'Mapa final'!$R$11),"")</f>
        <v>R1C2</v>
      </c>
      <c r="AD36" s="31" t="str">
        <f>IF(AND('Mapa final'!$AB$12="Baja",'Mapa final'!$AD$12="Mayor"),CONCATENATE("R1C",'Mapa final'!$R$12),"")</f>
        <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7"/>
      <c r="AO36" s="590" t="s">
        <v>80</v>
      </c>
      <c r="AP36" s="591"/>
      <c r="AQ36" s="591"/>
      <c r="AR36" s="591"/>
      <c r="AS36" s="591"/>
      <c r="AT36" s="592"/>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25">
      <c r="A37" s="67"/>
      <c r="B37" s="474"/>
      <c r="C37" s="474"/>
      <c r="D37" s="475"/>
      <c r="E37" s="571"/>
      <c r="F37" s="572"/>
      <c r="G37" s="572"/>
      <c r="H37" s="572"/>
      <c r="I37" s="572"/>
      <c r="J37" s="60" t="str">
        <f>IF(AND('Mapa final'!$AB$13="Baja",'Mapa final'!$AD$13="Leve"),CONCATENATE("R2C",'Mapa final'!$R$13),"")</f>
        <v/>
      </c>
      <c r="K37" s="61" t="str">
        <f>IF(AND('Mapa final'!$AB$14="Baja",'Mapa final'!$AD$14="Leve"),CONCATENATE("R2C",'Mapa final'!$R$14),"")</f>
        <v/>
      </c>
      <c r="L37" s="61" t="e">
        <f>IF(AND('Mapa final'!#REF!="Baja",'Mapa final'!#REF!="Leve"),CONCATENATE("R2C",'Mapa final'!#REF!),"")</f>
        <v>#REF!</v>
      </c>
      <c r="M37" s="61" t="e">
        <f>IF(AND('Mapa final'!#REF!="Baja",'Mapa final'!#REF!="Leve"),CONCATENATE("R2C",'Mapa final'!#REF!),"")</f>
        <v>#REF!</v>
      </c>
      <c r="N37" s="61" t="e">
        <f>IF(AND('Mapa final'!#REF!="Baja",'Mapa final'!#REF!="Leve"),CONCATENATE("R2C",'Mapa final'!#REF!),"")</f>
        <v>#REF!</v>
      </c>
      <c r="O37" s="62" t="e">
        <f>IF(AND('Mapa final'!#REF!="Baja",'Mapa final'!#REF!="Leve"),CONCATENATE("R2C",'Mapa final'!#REF!),"")</f>
        <v>#REF!</v>
      </c>
      <c r="P37" s="51" t="str">
        <f>IF(AND('Mapa final'!$AB$13="Baja",'Mapa final'!$AD$13="Menor"),CONCATENATE("R2C",'Mapa final'!$R$13),"")</f>
        <v/>
      </c>
      <c r="Q37" s="52" t="str">
        <f>IF(AND('Mapa final'!$AB$14="Baja",'Mapa final'!$AD$14="Menor"),CONCATENATE("R2C",'Mapa final'!$R$14),"")</f>
        <v/>
      </c>
      <c r="R37" s="52" t="e">
        <f>IF(AND('Mapa final'!#REF!="Baja",'Mapa final'!#REF!="Menor"),CONCATENATE("R2C",'Mapa final'!#REF!),"")</f>
        <v>#REF!</v>
      </c>
      <c r="S37" s="52" t="e">
        <f>IF(AND('Mapa final'!#REF!="Baja",'Mapa final'!#REF!="Menor"),CONCATENATE("R2C",'Mapa final'!#REF!),"")</f>
        <v>#REF!</v>
      </c>
      <c r="T37" s="52" t="e">
        <f>IF(AND('Mapa final'!#REF!="Baja",'Mapa final'!#REF!="Menor"),CONCATENATE("R2C",'Mapa final'!#REF!),"")</f>
        <v>#REF!</v>
      </c>
      <c r="U37" s="53" t="e">
        <f>IF(AND('Mapa final'!#REF!="Baja",'Mapa final'!#REF!="Menor"),CONCATENATE("R2C",'Mapa final'!#REF!),"")</f>
        <v>#REF!</v>
      </c>
      <c r="V37" s="51" t="str">
        <f>IF(AND('Mapa final'!$AB$13="Baja",'Mapa final'!$AD$13="Moderado"),CONCATENATE("R2C",'Mapa final'!$R$13),"")</f>
        <v/>
      </c>
      <c r="W37" s="52" t="str">
        <f>IF(AND('Mapa final'!$AB$14="Baja",'Mapa final'!$AD$14="Moderado"),CONCATENATE("R2C",'Mapa final'!$R$14),"")</f>
        <v/>
      </c>
      <c r="X37" s="52" t="e">
        <f>IF(AND('Mapa final'!#REF!="Baja",'Mapa final'!#REF!="Moderado"),CONCATENATE("R2C",'Mapa final'!#REF!),"")</f>
        <v>#REF!</v>
      </c>
      <c r="Y37" s="52" t="e">
        <f>IF(AND('Mapa final'!#REF!="Baja",'Mapa final'!#REF!="Moderado"),CONCATENATE("R2C",'Mapa final'!#REF!),"")</f>
        <v>#REF!</v>
      </c>
      <c r="Z37" s="52" t="e">
        <f>IF(AND('Mapa final'!#REF!="Baja",'Mapa final'!#REF!="Moderado"),CONCATENATE("R2C",'Mapa final'!#REF!),"")</f>
        <v>#REF!</v>
      </c>
      <c r="AA37" s="53" t="e">
        <f>IF(AND('Mapa final'!#REF!="Baja",'Mapa final'!#REF!="Moderado"),CONCATENATE("R2C",'Mapa final'!#REF!),"")</f>
        <v>#REF!</v>
      </c>
      <c r="AB37" s="36" t="str">
        <f>IF(AND('Mapa final'!$AB$13="Baja",'Mapa final'!$AD$13="Mayor"),CONCATENATE("R2C",'Mapa final'!$R$13),"")</f>
        <v/>
      </c>
      <c r="AC37" s="37" t="str">
        <f>IF(AND('Mapa final'!$AB$14="Baja",'Mapa final'!$AD$14="Mayor"),CONCATENATE("R2C",'Mapa final'!$R$14),"")</f>
        <v/>
      </c>
      <c r="AD37" s="37" t="e">
        <f>IF(AND('Mapa final'!#REF!="Baja",'Mapa final'!#REF!="Mayor"),CONCATENATE("R2C",'Mapa final'!#REF!),"")</f>
        <v>#REF!</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str">
        <f>IF(AND('Mapa final'!$AB$13="Baja",'Mapa final'!$AD$13="Catastrófico"),CONCATENATE("R2C",'Mapa final'!$R$13),"")</f>
        <v/>
      </c>
      <c r="AI37" s="40" t="str">
        <f>IF(AND('Mapa final'!$AB$14="Baja",'Mapa final'!$AD$14="Catastrófico"),CONCATENATE("R2C",'Mapa final'!$R$14),"")</f>
        <v/>
      </c>
      <c r="AJ37" s="40" t="e">
        <f>IF(AND('Mapa final'!#REF!="Baja",'Mapa final'!#REF!="Catastrófico"),CONCATENATE("R2C",'Mapa final'!#REF!),"")</f>
        <v>#REF!</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7"/>
      <c r="AO37" s="593"/>
      <c r="AP37" s="594"/>
      <c r="AQ37" s="594"/>
      <c r="AR37" s="594"/>
      <c r="AS37" s="594"/>
      <c r="AT37" s="595"/>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25">
      <c r="A38" s="67"/>
      <c r="B38" s="474"/>
      <c r="C38" s="474"/>
      <c r="D38" s="475"/>
      <c r="E38" s="573"/>
      <c r="F38" s="572"/>
      <c r="G38" s="572"/>
      <c r="H38" s="572"/>
      <c r="I38" s="572"/>
      <c r="J38" s="60" t="str">
        <f>IF(AND('Mapa final'!$AB$15="Baja",'Mapa final'!$AD$15="Leve"),CONCATENATE("R3C",'Mapa final'!$R$15),"")</f>
        <v/>
      </c>
      <c r="K38" s="61" t="str">
        <f>IF(AND('Mapa final'!$AB$16="Baja",'Mapa final'!$AD$16="Leve"),CONCATENATE("R3C",'Mapa final'!$R$16),"")</f>
        <v/>
      </c>
      <c r="L38" s="61" t="e">
        <f>IF(AND('Mapa final'!#REF!="Baja",'Mapa final'!#REF!="Leve"),CONCATENATE("R3C",'Mapa final'!#REF!),"")</f>
        <v>#REF!</v>
      </c>
      <c r="M38" s="61" t="e">
        <f>IF(AND('Mapa final'!#REF!="Baja",'Mapa final'!#REF!="Leve"),CONCATENATE("R3C",'Mapa final'!#REF!),"")</f>
        <v>#REF!</v>
      </c>
      <c r="N38" s="61" t="e">
        <f>IF(AND('Mapa final'!#REF!="Baja",'Mapa final'!#REF!="Leve"),CONCATENATE("R3C",'Mapa final'!#REF!),"")</f>
        <v>#REF!</v>
      </c>
      <c r="O38" s="62" t="e">
        <f>IF(AND('Mapa final'!#REF!="Baja",'Mapa final'!#REF!="Leve"),CONCATENATE("R3C",'Mapa final'!#REF!),"")</f>
        <v>#REF!</v>
      </c>
      <c r="P38" s="51" t="str">
        <f>IF(AND('Mapa final'!$AB$15="Baja",'Mapa final'!$AD$15="Menor"),CONCATENATE("R3C",'Mapa final'!$R$15),"")</f>
        <v/>
      </c>
      <c r="Q38" s="52" t="str">
        <f>IF(AND('Mapa final'!$AB$16="Baja",'Mapa final'!$AD$16="Menor"),CONCATENATE("R3C",'Mapa final'!$R$16),"")</f>
        <v/>
      </c>
      <c r="R38" s="52" t="e">
        <f>IF(AND('Mapa final'!#REF!="Baja",'Mapa final'!#REF!="Menor"),CONCATENATE("R3C",'Mapa final'!#REF!),"")</f>
        <v>#REF!</v>
      </c>
      <c r="S38" s="52" t="e">
        <f>IF(AND('Mapa final'!#REF!="Baja",'Mapa final'!#REF!="Menor"),CONCATENATE("R3C",'Mapa final'!#REF!),"")</f>
        <v>#REF!</v>
      </c>
      <c r="T38" s="52" t="e">
        <f>IF(AND('Mapa final'!#REF!="Baja",'Mapa final'!#REF!="Menor"),CONCATENATE("R3C",'Mapa final'!#REF!),"")</f>
        <v>#REF!</v>
      </c>
      <c r="U38" s="53" t="e">
        <f>IF(AND('Mapa final'!#REF!="Baja",'Mapa final'!#REF!="Menor"),CONCATENATE("R3C",'Mapa final'!#REF!),"")</f>
        <v>#REF!</v>
      </c>
      <c r="V38" s="51" t="str">
        <f>IF(AND('Mapa final'!$AB$15="Baja",'Mapa final'!$AD$15="Moderado"),CONCATENATE("R3C",'Mapa final'!$R$15),"")</f>
        <v/>
      </c>
      <c r="W38" s="52" t="str">
        <f>IF(AND('Mapa final'!$AB$16="Baja",'Mapa final'!$AD$16="Moderado"),CONCATENATE("R3C",'Mapa final'!$R$16),"")</f>
        <v/>
      </c>
      <c r="X38" s="52" t="e">
        <f>IF(AND('Mapa final'!#REF!="Baja",'Mapa final'!#REF!="Moderado"),CONCATENATE("R3C",'Mapa final'!#REF!),"")</f>
        <v>#REF!</v>
      </c>
      <c r="Y38" s="52" t="e">
        <f>IF(AND('Mapa final'!#REF!="Baja",'Mapa final'!#REF!="Moderado"),CONCATENATE("R3C",'Mapa final'!#REF!),"")</f>
        <v>#REF!</v>
      </c>
      <c r="Z38" s="52" t="e">
        <f>IF(AND('Mapa final'!#REF!="Baja",'Mapa final'!#REF!="Moderado"),CONCATENATE("R3C",'Mapa final'!#REF!),"")</f>
        <v>#REF!</v>
      </c>
      <c r="AA38" s="53" t="e">
        <f>IF(AND('Mapa final'!#REF!="Baja",'Mapa final'!#REF!="Moderado"),CONCATENATE("R3C",'Mapa final'!#REF!),"")</f>
        <v>#REF!</v>
      </c>
      <c r="AB38" s="36" t="str">
        <f>IF(AND('Mapa final'!$AB$15="Baja",'Mapa final'!$AD$15="Mayor"),CONCATENATE("R3C",'Mapa final'!$R$15),"")</f>
        <v/>
      </c>
      <c r="AC38" s="37" t="str">
        <f>IF(AND('Mapa final'!$AB$16="Baja",'Mapa final'!$AD$16="Mayor"),CONCATENATE("R3C",'Mapa final'!$R$16),"")</f>
        <v/>
      </c>
      <c r="AD38" s="37" t="e">
        <f>IF(AND('Mapa final'!#REF!="Baja",'Mapa final'!#REF!="Mayor"),CONCATENATE("R3C",'Mapa final'!#REF!),"")</f>
        <v>#REF!</v>
      </c>
      <c r="AE38" s="37" t="e">
        <f>IF(AND('Mapa final'!#REF!="Baja",'Mapa final'!#REF!="Mayor"),CONCATENATE("R3C",'Mapa final'!#REF!),"")</f>
        <v>#REF!</v>
      </c>
      <c r="AF38" s="37" t="e">
        <f>IF(AND('Mapa final'!#REF!="Baja",'Mapa final'!#REF!="Mayor"),CONCATENATE("R3C",'Mapa final'!#REF!),"")</f>
        <v>#REF!</v>
      </c>
      <c r="AG38" s="38" t="e">
        <f>IF(AND('Mapa final'!#REF!="Baja",'Mapa final'!#REF!="Mayor"),CONCATENATE("R3C",'Mapa final'!#REF!),"")</f>
        <v>#REF!</v>
      </c>
      <c r="AH38" s="39" t="str">
        <f>IF(AND('Mapa final'!$AB$15="Baja",'Mapa final'!$AD$15="Catastrófico"),CONCATENATE("R3C",'Mapa final'!$R$15),"")</f>
        <v/>
      </c>
      <c r="AI38" s="40" t="str">
        <f>IF(AND('Mapa final'!$AB$16="Baja",'Mapa final'!$AD$16="Catastrófico"),CONCATENATE("R3C",'Mapa final'!$R$16),"")</f>
        <v/>
      </c>
      <c r="AJ38" s="40" t="e">
        <f>IF(AND('Mapa final'!#REF!="Baja",'Mapa final'!#REF!="Catastrófico"),CONCATENATE("R3C",'Mapa final'!#REF!),"")</f>
        <v>#REF!</v>
      </c>
      <c r="AK38" s="40" t="e">
        <f>IF(AND('Mapa final'!#REF!="Baja",'Mapa final'!#REF!="Catastrófico"),CONCATENATE("R3C",'Mapa final'!#REF!),"")</f>
        <v>#REF!</v>
      </c>
      <c r="AL38" s="40" t="e">
        <f>IF(AND('Mapa final'!#REF!="Baja",'Mapa final'!#REF!="Catastrófico"),CONCATENATE("R3C",'Mapa final'!#REF!),"")</f>
        <v>#REF!</v>
      </c>
      <c r="AM38" s="41" t="e">
        <f>IF(AND('Mapa final'!#REF!="Baja",'Mapa final'!#REF!="Catastrófico"),CONCATENATE("R3C",'Mapa final'!#REF!),"")</f>
        <v>#REF!</v>
      </c>
      <c r="AN38" s="67"/>
      <c r="AO38" s="593"/>
      <c r="AP38" s="594"/>
      <c r="AQ38" s="594"/>
      <c r="AR38" s="594"/>
      <c r="AS38" s="594"/>
      <c r="AT38" s="595"/>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25">
      <c r="A39" s="67"/>
      <c r="B39" s="474"/>
      <c r="C39" s="474"/>
      <c r="D39" s="475"/>
      <c r="E39" s="573"/>
      <c r="F39" s="572"/>
      <c r="G39" s="572"/>
      <c r="H39" s="572"/>
      <c r="I39" s="572"/>
      <c r="J39" s="60" t="e">
        <f>IF(AND('Mapa final'!#REF!="Baja",'Mapa final'!#REF!="Leve"),CONCATENATE("R4C",'Mapa final'!#REF!),"")</f>
        <v>#REF!</v>
      </c>
      <c r="K39" s="61" t="e">
        <f>IF(AND('Mapa final'!#REF!="Baja",'Mapa final'!#REF!="Leve"),CONCATENATE("R4C",'Mapa final'!#REF!),"")</f>
        <v>#REF!</v>
      </c>
      <c r="L39" s="61" t="e">
        <f>IF(AND('Mapa final'!#REF!="Baja",'Mapa final'!#REF!="Leve"),CONCATENATE("R4C",'Mapa final'!#REF!),"")</f>
        <v>#REF!</v>
      </c>
      <c r="M39" s="61" t="e">
        <f>IF(AND('Mapa final'!#REF!="Baja",'Mapa final'!#REF!="Leve"),CONCATENATE("R4C",'Mapa final'!#REF!),"")</f>
        <v>#REF!</v>
      </c>
      <c r="N39" s="61" t="e">
        <f>IF(AND('Mapa final'!#REF!="Baja",'Mapa final'!#REF!="Leve"),CONCATENATE("R4C",'Mapa final'!#REF!),"")</f>
        <v>#REF!</v>
      </c>
      <c r="O39" s="62" t="e">
        <f>IF(AND('Mapa final'!#REF!="Baja",'Mapa final'!#REF!="Leve"),CONCATENATE("R4C",'Mapa final'!#REF!),"")</f>
        <v>#REF!</v>
      </c>
      <c r="P39" s="51" t="e">
        <f>IF(AND('Mapa final'!#REF!="Baja",'Mapa final'!#REF!="Menor"),CONCATENATE("R4C",'Mapa final'!#REF!),"")</f>
        <v>#REF!</v>
      </c>
      <c r="Q39" s="52" t="e">
        <f>IF(AND('Mapa final'!#REF!="Baja",'Mapa final'!#REF!="Menor"),CONCATENATE("R4C",'Mapa final'!#REF!),"")</f>
        <v>#REF!</v>
      </c>
      <c r="R39" s="52" t="e">
        <f>IF(AND('Mapa final'!#REF!="Baja",'Mapa final'!#REF!="Menor"),CONCATENATE("R4C",'Mapa final'!#REF!),"")</f>
        <v>#REF!</v>
      </c>
      <c r="S39" s="52" t="e">
        <f>IF(AND('Mapa final'!#REF!="Baja",'Mapa final'!#REF!="Menor"),CONCATENATE("R4C",'Mapa final'!#REF!),"")</f>
        <v>#REF!</v>
      </c>
      <c r="T39" s="52" t="e">
        <f>IF(AND('Mapa final'!#REF!="Baja",'Mapa final'!#REF!="Menor"),CONCATENATE("R4C",'Mapa final'!#REF!),"")</f>
        <v>#REF!</v>
      </c>
      <c r="U39" s="53" t="e">
        <f>IF(AND('Mapa final'!#REF!="Baja",'Mapa final'!#REF!="Menor"),CONCATENATE("R4C",'Mapa final'!#REF!),"")</f>
        <v>#REF!</v>
      </c>
      <c r="V39" s="51" t="e">
        <f>IF(AND('Mapa final'!#REF!="Baja",'Mapa final'!#REF!="Moderado"),CONCATENATE("R4C",'Mapa final'!#REF!),"")</f>
        <v>#REF!</v>
      </c>
      <c r="W39" s="52" t="e">
        <f>IF(AND('Mapa final'!#REF!="Baja",'Mapa final'!#REF!="Moderado"),CONCATENATE("R4C",'Mapa final'!#REF!),"")</f>
        <v>#REF!</v>
      </c>
      <c r="X39" s="52" t="e">
        <f>IF(AND('Mapa final'!#REF!="Baja",'Mapa final'!#REF!="Moderado"),CONCATENATE("R4C",'Mapa final'!#REF!),"")</f>
        <v>#REF!</v>
      </c>
      <c r="Y39" s="52" t="e">
        <f>IF(AND('Mapa final'!#REF!="Baja",'Mapa final'!#REF!="Moderado"),CONCATENATE("R4C",'Mapa final'!#REF!),"")</f>
        <v>#REF!</v>
      </c>
      <c r="Z39" s="52" t="e">
        <f>IF(AND('Mapa final'!#REF!="Baja",'Mapa final'!#REF!="Moderado"),CONCATENATE("R4C",'Mapa final'!#REF!),"")</f>
        <v>#REF!</v>
      </c>
      <c r="AA39" s="53" t="e">
        <f>IF(AND('Mapa final'!#REF!="Baja",'Mapa final'!#REF!="Moderado"),CONCATENATE("R4C",'Mapa final'!#REF!),"")</f>
        <v>#REF!</v>
      </c>
      <c r="AB39" s="36" t="e">
        <f>IF(AND('Mapa final'!#REF!="Baja",'Mapa final'!#REF!="Mayor"),CONCATENATE("R4C",'Mapa final'!#REF!),"")</f>
        <v>#REF!</v>
      </c>
      <c r="AC39" s="37" t="e">
        <f>IF(AND('Mapa final'!#REF!="Baja",'Mapa final'!#REF!="Mayor"),CONCATENATE("R4C",'Mapa final'!#REF!),"")</f>
        <v>#REF!</v>
      </c>
      <c r="AD39" s="37" t="e">
        <f>IF(AND('Mapa final'!#REF!="Baja",'Mapa final'!#REF!="Mayor"),CONCATENATE("R4C",'Mapa final'!#REF!),"")</f>
        <v>#REF!</v>
      </c>
      <c r="AE39" s="37" t="e">
        <f>IF(AND('Mapa final'!#REF!="Baja",'Mapa final'!#REF!="Mayor"),CONCATENATE("R4C",'Mapa final'!#REF!),"")</f>
        <v>#REF!</v>
      </c>
      <c r="AF39" s="37" t="e">
        <f>IF(AND('Mapa final'!#REF!="Baja",'Mapa final'!#REF!="Mayor"),CONCATENATE("R4C",'Mapa final'!#REF!),"")</f>
        <v>#REF!</v>
      </c>
      <c r="AG39" s="38" t="e">
        <f>IF(AND('Mapa final'!#REF!="Baja",'Mapa final'!#REF!="Mayor"),CONCATENATE("R4C",'Mapa final'!#REF!),"")</f>
        <v>#REF!</v>
      </c>
      <c r="AH39" s="39" t="e">
        <f>IF(AND('Mapa final'!#REF!="Baja",'Mapa final'!#REF!="Catastrófico"),CONCATENATE("R4C",'Mapa final'!#REF!),"")</f>
        <v>#REF!</v>
      </c>
      <c r="AI39" s="40" t="e">
        <f>IF(AND('Mapa final'!#REF!="Baja",'Mapa final'!#REF!="Catastrófico"),CONCATENATE("R4C",'Mapa final'!#REF!),"")</f>
        <v>#REF!</v>
      </c>
      <c r="AJ39" s="40" t="e">
        <f>IF(AND('Mapa final'!#REF!="Baja",'Mapa final'!#REF!="Catastrófico"),CONCATENATE("R4C",'Mapa final'!#REF!),"")</f>
        <v>#REF!</v>
      </c>
      <c r="AK39" s="40" t="e">
        <f>IF(AND('Mapa final'!#REF!="Baja",'Mapa final'!#REF!="Catastrófico"),CONCATENATE("R4C",'Mapa final'!#REF!),"")</f>
        <v>#REF!</v>
      </c>
      <c r="AL39" s="40" t="e">
        <f>IF(AND('Mapa final'!#REF!="Baja",'Mapa final'!#REF!="Catastrófico"),CONCATENATE("R4C",'Mapa final'!#REF!),"")</f>
        <v>#REF!</v>
      </c>
      <c r="AM39" s="41" t="e">
        <f>IF(AND('Mapa final'!#REF!="Baja",'Mapa final'!#REF!="Catastrófico"),CONCATENATE("R4C",'Mapa final'!#REF!),"")</f>
        <v>#REF!</v>
      </c>
      <c r="AN39" s="67"/>
      <c r="AO39" s="593"/>
      <c r="AP39" s="594"/>
      <c r="AQ39" s="594"/>
      <c r="AR39" s="594"/>
      <c r="AS39" s="594"/>
      <c r="AT39" s="595"/>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25">
      <c r="A40" s="67"/>
      <c r="B40" s="474"/>
      <c r="C40" s="474"/>
      <c r="D40" s="475"/>
      <c r="E40" s="573"/>
      <c r="F40" s="572"/>
      <c r="G40" s="572"/>
      <c r="H40" s="572"/>
      <c r="I40" s="572"/>
      <c r="J40" s="60" t="e">
        <f>IF(AND('Mapa final'!#REF!="Baja",'Mapa final'!#REF!="Leve"),CONCATENATE("R5C",'Mapa final'!#REF!),"")</f>
        <v>#REF!</v>
      </c>
      <c r="K40" s="61" t="e">
        <f>IF(AND('Mapa final'!#REF!="Baja",'Mapa final'!#REF!="Leve"),CONCATENATE("R5C",'Mapa final'!#REF!),"")</f>
        <v>#REF!</v>
      </c>
      <c r="L40" s="61" t="e">
        <f>IF(AND('Mapa final'!#REF!="Baja",'Mapa final'!#REF!="Leve"),CONCATENATE("R5C",'Mapa final'!#REF!),"")</f>
        <v>#REF!</v>
      </c>
      <c r="M40" s="61" t="e">
        <f>IF(AND('Mapa final'!#REF!="Baja",'Mapa final'!#REF!="Leve"),CONCATENATE("R5C",'Mapa final'!#REF!),"")</f>
        <v>#REF!</v>
      </c>
      <c r="N40" s="61" t="e">
        <f>IF(AND('Mapa final'!#REF!="Baja",'Mapa final'!#REF!="Leve"),CONCATENATE("R5C",'Mapa final'!#REF!),"")</f>
        <v>#REF!</v>
      </c>
      <c r="O40" s="62" t="e">
        <f>IF(AND('Mapa final'!#REF!="Baja",'Mapa final'!#REF!="Leve"),CONCATENATE("R5C",'Mapa final'!#REF!),"")</f>
        <v>#REF!</v>
      </c>
      <c r="P40" s="51" t="e">
        <f>IF(AND('Mapa final'!#REF!="Baja",'Mapa final'!#REF!="Menor"),CONCATENATE("R5C",'Mapa final'!#REF!),"")</f>
        <v>#REF!</v>
      </c>
      <c r="Q40" s="52" t="e">
        <f>IF(AND('Mapa final'!#REF!="Baja",'Mapa final'!#REF!="Menor"),CONCATENATE("R5C",'Mapa final'!#REF!),"")</f>
        <v>#REF!</v>
      </c>
      <c r="R40" s="52" t="e">
        <f>IF(AND('Mapa final'!#REF!="Baja",'Mapa final'!#REF!="Menor"),CONCATENATE("R5C",'Mapa final'!#REF!),"")</f>
        <v>#REF!</v>
      </c>
      <c r="S40" s="52" t="e">
        <f>IF(AND('Mapa final'!#REF!="Baja",'Mapa final'!#REF!="Menor"),CONCATENATE("R5C",'Mapa final'!#REF!),"")</f>
        <v>#REF!</v>
      </c>
      <c r="T40" s="52" t="e">
        <f>IF(AND('Mapa final'!#REF!="Baja",'Mapa final'!#REF!="Menor"),CONCATENATE("R5C",'Mapa final'!#REF!),"")</f>
        <v>#REF!</v>
      </c>
      <c r="U40" s="53" t="e">
        <f>IF(AND('Mapa final'!#REF!="Baja",'Mapa final'!#REF!="Menor"),CONCATENATE("R5C",'Mapa final'!#REF!),"")</f>
        <v>#REF!</v>
      </c>
      <c r="V40" s="51" t="e">
        <f>IF(AND('Mapa final'!#REF!="Baja",'Mapa final'!#REF!="Moderado"),CONCATENATE("R5C",'Mapa final'!#REF!),"")</f>
        <v>#REF!</v>
      </c>
      <c r="W40" s="52" t="e">
        <f>IF(AND('Mapa final'!#REF!="Baja",'Mapa final'!#REF!="Moderado"),CONCATENATE("R5C",'Mapa final'!#REF!),"")</f>
        <v>#REF!</v>
      </c>
      <c r="X40" s="52" t="e">
        <f>IF(AND('Mapa final'!#REF!="Baja",'Mapa final'!#REF!="Moderado"),CONCATENATE("R5C",'Mapa final'!#REF!),"")</f>
        <v>#REF!</v>
      </c>
      <c r="Y40" s="52" t="e">
        <f>IF(AND('Mapa final'!#REF!="Baja",'Mapa final'!#REF!="Moderado"),CONCATENATE("R5C",'Mapa final'!#REF!),"")</f>
        <v>#REF!</v>
      </c>
      <c r="Z40" s="52" t="e">
        <f>IF(AND('Mapa final'!#REF!="Baja",'Mapa final'!#REF!="Moderado"),CONCATENATE("R5C",'Mapa final'!#REF!),"")</f>
        <v>#REF!</v>
      </c>
      <c r="AA40" s="53" t="e">
        <f>IF(AND('Mapa final'!#REF!="Baja",'Mapa final'!#REF!="Moderado"),CONCATENATE("R5C",'Mapa final'!#REF!),"")</f>
        <v>#REF!</v>
      </c>
      <c r="AB40" s="36" t="e">
        <f>IF(AND('Mapa final'!#REF!="Baja",'Mapa final'!#REF!="Mayor"),CONCATENATE("R5C",'Mapa final'!#REF!),"")</f>
        <v>#REF!</v>
      </c>
      <c r="AC40" s="37" t="e">
        <f>IF(AND('Mapa final'!#REF!="Baja",'Mapa final'!#REF!="Mayor"),CONCATENATE("R5C",'Mapa final'!#REF!),"")</f>
        <v>#REF!</v>
      </c>
      <c r="AD40" s="37" t="e">
        <f>IF(AND('Mapa final'!#REF!="Baja",'Mapa final'!#REF!="Mayor"),CONCATENATE("R5C",'Mapa final'!#REF!),"")</f>
        <v>#REF!</v>
      </c>
      <c r="AE40" s="37" t="e">
        <f>IF(AND('Mapa final'!#REF!="Baja",'Mapa final'!#REF!="Mayor"),CONCATENATE("R5C",'Mapa final'!#REF!),"")</f>
        <v>#REF!</v>
      </c>
      <c r="AF40" s="37" t="e">
        <f>IF(AND('Mapa final'!#REF!="Baja",'Mapa final'!#REF!="Mayor"),CONCATENATE("R5C",'Mapa final'!#REF!),"")</f>
        <v>#REF!</v>
      </c>
      <c r="AG40" s="38" t="e">
        <f>IF(AND('Mapa final'!#REF!="Baja",'Mapa final'!#REF!="Mayor"),CONCATENATE("R5C",'Mapa final'!#REF!),"")</f>
        <v>#REF!</v>
      </c>
      <c r="AH40" s="39" t="e">
        <f>IF(AND('Mapa final'!#REF!="Baja",'Mapa final'!#REF!="Catastrófico"),CONCATENATE("R5C",'Mapa final'!#REF!),"")</f>
        <v>#REF!</v>
      </c>
      <c r="AI40" s="40" t="e">
        <f>IF(AND('Mapa final'!#REF!="Baja",'Mapa final'!#REF!="Catastrófico"),CONCATENATE("R5C",'Mapa final'!#REF!),"")</f>
        <v>#REF!</v>
      </c>
      <c r="AJ40" s="40" t="e">
        <f>IF(AND('Mapa final'!#REF!="Baja",'Mapa final'!#REF!="Catastrófico"),CONCATENATE("R5C",'Mapa final'!#REF!),"")</f>
        <v>#REF!</v>
      </c>
      <c r="AK40" s="40" t="e">
        <f>IF(AND('Mapa final'!#REF!="Baja",'Mapa final'!#REF!="Catastrófico"),CONCATENATE("R5C",'Mapa final'!#REF!),"")</f>
        <v>#REF!</v>
      </c>
      <c r="AL40" s="40" t="e">
        <f>IF(AND('Mapa final'!#REF!="Baja",'Mapa final'!#REF!="Catastrófico"),CONCATENATE("R5C",'Mapa final'!#REF!),"")</f>
        <v>#REF!</v>
      </c>
      <c r="AM40" s="41" t="e">
        <f>IF(AND('Mapa final'!#REF!="Baja",'Mapa final'!#REF!="Catastrófico"),CONCATENATE("R5C",'Mapa final'!#REF!),"")</f>
        <v>#REF!</v>
      </c>
      <c r="AN40" s="67"/>
      <c r="AO40" s="593"/>
      <c r="AP40" s="594"/>
      <c r="AQ40" s="594"/>
      <c r="AR40" s="594"/>
      <c r="AS40" s="594"/>
      <c r="AT40" s="595"/>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25">
      <c r="A41" s="67"/>
      <c r="B41" s="474"/>
      <c r="C41" s="474"/>
      <c r="D41" s="475"/>
      <c r="E41" s="573"/>
      <c r="F41" s="572"/>
      <c r="G41" s="572"/>
      <c r="H41" s="572"/>
      <c r="I41" s="572"/>
      <c r="J41" s="60" t="e">
        <f>IF(AND('Mapa final'!#REF!="Baja",'Mapa final'!#REF!="Leve"),CONCATENATE("R6C",'Mapa final'!#REF!),"")</f>
        <v>#REF!</v>
      </c>
      <c r="K41" s="61" t="e">
        <f>IF(AND('Mapa final'!#REF!="Baja",'Mapa final'!#REF!="Leve"),CONCATENATE("R6C",'Mapa final'!#REF!),"")</f>
        <v>#REF!</v>
      </c>
      <c r="L41" s="61" t="e">
        <f>IF(AND('Mapa final'!#REF!="Baja",'Mapa final'!#REF!="Leve"),CONCATENATE("R6C",'Mapa final'!#REF!),"")</f>
        <v>#REF!</v>
      </c>
      <c r="M41" s="61" t="e">
        <f>IF(AND('Mapa final'!#REF!="Baja",'Mapa final'!#REF!="Leve"),CONCATENATE("R6C",'Mapa final'!#REF!),"")</f>
        <v>#REF!</v>
      </c>
      <c r="N41" s="61" t="e">
        <f>IF(AND('Mapa final'!#REF!="Baja",'Mapa final'!#REF!="Leve"),CONCATENATE("R6C",'Mapa final'!#REF!),"")</f>
        <v>#REF!</v>
      </c>
      <c r="O41" s="62" t="e">
        <f>IF(AND('Mapa final'!#REF!="Baja",'Mapa final'!#REF!="Leve"),CONCATENATE("R6C",'Mapa final'!#REF!),"")</f>
        <v>#REF!</v>
      </c>
      <c r="P41" s="51" t="e">
        <f>IF(AND('Mapa final'!#REF!="Baja",'Mapa final'!#REF!="Menor"),CONCATENATE("R6C",'Mapa final'!#REF!),"")</f>
        <v>#REF!</v>
      </c>
      <c r="Q41" s="52" t="e">
        <f>IF(AND('Mapa final'!#REF!="Baja",'Mapa final'!#REF!="Menor"),CONCATENATE("R6C",'Mapa final'!#REF!),"")</f>
        <v>#REF!</v>
      </c>
      <c r="R41" s="52" t="e">
        <f>IF(AND('Mapa final'!#REF!="Baja",'Mapa final'!#REF!="Menor"),CONCATENATE("R6C",'Mapa final'!#REF!),"")</f>
        <v>#REF!</v>
      </c>
      <c r="S41" s="52" t="e">
        <f>IF(AND('Mapa final'!#REF!="Baja",'Mapa final'!#REF!="Menor"),CONCATENATE("R6C",'Mapa final'!#REF!),"")</f>
        <v>#REF!</v>
      </c>
      <c r="T41" s="52" t="e">
        <f>IF(AND('Mapa final'!#REF!="Baja",'Mapa final'!#REF!="Menor"),CONCATENATE("R6C",'Mapa final'!#REF!),"")</f>
        <v>#REF!</v>
      </c>
      <c r="U41" s="53" t="e">
        <f>IF(AND('Mapa final'!#REF!="Baja",'Mapa final'!#REF!="Menor"),CONCATENATE("R6C",'Mapa final'!#REF!),"")</f>
        <v>#REF!</v>
      </c>
      <c r="V41" s="51" t="e">
        <f>IF(AND('Mapa final'!#REF!="Baja",'Mapa final'!#REF!="Moderado"),CONCATENATE("R6C",'Mapa final'!#REF!),"")</f>
        <v>#REF!</v>
      </c>
      <c r="W41" s="52" t="e">
        <f>IF(AND('Mapa final'!#REF!="Baja",'Mapa final'!#REF!="Moderado"),CONCATENATE("R6C",'Mapa final'!#REF!),"")</f>
        <v>#REF!</v>
      </c>
      <c r="X41" s="52" t="e">
        <f>IF(AND('Mapa final'!#REF!="Baja",'Mapa final'!#REF!="Moderado"),CONCATENATE("R6C",'Mapa final'!#REF!),"")</f>
        <v>#REF!</v>
      </c>
      <c r="Y41" s="52" t="e">
        <f>IF(AND('Mapa final'!#REF!="Baja",'Mapa final'!#REF!="Moderado"),CONCATENATE("R6C",'Mapa final'!#REF!),"")</f>
        <v>#REF!</v>
      </c>
      <c r="Z41" s="52" t="e">
        <f>IF(AND('Mapa final'!#REF!="Baja",'Mapa final'!#REF!="Moderado"),CONCATENATE("R6C",'Mapa final'!#REF!),"")</f>
        <v>#REF!</v>
      </c>
      <c r="AA41" s="53" t="e">
        <f>IF(AND('Mapa final'!#REF!="Baja",'Mapa final'!#REF!="Moderado"),CONCATENATE("R6C",'Mapa final'!#REF!),"")</f>
        <v>#REF!</v>
      </c>
      <c r="AB41" s="36" t="e">
        <f>IF(AND('Mapa final'!#REF!="Baja",'Mapa final'!#REF!="Mayor"),CONCATENATE("R6C",'Mapa final'!#REF!),"")</f>
        <v>#REF!</v>
      </c>
      <c r="AC41" s="37" t="e">
        <f>IF(AND('Mapa final'!#REF!="Baja",'Mapa final'!#REF!="Mayor"),CONCATENATE("R6C",'Mapa final'!#REF!),"")</f>
        <v>#REF!</v>
      </c>
      <c r="AD41" s="37" t="e">
        <f>IF(AND('Mapa final'!#REF!="Baja",'Mapa final'!#REF!="Mayor"),CONCATENATE("R6C",'Mapa final'!#REF!),"")</f>
        <v>#REF!</v>
      </c>
      <c r="AE41" s="37" t="e">
        <f>IF(AND('Mapa final'!#REF!="Baja",'Mapa final'!#REF!="Mayor"),CONCATENATE("R6C",'Mapa final'!#REF!),"")</f>
        <v>#REF!</v>
      </c>
      <c r="AF41" s="37" t="e">
        <f>IF(AND('Mapa final'!#REF!="Baja",'Mapa final'!#REF!="Mayor"),CONCATENATE("R6C",'Mapa final'!#REF!),"")</f>
        <v>#REF!</v>
      </c>
      <c r="AG41" s="38" t="e">
        <f>IF(AND('Mapa final'!#REF!="Baja",'Mapa final'!#REF!="Mayor"),CONCATENATE("R6C",'Mapa final'!#REF!),"")</f>
        <v>#REF!</v>
      </c>
      <c r="AH41" s="39" t="e">
        <f>IF(AND('Mapa final'!#REF!="Baja",'Mapa final'!#REF!="Catastrófico"),CONCATENATE("R6C",'Mapa final'!#REF!),"")</f>
        <v>#REF!</v>
      </c>
      <c r="AI41" s="40" t="e">
        <f>IF(AND('Mapa final'!#REF!="Baja",'Mapa final'!#REF!="Catastrófico"),CONCATENATE("R6C",'Mapa final'!#REF!),"")</f>
        <v>#REF!</v>
      </c>
      <c r="AJ41" s="40" t="e">
        <f>IF(AND('Mapa final'!#REF!="Baja",'Mapa final'!#REF!="Catastrófico"),CONCATENATE("R6C",'Mapa final'!#REF!),"")</f>
        <v>#REF!</v>
      </c>
      <c r="AK41" s="40" t="e">
        <f>IF(AND('Mapa final'!#REF!="Baja",'Mapa final'!#REF!="Catastrófico"),CONCATENATE("R6C",'Mapa final'!#REF!),"")</f>
        <v>#REF!</v>
      </c>
      <c r="AL41" s="40" t="e">
        <f>IF(AND('Mapa final'!#REF!="Baja",'Mapa final'!#REF!="Catastrófico"),CONCATENATE("R6C",'Mapa final'!#REF!),"")</f>
        <v>#REF!</v>
      </c>
      <c r="AM41" s="41" t="e">
        <f>IF(AND('Mapa final'!#REF!="Baja",'Mapa final'!#REF!="Catastrófico"),CONCATENATE("R6C",'Mapa final'!#REF!),"")</f>
        <v>#REF!</v>
      </c>
      <c r="AN41" s="67"/>
      <c r="AO41" s="593"/>
      <c r="AP41" s="594"/>
      <c r="AQ41" s="594"/>
      <c r="AR41" s="594"/>
      <c r="AS41" s="594"/>
      <c r="AT41" s="595"/>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25">
      <c r="A42" s="67"/>
      <c r="B42" s="474"/>
      <c r="C42" s="474"/>
      <c r="D42" s="475"/>
      <c r="E42" s="573"/>
      <c r="F42" s="572"/>
      <c r="G42" s="572"/>
      <c r="H42" s="572"/>
      <c r="I42" s="572"/>
      <c r="J42" s="60" t="e">
        <f>IF(AND('Mapa final'!#REF!="Baja",'Mapa final'!#REF!="Leve"),CONCATENATE("R7C",'Mapa final'!#REF!),"")</f>
        <v>#REF!</v>
      </c>
      <c r="K42" s="61" t="e">
        <f>IF(AND('Mapa final'!#REF!="Baja",'Mapa final'!#REF!="Leve"),CONCATENATE("R7C",'Mapa final'!#REF!),"")</f>
        <v>#REF!</v>
      </c>
      <c r="L42" s="61" t="e">
        <f>IF(AND('Mapa final'!#REF!="Baja",'Mapa final'!#REF!="Leve"),CONCATENATE("R7C",'Mapa final'!#REF!),"")</f>
        <v>#REF!</v>
      </c>
      <c r="M42" s="61" t="e">
        <f>IF(AND('Mapa final'!#REF!="Baja",'Mapa final'!#REF!="Leve"),CONCATENATE("R7C",'Mapa final'!#REF!),"")</f>
        <v>#REF!</v>
      </c>
      <c r="N42" s="61" t="e">
        <f>IF(AND('Mapa final'!#REF!="Baja",'Mapa final'!#REF!="Leve"),CONCATENATE("R7C",'Mapa final'!#REF!),"")</f>
        <v>#REF!</v>
      </c>
      <c r="O42" s="62" t="e">
        <f>IF(AND('Mapa final'!#REF!="Baja",'Mapa final'!#REF!="Leve"),CONCATENATE("R7C",'Mapa final'!#REF!),"")</f>
        <v>#REF!</v>
      </c>
      <c r="P42" s="51" t="e">
        <f>IF(AND('Mapa final'!#REF!="Baja",'Mapa final'!#REF!="Menor"),CONCATENATE("R7C",'Mapa final'!#REF!),"")</f>
        <v>#REF!</v>
      </c>
      <c r="Q42" s="52" t="e">
        <f>IF(AND('Mapa final'!#REF!="Baja",'Mapa final'!#REF!="Menor"),CONCATENATE("R7C",'Mapa final'!#REF!),"")</f>
        <v>#REF!</v>
      </c>
      <c r="R42" s="52" t="e">
        <f>IF(AND('Mapa final'!#REF!="Baja",'Mapa final'!#REF!="Menor"),CONCATENATE("R7C",'Mapa final'!#REF!),"")</f>
        <v>#REF!</v>
      </c>
      <c r="S42" s="52" t="e">
        <f>IF(AND('Mapa final'!#REF!="Baja",'Mapa final'!#REF!="Menor"),CONCATENATE("R7C",'Mapa final'!#REF!),"")</f>
        <v>#REF!</v>
      </c>
      <c r="T42" s="52" t="e">
        <f>IF(AND('Mapa final'!#REF!="Baja",'Mapa final'!#REF!="Menor"),CONCATENATE("R7C",'Mapa final'!#REF!),"")</f>
        <v>#REF!</v>
      </c>
      <c r="U42" s="53" t="e">
        <f>IF(AND('Mapa final'!#REF!="Baja",'Mapa final'!#REF!="Menor"),CONCATENATE("R7C",'Mapa final'!#REF!),"")</f>
        <v>#REF!</v>
      </c>
      <c r="V42" s="51" t="e">
        <f>IF(AND('Mapa final'!#REF!="Baja",'Mapa final'!#REF!="Moderado"),CONCATENATE("R7C",'Mapa final'!#REF!),"")</f>
        <v>#REF!</v>
      </c>
      <c r="W42" s="52" t="e">
        <f>IF(AND('Mapa final'!#REF!="Baja",'Mapa final'!#REF!="Moderado"),CONCATENATE("R7C",'Mapa final'!#REF!),"")</f>
        <v>#REF!</v>
      </c>
      <c r="X42" s="52" t="e">
        <f>IF(AND('Mapa final'!#REF!="Baja",'Mapa final'!#REF!="Moderado"),CONCATENATE("R7C",'Mapa final'!#REF!),"")</f>
        <v>#REF!</v>
      </c>
      <c r="Y42" s="52" t="e">
        <f>IF(AND('Mapa final'!#REF!="Baja",'Mapa final'!#REF!="Moderado"),CONCATENATE("R7C",'Mapa final'!#REF!),"")</f>
        <v>#REF!</v>
      </c>
      <c r="Z42" s="52" t="e">
        <f>IF(AND('Mapa final'!#REF!="Baja",'Mapa final'!#REF!="Moderado"),CONCATENATE("R7C",'Mapa final'!#REF!),"")</f>
        <v>#REF!</v>
      </c>
      <c r="AA42" s="53" t="e">
        <f>IF(AND('Mapa final'!#REF!="Baja",'Mapa final'!#REF!="Moderado"),CONCATENATE("R7C",'Mapa final'!#REF!),"")</f>
        <v>#REF!</v>
      </c>
      <c r="AB42" s="36" t="e">
        <f>IF(AND('Mapa final'!#REF!="Baja",'Mapa final'!#REF!="Mayor"),CONCATENATE("R7C",'Mapa final'!#REF!),"")</f>
        <v>#REF!</v>
      </c>
      <c r="AC42" s="37" t="e">
        <f>IF(AND('Mapa final'!#REF!="Baja",'Mapa final'!#REF!="Mayor"),CONCATENATE("R7C",'Mapa final'!#REF!),"")</f>
        <v>#REF!</v>
      </c>
      <c r="AD42" s="37" t="e">
        <f>IF(AND('Mapa final'!#REF!="Baja",'Mapa final'!#REF!="Mayor"),CONCATENATE("R7C",'Mapa final'!#REF!),"")</f>
        <v>#REF!</v>
      </c>
      <c r="AE42" s="37" t="e">
        <f>IF(AND('Mapa final'!#REF!="Baja",'Mapa final'!#REF!="Mayor"),CONCATENATE("R7C",'Mapa final'!#REF!),"")</f>
        <v>#REF!</v>
      </c>
      <c r="AF42" s="37" t="e">
        <f>IF(AND('Mapa final'!#REF!="Baja",'Mapa final'!#REF!="Mayor"),CONCATENATE("R7C",'Mapa final'!#REF!),"")</f>
        <v>#REF!</v>
      </c>
      <c r="AG42" s="38" t="e">
        <f>IF(AND('Mapa final'!#REF!="Baja",'Mapa final'!#REF!="Mayor"),CONCATENATE("R7C",'Mapa final'!#REF!),"")</f>
        <v>#REF!</v>
      </c>
      <c r="AH42" s="39" t="e">
        <f>IF(AND('Mapa final'!#REF!="Baja",'Mapa final'!#REF!="Catastrófico"),CONCATENATE("R7C",'Mapa final'!#REF!),"")</f>
        <v>#REF!</v>
      </c>
      <c r="AI42" s="40" t="e">
        <f>IF(AND('Mapa final'!#REF!="Baja",'Mapa final'!#REF!="Catastrófico"),CONCATENATE("R7C",'Mapa final'!#REF!),"")</f>
        <v>#REF!</v>
      </c>
      <c r="AJ42" s="40" t="e">
        <f>IF(AND('Mapa final'!#REF!="Baja",'Mapa final'!#REF!="Catastrófico"),CONCATENATE("R7C",'Mapa final'!#REF!),"")</f>
        <v>#REF!</v>
      </c>
      <c r="AK42" s="40" t="e">
        <f>IF(AND('Mapa final'!#REF!="Baja",'Mapa final'!#REF!="Catastrófico"),CONCATENATE("R7C",'Mapa final'!#REF!),"")</f>
        <v>#REF!</v>
      </c>
      <c r="AL42" s="40" t="e">
        <f>IF(AND('Mapa final'!#REF!="Baja",'Mapa final'!#REF!="Catastrófico"),CONCATENATE("R7C",'Mapa final'!#REF!),"")</f>
        <v>#REF!</v>
      </c>
      <c r="AM42" s="41" t="e">
        <f>IF(AND('Mapa final'!#REF!="Baja",'Mapa final'!#REF!="Catastrófico"),CONCATENATE("R7C",'Mapa final'!#REF!),"")</f>
        <v>#REF!</v>
      </c>
      <c r="AN42" s="67"/>
      <c r="AO42" s="593"/>
      <c r="AP42" s="594"/>
      <c r="AQ42" s="594"/>
      <c r="AR42" s="594"/>
      <c r="AS42" s="594"/>
      <c r="AT42" s="595"/>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25">
      <c r="A43" s="67"/>
      <c r="B43" s="474"/>
      <c r="C43" s="474"/>
      <c r="D43" s="475"/>
      <c r="E43" s="573"/>
      <c r="F43" s="572"/>
      <c r="G43" s="572"/>
      <c r="H43" s="572"/>
      <c r="I43" s="572"/>
      <c r="J43" s="60" t="e">
        <f>IF(AND('Mapa final'!#REF!="Baja",'Mapa final'!#REF!="Leve"),CONCATENATE("R8C",'Mapa final'!#REF!),"")</f>
        <v>#REF!</v>
      </c>
      <c r="K43" s="61" t="e">
        <f>IF(AND('Mapa final'!#REF!="Baja",'Mapa final'!#REF!="Leve"),CONCATENATE("R8C",'Mapa final'!#REF!),"")</f>
        <v>#REF!</v>
      </c>
      <c r="L43" s="61" t="e">
        <f>IF(AND('Mapa final'!#REF!="Baja",'Mapa final'!#REF!="Leve"),CONCATENATE("R8C",'Mapa final'!#REF!),"")</f>
        <v>#REF!</v>
      </c>
      <c r="M43" s="61" t="e">
        <f>IF(AND('Mapa final'!#REF!="Baja",'Mapa final'!#REF!="Leve"),CONCATENATE("R8C",'Mapa final'!#REF!),"")</f>
        <v>#REF!</v>
      </c>
      <c r="N43" s="61" t="e">
        <f>IF(AND('Mapa final'!#REF!="Baja",'Mapa final'!#REF!="Leve"),CONCATENATE("R8C",'Mapa final'!#REF!),"")</f>
        <v>#REF!</v>
      </c>
      <c r="O43" s="62" t="e">
        <f>IF(AND('Mapa final'!#REF!="Baja",'Mapa final'!#REF!="Leve"),CONCATENATE("R8C",'Mapa final'!#REF!),"")</f>
        <v>#REF!</v>
      </c>
      <c r="P43" s="51" t="e">
        <f>IF(AND('Mapa final'!#REF!="Baja",'Mapa final'!#REF!="Menor"),CONCATENATE("R8C",'Mapa final'!#REF!),"")</f>
        <v>#REF!</v>
      </c>
      <c r="Q43" s="52" t="e">
        <f>IF(AND('Mapa final'!#REF!="Baja",'Mapa final'!#REF!="Menor"),CONCATENATE("R8C",'Mapa final'!#REF!),"")</f>
        <v>#REF!</v>
      </c>
      <c r="R43" s="52" t="e">
        <f>IF(AND('Mapa final'!#REF!="Baja",'Mapa final'!#REF!="Menor"),CONCATENATE("R8C",'Mapa final'!#REF!),"")</f>
        <v>#REF!</v>
      </c>
      <c r="S43" s="52" t="e">
        <f>IF(AND('Mapa final'!#REF!="Baja",'Mapa final'!#REF!="Menor"),CONCATENATE("R8C",'Mapa final'!#REF!),"")</f>
        <v>#REF!</v>
      </c>
      <c r="T43" s="52" t="e">
        <f>IF(AND('Mapa final'!#REF!="Baja",'Mapa final'!#REF!="Menor"),CONCATENATE("R8C",'Mapa final'!#REF!),"")</f>
        <v>#REF!</v>
      </c>
      <c r="U43" s="53" t="e">
        <f>IF(AND('Mapa final'!#REF!="Baja",'Mapa final'!#REF!="Menor"),CONCATENATE("R8C",'Mapa final'!#REF!),"")</f>
        <v>#REF!</v>
      </c>
      <c r="V43" s="51" t="e">
        <f>IF(AND('Mapa final'!#REF!="Baja",'Mapa final'!#REF!="Moderado"),CONCATENATE("R8C",'Mapa final'!#REF!),"")</f>
        <v>#REF!</v>
      </c>
      <c r="W43" s="52" t="e">
        <f>IF(AND('Mapa final'!#REF!="Baja",'Mapa final'!#REF!="Moderado"),CONCATENATE("R8C",'Mapa final'!#REF!),"")</f>
        <v>#REF!</v>
      </c>
      <c r="X43" s="52" t="e">
        <f>IF(AND('Mapa final'!#REF!="Baja",'Mapa final'!#REF!="Moderado"),CONCATENATE("R8C",'Mapa final'!#REF!),"")</f>
        <v>#REF!</v>
      </c>
      <c r="Y43" s="52" t="e">
        <f>IF(AND('Mapa final'!#REF!="Baja",'Mapa final'!#REF!="Moderado"),CONCATENATE("R8C",'Mapa final'!#REF!),"")</f>
        <v>#REF!</v>
      </c>
      <c r="Z43" s="52" t="e">
        <f>IF(AND('Mapa final'!#REF!="Baja",'Mapa final'!#REF!="Moderado"),CONCATENATE("R8C",'Mapa final'!#REF!),"")</f>
        <v>#REF!</v>
      </c>
      <c r="AA43" s="53" t="e">
        <f>IF(AND('Mapa final'!#REF!="Baja",'Mapa final'!#REF!="Moderado"),CONCATENATE("R8C",'Mapa final'!#REF!),"")</f>
        <v>#REF!</v>
      </c>
      <c r="AB43" s="36" t="e">
        <f>IF(AND('Mapa final'!#REF!="Baja",'Mapa final'!#REF!="Mayor"),CONCATENATE("R8C",'Mapa final'!#REF!),"")</f>
        <v>#REF!</v>
      </c>
      <c r="AC43" s="37" t="e">
        <f>IF(AND('Mapa final'!#REF!="Baja",'Mapa final'!#REF!="Mayor"),CONCATENATE("R8C",'Mapa final'!#REF!),"")</f>
        <v>#REF!</v>
      </c>
      <c r="AD43" s="37" t="e">
        <f>IF(AND('Mapa final'!#REF!="Baja",'Mapa final'!#REF!="Mayor"),CONCATENATE("R8C",'Mapa final'!#REF!),"")</f>
        <v>#REF!</v>
      </c>
      <c r="AE43" s="37" t="e">
        <f>IF(AND('Mapa final'!#REF!="Baja",'Mapa final'!#REF!="Mayor"),CONCATENATE("R8C",'Mapa final'!#REF!),"")</f>
        <v>#REF!</v>
      </c>
      <c r="AF43" s="37" t="e">
        <f>IF(AND('Mapa final'!#REF!="Baja",'Mapa final'!#REF!="Mayor"),CONCATENATE("R8C",'Mapa final'!#REF!),"")</f>
        <v>#REF!</v>
      </c>
      <c r="AG43" s="38" t="e">
        <f>IF(AND('Mapa final'!#REF!="Baja",'Mapa final'!#REF!="Mayor"),CONCATENATE("R8C",'Mapa final'!#REF!),"")</f>
        <v>#REF!</v>
      </c>
      <c r="AH43" s="39" t="e">
        <f>IF(AND('Mapa final'!#REF!="Baja",'Mapa final'!#REF!="Catastrófico"),CONCATENATE("R8C",'Mapa final'!#REF!),"")</f>
        <v>#REF!</v>
      </c>
      <c r="AI43" s="40" t="e">
        <f>IF(AND('Mapa final'!#REF!="Baja",'Mapa final'!#REF!="Catastrófico"),CONCATENATE("R8C",'Mapa final'!#REF!),"")</f>
        <v>#REF!</v>
      </c>
      <c r="AJ43" s="40" t="e">
        <f>IF(AND('Mapa final'!#REF!="Baja",'Mapa final'!#REF!="Catastrófico"),CONCATENATE("R8C",'Mapa final'!#REF!),"")</f>
        <v>#REF!</v>
      </c>
      <c r="AK43" s="40" t="e">
        <f>IF(AND('Mapa final'!#REF!="Baja",'Mapa final'!#REF!="Catastrófico"),CONCATENATE("R8C",'Mapa final'!#REF!),"")</f>
        <v>#REF!</v>
      </c>
      <c r="AL43" s="40" t="e">
        <f>IF(AND('Mapa final'!#REF!="Baja",'Mapa final'!#REF!="Catastrófico"),CONCATENATE("R8C",'Mapa final'!#REF!),"")</f>
        <v>#REF!</v>
      </c>
      <c r="AM43" s="41" t="e">
        <f>IF(AND('Mapa final'!#REF!="Baja",'Mapa final'!#REF!="Catastrófico"),CONCATENATE("R8C",'Mapa final'!#REF!),"")</f>
        <v>#REF!</v>
      </c>
      <c r="AN43" s="67"/>
      <c r="AO43" s="593"/>
      <c r="AP43" s="594"/>
      <c r="AQ43" s="594"/>
      <c r="AR43" s="594"/>
      <c r="AS43" s="594"/>
      <c r="AT43" s="595"/>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25">
      <c r="A44" s="67"/>
      <c r="B44" s="474"/>
      <c r="C44" s="474"/>
      <c r="D44" s="475"/>
      <c r="E44" s="573"/>
      <c r="F44" s="572"/>
      <c r="G44" s="572"/>
      <c r="H44" s="572"/>
      <c r="I44" s="572"/>
      <c r="J44" s="60" t="e">
        <f>IF(AND('Mapa final'!#REF!="Baja",'Mapa final'!#REF!="Leve"),CONCATENATE("R9C",'Mapa final'!#REF!),"")</f>
        <v>#REF!</v>
      </c>
      <c r="K44" s="61" t="e">
        <f>IF(AND('Mapa final'!#REF!="Baja",'Mapa final'!#REF!="Leve"),CONCATENATE("R9C",'Mapa final'!#REF!),"")</f>
        <v>#REF!</v>
      </c>
      <c r="L44" s="61" t="e">
        <f>IF(AND('Mapa final'!#REF!="Baja",'Mapa final'!#REF!="Leve"),CONCATENATE("R9C",'Mapa final'!#REF!),"")</f>
        <v>#REF!</v>
      </c>
      <c r="M44" s="61" t="e">
        <f>IF(AND('Mapa final'!#REF!="Baja",'Mapa final'!#REF!="Leve"),CONCATENATE("R9C",'Mapa final'!#REF!),"")</f>
        <v>#REF!</v>
      </c>
      <c r="N44" s="61" t="e">
        <f>IF(AND('Mapa final'!#REF!="Baja",'Mapa final'!#REF!="Leve"),CONCATENATE("R9C",'Mapa final'!#REF!),"")</f>
        <v>#REF!</v>
      </c>
      <c r="O44" s="62" t="e">
        <f>IF(AND('Mapa final'!#REF!="Baja",'Mapa final'!#REF!="Leve"),CONCATENATE("R9C",'Mapa final'!#REF!),"")</f>
        <v>#REF!</v>
      </c>
      <c r="P44" s="51" t="e">
        <f>IF(AND('Mapa final'!#REF!="Baja",'Mapa final'!#REF!="Menor"),CONCATENATE("R9C",'Mapa final'!#REF!),"")</f>
        <v>#REF!</v>
      </c>
      <c r="Q44" s="52" t="e">
        <f>IF(AND('Mapa final'!#REF!="Baja",'Mapa final'!#REF!="Menor"),CONCATENATE("R9C",'Mapa final'!#REF!),"")</f>
        <v>#REF!</v>
      </c>
      <c r="R44" s="52" t="e">
        <f>IF(AND('Mapa final'!#REF!="Baja",'Mapa final'!#REF!="Menor"),CONCATENATE("R9C",'Mapa final'!#REF!),"")</f>
        <v>#REF!</v>
      </c>
      <c r="S44" s="52" t="e">
        <f>IF(AND('Mapa final'!#REF!="Baja",'Mapa final'!#REF!="Menor"),CONCATENATE("R9C",'Mapa final'!#REF!),"")</f>
        <v>#REF!</v>
      </c>
      <c r="T44" s="52" t="e">
        <f>IF(AND('Mapa final'!#REF!="Baja",'Mapa final'!#REF!="Menor"),CONCATENATE("R9C",'Mapa final'!#REF!),"")</f>
        <v>#REF!</v>
      </c>
      <c r="U44" s="53" t="e">
        <f>IF(AND('Mapa final'!#REF!="Baja",'Mapa final'!#REF!="Menor"),CONCATENATE("R9C",'Mapa final'!#REF!),"")</f>
        <v>#REF!</v>
      </c>
      <c r="V44" s="51" t="e">
        <f>IF(AND('Mapa final'!#REF!="Baja",'Mapa final'!#REF!="Moderado"),CONCATENATE("R9C",'Mapa final'!#REF!),"")</f>
        <v>#REF!</v>
      </c>
      <c r="W44" s="52" t="e">
        <f>IF(AND('Mapa final'!#REF!="Baja",'Mapa final'!#REF!="Moderado"),CONCATENATE("R9C",'Mapa final'!#REF!),"")</f>
        <v>#REF!</v>
      </c>
      <c r="X44" s="52" t="e">
        <f>IF(AND('Mapa final'!#REF!="Baja",'Mapa final'!#REF!="Moderado"),CONCATENATE("R9C",'Mapa final'!#REF!),"")</f>
        <v>#REF!</v>
      </c>
      <c r="Y44" s="52" t="e">
        <f>IF(AND('Mapa final'!#REF!="Baja",'Mapa final'!#REF!="Moderado"),CONCATENATE("R9C",'Mapa final'!#REF!),"")</f>
        <v>#REF!</v>
      </c>
      <c r="Z44" s="52" t="e">
        <f>IF(AND('Mapa final'!#REF!="Baja",'Mapa final'!#REF!="Moderado"),CONCATENATE("R9C",'Mapa final'!#REF!),"")</f>
        <v>#REF!</v>
      </c>
      <c r="AA44" s="53" t="e">
        <f>IF(AND('Mapa final'!#REF!="Baja",'Mapa final'!#REF!="Moderado"),CONCATENATE("R9C",'Mapa final'!#REF!),"")</f>
        <v>#REF!</v>
      </c>
      <c r="AB44" s="36" t="e">
        <f>IF(AND('Mapa final'!#REF!="Baja",'Mapa final'!#REF!="Mayor"),CONCATENATE("R9C",'Mapa final'!#REF!),"")</f>
        <v>#REF!</v>
      </c>
      <c r="AC44" s="37" t="e">
        <f>IF(AND('Mapa final'!#REF!="Baja",'Mapa final'!#REF!="Mayor"),CONCATENATE("R9C",'Mapa final'!#REF!),"")</f>
        <v>#REF!</v>
      </c>
      <c r="AD44" s="37" t="e">
        <f>IF(AND('Mapa final'!#REF!="Baja",'Mapa final'!#REF!="Mayor"),CONCATENATE("R9C",'Mapa final'!#REF!),"")</f>
        <v>#REF!</v>
      </c>
      <c r="AE44" s="37" t="e">
        <f>IF(AND('Mapa final'!#REF!="Baja",'Mapa final'!#REF!="Mayor"),CONCATENATE("R9C",'Mapa final'!#REF!),"")</f>
        <v>#REF!</v>
      </c>
      <c r="AF44" s="37" t="e">
        <f>IF(AND('Mapa final'!#REF!="Baja",'Mapa final'!#REF!="Mayor"),CONCATENATE("R9C",'Mapa final'!#REF!),"")</f>
        <v>#REF!</v>
      </c>
      <c r="AG44" s="38" t="e">
        <f>IF(AND('Mapa final'!#REF!="Baja",'Mapa final'!#REF!="Mayor"),CONCATENATE("R9C",'Mapa final'!#REF!),"")</f>
        <v>#REF!</v>
      </c>
      <c r="AH44" s="39" t="e">
        <f>IF(AND('Mapa final'!#REF!="Baja",'Mapa final'!#REF!="Catastrófico"),CONCATENATE("R9C",'Mapa final'!#REF!),"")</f>
        <v>#REF!</v>
      </c>
      <c r="AI44" s="40" t="e">
        <f>IF(AND('Mapa final'!#REF!="Baja",'Mapa final'!#REF!="Catastrófico"),CONCATENATE("R9C",'Mapa final'!#REF!),"")</f>
        <v>#REF!</v>
      </c>
      <c r="AJ44" s="40" t="e">
        <f>IF(AND('Mapa final'!#REF!="Baja",'Mapa final'!#REF!="Catastrófico"),CONCATENATE("R9C",'Mapa final'!#REF!),"")</f>
        <v>#REF!</v>
      </c>
      <c r="AK44" s="40" t="e">
        <f>IF(AND('Mapa final'!#REF!="Baja",'Mapa final'!#REF!="Catastrófico"),CONCATENATE("R9C",'Mapa final'!#REF!),"")</f>
        <v>#REF!</v>
      </c>
      <c r="AL44" s="40" t="e">
        <f>IF(AND('Mapa final'!#REF!="Baja",'Mapa final'!#REF!="Catastrófico"),CONCATENATE("R9C",'Mapa final'!#REF!),"")</f>
        <v>#REF!</v>
      </c>
      <c r="AM44" s="41" t="e">
        <f>IF(AND('Mapa final'!#REF!="Baja",'Mapa final'!#REF!="Catastrófico"),CONCATENATE("R9C",'Mapa final'!#REF!),"")</f>
        <v>#REF!</v>
      </c>
      <c r="AN44" s="67"/>
      <c r="AO44" s="593"/>
      <c r="AP44" s="594"/>
      <c r="AQ44" s="594"/>
      <c r="AR44" s="594"/>
      <c r="AS44" s="594"/>
      <c r="AT44" s="595"/>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
      <c r="A45" s="67"/>
      <c r="B45" s="474"/>
      <c r="C45" s="474"/>
      <c r="D45" s="475"/>
      <c r="E45" s="574"/>
      <c r="F45" s="575"/>
      <c r="G45" s="575"/>
      <c r="H45" s="575"/>
      <c r="I45" s="575"/>
      <c r="J45" s="63" t="e">
        <f>IF(AND('Mapa final'!#REF!="Baja",'Mapa final'!#REF!="Leve"),CONCATENATE("R10C",'Mapa final'!#REF!),"")</f>
        <v>#REF!</v>
      </c>
      <c r="K45" s="64" t="e">
        <f>IF(AND('Mapa final'!#REF!="Baja",'Mapa final'!#REF!="Leve"),CONCATENATE("R10C",'Mapa final'!#REF!),"")</f>
        <v>#REF!</v>
      </c>
      <c r="L45" s="64" t="e">
        <f>IF(AND('Mapa final'!#REF!="Baja",'Mapa final'!#REF!="Leve"),CONCATENATE("R10C",'Mapa final'!#REF!),"")</f>
        <v>#REF!</v>
      </c>
      <c r="M45" s="64" t="e">
        <f>IF(AND('Mapa final'!#REF!="Baja",'Mapa final'!#REF!="Leve"),CONCATENATE("R10C",'Mapa final'!#REF!),"")</f>
        <v>#REF!</v>
      </c>
      <c r="N45" s="64" t="e">
        <f>IF(AND('Mapa final'!#REF!="Baja",'Mapa final'!#REF!="Leve"),CONCATENATE("R10C",'Mapa final'!#REF!),"")</f>
        <v>#REF!</v>
      </c>
      <c r="O45" s="65" t="e">
        <f>IF(AND('Mapa final'!#REF!="Baja",'Mapa final'!#REF!="Leve"),CONCATENATE("R10C",'Mapa final'!#REF!),"")</f>
        <v>#REF!</v>
      </c>
      <c r="P45" s="51" t="e">
        <f>IF(AND('Mapa final'!#REF!="Baja",'Mapa final'!#REF!="Menor"),CONCATENATE("R10C",'Mapa final'!#REF!),"")</f>
        <v>#REF!</v>
      </c>
      <c r="Q45" s="52" t="e">
        <f>IF(AND('Mapa final'!#REF!="Baja",'Mapa final'!#REF!="Menor"),CONCATENATE("R10C",'Mapa final'!#REF!),"")</f>
        <v>#REF!</v>
      </c>
      <c r="R45" s="52" t="e">
        <f>IF(AND('Mapa final'!#REF!="Baja",'Mapa final'!#REF!="Menor"),CONCATENATE("R10C",'Mapa final'!#REF!),"")</f>
        <v>#REF!</v>
      </c>
      <c r="S45" s="52" t="e">
        <f>IF(AND('Mapa final'!#REF!="Baja",'Mapa final'!#REF!="Menor"),CONCATENATE("R10C",'Mapa final'!#REF!),"")</f>
        <v>#REF!</v>
      </c>
      <c r="T45" s="52" t="e">
        <f>IF(AND('Mapa final'!#REF!="Baja",'Mapa final'!#REF!="Menor"),CONCATENATE("R10C",'Mapa final'!#REF!),"")</f>
        <v>#REF!</v>
      </c>
      <c r="U45" s="53" t="e">
        <f>IF(AND('Mapa final'!#REF!="Baja",'Mapa final'!#REF!="Menor"),CONCATENATE("R10C",'Mapa final'!#REF!),"")</f>
        <v>#REF!</v>
      </c>
      <c r="V45" s="54" t="e">
        <f>IF(AND('Mapa final'!#REF!="Baja",'Mapa final'!#REF!="Moderado"),CONCATENATE("R10C",'Mapa final'!#REF!),"")</f>
        <v>#REF!</v>
      </c>
      <c r="W45" s="55" t="e">
        <f>IF(AND('Mapa final'!#REF!="Baja",'Mapa final'!#REF!="Moderado"),CONCATENATE("R10C",'Mapa final'!#REF!),"")</f>
        <v>#REF!</v>
      </c>
      <c r="X45" s="55" t="e">
        <f>IF(AND('Mapa final'!#REF!="Baja",'Mapa final'!#REF!="Moderado"),CONCATENATE("R10C",'Mapa final'!#REF!),"")</f>
        <v>#REF!</v>
      </c>
      <c r="Y45" s="55" t="e">
        <f>IF(AND('Mapa final'!#REF!="Baja",'Mapa final'!#REF!="Moderado"),CONCATENATE("R10C",'Mapa final'!#REF!),"")</f>
        <v>#REF!</v>
      </c>
      <c r="Z45" s="55" t="e">
        <f>IF(AND('Mapa final'!#REF!="Baja",'Mapa final'!#REF!="Moderado"),CONCATENATE("R10C",'Mapa final'!#REF!),"")</f>
        <v>#REF!</v>
      </c>
      <c r="AA45" s="56" t="e">
        <f>IF(AND('Mapa final'!#REF!="Baja",'Mapa final'!#REF!="Moderado"),CONCATENATE("R10C",'Mapa final'!#REF!),"")</f>
        <v>#REF!</v>
      </c>
      <c r="AB45" s="42" t="e">
        <f>IF(AND('Mapa final'!#REF!="Baja",'Mapa final'!#REF!="Mayor"),CONCATENATE("R10C",'Mapa final'!#REF!),"")</f>
        <v>#REF!</v>
      </c>
      <c r="AC45" s="43" t="e">
        <f>IF(AND('Mapa final'!#REF!="Baja",'Mapa final'!#REF!="Mayor"),CONCATENATE("R10C",'Mapa final'!#REF!),"")</f>
        <v>#REF!</v>
      </c>
      <c r="AD45" s="43" t="e">
        <f>IF(AND('Mapa final'!#REF!="Baja",'Mapa final'!#REF!="Mayor"),CONCATENATE("R10C",'Mapa final'!#REF!),"")</f>
        <v>#REF!</v>
      </c>
      <c r="AE45" s="43" t="e">
        <f>IF(AND('Mapa final'!#REF!="Baja",'Mapa final'!#REF!="Mayor"),CONCATENATE("R10C",'Mapa final'!#REF!),"")</f>
        <v>#REF!</v>
      </c>
      <c r="AF45" s="43" t="e">
        <f>IF(AND('Mapa final'!#REF!="Baja",'Mapa final'!#REF!="Mayor"),CONCATENATE("R10C",'Mapa final'!#REF!),"")</f>
        <v>#REF!</v>
      </c>
      <c r="AG45" s="44" t="e">
        <f>IF(AND('Mapa final'!#REF!="Baja",'Mapa final'!#REF!="Mayor"),CONCATENATE("R10C",'Mapa final'!#REF!),"")</f>
        <v>#REF!</v>
      </c>
      <c r="AH45" s="45" t="e">
        <f>IF(AND('Mapa final'!#REF!="Baja",'Mapa final'!#REF!="Catastrófico"),CONCATENATE("R10C",'Mapa final'!#REF!),"")</f>
        <v>#REF!</v>
      </c>
      <c r="AI45" s="46" t="e">
        <f>IF(AND('Mapa final'!#REF!="Baja",'Mapa final'!#REF!="Catastrófico"),CONCATENATE("R10C",'Mapa final'!#REF!),"")</f>
        <v>#REF!</v>
      </c>
      <c r="AJ45" s="46" t="e">
        <f>IF(AND('Mapa final'!#REF!="Baja",'Mapa final'!#REF!="Catastrófico"),CONCATENATE("R10C",'Mapa final'!#REF!),"")</f>
        <v>#REF!</v>
      </c>
      <c r="AK45" s="46" t="e">
        <f>IF(AND('Mapa final'!#REF!="Baja",'Mapa final'!#REF!="Catastrófico"),CONCATENATE("R10C",'Mapa final'!#REF!),"")</f>
        <v>#REF!</v>
      </c>
      <c r="AL45" s="46" t="e">
        <f>IF(AND('Mapa final'!#REF!="Baja",'Mapa final'!#REF!="Catastrófico"),CONCATENATE("R10C",'Mapa final'!#REF!),"")</f>
        <v>#REF!</v>
      </c>
      <c r="AM45" s="47" t="e">
        <f>IF(AND('Mapa final'!#REF!="Baja",'Mapa final'!#REF!="Catastrófico"),CONCATENATE("R10C",'Mapa final'!#REF!),"")</f>
        <v>#REF!</v>
      </c>
      <c r="AN45" s="67"/>
      <c r="AO45" s="596"/>
      <c r="AP45" s="597"/>
      <c r="AQ45" s="597"/>
      <c r="AR45" s="597"/>
      <c r="AS45" s="597"/>
      <c r="AT45" s="598"/>
    </row>
    <row r="46" spans="1:80" ht="46.5" customHeight="1" x14ac:dyDescent="0.35">
      <c r="A46" s="67"/>
      <c r="B46" s="474"/>
      <c r="C46" s="474"/>
      <c r="D46" s="475"/>
      <c r="E46" s="569" t="s">
        <v>107</v>
      </c>
      <c r="F46" s="570"/>
      <c r="G46" s="570"/>
      <c r="H46" s="570"/>
      <c r="I46" s="587"/>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e">
        <f>IF(AND('Mapa final'!#REF!="Muy Baja",'Mapa final'!#REF!="Leve"),CONCATENATE("R1C",'Mapa final'!#REF!),"")</f>
        <v>#REF!</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e">
        <f>IF(AND('Mapa final'!#REF!="Muy Baja",'Mapa final'!#REF!="Menor"),CONCATENATE("R1C",'Mapa final'!#REF!),"")</f>
        <v>#REF!</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e">
        <f>IF(AND('Mapa final'!#REF!="Muy Baja",'Mapa final'!#REF!="Moderado"),CONCATENATE("R1C",'Mapa final'!#REF!),"")</f>
        <v>#REF!</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R1C3</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25">
      <c r="A47" s="67"/>
      <c r="B47" s="474"/>
      <c r="C47" s="474"/>
      <c r="D47" s="475"/>
      <c r="E47" s="571"/>
      <c r="F47" s="572"/>
      <c r="G47" s="572"/>
      <c r="H47" s="572"/>
      <c r="I47" s="588"/>
      <c r="J47" s="60" t="str">
        <f>IF(AND('Mapa final'!$AB$13="Muy Baja",'Mapa final'!$AD$13="Leve"),CONCATENATE("R2C",'Mapa final'!$R$13),"")</f>
        <v/>
      </c>
      <c r="K47" s="61" t="str">
        <f>IF(AND('Mapa final'!$AB$14="Muy Baja",'Mapa final'!$AD$14="Leve"),CONCATENATE("R2C",'Mapa final'!$R$14),"")</f>
        <v/>
      </c>
      <c r="L47" s="61" t="e">
        <f>IF(AND('Mapa final'!#REF!="Muy Baja",'Mapa final'!#REF!="Leve"),CONCATENATE("R2C",'Mapa final'!#REF!),"")</f>
        <v>#REF!</v>
      </c>
      <c r="M47" s="61" t="e">
        <f>IF(AND('Mapa final'!#REF!="Muy Baja",'Mapa final'!#REF!="Leve"),CONCATENATE("R2C",'Mapa final'!#REF!),"")</f>
        <v>#REF!</v>
      </c>
      <c r="N47" s="61" t="e">
        <f>IF(AND('Mapa final'!#REF!="Muy Baja",'Mapa final'!#REF!="Leve"),CONCATENATE("R2C",'Mapa final'!#REF!),"")</f>
        <v>#REF!</v>
      </c>
      <c r="O47" s="62" t="e">
        <f>IF(AND('Mapa final'!#REF!="Muy Baja",'Mapa final'!#REF!="Leve"),CONCATENATE("R2C",'Mapa final'!#REF!),"")</f>
        <v>#REF!</v>
      </c>
      <c r="P47" s="60" t="str">
        <f>IF(AND('Mapa final'!$AB$13="Muy Baja",'Mapa final'!$AD$13="Menor"),CONCATENATE("R2C",'Mapa final'!$R$13),"")</f>
        <v/>
      </c>
      <c r="Q47" s="61" t="str">
        <f>IF(AND('Mapa final'!$AB$14="Muy Baja",'Mapa final'!$AD$14="Menor"),CONCATENATE("R2C",'Mapa final'!$R$14),"")</f>
        <v/>
      </c>
      <c r="R47" s="61" t="e">
        <f>IF(AND('Mapa final'!#REF!="Muy Baja",'Mapa final'!#REF!="Menor"),CONCATENATE("R2C",'Mapa final'!#REF!),"")</f>
        <v>#REF!</v>
      </c>
      <c r="S47" s="61" t="e">
        <f>IF(AND('Mapa final'!#REF!="Muy Baja",'Mapa final'!#REF!="Menor"),CONCATENATE("R2C",'Mapa final'!#REF!),"")</f>
        <v>#REF!</v>
      </c>
      <c r="T47" s="61" t="e">
        <f>IF(AND('Mapa final'!#REF!="Muy Baja",'Mapa final'!#REF!="Menor"),CONCATENATE("R2C",'Mapa final'!#REF!),"")</f>
        <v>#REF!</v>
      </c>
      <c r="U47" s="62" t="e">
        <f>IF(AND('Mapa final'!#REF!="Muy Baja",'Mapa final'!#REF!="Menor"),CONCATENATE("R2C",'Mapa final'!#REF!),"")</f>
        <v>#REF!</v>
      </c>
      <c r="V47" s="51" t="str">
        <f>IF(AND('Mapa final'!$AB$13="Muy Baja",'Mapa final'!$AD$13="Moderado"),CONCATENATE("R2C",'Mapa final'!$R$13),"")</f>
        <v/>
      </c>
      <c r="W47" s="52" t="str">
        <f>IF(AND('Mapa final'!$AB$14="Muy Baja",'Mapa final'!$AD$14="Moderado"),CONCATENATE("R2C",'Mapa final'!$R$14),"")</f>
        <v/>
      </c>
      <c r="X47" s="52" t="e">
        <f>IF(AND('Mapa final'!#REF!="Muy Baja",'Mapa final'!#REF!="Moderado"),CONCATENATE("R2C",'Mapa final'!#REF!),"")</f>
        <v>#REF!</v>
      </c>
      <c r="Y47" s="52" t="e">
        <f>IF(AND('Mapa final'!#REF!="Muy Baja",'Mapa final'!#REF!="Moderado"),CONCATENATE("R2C",'Mapa final'!#REF!),"")</f>
        <v>#REF!</v>
      </c>
      <c r="Z47" s="52" t="e">
        <f>IF(AND('Mapa final'!#REF!="Muy Baja",'Mapa final'!#REF!="Moderado"),CONCATENATE("R2C",'Mapa final'!#REF!),"")</f>
        <v>#REF!</v>
      </c>
      <c r="AA47" s="53" t="e">
        <f>IF(AND('Mapa final'!#REF!="Muy Baja",'Mapa final'!#REF!="Moderado"),CONCATENATE("R2C",'Mapa final'!#REF!),"")</f>
        <v>#REF!</v>
      </c>
      <c r="AB47" s="36" t="str">
        <f>IF(AND('Mapa final'!$AB$13="Muy Baja",'Mapa final'!$AD$13="Mayor"),CONCATENATE("R2C",'Mapa final'!$R$13),"")</f>
        <v/>
      </c>
      <c r="AC47" s="37" t="str">
        <f>IF(AND('Mapa final'!$AB$14="Muy Baja",'Mapa final'!$AD$14="Mayor"),CONCATENATE("R2C",'Mapa final'!$R$14),"")</f>
        <v/>
      </c>
      <c r="AD47" s="37" t="e">
        <f>IF(AND('Mapa final'!#REF!="Muy Baja",'Mapa final'!#REF!="Mayor"),CONCATENATE("R2C",'Mapa final'!#REF!),"")</f>
        <v>#REF!</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str">
        <f>IF(AND('Mapa final'!$AB$13="Muy Baja",'Mapa final'!$AD$13="Catastrófico"),CONCATENATE("R2C",'Mapa final'!$R$13),"")</f>
        <v/>
      </c>
      <c r="AI47" s="40" t="str">
        <f>IF(AND('Mapa final'!$AB$14="Muy Baja",'Mapa final'!$AD$14="Catastrófico"),CONCATENATE("R2C",'Mapa final'!$R$14),"")</f>
        <v/>
      </c>
      <c r="AJ47" s="40" t="e">
        <f>IF(AND('Mapa final'!#REF!="Muy Baja",'Mapa final'!#REF!="Catastrófico"),CONCATENATE("R2C",'Mapa final'!#REF!),"")</f>
        <v>#REF!</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25">
      <c r="A48" s="67"/>
      <c r="B48" s="474"/>
      <c r="C48" s="474"/>
      <c r="D48" s="475"/>
      <c r="E48" s="571"/>
      <c r="F48" s="572"/>
      <c r="G48" s="572"/>
      <c r="H48" s="572"/>
      <c r="I48" s="588"/>
      <c r="J48" s="60" t="str">
        <f>IF(AND('Mapa final'!$AB$15="Muy Baja",'Mapa final'!$AD$15="Leve"),CONCATENATE("R3C",'Mapa final'!$R$15),"")</f>
        <v/>
      </c>
      <c r="K48" s="61" t="str">
        <f>IF(AND('Mapa final'!$AB$16="Muy Baja",'Mapa final'!$AD$16="Leve"),CONCATENATE("R3C",'Mapa final'!$R$16),"")</f>
        <v/>
      </c>
      <c r="L48" s="61" t="e">
        <f>IF(AND('Mapa final'!#REF!="Muy Baja",'Mapa final'!#REF!="Leve"),CONCATENATE("R3C",'Mapa final'!#REF!),"")</f>
        <v>#REF!</v>
      </c>
      <c r="M48" s="61" t="e">
        <f>IF(AND('Mapa final'!#REF!="Muy Baja",'Mapa final'!#REF!="Leve"),CONCATENATE("R3C",'Mapa final'!#REF!),"")</f>
        <v>#REF!</v>
      </c>
      <c r="N48" s="61" t="e">
        <f>IF(AND('Mapa final'!#REF!="Muy Baja",'Mapa final'!#REF!="Leve"),CONCATENATE("R3C",'Mapa final'!#REF!),"")</f>
        <v>#REF!</v>
      </c>
      <c r="O48" s="62" t="e">
        <f>IF(AND('Mapa final'!#REF!="Muy Baja",'Mapa final'!#REF!="Leve"),CONCATENATE("R3C",'Mapa final'!#REF!),"")</f>
        <v>#REF!</v>
      </c>
      <c r="P48" s="60" t="str">
        <f>IF(AND('Mapa final'!$AB$15="Muy Baja",'Mapa final'!$AD$15="Menor"),CONCATENATE("R3C",'Mapa final'!$R$15),"")</f>
        <v/>
      </c>
      <c r="Q48" s="61" t="str">
        <f>IF(AND('Mapa final'!$AB$16="Muy Baja",'Mapa final'!$AD$16="Menor"),CONCATENATE("R3C",'Mapa final'!$R$16),"")</f>
        <v/>
      </c>
      <c r="R48" s="61" t="e">
        <f>IF(AND('Mapa final'!#REF!="Muy Baja",'Mapa final'!#REF!="Menor"),CONCATENATE("R3C",'Mapa final'!#REF!),"")</f>
        <v>#REF!</v>
      </c>
      <c r="S48" s="61" t="e">
        <f>IF(AND('Mapa final'!#REF!="Muy Baja",'Mapa final'!#REF!="Menor"),CONCATENATE("R3C",'Mapa final'!#REF!),"")</f>
        <v>#REF!</v>
      </c>
      <c r="T48" s="61" t="e">
        <f>IF(AND('Mapa final'!#REF!="Muy Baja",'Mapa final'!#REF!="Menor"),CONCATENATE("R3C",'Mapa final'!#REF!),"")</f>
        <v>#REF!</v>
      </c>
      <c r="U48" s="62" t="e">
        <f>IF(AND('Mapa final'!#REF!="Muy Baja",'Mapa final'!#REF!="Menor"),CONCATENATE("R3C",'Mapa final'!#REF!),"")</f>
        <v>#REF!</v>
      </c>
      <c r="V48" s="51" t="str">
        <f>IF(AND('Mapa final'!$AB$15="Muy Baja",'Mapa final'!$AD$15="Moderado"),CONCATENATE("R3C",'Mapa final'!$R$15),"")</f>
        <v/>
      </c>
      <c r="W48" s="52" t="str">
        <f>IF(AND('Mapa final'!$AB$16="Muy Baja",'Mapa final'!$AD$16="Moderado"),CONCATENATE("R3C",'Mapa final'!$R$16),"")</f>
        <v/>
      </c>
      <c r="X48" s="52" t="e">
        <f>IF(AND('Mapa final'!#REF!="Muy Baja",'Mapa final'!#REF!="Moderado"),CONCATENATE("R3C",'Mapa final'!#REF!),"")</f>
        <v>#REF!</v>
      </c>
      <c r="Y48" s="52" t="e">
        <f>IF(AND('Mapa final'!#REF!="Muy Baja",'Mapa final'!#REF!="Moderado"),CONCATENATE("R3C",'Mapa final'!#REF!),"")</f>
        <v>#REF!</v>
      </c>
      <c r="Z48" s="52" t="e">
        <f>IF(AND('Mapa final'!#REF!="Muy Baja",'Mapa final'!#REF!="Moderado"),CONCATENATE("R3C",'Mapa final'!#REF!),"")</f>
        <v>#REF!</v>
      </c>
      <c r="AA48" s="53" t="e">
        <f>IF(AND('Mapa final'!#REF!="Muy Baja",'Mapa final'!#REF!="Moderado"),CONCATENATE("R3C",'Mapa final'!#REF!),"")</f>
        <v>#REF!</v>
      </c>
      <c r="AB48" s="36" t="str">
        <f>IF(AND('Mapa final'!$AB$15="Muy Baja",'Mapa final'!$AD$15="Mayor"),CONCATENATE("R3C",'Mapa final'!$R$15),"")</f>
        <v/>
      </c>
      <c r="AC48" s="37" t="str">
        <f>IF(AND('Mapa final'!$AB$16="Muy Baja",'Mapa final'!$AD$16="Mayor"),CONCATENATE("R3C",'Mapa final'!$R$16),"")</f>
        <v/>
      </c>
      <c r="AD48" s="37" t="e">
        <f>IF(AND('Mapa final'!#REF!="Muy Baja",'Mapa final'!#REF!="Mayor"),CONCATENATE("R3C",'Mapa final'!#REF!),"")</f>
        <v>#REF!</v>
      </c>
      <c r="AE48" s="37" t="e">
        <f>IF(AND('Mapa final'!#REF!="Muy Baja",'Mapa final'!#REF!="Mayor"),CONCATENATE("R3C",'Mapa final'!#REF!),"")</f>
        <v>#REF!</v>
      </c>
      <c r="AF48" s="37" t="e">
        <f>IF(AND('Mapa final'!#REF!="Muy Baja",'Mapa final'!#REF!="Mayor"),CONCATENATE("R3C",'Mapa final'!#REF!),"")</f>
        <v>#REF!</v>
      </c>
      <c r="AG48" s="38" t="e">
        <f>IF(AND('Mapa final'!#REF!="Muy Baja",'Mapa final'!#REF!="Mayor"),CONCATENATE("R3C",'Mapa final'!#REF!),"")</f>
        <v>#REF!</v>
      </c>
      <c r="AH48" s="39" t="str">
        <f>IF(AND('Mapa final'!$AB$15="Muy Baja",'Mapa final'!$AD$15="Catastrófico"),CONCATENATE("R3C",'Mapa final'!$R$15),"")</f>
        <v/>
      </c>
      <c r="AI48" s="40" t="str">
        <f>IF(AND('Mapa final'!$AB$16="Muy Baja",'Mapa final'!$AD$16="Catastrófico"),CONCATENATE("R3C",'Mapa final'!$R$16),"")</f>
        <v/>
      </c>
      <c r="AJ48" s="40" t="e">
        <f>IF(AND('Mapa final'!#REF!="Muy Baja",'Mapa final'!#REF!="Catastrófico"),CONCATENATE("R3C",'Mapa final'!#REF!),"")</f>
        <v>#REF!</v>
      </c>
      <c r="AK48" s="40" t="e">
        <f>IF(AND('Mapa final'!#REF!="Muy Baja",'Mapa final'!#REF!="Catastrófico"),CONCATENATE("R3C",'Mapa final'!#REF!),"")</f>
        <v>#REF!</v>
      </c>
      <c r="AL48" s="40" t="e">
        <f>IF(AND('Mapa final'!#REF!="Muy Baja",'Mapa final'!#REF!="Catastrófico"),CONCATENATE("R3C",'Mapa final'!#REF!),"")</f>
        <v>#REF!</v>
      </c>
      <c r="AM48" s="41" t="e">
        <f>IF(AND('Mapa final'!#REF!="Muy Baja",'Mapa final'!#REF!="Catastrófico"),CONCATENATE("R3C",'Mapa final'!#REF!),"")</f>
        <v>#REF!</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25">
      <c r="A49" s="67"/>
      <c r="B49" s="474"/>
      <c r="C49" s="474"/>
      <c r="D49" s="475"/>
      <c r="E49" s="573"/>
      <c r="F49" s="572"/>
      <c r="G49" s="572"/>
      <c r="H49" s="572"/>
      <c r="I49" s="588"/>
      <c r="J49" s="60" t="e">
        <f>IF(AND('Mapa final'!#REF!="Muy Baja",'Mapa final'!#REF!="Leve"),CONCATENATE("R4C",'Mapa final'!#REF!),"")</f>
        <v>#REF!</v>
      </c>
      <c r="K49" s="61" t="e">
        <f>IF(AND('Mapa final'!#REF!="Muy Baja",'Mapa final'!#REF!="Leve"),CONCATENATE("R4C",'Mapa final'!#REF!),"")</f>
        <v>#REF!</v>
      </c>
      <c r="L49" s="61" t="e">
        <f>IF(AND('Mapa final'!#REF!="Muy Baja",'Mapa final'!#REF!="Leve"),CONCATENATE("R4C",'Mapa final'!#REF!),"")</f>
        <v>#REF!</v>
      </c>
      <c r="M49" s="61" t="e">
        <f>IF(AND('Mapa final'!#REF!="Muy Baja",'Mapa final'!#REF!="Leve"),CONCATENATE("R4C",'Mapa final'!#REF!),"")</f>
        <v>#REF!</v>
      </c>
      <c r="N49" s="61" t="e">
        <f>IF(AND('Mapa final'!#REF!="Muy Baja",'Mapa final'!#REF!="Leve"),CONCATENATE("R4C",'Mapa final'!#REF!),"")</f>
        <v>#REF!</v>
      </c>
      <c r="O49" s="62" t="e">
        <f>IF(AND('Mapa final'!#REF!="Muy Baja",'Mapa final'!#REF!="Leve"),CONCATENATE("R4C",'Mapa final'!#REF!),"")</f>
        <v>#REF!</v>
      </c>
      <c r="P49" s="60" t="e">
        <f>IF(AND('Mapa final'!#REF!="Muy Baja",'Mapa final'!#REF!="Menor"),CONCATENATE("R4C",'Mapa final'!#REF!),"")</f>
        <v>#REF!</v>
      </c>
      <c r="Q49" s="61" t="e">
        <f>IF(AND('Mapa final'!#REF!="Muy Baja",'Mapa final'!#REF!="Menor"),CONCATENATE("R4C",'Mapa final'!#REF!),"")</f>
        <v>#REF!</v>
      </c>
      <c r="R49" s="61" t="e">
        <f>IF(AND('Mapa final'!#REF!="Muy Baja",'Mapa final'!#REF!="Menor"),CONCATENATE("R4C",'Mapa final'!#REF!),"")</f>
        <v>#REF!</v>
      </c>
      <c r="S49" s="61" t="e">
        <f>IF(AND('Mapa final'!#REF!="Muy Baja",'Mapa final'!#REF!="Menor"),CONCATENATE("R4C",'Mapa final'!#REF!),"")</f>
        <v>#REF!</v>
      </c>
      <c r="T49" s="61" t="e">
        <f>IF(AND('Mapa final'!#REF!="Muy Baja",'Mapa final'!#REF!="Menor"),CONCATENATE("R4C",'Mapa final'!#REF!),"")</f>
        <v>#REF!</v>
      </c>
      <c r="U49" s="62" t="e">
        <f>IF(AND('Mapa final'!#REF!="Muy Baja",'Mapa final'!#REF!="Menor"),CONCATENATE("R4C",'Mapa final'!#REF!),"")</f>
        <v>#REF!</v>
      </c>
      <c r="V49" s="51" t="e">
        <f>IF(AND('Mapa final'!#REF!="Muy Baja",'Mapa final'!#REF!="Moderado"),CONCATENATE("R4C",'Mapa final'!#REF!),"")</f>
        <v>#REF!</v>
      </c>
      <c r="W49" s="52" t="e">
        <f>IF(AND('Mapa final'!#REF!="Muy Baja",'Mapa final'!#REF!="Moderado"),CONCATENATE("R4C",'Mapa final'!#REF!),"")</f>
        <v>#REF!</v>
      </c>
      <c r="X49" s="52" t="e">
        <f>IF(AND('Mapa final'!#REF!="Muy Baja",'Mapa final'!#REF!="Moderado"),CONCATENATE("R4C",'Mapa final'!#REF!),"")</f>
        <v>#REF!</v>
      </c>
      <c r="Y49" s="52" t="e">
        <f>IF(AND('Mapa final'!#REF!="Muy Baja",'Mapa final'!#REF!="Moderado"),CONCATENATE("R4C",'Mapa final'!#REF!),"")</f>
        <v>#REF!</v>
      </c>
      <c r="Z49" s="52" t="e">
        <f>IF(AND('Mapa final'!#REF!="Muy Baja",'Mapa final'!#REF!="Moderado"),CONCATENATE("R4C",'Mapa final'!#REF!),"")</f>
        <v>#REF!</v>
      </c>
      <c r="AA49" s="53" t="e">
        <f>IF(AND('Mapa final'!#REF!="Muy Baja",'Mapa final'!#REF!="Moderado"),CONCATENATE("R4C",'Mapa final'!#REF!),"")</f>
        <v>#REF!</v>
      </c>
      <c r="AB49" s="36" t="e">
        <f>IF(AND('Mapa final'!#REF!="Muy Baja",'Mapa final'!#REF!="Mayor"),CONCATENATE("R4C",'Mapa final'!#REF!),"")</f>
        <v>#REF!</v>
      </c>
      <c r="AC49" s="37" t="e">
        <f>IF(AND('Mapa final'!#REF!="Muy Baja",'Mapa final'!#REF!="Mayor"),CONCATENATE("R4C",'Mapa final'!#REF!),"")</f>
        <v>#REF!</v>
      </c>
      <c r="AD49" s="37" t="e">
        <f>IF(AND('Mapa final'!#REF!="Muy Baja",'Mapa final'!#REF!="Mayor"),CONCATENATE("R4C",'Mapa final'!#REF!),"")</f>
        <v>#REF!</v>
      </c>
      <c r="AE49" s="37" t="e">
        <f>IF(AND('Mapa final'!#REF!="Muy Baja",'Mapa final'!#REF!="Mayor"),CONCATENATE("R4C",'Mapa final'!#REF!),"")</f>
        <v>#REF!</v>
      </c>
      <c r="AF49" s="37" t="e">
        <f>IF(AND('Mapa final'!#REF!="Muy Baja",'Mapa final'!#REF!="Mayor"),CONCATENATE("R4C",'Mapa final'!#REF!),"")</f>
        <v>#REF!</v>
      </c>
      <c r="AG49" s="38" t="e">
        <f>IF(AND('Mapa final'!#REF!="Muy Baja",'Mapa final'!#REF!="Mayor"),CONCATENATE("R4C",'Mapa final'!#REF!),"")</f>
        <v>#REF!</v>
      </c>
      <c r="AH49" s="39" t="e">
        <f>IF(AND('Mapa final'!#REF!="Muy Baja",'Mapa final'!#REF!="Catastrófico"),CONCATENATE("R4C",'Mapa final'!#REF!),"")</f>
        <v>#REF!</v>
      </c>
      <c r="AI49" s="40" t="e">
        <f>IF(AND('Mapa final'!#REF!="Muy Baja",'Mapa final'!#REF!="Catastrófico"),CONCATENATE("R4C",'Mapa final'!#REF!),"")</f>
        <v>#REF!</v>
      </c>
      <c r="AJ49" s="40" t="e">
        <f>IF(AND('Mapa final'!#REF!="Muy Baja",'Mapa final'!#REF!="Catastrófico"),CONCATENATE("R4C",'Mapa final'!#REF!),"")</f>
        <v>#REF!</v>
      </c>
      <c r="AK49" s="40" t="e">
        <f>IF(AND('Mapa final'!#REF!="Muy Baja",'Mapa final'!#REF!="Catastrófico"),CONCATENATE("R4C",'Mapa final'!#REF!),"")</f>
        <v>#REF!</v>
      </c>
      <c r="AL49" s="40" t="e">
        <f>IF(AND('Mapa final'!#REF!="Muy Baja",'Mapa final'!#REF!="Catastrófico"),CONCATENATE("R4C",'Mapa final'!#REF!),"")</f>
        <v>#REF!</v>
      </c>
      <c r="AM49" s="41" t="e">
        <f>IF(AND('Mapa final'!#REF!="Muy Baja",'Mapa final'!#REF!="Catastrófico"),CONCATENATE("R4C",'Mapa final'!#REF!),"")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25">
      <c r="A50" s="67"/>
      <c r="B50" s="474"/>
      <c r="C50" s="474"/>
      <c r="D50" s="475"/>
      <c r="E50" s="573"/>
      <c r="F50" s="572"/>
      <c r="G50" s="572"/>
      <c r="H50" s="572"/>
      <c r="I50" s="588"/>
      <c r="J50" s="60" t="e">
        <f>IF(AND('Mapa final'!#REF!="Muy Baja",'Mapa final'!#REF!="Leve"),CONCATENATE("R5C",'Mapa final'!#REF!),"")</f>
        <v>#REF!</v>
      </c>
      <c r="K50" s="61" t="e">
        <f>IF(AND('Mapa final'!#REF!="Muy Baja",'Mapa final'!#REF!="Leve"),CONCATENATE("R5C",'Mapa final'!#REF!),"")</f>
        <v>#REF!</v>
      </c>
      <c r="L50" s="61" t="e">
        <f>IF(AND('Mapa final'!#REF!="Muy Baja",'Mapa final'!#REF!="Leve"),CONCATENATE("R5C",'Mapa final'!#REF!),"")</f>
        <v>#REF!</v>
      </c>
      <c r="M50" s="61" t="e">
        <f>IF(AND('Mapa final'!#REF!="Muy Baja",'Mapa final'!#REF!="Leve"),CONCATENATE("R5C",'Mapa final'!#REF!),"")</f>
        <v>#REF!</v>
      </c>
      <c r="N50" s="61" t="e">
        <f>IF(AND('Mapa final'!#REF!="Muy Baja",'Mapa final'!#REF!="Leve"),CONCATENATE("R5C",'Mapa final'!#REF!),"")</f>
        <v>#REF!</v>
      </c>
      <c r="O50" s="62" t="e">
        <f>IF(AND('Mapa final'!#REF!="Muy Baja",'Mapa final'!#REF!="Leve"),CONCATENATE("R5C",'Mapa final'!#REF!),"")</f>
        <v>#REF!</v>
      </c>
      <c r="P50" s="60" t="e">
        <f>IF(AND('Mapa final'!#REF!="Muy Baja",'Mapa final'!#REF!="Menor"),CONCATENATE("R5C",'Mapa final'!#REF!),"")</f>
        <v>#REF!</v>
      </c>
      <c r="Q50" s="61" t="e">
        <f>IF(AND('Mapa final'!#REF!="Muy Baja",'Mapa final'!#REF!="Menor"),CONCATENATE("R5C",'Mapa final'!#REF!),"")</f>
        <v>#REF!</v>
      </c>
      <c r="R50" s="61" t="e">
        <f>IF(AND('Mapa final'!#REF!="Muy Baja",'Mapa final'!#REF!="Menor"),CONCATENATE("R5C",'Mapa final'!#REF!),"")</f>
        <v>#REF!</v>
      </c>
      <c r="S50" s="61" t="e">
        <f>IF(AND('Mapa final'!#REF!="Muy Baja",'Mapa final'!#REF!="Menor"),CONCATENATE("R5C",'Mapa final'!#REF!),"")</f>
        <v>#REF!</v>
      </c>
      <c r="T50" s="61" t="e">
        <f>IF(AND('Mapa final'!#REF!="Muy Baja",'Mapa final'!#REF!="Menor"),CONCATENATE("R5C",'Mapa final'!#REF!),"")</f>
        <v>#REF!</v>
      </c>
      <c r="U50" s="62" t="e">
        <f>IF(AND('Mapa final'!#REF!="Muy Baja",'Mapa final'!#REF!="Menor"),CONCATENATE("R5C",'Mapa final'!#REF!),"")</f>
        <v>#REF!</v>
      </c>
      <c r="V50" s="51" t="e">
        <f>IF(AND('Mapa final'!#REF!="Muy Baja",'Mapa final'!#REF!="Moderado"),CONCATENATE("R5C",'Mapa final'!#REF!),"")</f>
        <v>#REF!</v>
      </c>
      <c r="W50" s="52" t="e">
        <f>IF(AND('Mapa final'!#REF!="Muy Baja",'Mapa final'!#REF!="Moderado"),CONCATENATE("R5C",'Mapa final'!#REF!),"")</f>
        <v>#REF!</v>
      </c>
      <c r="X50" s="52" t="e">
        <f>IF(AND('Mapa final'!#REF!="Muy Baja",'Mapa final'!#REF!="Moderado"),CONCATENATE("R5C",'Mapa final'!#REF!),"")</f>
        <v>#REF!</v>
      </c>
      <c r="Y50" s="52" t="e">
        <f>IF(AND('Mapa final'!#REF!="Muy Baja",'Mapa final'!#REF!="Moderado"),CONCATENATE("R5C",'Mapa final'!#REF!),"")</f>
        <v>#REF!</v>
      </c>
      <c r="Z50" s="52" t="e">
        <f>IF(AND('Mapa final'!#REF!="Muy Baja",'Mapa final'!#REF!="Moderado"),CONCATENATE("R5C",'Mapa final'!#REF!),"")</f>
        <v>#REF!</v>
      </c>
      <c r="AA50" s="53" t="e">
        <f>IF(AND('Mapa final'!#REF!="Muy Baja",'Mapa final'!#REF!="Moderado"),CONCATENATE("R5C",'Mapa final'!#REF!),"")</f>
        <v>#REF!</v>
      </c>
      <c r="AB50" s="36" t="e">
        <f>IF(AND('Mapa final'!#REF!="Muy Baja",'Mapa final'!#REF!="Mayor"),CONCATENATE("R5C",'Mapa final'!#REF!),"")</f>
        <v>#REF!</v>
      </c>
      <c r="AC50" s="37" t="e">
        <f>IF(AND('Mapa final'!#REF!="Muy Baja",'Mapa final'!#REF!="Mayor"),CONCATENATE("R5C",'Mapa final'!#REF!),"")</f>
        <v>#REF!</v>
      </c>
      <c r="AD50" s="37" t="e">
        <f>IF(AND('Mapa final'!#REF!="Muy Baja",'Mapa final'!#REF!="Mayor"),CONCATENATE("R5C",'Mapa final'!#REF!),"")</f>
        <v>#REF!</v>
      </c>
      <c r="AE50" s="37" t="e">
        <f>IF(AND('Mapa final'!#REF!="Muy Baja",'Mapa final'!#REF!="Mayor"),CONCATENATE("R5C",'Mapa final'!#REF!),"")</f>
        <v>#REF!</v>
      </c>
      <c r="AF50" s="37" t="e">
        <f>IF(AND('Mapa final'!#REF!="Muy Baja",'Mapa final'!#REF!="Mayor"),CONCATENATE("R5C",'Mapa final'!#REF!),"")</f>
        <v>#REF!</v>
      </c>
      <c r="AG50" s="38" t="e">
        <f>IF(AND('Mapa final'!#REF!="Muy Baja",'Mapa final'!#REF!="Mayor"),CONCATENATE("R5C",'Mapa final'!#REF!),"")</f>
        <v>#REF!</v>
      </c>
      <c r="AH50" s="39" t="e">
        <f>IF(AND('Mapa final'!#REF!="Muy Baja",'Mapa final'!#REF!="Catastrófico"),CONCATENATE("R5C",'Mapa final'!#REF!),"")</f>
        <v>#REF!</v>
      </c>
      <c r="AI50" s="40" t="e">
        <f>IF(AND('Mapa final'!#REF!="Muy Baja",'Mapa final'!#REF!="Catastrófico"),CONCATENATE("R5C",'Mapa final'!#REF!),"")</f>
        <v>#REF!</v>
      </c>
      <c r="AJ50" s="40" t="e">
        <f>IF(AND('Mapa final'!#REF!="Muy Baja",'Mapa final'!#REF!="Catastrófico"),CONCATENATE("R5C",'Mapa final'!#REF!),"")</f>
        <v>#REF!</v>
      </c>
      <c r="AK50" s="40" t="e">
        <f>IF(AND('Mapa final'!#REF!="Muy Baja",'Mapa final'!#REF!="Catastrófico"),CONCATENATE("R5C",'Mapa final'!#REF!),"")</f>
        <v>#REF!</v>
      </c>
      <c r="AL50" s="40" t="e">
        <f>IF(AND('Mapa final'!#REF!="Muy Baja",'Mapa final'!#REF!="Catastrófico"),CONCATENATE("R5C",'Mapa final'!#REF!),"")</f>
        <v>#REF!</v>
      </c>
      <c r="AM50" s="41" t="e">
        <f>IF(AND('Mapa final'!#REF!="Muy Baja",'Mapa final'!#REF!="Catastrófico"),CONCATENATE("R5C",'Mapa final'!#REF!),"")</f>
        <v>#REF!</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25">
      <c r="A51" s="67"/>
      <c r="B51" s="474"/>
      <c r="C51" s="474"/>
      <c r="D51" s="475"/>
      <c r="E51" s="573"/>
      <c r="F51" s="572"/>
      <c r="G51" s="572"/>
      <c r="H51" s="572"/>
      <c r="I51" s="588"/>
      <c r="J51" s="60" t="e">
        <f>IF(AND('Mapa final'!#REF!="Muy Baja",'Mapa final'!#REF!="Leve"),CONCATENATE("R6C",'Mapa final'!#REF!),"")</f>
        <v>#REF!</v>
      </c>
      <c r="K51" s="61" t="e">
        <f>IF(AND('Mapa final'!#REF!="Muy Baja",'Mapa final'!#REF!="Leve"),CONCATENATE("R6C",'Mapa final'!#REF!),"")</f>
        <v>#REF!</v>
      </c>
      <c r="L51" s="61" t="e">
        <f>IF(AND('Mapa final'!#REF!="Muy Baja",'Mapa final'!#REF!="Leve"),CONCATENATE("R6C",'Mapa final'!#REF!),"")</f>
        <v>#REF!</v>
      </c>
      <c r="M51" s="61" t="e">
        <f>IF(AND('Mapa final'!#REF!="Muy Baja",'Mapa final'!#REF!="Leve"),CONCATENATE("R6C",'Mapa final'!#REF!),"")</f>
        <v>#REF!</v>
      </c>
      <c r="N51" s="61" t="e">
        <f>IF(AND('Mapa final'!#REF!="Muy Baja",'Mapa final'!#REF!="Leve"),CONCATENATE("R6C",'Mapa final'!#REF!),"")</f>
        <v>#REF!</v>
      </c>
      <c r="O51" s="62" t="e">
        <f>IF(AND('Mapa final'!#REF!="Muy Baja",'Mapa final'!#REF!="Leve"),CONCATENATE("R6C",'Mapa final'!#REF!),"")</f>
        <v>#REF!</v>
      </c>
      <c r="P51" s="60" t="e">
        <f>IF(AND('Mapa final'!#REF!="Muy Baja",'Mapa final'!#REF!="Menor"),CONCATENATE("R6C",'Mapa final'!#REF!),"")</f>
        <v>#REF!</v>
      </c>
      <c r="Q51" s="61" t="e">
        <f>IF(AND('Mapa final'!#REF!="Muy Baja",'Mapa final'!#REF!="Menor"),CONCATENATE("R6C",'Mapa final'!#REF!),"")</f>
        <v>#REF!</v>
      </c>
      <c r="R51" s="61" t="e">
        <f>IF(AND('Mapa final'!#REF!="Muy Baja",'Mapa final'!#REF!="Menor"),CONCATENATE("R6C",'Mapa final'!#REF!),"")</f>
        <v>#REF!</v>
      </c>
      <c r="S51" s="61" t="e">
        <f>IF(AND('Mapa final'!#REF!="Muy Baja",'Mapa final'!#REF!="Menor"),CONCATENATE("R6C",'Mapa final'!#REF!),"")</f>
        <v>#REF!</v>
      </c>
      <c r="T51" s="61" t="e">
        <f>IF(AND('Mapa final'!#REF!="Muy Baja",'Mapa final'!#REF!="Menor"),CONCATENATE("R6C",'Mapa final'!#REF!),"")</f>
        <v>#REF!</v>
      </c>
      <c r="U51" s="62" t="e">
        <f>IF(AND('Mapa final'!#REF!="Muy Baja",'Mapa final'!#REF!="Menor"),CONCATENATE("R6C",'Mapa final'!#REF!),"")</f>
        <v>#REF!</v>
      </c>
      <c r="V51" s="51" t="e">
        <f>IF(AND('Mapa final'!#REF!="Muy Baja",'Mapa final'!#REF!="Moderado"),CONCATENATE("R6C",'Mapa final'!#REF!),"")</f>
        <v>#REF!</v>
      </c>
      <c r="W51" s="52" t="e">
        <f>IF(AND('Mapa final'!#REF!="Muy Baja",'Mapa final'!#REF!="Moderado"),CONCATENATE("R6C",'Mapa final'!#REF!),"")</f>
        <v>#REF!</v>
      </c>
      <c r="X51" s="52" t="e">
        <f>IF(AND('Mapa final'!#REF!="Muy Baja",'Mapa final'!#REF!="Moderado"),CONCATENATE("R6C",'Mapa final'!#REF!),"")</f>
        <v>#REF!</v>
      </c>
      <c r="Y51" s="52" t="e">
        <f>IF(AND('Mapa final'!#REF!="Muy Baja",'Mapa final'!#REF!="Moderado"),CONCATENATE("R6C",'Mapa final'!#REF!),"")</f>
        <v>#REF!</v>
      </c>
      <c r="Z51" s="52" t="e">
        <f>IF(AND('Mapa final'!#REF!="Muy Baja",'Mapa final'!#REF!="Moderado"),CONCATENATE("R6C",'Mapa final'!#REF!),"")</f>
        <v>#REF!</v>
      </c>
      <c r="AA51" s="53" t="e">
        <f>IF(AND('Mapa final'!#REF!="Muy Baja",'Mapa final'!#REF!="Moderado"),CONCATENATE("R6C",'Mapa final'!#REF!),"")</f>
        <v>#REF!</v>
      </c>
      <c r="AB51" s="36" t="e">
        <f>IF(AND('Mapa final'!#REF!="Muy Baja",'Mapa final'!#REF!="Mayor"),CONCATENATE("R6C",'Mapa final'!#REF!),"")</f>
        <v>#REF!</v>
      </c>
      <c r="AC51" s="37" t="e">
        <f>IF(AND('Mapa final'!#REF!="Muy Baja",'Mapa final'!#REF!="Mayor"),CONCATENATE("R6C",'Mapa final'!#REF!),"")</f>
        <v>#REF!</v>
      </c>
      <c r="AD51" s="37" t="e">
        <f>IF(AND('Mapa final'!#REF!="Muy Baja",'Mapa final'!#REF!="Mayor"),CONCATENATE("R6C",'Mapa final'!#REF!),"")</f>
        <v>#REF!</v>
      </c>
      <c r="AE51" s="37" t="e">
        <f>IF(AND('Mapa final'!#REF!="Muy Baja",'Mapa final'!#REF!="Mayor"),CONCATENATE("R6C",'Mapa final'!#REF!),"")</f>
        <v>#REF!</v>
      </c>
      <c r="AF51" s="37" t="e">
        <f>IF(AND('Mapa final'!#REF!="Muy Baja",'Mapa final'!#REF!="Mayor"),CONCATENATE("R6C",'Mapa final'!#REF!),"")</f>
        <v>#REF!</v>
      </c>
      <c r="AG51" s="38" t="e">
        <f>IF(AND('Mapa final'!#REF!="Muy Baja",'Mapa final'!#REF!="Mayor"),CONCATENATE("R6C",'Mapa final'!#REF!),"")</f>
        <v>#REF!</v>
      </c>
      <c r="AH51" s="39" t="e">
        <f>IF(AND('Mapa final'!#REF!="Muy Baja",'Mapa final'!#REF!="Catastrófico"),CONCATENATE("R6C",'Mapa final'!#REF!),"")</f>
        <v>#REF!</v>
      </c>
      <c r="AI51" s="40" t="e">
        <f>IF(AND('Mapa final'!#REF!="Muy Baja",'Mapa final'!#REF!="Catastrófico"),CONCATENATE("R6C",'Mapa final'!#REF!),"")</f>
        <v>#REF!</v>
      </c>
      <c r="AJ51" s="40" t="e">
        <f>IF(AND('Mapa final'!#REF!="Muy Baja",'Mapa final'!#REF!="Catastrófico"),CONCATENATE("R6C",'Mapa final'!#REF!),"")</f>
        <v>#REF!</v>
      </c>
      <c r="AK51" s="40" t="e">
        <f>IF(AND('Mapa final'!#REF!="Muy Baja",'Mapa final'!#REF!="Catastrófico"),CONCATENATE("R6C",'Mapa final'!#REF!),"")</f>
        <v>#REF!</v>
      </c>
      <c r="AL51" s="40" t="e">
        <f>IF(AND('Mapa final'!#REF!="Muy Baja",'Mapa final'!#REF!="Catastrófico"),CONCATENATE("R6C",'Mapa final'!#REF!),"")</f>
        <v>#REF!</v>
      </c>
      <c r="AM51" s="41" t="e">
        <f>IF(AND('Mapa final'!#REF!="Muy Baja",'Mapa final'!#REF!="Catastrófico"),CONCATENATE("R6C",'Mapa final'!#REF!),"")</f>
        <v>#REF!</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25">
      <c r="A52" s="67"/>
      <c r="B52" s="474"/>
      <c r="C52" s="474"/>
      <c r="D52" s="475"/>
      <c r="E52" s="573"/>
      <c r="F52" s="572"/>
      <c r="G52" s="572"/>
      <c r="H52" s="572"/>
      <c r="I52" s="588"/>
      <c r="J52" s="60" t="e">
        <f>IF(AND('Mapa final'!#REF!="Muy Baja",'Mapa final'!#REF!="Leve"),CONCATENATE("R7C",'Mapa final'!#REF!),"")</f>
        <v>#REF!</v>
      </c>
      <c r="K52" s="61" t="e">
        <f>IF(AND('Mapa final'!#REF!="Muy Baja",'Mapa final'!#REF!="Leve"),CONCATENATE("R7C",'Mapa final'!#REF!),"")</f>
        <v>#REF!</v>
      </c>
      <c r="L52" s="61" t="e">
        <f>IF(AND('Mapa final'!#REF!="Muy Baja",'Mapa final'!#REF!="Leve"),CONCATENATE("R7C",'Mapa final'!#REF!),"")</f>
        <v>#REF!</v>
      </c>
      <c r="M52" s="61" t="e">
        <f>IF(AND('Mapa final'!#REF!="Muy Baja",'Mapa final'!#REF!="Leve"),CONCATENATE("R7C",'Mapa final'!#REF!),"")</f>
        <v>#REF!</v>
      </c>
      <c r="N52" s="61" t="e">
        <f>IF(AND('Mapa final'!#REF!="Muy Baja",'Mapa final'!#REF!="Leve"),CONCATENATE("R7C",'Mapa final'!#REF!),"")</f>
        <v>#REF!</v>
      </c>
      <c r="O52" s="62" t="e">
        <f>IF(AND('Mapa final'!#REF!="Muy Baja",'Mapa final'!#REF!="Leve"),CONCATENATE("R7C",'Mapa final'!#REF!),"")</f>
        <v>#REF!</v>
      </c>
      <c r="P52" s="60" t="e">
        <f>IF(AND('Mapa final'!#REF!="Muy Baja",'Mapa final'!#REF!="Menor"),CONCATENATE("R7C",'Mapa final'!#REF!),"")</f>
        <v>#REF!</v>
      </c>
      <c r="Q52" s="61" t="e">
        <f>IF(AND('Mapa final'!#REF!="Muy Baja",'Mapa final'!#REF!="Menor"),CONCATENATE("R7C",'Mapa final'!#REF!),"")</f>
        <v>#REF!</v>
      </c>
      <c r="R52" s="61" t="e">
        <f>IF(AND('Mapa final'!#REF!="Muy Baja",'Mapa final'!#REF!="Menor"),CONCATENATE("R7C",'Mapa final'!#REF!),"")</f>
        <v>#REF!</v>
      </c>
      <c r="S52" s="61" t="e">
        <f>IF(AND('Mapa final'!#REF!="Muy Baja",'Mapa final'!#REF!="Menor"),CONCATENATE("R7C",'Mapa final'!#REF!),"")</f>
        <v>#REF!</v>
      </c>
      <c r="T52" s="61" t="e">
        <f>IF(AND('Mapa final'!#REF!="Muy Baja",'Mapa final'!#REF!="Menor"),CONCATENATE("R7C",'Mapa final'!#REF!),"")</f>
        <v>#REF!</v>
      </c>
      <c r="U52" s="62" t="e">
        <f>IF(AND('Mapa final'!#REF!="Muy Baja",'Mapa final'!#REF!="Menor"),CONCATENATE("R7C",'Mapa final'!#REF!),"")</f>
        <v>#REF!</v>
      </c>
      <c r="V52" s="51" t="e">
        <f>IF(AND('Mapa final'!#REF!="Muy Baja",'Mapa final'!#REF!="Moderado"),CONCATENATE("R7C",'Mapa final'!#REF!),"")</f>
        <v>#REF!</v>
      </c>
      <c r="W52" s="52" t="e">
        <f>IF(AND('Mapa final'!#REF!="Muy Baja",'Mapa final'!#REF!="Moderado"),CONCATENATE("R7C",'Mapa final'!#REF!),"")</f>
        <v>#REF!</v>
      </c>
      <c r="X52" s="52" t="e">
        <f>IF(AND('Mapa final'!#REF!="Muy Baja",'Mapa final'!#REF!="Moderado"),CONCATENATE("R7C",'Mapa final'!#REF!),"")</f>
        <v>#REF!</v>
      </c>
      <c r="Y52" s="52" t="e">
        <f>IF(AND('Mapa final'!#REF!="Muy Baja",'Mapa final'!#REF!="Moderado"),CONCATENATE("R7C",'Mapa final'!#REF!),"")</f>
        <v>#REF!</v>
      </c>
      <c r="Z52" s="52" t="e">
        <f>IF(AND('Mapa final'!#REF!="Muy Baja",'Mapa final'!#REF!="Moderado"),CONCATENATE("R7C",'Mapa final'!#REF!),"")</f>
        <v>#REF!</v>
      </c>
      <c r="AA52" s="53" t="e">
        <f>IF(AND('Mapa final'!#REF!="Muy Baja",'Mapa final'!#REF!="Moderado"),CONCATENATE("R7C",'Mapa final'!#REF!),"")</f>
        <v>#REF!</v>
      </c>
      <c r="AB52" s="36" t="e">
        <f>IF(AND('Mapa final'!#REF!="Muy Baja",'Mapa final'!#REF!="Mayor"),CONCATENATE("R7C",'Mapa final'!#REF!),"")</f>
        <v>#REF!</v>
      </c>
      <c r="AC52" s="37" t="e">
        <f>IF(AND('Mapa final'!#REF!="Muy Baja",'Mapa final'!#REF!="Mayor"),CONCATENATE("R7C",'Mapa final'!#REF!),"")</f>
        <v>#REF!</v>
      </c>
      <c r="AD52" s="37" t="e">
        <f>IF(AND('Mapa final'!#REF!="Muy Baja",'Mapa final'!#REF!="Mayor"),CONCATENATE("R7C",'Mapa final'!#REF!),"")</f>
        <v>#REF!</v>
      </c>
      <c r="AE52" s="37" t="e">
        <f>IF(AND('Mapa final'!#REF!="Muy Baja",'Mapa final'!#REF!="Mayor"),CONCATENATE("R7C",'Mapa final'!#REF!),"")</f>
        <v>#REF!</v>
      </c>
      <c r="AF52" s="37" t="e">
        <f>IF(AND('Mapa final'!#REF!="Muy Baja",'Mapa final'!#REF!="Mayor"),CONCATENATE("R7C",'Mapa final'!#REF!),"")</f>
        <v>#REF!</v>
      </c>
      <c r="AG52" s="38" t="e">
        <f>IF(AND('Mapa final'!#REF!="Muy Baja",'Mapa final'!#REF!="Mayor"),CONCATENATE("R7C",'Mapa final'!#REF!),"")</f>
        <v>#REF!</v>
      </c>
      <c r="AH52" s="39" t="e">
        <f>IF(AND('Mapa final'!#REF!="Muy Baja",'Mapa final'!#REF!="Catastrófico"),CONCATENATE("R7C",'Mapa final'!#REF!),"")</f>
        <v>#REF!</v>
      </c>
      <c r="AI52" s="40" t="e">
        <f>IF(AND('Mapa final'!#REF!="Muy Baja",'Mapa final'!#REF!="Catastrófico"),CONCATENATE("R7C",'Mapa final'!#REF!),"")</f>
        <v>#REF!</v>
      </c>
      <c r="AJ52" s="40" t="e">
        <f>IF(AND('Mapa final'!#REF!="Muy Baja",'Mapa final'!#REF!="Catastrófico"),CONCATENATE("R7C",'Mapa final'!#REF!),"")</f>
        <v>#REF!</v>
      </c>
      <c r="AK52" s="40" t="e">
        <f>IF(AND('Mapa final'!#REF!="Muy Baja",'Mapa final'!#REF!="Catastrófico"),CONCATENATE("R7C",'Mapa final'!#REF!),"")</f>
        <v>#REF!</v>
      </c>
      <c r="AL52" s="40" t="e">
        <f>IF(AND('Mapa final'!#REF!="Muy Baja",'Mapa final'!#REF!="Catastrófico"),CONCATENATE("R7C",'Mapa final'!#REF!),"")</f>
        <v>#REF!</v>
      </c>
      <c r="AM52" s="41" t="e">
        <f>IF(AND('Mapa final'!#REF!="Muy Baja",'Mapa final'!#REF!="Catastrófico"),CONCATENATE("R7C",'Mapa final'!#REF!),"")</f>
        <v>#REF!</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25">
      <c r="A53" s="67"/>
      <c r="B53" s="474"/>
      <c r="C53" s="474"/>
      <c r="D53" s="475"/>
      <c r="E53" s="573"/>
      <c r="F53" s="572"/>
      <c r="G53" s="572"/>
      <c r="H53" s="572"/>
      <c r="I53" s="588"/>
      <c r="J53" s="60" t="e">
        <f>IF(AND('Mapa final'!#REF!="Muy Baja",'Mapa final'!#REF!="Leve"),CONCATENATE("R8C",'Mapa final'!#REF!),"")</f>
        <v>#REF!</v>
      </c>
      <c r="K53" s="61" t="e">
        <f>IF(AND('Mapa final'!#REF!="Muy Baja",'Mapa final'!#REF!="Leve"),CONCATENATE("R8C",'Mapa final'!#REF!),"")</f>
        <v>#REF!</v>
      </c>
      <c r="L53" s="61" t="e">
        <f>IF(AND('Mapa final'!#REF!="Muy Baja",'Mapa final'!#REF!="Leve"),CONCATENATE("R8C",'Mapa final'!#REF!),"")</f>
        <v>#REF!</v>
      </c>
      <c r="M53" s="61" t="e">
        <f>IF(AND('Mapa final'!#REF!="Muy Baja",'Mapa final'!#REF!="Leve"),CONCATENATE("R8C",'Mapa final'!#REF!),"")</f>
        <v>#REF!</v>
      </c>
      <c r="N53" s="61" t="e">
        <f>IF(AND('Mapa final'!#REF!="Muy Baja",'Mapa final'!#REF!="Leve"),CONCATENATE("R8C",'Mapa final'!#REF!),"")</f>
        <v>#REF!</v>
      </c>
      <c r="O53" s="62" t="e">
        <f>IF(AND('Mapa final'!#REF!="Muy Baja",'Mapa final'!#REF!="Leve"),CONCATENATE("R8C",'Mapa final'!#REF!),"")</f>
        <v>#REF!</v>
      </c>
      <c r="P53" s="60" t="e">
        <f>IF(AND('Mapa final'!#REF!="Muy Baja",'Mapa final'!#REF!="Menor"),CONCATENATE("R8C",'Mapa final'!#REF!),"")</f>
        <v>#REF!</v>
      </c>
      <c r="Q53" s="61" t="e">
        <f>IF(AND('Mapa final'!#REF!="Muy Baja",'Mapa final'!#REF!="Menor"),CONCATENATE("R8C",'Mapa final'!#REF!),"")</f>
        <v>#REF!</v>
      </c>
      <c r="R53" s="61" t="e">
        <f>IF(AND('Mapa final'!#REF!="Muy Baja",'Mapa final'!#REF!="Menor"),CONCATENATE("R8C",'Mapa final'!#REF!),"")</f>
        <v>#REF!</v>
      </c>
      <c r="S53" s="61" t="e">
        <f>IF(AND('Mapa final'!#REF!="Muy Baja",'Mapa final'!#REF!="Menor"),CONCATENATE("R8C",'Mapa final'!#REF!),"")</f>
        <v>#REF!</v>
      </c>
      <c r="T53" s="61" t="e">
        <f>IF(AND('Mapa final'!#REF!="Muy Baja",'Mapa final'!#REF!="Menor"),CONCATENATE("R8C",'Mapa final'!#REF!),"")</f>
        <v>#REF!</v>
      </c>
      <c r="U53" s="62" t="e">
        <f>IF(AND('Mapa final'!#REF!="Muy Baja",'Mapa final'!#REF!="Menor"),CONCATENATE("R8C",'Mapa final'!#REF!),"")</f>
        <v>#REF!</v>
      </c>
      <c r="V53" s="51" t="e">
        <f>IF(AND('Mapa final'!#REF!="Muy Baja",'Mapa final'!#REF!="Moderado"),CONCATENATE("R8C",'Mapa final'!#REF!),"")</f>
        <v>#REF!</v>
      </c>
      <c r="W53" s="52" t="e">
        <f>IF(AND('Mapa final'!#REF!="Muy Baja",'Mapa final'!#REF!="Moderado"),CONCATENATE("R8C",'Mapa final'!#REF!),"")</f>
        <v>#REF!</v>
      </c>
      <c r="X53" s="52" t="e">
        <f>IF(AND('Mapa final'!#REF!="Muy Baja",'Mapa final'!#REF!="Moderado"),CONCATENATE("R8C",'Mapa final'!#REF!),"")</f>
        <v>#REF!</v>
      </c>
      <c r="Y53" s="52" t="e">
        <f>IF(AND('Mapa final'!#REF!="Muy Baja",'Mapa final'!#REF!="Moderado"),CONCATENATE("R8C",'Mapa final'!#REF!),"")</f>
        <v>#REF!</v>
      </c>
      <c r="Z53" s="52" t="e">
        <f>IF(AND('Mapa final'!#REF!="Muy Baja",'Mapa final'!#REF!="Moderado"),CONCATENATE("R8C",'Mapa final'!#REF!),"")</f>
        <v>#REF!</v>
      </c>
      <c r="AA53" s="53" t="e">
        <f>IF(AND('Mapa final'!#REF!="Muy Baja",'Mapa final'!#REF!="Moderado"),CONCATENATE("R8C",'Mapa final'!#REF!),"")</f>
        <v>#REF!</v>
      </c>
      <c r="AB53" s="36" t="e">
        <f>IF(AND('Mapa final'!#REF!="Muy Baja",'Mapa final'!#REF!="Mayor"),CONCATENATE("R8C",'Mapa final'!#REF!),"")</f>
        <v>#REF!</v>
      </c>
      <c r="AC53" s="37" t="e">
        <f>IF(AND('Mapa final'!#REF!="Muy Baja",'Mapa final'!#REF!="Mayor"),CONCATENATE("R8C",'Mapa final'!#REF!),"")</f>
        <v>#REF!</v>
      </c>
      <c r="AD53" s="37" t="e">
        <f>IF(AND('Mapa final'!#REF!="Muy Baja",'Mapa final'!#REF!="Mayor"),CONCATENATE("R8C",'Mapa final'!#REF!),"")</f>
        <v>#REF!</v>
      </c>
      <c r="AE53" s="37" t="e">
        <f>IF(AND('Mapa final'!#REF!="Muy Baja",'Mapa final'!#REF!="Mayor"),CONCATENATE("R8C",'Mapa final'!#REF!),"")</f>
        <v>#REF!</v>
      </c>
      <c r="AF53" s="37" t="e">
        <f>IF(AND('Mapa final'!#REF!="Muy Baja",'Mapa final'!#REF!="Mayor"),CONCATENATE("R8C",'Mapa final'!#REF!),"")</f>
        <v>#REF!</v>
      </c>
      <c r="AG53" s="38" t="e">
        <f>IF(AND('Mapa final'!#REF!="Muy Baja",'Mapa final'!#REF!="Mayor"),CONCATENATE("R8C",'Mapa final'!#REF!),"")</f>
        <v>#REF!</v>
      </c>
      <c r="AH53" s="39" t="e">
        <f>IF(AND('Mapa final'!#REF!="Muy Baja",'Mapa final'!#REF!="Catastrófico"),CONCATENATE("R8C",'Mapa final'!#REF!),"")</f>
        <v>#REF!</v>
      </c>
      <c r="AI53" s="40" t="e">
        <f>IF(AND('Mapa final'!#REF!="Muy Baja",'Mapa final'!#REF!="Catastrófico"),CONCATENATE("R8C",'Mapa final'!#REF!),"")</f>
        <v>#REF!</v>
      </c>
      <c r="AJ53" s="40" t="e">
        <f>IF(AND('Mapa final'!#REF!="Muy Baja",'Mapa final'!#REF!="Catastrófico"),CONCATENATE("R8C",'Mapa final'!#REF!),"")</f>
        <v>#REF!</v>
      </c>
      <c r="AK53" s="40" t="e">
        <f>IF(AND('Mapa final'!#REF!="Muy Baja",'Mapa final'!#REF!="Catastrófico"),CONCATENATE("R8C",'Mapa final'!#REF!),"")</f>
        <v>#REF!</v>
      </c>
      <c r="AL53" s="40" t="e">
        <f>IF(AND('Mapa final'!#REF!="Muy Baja",'Mapa final'!#REF!="Catastrófico"),CONCATENATE("R8C",'Mapa final'!#REF!),"")</f>
        <v>#REF!</v>
      </c>
      <c r="AM53" s="41" t="e">
        <f>IF(AND('Mapa final'!#REF!="Muy Baja",'Mapa final'!#REF!="Catastrófico"),CONCATENATE("R8C",'Mapa final'!#REF!),"")</f>
        <v>#REF!</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25">
      <c r="A54" s="67"/>
      <c r="B54" s="474"/>
      <c r="C54" s="474"/>
      <c r="D54" s="475"/>
      <c r="E54" s="573"/>
      <c r="F54" s="572"/>
      <c r="G54" s="572"/>
      <c r="H54" s="572"/>
      <c r="I54" s="588"/>
      <c r="J54" s="60" t="e">
        <f>IF(AND('Mapa final'!#REF!="Muy Baja",'Mapa final'!#REF!="Leve"),CONCATENATE("R9C",'Mapa final'!#REF!),"")</f>
        <v>#REF!</v>
      </c>
      <c r="K54" s="61" t="e">
        <f>IF(AND('Mapa final'!#REF!="Muy Baja",'Mapa final'!#REF!="Leve"),CONCATENATE("R9C",'Mapa final'!#REF!),"")</f>
        <v>#REF!</v>
      </c>
      <c r="L54" s="61" t="e">
        <f>IF(AND('Mapa final'!#REF!="Muy Baja",'Mapa final'!#REF!="Leve"),CONCATENATE("R9C",'Mapa final'!#REF!),"")</f>
        <v>#REF!</v>
      </c>
      <c r="M54" s="61" t="e">
        <f>IF(AND('Mapa final'!#REF!="Muy Baja",'Mapa final'!#REF!="Leve"),CONCATENATE("R9C",'Mapa final'!#REF!),"")</f>
        <v>#REF!</v>
      </c>
      <c r="N54" s="61" t="e">
        <f>IF(AND('Mapa final'!#REF!="Muy Baja",'Mapa final'!#REF!="Leve"),CONCATENATE("R9C",'Mapa final'!#REF!),"")</f>
        <v>#REF!</v>
      </c>
      <c r="O54" s="62" t="e">
        <f>IF(AND('Mapa final'!#REF!="Muy Baja",'Mapa final'!#REF!="Leve"),CONCATENATE("R9C",'Mapa final'!#REF!),"")</f>
        <v>#REF!</v>
      </c>
      <c r="P54" s="60" t="e">
        <f>IF(AND('Mapa final'!#REF!="Muy Baja",'Mapa final'!#REF!="Menor"),CONCATENATE("R9C",'Mapa final'!#REF!),"")</f>
        <v>#REF!</v>
      </c>
      <c r="Q54" s="61" t="e">
        <f>IF(AND('Mapa final'!#REF!="Muy Baja",'Mapa final'!#REF!="Menor"),CONCATENATE("R9C",'Mapa final'!#REF!),"")</f>
        <v>#REF!</v>
      </c>
      <c r="R54" s="61" t="e">
        <f>IF(AND('Mapa final'!#REF!="Muy Baja",'Mapa final'!#REF!="Menor"),CONCATENATE("R9C",'Mapa final'!#REF!),"")</f>
        <v>#REF!</v>
      </c>
      <c r="S54" s="61" t="e">
        <f>IF(AND('Mapa final'!#REF!="Muy Baja",'Mapa final'!#REF!="Menor"),CONCATENATE("R9C",'Mapa final'!#REF!),"")</f>
        <v>#REF!</v>
      </c>
      <c r="T54" s="61" t="e">
        <f>IF(AND('Mapa final'!#REF!="Muy Baja",'Mapa final'!#REF!="Menor"),CONCATENATE("R9C",'Mapa final'!#REF!),"")</f>
        <v>#REF!</v>
      </c>
      <c r="U54" s="62" t="e">
        <f>IF(AND('Mapa final'!#REF!="Muy Baja",'Mapa final'!#REF!="Menor"),CONCATENATE("R9C",'Mapa final'!#REF!),"")</f>
        <v>#REF!</v>
      </c>
      <c r="V54" s="51" t="e">
        <f>IF(AND('Mapa final'!#REF!="Muy Baja",'Mapa final'!#REF!="Moderado"),CONCATENATE("R9C",'Mapa final'!#REF!),"")</f>
        <v>#REF!</v>
      </c>
      <c r="W54" s="52" t="e">
        <f>IF(AND('Mapa final'!#REF!="Muy Baja",'Mapa final'!#REF!="Moderado"),CONCATENATE("R9C",'Mapa final'!#REF!),"")</f>
        <v>#REF!</v>
      </c>
      <c r="X54" s="52" t="e">
        <f>IF(AND('Mapa final'!#REF!="Muy Baja",'Mapa final'!#REF!="Moderado"),CONCATENATE("R9C",'Mapa final'!#REF!),"")</f>
        <v>#REF!</v>
      </c>
      <c r="Y54" s="52" t="e">
        <f>IF(AND('Mapa final'!#REF!="Muy Baja",'Mapa final'!#REF!="Moderado"),CONCATENATE("R9C",'Mapa final'!#REF!),"")</f>
        <v>#REF!</v>
      </c>
      <c r="Z54" s="52" t="e">
        <f>IF(AND('Mapa final'!#REF!="Muy Baja",'Mapa final'!#REF!="Moderado"),CONCATENATE("R9C",'Mapa final'!#REF!),"")</f>
        <v>#REF!</v>
      </c>
      <c r="AA54" s="53" t="e">
        <f>IF(AND('Mapa final'!#REF!="Muy Baja",'Mapa final'!#REF!="Moderado"),CONCATENATE("R9C",'Mapa final'!#REF!),"")</f>
        <v>#REF!</v>
      </c>
      <c r="AB54" s="36" t="e">
        <f>IF(AND('Mapa final'!#REF!="Muy Baja",'Mapa final'!#REF!="Mayor"),CONCATENATE("R9C",'Mapa final'!#REF!),"")</f>
        <v>#REF!</v>
      </c>
      <c r="AC54" s="37" t="e">
        <f>IF(AND('Mapa final'!#REF!="Muy Baja",'Mapa final'!#REF!="Mayor"),CONCATENATE("R9C",'Mapa final'!#REF!),"")</f>
        <v>#REF!</v>
      </c>
      <c r="AD54" s="37" t="e">
        <f>IF(AND('Mapa final'!#REF!="Muy Baja",'Mapa final'!#REF!="Mayor"),CONCATENATE("R9C",'Mapa final'!#REF!),"")</f>
        <v>#REF!</v>
      </c>
      <c r="AE54" s="37" t="e">
        <f>IF(AND('Mapa final'!#REF!="Muy Baja",'Mapa final'!#REF!="Mayor"),CONCATENATE("R9C",'Mapa final'!#REF!),"")</f>
        <v>#REF!</v>
      </c>
      <c r="AF54" s="37" t="e">
        <f>IF(AND('Mapa final'!#REF!="Muy Baja",'Mapa final'!#REF!="Mayor"),CONCATENATE("R9C",'Mapa final'!#REF!),"")</f>
        <v>#REF!</v>
      </c>
      <c r="AG54" s="38" t="e">
        <f>IF(AND('Mapa final'!#REF!="Muy Baja",'Mapa final'!#REF!="Mayor"),CONCATENATE("R9C",'Mapa final'!#REF!),"")</f>
        <v>#REF!</v>
      </c>
      <c r="AH54" s="39" t="e">
        <f>IF(AND('Mapa final'!#REF!="Muy Baja",'Mapa final'!#REF!="Catastrófico"),CONCATENATE("R9C",'Mapa final'!#REF!),"")</f>
        <v>#REF!</v>
      </c>
      <c r="AI54" s="40" t="e">
        <f>IF(AND('Mapa final'!#REF!="Muy Baja",'Mapa final'!#REF!="Catastrófico"),CONCATENATE("R9C",'Mapa final'!#REF!),"")</f>
        <v>#REF!</v>
      </c>
      <c r="AJ54" s="40" t="e">
        <f>IF(AND('Mapa final'!#REF!="Muy Baja",'Mapa final'!#REF!="Catastrófico"),CONCATENATE("R9C",'Mapa final'!#REF!),"")</f>
        <v>#REF!</v>
      </c>
      <c r="AK54" s="40" t="e">
        <f>IF(AND('Mapa final'!#REF!="Muy Baja",'Mapa final'!#REF!="Catastrófico"),CONCATENATE("R9C",'Mapa final'!#REF!),"")</f>
        <v>#REF!</v>
      </c>
      <c r="AL54" s="40" t="e">
        <f>IF(AND('Mapa final'!#REF!="Muy Baja",'Mapa final'!#REF!="Catastrófico"),CONCATENATE("R9C",'Mapa final'!#REF!),"")</f>
        <v>#REF!</v>
      </c>
      <c r="AM54" s="41" t="e">
        <f>IF(AND('Mapa final'!#REF!="Muy Baja",'Mapa final'!#REF!="Catastrófico"),CONCATENATE("R9C",'Mapa final'!#REF!),"")</f>
        <v>#REF!</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
      <c r="A55" s="67"/>
      <c r="B55" s="474"/>
      <c r="C55" s="474"/>
      <c r="D55" s="475"/>
      <c r="E55" s="574"/>
      <c r="F55" s="575"/>
      <c r="G55" s="575"/>
      <c r="H55" s="575"/>
      <c r="I55" s="589"/>
      <c r="J55" s="63" t="e">
        <f>IF(AND('Mapa final'!#REF!="Muy Baja",'Mapa final'!#REF!="Leve"),CONCATENATE("R10C",'Mapa final'!#REF!),"")</f>
        <v>#REF!</v>
      </c>
      <c r="K55" s="64" t="e">
        <f>IF(AND('Mapa final'!#REF!="Muy Baja",'Mapa final'!#REF!="Leve"),CONCATENATE("R10C",'Mapa final'!#REF!),"")</f>
        <v>#REF!</v>
      </c>
      <c r="L55" s="64" t="e">
        <f>IF(AND('Mapa final'!#REF!="Muy Baja",'Mapa final'!#REF!="Leve"),CONCATENATE("R10C",'Mapa final'!#REF!),"")</f>
        <v>#REF!</v>
      </c>
      <c r="M55" s="64" t="e">
        <f>IF(AND('Mapa final'!#REF!="Muy Baja",'Mapa final'!#REF!="Leve"),CONCATENATE("R10C",'Mapa final'!#REF!),"")</f>
        <v>#REF!</v>
      </c>
      <c r="N55" s="64" t="e">
        <f>IF(AND('Mapa final'!#REF!="Muy Baja",'Mapa final'!#REF!="Leve"),CONCATENATE("R10C",'Mapa final'!#REF!),"")</f>
        <v>#REF!</v>
      </c>
      <c r="O55" s="65" t="e">
        <f>IF(AND('Mapa final'!#REF!="Muy Baja",'Mapa final'!#REF!="Leve"),CONCATENATE("R10C",'Mapa final'!#REF!),"")</f>
        <v>#REF!</v>
      </c>
      <c r="P55" s="63" t="e">
        <f>IF(AND('Mapa final'!#REF!="Muy Baja",'Mapa final'!#REF!="Menor"),CONCATENATE("R10C",'Mapa final'!#REF!),"")</f>
        <v>#REF!</v>
      </c>
      <c r="Q55" s="64" t="e">
        <f>IF(AND('Mapa final'!#REF!="Muy Baja",'Mapa final'!#REF!="Menor"),CONCATENATE("R10C",'Mapa final'!#REF!),"")</f>
        <v>#REF!</v>
      </c>
      <c r="R55" s="64" t="e">
        <f>IF(AND('Mapa final'!#REF!="Muy Baja",'Mapa final'!#REF!="Menor"),CONCATENATE("R10C",'Mapa final'!#REF!),"")</f>
        <v>#REF!</v>
      </c>
      <c r="S55" s="64" t="e">
        <f>IF(AND('Mapa final'!#REF!="Muy Baja",'Mapa final'!#REF!="Menor"),CONCATENATE("R10C",'Mapa final'!#REF!),"")</f>
        <v>#REF!</v>
      </c>
      <c r="T55" s="64" t="e">
        <f>IF(AND('Mapa final'!#REF!="Muy Baja",'Mapa final'!#REF!="Menor"),CONCATENATE("R10C",'Mapa final'!#REF!),"")</f>
        <v>#REF!</v>
      </c>
      <c r="U55" s="65" t="e">
        <f>IF(AND('Mapa final'!#REF!="Muy Baja",'Mapa final'!#REF!="Menor"),CONCATENATE("R10C",'Mapa final'!#REF!),"")</f>
        <v>#REF!</v>
      </c>
      <c r="V55" s="54" t="e">
        <f>IF(AND('Mapa final'!#REF!="Muy Baja",'Mapa final'!#REF!="Moderado"),CONCATENATE("R10C",'Mapa final'!#REF!),"")</f>
        <v>#REF!</v>
      </c>
      <c r="W55" s="55" t="e">
        <f>IF(AND('Mapa final'!#REF!="Muy Baja",'Mapa final'!#REF!="Moderado"),CONCATENATE("R10C",'Mapa final'!#REF!),"")</f>
        <v>#REF!</v>
      </c>
      <c r="X55" s="55" t="e">
        <f>IF(AND('Mapa final'!#REF!="Muy Baja",'Mapa final'!#REF!="Moderado"),CONCATENATE("R10C",'Mapa final'!#REF!),"")</f>
        <v>#REF!</v>
      </c>
      <c r="Y55" s="55" t="e">
        <f>IF(AND('Mapa final'!#REF!="Muy Baja",'Mapa final'!#REF!="Moderado"),CONCATENATE("R10C",'Mapa final'!#REF!),"")</f>
        <v>#REF!</v>
      </c>
      <c r="Z55" s="55" t="e">
        <f>IF(AND('Mapa final'!#REF!="Muy Baja",'Mapa final'!#REF!="Moderado"),CONCATENATE("R10C",'Mapa final'!#REF!),"")</f>
        <v>#REF!</v>
      </c>
      <c r="AA55" s="56" t="e">
        <f>IF(AND('Mapa final'!#REF!="Muy Baja",'Mapa final'!#REF!="Moderado"),CONCATENATE("R10C",'Mapa final'!#REF!),"")</f>
        <v>#REF!</v>
      </c>
      <c r="AB55" s="42" t="e">
        <f>IF(AND('Mapa final'!#REF!="Muy Baja",'Mapa final'!#REF!="Mayor"),CONCATENATE("R10C",'Mapa final'!#REF!),"")</f>
        <v>#REF!</v>
      </c>
      <c r="AC55" s="43" t="e">
        <f>IF(AND('Mapa final'!#REF!="Muy Baja",'Mapa final'!#REF!="Mayor"),CONCATENATE("R10C",'Mapa final'!#REF!),"")</f>
        <v>#REF!</v>
      </c>
      <c r="AD55" s="43" t="e">
        <f>IF(AND('Mapa final'!#REF!="Muy Baja",'Mapa final'!#REF!="Mayor"),CONCATENATE("R10C",'Mapa final'!#REF!),"")</f>
        <v>#REF!</v>
      </c>
      <c r="AE55" s="43" t="e">
        <f>IF(AND('Mapa final'!#REF!="Muy Baja",'Mapa final'!#REF!="Mayor"),CONCATENATE("R10C",'Mapa final'!#REF!),"")</f>
        <v>#REF!</v>
      </c>
      <c r="AF55" s="43" t="e">
        <f>IF(AND('Mapa final'!#REF!="Muy Baja",'Mapa final'!#REF!="Mayor"),CONCATENATE("R10C",'Mapa final'!#REF!),"")</f>
        <v>#REF!</v>
      </c>
      <c r="AG55" s="44" t="e">
        <f>IF(AND('Mapa final'!#REF!="Muy Baja",'Mapa final'!#REF!="Mayor"),CONCATENATE("R10C",'Mapa final'!#REF!),"")</f>
        <v>#REF!</v>
      </c>
      <c r="AH55" s="45" t="e">
        <f>IF(AND('Mapa final'!#REF!="Muy Baja",'Mapa final'!#REF!="Catastrófico"),CONCATENATE("R10C",'Mapa final'!#REF!),"")</f>
        <v>#REF!</v>
      </c>
      <c r="AI55" s="46" t="e">
        <f>IF(AND('Mapa final'!#REF!="Muy Baja",'Mapa final'!#REF!="Catastrófico"),CONCATENATE("R10C",'Mapa final'!#REF!),"")</f>
        <v>#REF!</v>
      </c>
      <c r="AJ55" s="46" t="e">
        <f>IF(AND('Mapa final'!#REF!="Muy Baja",'Mapa final'!#REF!="Catastrófico"),CONCATENATE("R10C",'Mapa final'!#REF!),"")</f>
        <v>#REF!</v>
      </c>
      <c r="AK55" s="46" t="e">
        <f>IF(AND('Mapa final'!#REF!="Muy Baja",'Mapa final'!#REF!="Catastrófico"),CONCATENATE("R10C",'Mapa final'!#REF!),"")</f>
        <v>#REF!</v>
      </c>
      <c r="AL55" s="46" t="e">
        <f>IF(AND('Mapa final'!#REF!="Muy Baja",'Mapa final'!#REF!="Catastrófico"),CONCATENATE("R10C",'Mapa final'!#REF!),"")</f>
        <v>#REF!</v>
      </c>
      <c r="AM55" s="47" t="e">
        <f>IF(AND('Mapa final'!#REF!="Muy Baja",'Mapa final'!#REF!="Catastrófico"),CONCATENATE("R10C",'Mapa final'!#REF!),"")</f>
        <v>#REF!</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25">
      <c r="A56" s="67"/>
      <c r="B56" s="67"/>
      <c r="C56" s="67"/>
      <c r="D56" s="67"/>
      <c r="E56" s="67"/>
      <c r="F56" s="67"/>
      <c r="G56" s="67"/>
      <c r="H56" s="67"/>
      <c r="I56" s="67"/>
      <c r="J56" s="569" t="s">
        <v>106</v>
      </c>
      <c r="K56" s="570"/>
      <c r="L56" s="570"/>
      <c r="M56" s="570"/>
      <c r="N56" s="570"/>
      <c r="O56" s="587"/>
      <c r="P56" s="569" t="s">
        <v>105</v>
      </c>
      <c r="Q56" s="570"/>
      <c r="R56" s="570"/>
      <c r="S56" s="570"/>
      <c r="T56" s="570"/>
      <c r="U56" s="587"/>
      <c r="V56" s="569" t="s">
        <v>104</v>
      </c>
      <c r="W56" s="570"/>
      <c r="X56" s="570"/>
      <c r="Y56" s="570"/>
      <c r="Z56" s="570"/>
      <c r="AA56" s="587"/>
      <c r="AB56" s="569" t="s">
        <v>103</v>
      </c>
      <c r="AC56" s="608"/>
      <c r="AD56" s="570"/>
      <c r="AE56" s="570"/>
      <c r="AF56" s="570"/>
      <c r="AG56" s="587"/>
      <c r="AH56" s="569" t="s">
        <v>102</v>
      </c>
      <c r="AI56" s="570"/>
      <c r="AJ56" s="570"/>
      <c r="AK56" s="570"/>
      <c r="AL56" s="570"/>
      <c r="AM56" s="58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25">
      <c r="A57" s="67"/>
      <c r="B57" s="67"/>
      <c r="C57" s="67"/>
      <c r="D57" s="67"/>
      <c r="E57" s="67"/>
      <c r="F57" s="67"/>
      <c r="G57" s="67"/>
      <c r="H57" s="67"/>
      <c r="I57" s="67"/>
      <c r="J57" s="573"/>
      <c r="K57" s="572"/>
      <c r="L57" s="572"/>
      <c r="M57" s="572"/>
      <c r="N57" s="572"/>
      <c r="O57" s="588"/>
      <c r="P57" s="573"/>
      <c r="Q57" s="572"/>
      <c r="R57" s="572"/>
      <c r="S57" s="572"/>
      <c r="T57" s="572"/>
      <c r="U57" s="588"/>
      <c r="V57" s="573"/>
      <c r="W57" s="572"/>
      <c r="X57" s="572"/>
      <c r="Y57" s="572"/>
      <c r="Z57" s="572"/>
      <c r="AA57" s="588"/>
      <c r="AB57" s="573"/>
      <c r="AC57" s="572"/>
      <c r="AD57" s="572"/>
      <c r="AE57" s="572"/>
      <c r="AF57" s="572"/>
      <c r="AG57" s="588"/>
      <c r="AH57" s="573"/>
      <c r="AI57" s="572"/>
      <c r="AJ57" s="572"/>
      <c r="AK57" s="572"/>
      <c r="AL57" s="572"/>
      <c r="AM57" s="588"/>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25">
      <c r="A58" s="67"/>
      <c r="B58" s="67"/>
      <c r="C58" s="67"/>
      <c r="D58" s="67"/>
      <c r="E58" s="67"/>
      <c r="F58" s="67"/>
      <c r="G58" s="67"/>
      <c r="H58" s="67"/>
      <c r="I58" s="67"/>
      <c r="J58" s="573"/>
      <c r="K58" s="572"/>
      <c r="L58" s="572"/>
      <c r="M58" s="572"/>
      <c r="N58" s="572"/>
      <c r="O58" s="588"/>
      <c r="P58" s="573"/>
      <c r="Q58" s="572"/>
      <c r="R58" s="572"/>
      <c r="S58" s="572"/>
      <c r="T58" s="572"/>
      <c r="U58" s="588"/>
      <c r="V58" s="573"/>
      <c r="W58" s="572"/>
      <c r="X58" s="572"/>
      <c r="Y58" s="572"/>
      <c r="Z58" s="572"/>
      <c r="AA58" s="588"/>
      <c r="AB58" s="573"/>
      <c r="AC58" s="572"/>
      <c r="AD58" s="572"/>
      <c r="AE58" s="572"/>
      <c r="AF58" s="572"/>
      <c r="AG58" s="588"/>
      <c r="AH58" s="573"/>
      <c r="AI58" s="572"/>
      <c r="AJ58" s="572"/>
      <c r="AK58" s="572"/>
      <c r="AL58" s="572"/>
      <c r="AM58" s="588"/>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25">
      <c r="A59" s="67"/>
      <c r="B59" s="67"/>
      <c r="C59" s="67"/>
      <c r="D59" s="67"/>
      <c r="E59" s="67"/>
      <c r="F59" s="67"/>
      <c r="G59" s="67"/>
      <c r="H59" s="67"/>
      <c r="I59" s="67"/>
      <c r="J59" s="573"/>
      <c r="K59" s="572"/>
      <c r="L59" s="572"/>
      <c r="M59" s="572"/>
      <c r="N59" s="572"/>
      <c r="O59" s="588"/>
      <c r="P59" s="573"/>
      <c r="Q59" s="572"/>
      <c r="R59" s="572"/>
      <c r="S59" s="572"/>
      <c r="T59" s="572"/>
      <c r="U59" s="588"/>
      <c r="V59" s="573"/>
      <c r="W59" s="572"/>
      <c r="X59" s="572"/>
      <c r="Y59" s="572"/>
      <c r="Z59" s="572"/>
      <c r="AA59" s="588"/>
      <c r="AB59" s="573"/>
      <c r="AC59" s="572"/>
      <c r="AD59" s="572"/>
      <c r="AE59" s="572"/>
      <c r="AF59" s="572"/>
      <c r="AG59" s="588"/>
      <c r="AH59" s="573"/>
      <c r="AI59" s="572"/>
      <c r="AJ59" s="572"/>
      <c r="AK59" s="572"/>
      <c r="AL59" s="572"/>
      <c r="AM59" s="588"/>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25">
      <c r="A60" s="67"/>
      <c r="B60" s="67"/>
      <c r="C60" s="67"/>
      <c r="D60" s="67"/>
      <c r="E60" s="67"/>
      <c r="F60" s="67"/>
      <c r="G60" s="67"/>
      <c r="H60" s="67"/>
      <c r="I60" s="67"/>
      <c r="J60" s="573"/>
      <c r="K60" s="572"/>
      <c r="L60" s="572"/>
      <c r="M60" s="572"/>
      <c r="N60" s="572"/>
      <c r="O60" s="588"/>
      <c r="P60" s="573"/>
      <c r="Q60" s="572"/>
      <c r="R60" s="572"/>
      <c r="S60" s="572"/>
      <c r="T60" s="572"/>
      <c r="U60" s="588"/>
      <c r="V60" s="573"/>
      <c r="W60" s="572"/>
      <c r="X60" s="572"/>
      <c r="Y60" s="572"/>
      <c r="Z60" s="572"/>
      <c r="AA60" s="588"/>
      <c r="AB60" s="573"/>
      <c r="AC60" s="572"/>
      <c r="AD60" s="572"/>
      <c r="AE60" s="572"/>
      <c r="AF60" s="572"/>
      <c r="AG60" s="588"/>
      <c r="AH60" s="573"/>
      <c r="AI60" s="572"/>
      <c r="AJ60" s="572"/>
      <c r="AK60" s="572"/>
      <c r="AL60" s="572"/>
      <c r="AM60" s="588"/>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75" thickBot="1" x14ac:dyDescent="0.3">
      <c r="A61" s="67"/>
      <c r="B61" s="67"/>
      <c r="C61" s="67"/>
      <c r="D61" s="67"/>
      <c r="E61" s="67"/>
      <c r="F61" s="67"/>
      <c r="G61" s="67"/>
      <c r="H61" s="67"/>
      <c r="I61" s="67"/>
      <c r="J61" s="574"/>
      <c r="K61" s="575"/>
      <c r="L61" s="575"/>
      <c r="M61" s="575"/>
      <c r="N61" s="575"/>
      <c r="O61" s="589"/>
      <c r="P61" s="574"/>
      <c r="Q61" s="575"/>
      <c r="R61" s="575"/>
      <c r="S61" s="575"/>
      <c r="T61" s="575"/>
      <c r="U61" s="589"/>
      <c r="V61" s="574"/>
      <c r="W61" s="575"/>
      <c r="X61" s="575"/>
      <c r="Y61" s="575"/>
      <c r="Z61" s="575"/>
      <c r="AA61" s="589"/>
      <c r="AB61" s="574"/>
      <c r="AC61" s="575"/>
      <c r="AD61" s="575"/>
      <c r="AE61" s="575"/>
      <c r="AF61" s="575"/>
      <c r="AG61" s="589"/>
      <c r="AH61" s="574"/>
      <c r="AI61" s="575"/>
      <c r="AJ61" s="575"/>
      <c r="AK61" s="575"/>
      <c r="AL61" s="575"/>
      <c r="AM61" s="589"/>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25">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25">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25">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25">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25">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25">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25">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25">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25">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25">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25">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25">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25">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25">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25">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25">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25">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25">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25">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25">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25">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25">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25">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25">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25">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25">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25">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25">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25">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25">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25">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25">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25">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25">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25">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25">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25">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25">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25">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25">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25">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25">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25">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25">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25">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25">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25">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25">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25">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25">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25">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25">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25">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25">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25">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25">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25">
      <c r="A245" s="67"/>
    </row>
    <row r="246" spans="1:60" x14ac:dyDescent="0.25">
      <c r="A246" s="67"/>
    </row>
    <row r="247" spans="1:60" x14ac:dyDescent="0.25">
      <c r="A247" s="67"/>
    </row>
    <row r="248" spans="1:60" x14ac:dyDescent="0.25">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7"/>
      <c r="B1" s="609" t="s">
        <v>54</v>
      </c>
      <c r="C1" s="609"/>
      <c r="D1" s="609"/>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5" x14ac:dyDescent="0.25">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1" x14ac:dyDescent="0.25">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1" x14ac:dyDescent="0.25">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1" x14ac:dyDescent="0.25">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6.5" x14ac:dyDescent="0.25">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1" x14ac:dyDescent="0.25">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25">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ht="16.5" x14ac:dyDescent="0.25">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25">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25">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25">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25">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25">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25">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25">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25">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25">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25">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25">
      <c r="A35" s="67"/>
    </row>
    <row r="36" spans="1:31" x14ac:dyDescent="0.25">
      <c r="A36" s="67"/>
    </row>
    <row r="37" spans="1:31" x14ac:dyDescent="0.25">
      <c r="A37" s="67"/>
    </row>
    <row r="38" spans="1:31" x14ac:dyDescent="0.25">
      <c r="A38" s="67"/>
    </row>
    <row r="39" spans="1:31" x14ac:dyDescent="0.25">
      <c r="A39" s="67"/>
    </row>
    <row r="40" spans="1:31" x14ac:dyDescent="0.25">
      <c r="A40" s="67"/>
    </row>
    <row r="41" spans="1:31" x14ac:dyDescent="0.25">
      <c r="A41" s="67"/>
    </row>
    <row r="42" spans="1:31" x14ac:dyDescent="0.25">
      <c r="A42" s="67"/>
    </row>
    <row r="43" spans="1:31" x14ac:dyDescent="0.25">
      <c r="A43" s="67"/>
    </row>
    <row r="44" spans="1:31" x14ac:dyDescent="0.25">
      <c r="A44" s="67"/>
    </row>
    <row r="45" spans="1:31" x14ac:dyDescent="0.25">
      <c r="A45" s="67"/>
    </row>
    <row r="46" spans="1:31" x14ac:dyDescent="0.25">
      <c r="A46" s="67"/>
    </row>
    <row r="47" spans="1:31" x14ac:dyDescent="0.25">
      <c r="A47" s="67"/>
    </row>
    <row r="48" spans="1:31" x14ac:dyDescent="0.25">
      <c r="A48" s="67"/>
    </row>
    <row r="49" spans="1:1" x14ac:dyDescent="0.25">
      <c r="A49" s="67"/>
    </row>
    <row r="50" spans="1:1" x14ac:dyDescent="0.25">
      <c r="A50" s="67"/>
    </row>
    <row r="51" spans="1:1" x14ac:dyDescent="0.25">
      <c r="A51" s="67"/>
    </row>
    <row r="52" spans="1:1" x14ac:dyDescent="0.25">
      <c r="A52" s="67"/>
    </row>
    <row r="53" spans="1:1" x14ac:dyDescent="0.25">
      <c r="A53" s="67"/>
    </row>
    <row r="54" spans="1:1" x14ac:dyDescent="0.25">
      <c r="A54" s="67"/>
    </row>
    <row r="55" spans="1:1" x14ac:dyDescent="0.25">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89"/>
      <c r="B1" s="610" t="s">
        <v>61</v>
      </c>
      <c r="C1" s="610"/>
      <c r="D1" s="610"/>
      <c r="E1" s="89"/>
      <c r="F1" s="89"/>
      <c r="G1" s="89"/>
      <c r="H1" s="89"/>
      <c r="I1" s="89"/>
      <c r="J1" s="89"/>
      <c r="K1" s="89"/>
      <c r="L1" s="89"/>
      <c r="M1" s="89"/>
      <c r="N1" s="89"/>
      <c r="O1" s="89"/>
      <c r="P1" s="89"/>
      <c r="Q1" s="89"/>
      <c r="R1" s="89"/>
      <c r="S1" s="89"/>
      <c r="T1" s="89"/>
      <c r="U1" s="89"/>
    </row>
    <row r="2" spans="1:21" x14ac:dyDescent="0.25">
      <c r="A2" s="89"/>
      <c r="B2" s="89"/>
      <c r="C2" s="89"/>
      <c r="D2" s="89"/>
      <c r="E2" s="89"/>
      <c r="F2" s="89"/>
      <c r="G2" s="89"/>
      <c r="H2" s="89"/>
      <c r="I2" s="89"/>
      <c r="J2" s="89"/>
      <c r="K2" s="89"/>
      <c r="L2" s="89"/>
      <c r="M2" s="89"/>
      <c r="N2" s="89"/>
      <c r="O2" s="89"/>
      <c r="P2" s="89"/>
      <c r="Q2" s="89"/>
      <c r="R2" s="89"/>
      <c r="S2" s="89"/>
      <c r="T2" s="89"/>
      <c r="U2" s="89"/>
    </row>
    <row r="3" spans="1:21" ht="30" x14ac:dyDescent="0.25">
      <c r="A3" s="89"/>
      <c r="B3" s="88"/>
      <c r="C3" s="119" t="s">
        <v>55</v>
      </c>
      <c r="D3" s="119" t="s">
        <v>56</v>
      </c>
      <c r="E3" s="89"/>
      <c r="F3" s="89"/>
      <c r="G3" s="89"/>
      <c r="H3" s="89"/>
      <c r="I3" s="89"/>
      <c r="J3" s="89"/>
      <c r="K3" s="89"/>
      <c r="L3" s="89"/>
      <c r="M3" s="89"/>
      <c r="N3" s="89"/>
      <c r="O3" s="89"/>
      <c r="P3" s="89"/>
      <c r="Q3" s="89"/>
      <c r="R3" s="89"/>
      <c r="S3" s="89"/>
      <c r="T3" s="89"/>
      <c r="U3" s="89"/>
    </row>
    <row r="4" spans="1:21" ht="33.75" x14ac:dyDescent="0.25">
      <c r="A4" s="89" t="s">
        <v>81</v>
      </c>
      <c r="B4" s="120" t="s">
        <v>95</v>
      </c>
      <c r="C4" s="121" t="s">
        <v>204</v>
      </c>
      <c r="D4" s="122" t="s">
        <v>91</v>
      </c>
      <c r="E4" s="89"/>
      <c r="F4" s="89"/>
      <c r="G4" s="89"/>
      <c r="H4" s="89"/>
      <c r="I4" s="89"/>
      <c r="J4" s="89"/>
      <c r="K4" s="89"/>
      <c r="L4" s="89"/>
      <c r="M4" s="89"/>
      <c r="N4" s="89"/>
      <c r="O4" s="89"/>
      <c r="P4" s="89"/>
      <c r="Q4" s="89"/>
      <c r="R4" s="89"/>
      <c r="S4" s="89"/>
      <c r="T4" s="89"/>
      <c r="U4" s="89"/>
    </row>
    <row r="5" spans="1:21" ht="67.5" x14ac:dyDescent="0.25">
      <c r="A5" s="89" t="s">
        <v>82</v>
      </c>
      <c r="B5" s="123" t="s">
        <v>57</v>
      </c>
      <c r="C5" s="124" t="s">
        <v>205</v>
      </c>
      <c r="D5" s="125" t="s">
        <v>92</v>
      </c>
      <c r="E5" s="89"/>
      <c r="F5" s="89"/>
      <c r="G5" s="89"/>
      <c r="H5" s="89"/>
      <c r="I5" s="89"/>
      <c r="J5" s="89"/>
      <c r="K5" s="89"/>
      <c r="L5" s="89"/>
      <c r="M5" s="89"/>
      <c r="N5" s="89"/>
      <c r="O5" s="89"/>
      <c r="P5" s="89"/>
      <c r="Q5" s="89"/>
      <c r="R5" s="89"/>
      <c r="S5" s="89"/>
      <c r="T5" s="89"/>
      <c r="U5" s="89"/>
    </row>
    <row r="6" spans="1:21" ht="67.5" x14ac:dyDescent="0.25">
      <c r="A6" s="89" t="s">
        <v>79</v>
      </c>
      <c r="B6" s="126" t="s">
        <v>58</v>
      </c>
      <c r="C6" s="124" t="s">
        <v>209</v>
      </c>
      <c r="D6" s="125" t="s">
        <v>94</v>
      </c>
      <c r="E6" s="89"/>
      <c r="F6" s="89"/>
      <c r="G6" s="89"/>
      <c r="H6" s="89"/>
      <c r="I6" s="89"/>
      <c r="J6" s="89"/>
      <c r="K6" s="89"/>
      <c r="L6" s="89"/>
      <c r="M6" s="89"/>
      <c r="N6" s="89"/>
      <c r="O6" s="89"/>
      <c r="P6" s="89"/>
      <c r="Q6" s="89"/>
      <c r="R6" s="89"/>
      <c r="S6" s="89"/>
      <c r="T6" s="89"/>
      <c r="U6" s="89"/>
    </row>
    <row r="7" spans="1:21" ht="101.25" x14ac:dyDescent="0.25">
      <c r="A7" s="89" t="s">
        <v>7</v>
      </c>
      <c r="B7" s="127" t="s">
        <v>59</v>
      </c>
      <c r="C7" s="124" t="s">
        <v>210</v>
      </c>
      <c r="D7" s="125" t="s">
        <v>93</v>
      </c>
      <c r="E7" s="89"/>
      <c r="F7" s="89"/>
      <c r="G7" s="89"/>
      <c r="H7" s="89"/>
      <c r="I7" s="89"/>
      <c r="J7" s="89"/>
      <c r="K7" s="89"/>
      <c r="L7" s="89"/>
      <c r="M7" s="89"/>
      <c r="N7" s="89"/>
      <c r="O7" s="89"/>
      <c r="P7" s="89"/>
      <c r="Q7" s="89"/>
      <c r="R7" s="89"/>
      <c r="S7" s="89"/>
      <c r="T7" s="89"/>
      <c r="U7" s="89"/>
    </row>
    <row r="8" spans="1:21" ht="67.5" x14ac:dyDescent="0.25">
      <c r="A8" s="89" t="s">
        <v>83</v>
      </c>
      <c r="B8" s="128" t="s">
        <v>60</v>
      </c>
      <c r="C8" s="124" t="s">
        <v>206</v>
      </c>
      <c r="D8" s="125" t="s">
        <v>112</v>
      </c>
      <c r="E8" s="89"/>
      <c r="F8" s="89"/>
      <c r="G8" s="89"/>
      <c r="H8" s="89"/>
      <c r="I8" s="89"/>
      <c r="J8" s="89"/>
      <c r="K8" s="89"/>
      <c r="L8" s="89"/>
      <c r="M8" s="89"/>
      <c r="N8" s="89"/>
      <c r="O8" s="89"/>
      <c r="P8" s="89"/>
      <c r="Q8" s="89"/>
      <c r="R8" s="89"/>
      <c r="S8" s="89"/>
      <c r="T8" s="89"/>
      <c r="U8" s="89"/>
    </row>
    <row r="9" spans="1:21" s="23" customFormat="1" ht="20.25" x14ac:dyDescent="0.25">
      <c r="A9" s="87"/>
      <c r="B9" s="87"/>
      <c r="C9" s="131"/>
      <c r="D9" s="131"/>
      <c r="E9" s="87"/>
      <c r="F9" s="87"/>
      <c r="G9" s="87"/>
      <c r="H9" s="87"/>
      <c r="I9" s="87"/>
      <c r="J9" s="87"/>
      <c r="K9" s="87"/>
      <c r="L9" s="87"/>
      <c r="M9" s="87"/>
      <c r="N9" s="87"/>
      <c r="O9" s="87"/>
      <c r="P9" s="87"/>
      <c r="Q9" s="87"/>
      <c r="R9" s="87"/>
      <c r="S9" s="87"/>
      <c r="T9" s="87"/>
      <c r="U9" s="87"/>
    </row>
    <row r="10" spans="1:21" s="23" customFormat="1" ht="16.5" x14ac:dyDescent="0.25">
      <c r="A10" s="87"/>
      <c r="B10" s="132"/>
      <c r="C10" s="132"/>
      <c r="D10" s="132"/>
      <c r="E10" s="87"/>
      <c r="F10" s="87"/>
      <c r="G10" s="87"/>
      <c r="H10" s="87"/>
      <c r="I10" s="87"/>
      <c r="J10" s="87"/>
      <c r="K10" s="87"/>
      <c r="L10" s="87"/>
      <c r="M10" s="87"/>
      <c r="N10" s="87"/>
      <c r="O10" s="87"/>
      <c r="P10" s="87"/>
      <c r="Q10" s="87"/>
      <c r="R10" s="87"/>
      <c r="S10" s="87"/>
      <c r="T10" s="87"/>
      <c r="U10" s="87"/>
    </row>
    <row r="11" spans="1:21" s="23" customFormat="1" x14ac:dyDescent="0.25">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25">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25">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25">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25">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25">
      <c r="A16" s="87"/>
      <c r="B16" s="87"/>
      <c r="C16" s="87"/>
      <c r="D16" s="87"/>
      <c r="E16" s="87"/>
      <c r="F16" s="87"/>
      <c r="G16" s="87"/>
      <c r="H16" s="87"/>
      <c r="I16" s="87"/>
      <c r="J16" s="87"/>
      <c r="K16" s="87"/>
      <c r="L16" s="87"/>
      <c r="M16" s="87"/>
      <c r="N16" s="87"/>
      <c r="O16" s="87"/>
    </row>
    <row r="17" spans="1:15" s="23" customFormat="1" x14ac:dyDescent="0.25">
      <c r="A17" s="87"/>
      <c r="B17" s="87"/>
      <c r="C17" s="87"/>
      <c r="D17" s="87"/>
      <c r="E17" s="87"/>
      <c r="F17" s="87"/>
      <c r="G17" s="87"/>
      <c r="H17" s="87"/>
      <c r="I17" s="87"/>
      <c r="J17" s="87"/>
      <c r="K17" s="87"/>
      <c r="L17" s="87"/>
      <c r="M17" s="87"/>
      <c r="N17" s="87"/>
      <c r="O17" s="87"/>
    </row>
    <row r="18" spans="1:15" s="23" customFormat="1" x14ac:dyDescent="0.25">
      <c r="A18" s="87"/>
      <c r="B18" s="87"/>
      <c r="C18" s="87"/>
      <c r="D18" s="87"/>
      <c r="E18" s="87"/>
      <c r="F18" s="87"/>
      <c r="G18" s="87"/>
      <c r="H18" s="87"/>
      <c r="I18" s="87"/>
      <c r="J18" s="87"/>
      <c r="K18" s="87"/>
      <c r="L18" s="87"/>
      <c r="M18" s="87"/>
      <c r="N18" s="87"/>
      <c r="O18" s="87"/>
    </row>
    <row r="19" spans="1:15" s="23" customFormat="1" x14ac:dyDescent="0.25">
      <c r="A19" s="87"/>
      <c r="B19" s="87"/>
      <c r="C19" s="87"/>
      <c r="D19" s="87"/>
      <c r="E19" s="87"/>
      <c r="F19" s="87"/>
      <c r="G19" s="87"/>
      <c r="H19" s="87"/>
      <c r="I19" s="87"/>
      <c r="J19" s="87"/>
      <c r="K19" s="87"/>
      <c r="L19" s="87"/>
      <c r="M19" s="87"/>
      <c r="N19" s="87"/>
      <c r="O19" s="87"/>
    </row>
    <row r="20" spans="1:15" s="23" customFormat="1" x14ac:dyDescent="0.25">
      <c r="A20" s="87"/>
      <c r="B20" s="87"/>
      <c r="C20" s="87"/>
      <c r="D20" s="87"/>
      <c r="E20" s="87"/>
      <c r="F20" s="87"/>
      <c r="G20" s="87"/>
      <c r="H20" s="87"/>
      <c r="I20" s="87"/>
      <c r="J20" s="87"/>
      <c r="K20" s="87"/>
      <c r="L20" s="87"/>
      <c r="M20" s="87"/>
      <c r="N20" s="87"/>
      <c r="O20" s="87"/>
    </row>
    <row r="21" spans="1:15" s="23" customFormat="1" x14ac:dyDescent="0.25">
      <c r="A21" s="87"/>
      <c r="B21" s="87"/>
      <c r="C21" s="87"/>
      <c r="D21" s="87"/>
      <c r="E21" s="87"/>
      <c r="F21" s="87"/>
      <c r="G21" s="87"/>
      <c r="H21" s="87"/>
      <c r="I21" s="87"/>
      <c r="J21" s="87"/>
      <c r="K21" s="87"/>
      <c r="L21" s="87"/>
      <c r="M21" s="87"/>
      <c r="N21" s="87"/>
      <c r="O21" s="87"/>
    </row>
    <row r="22" spans="1:15" s="23" customFormat="1" ht="20.25" x14ac:dyDescent="0.25">
      <c r="A22" s="87"/>
      <c r="B22" s="87"/>
      <c r="C22" s="131"/>
      <c r="D22" s="131"/>
      <c r="E22" s="87"/>
      <c r="F22" s="87"/>
      <c r="G22" s="87"/>
      <c r="H22" s="87"/>
      <c r="I22" s="87"/>
      <c r="J22" s="87"/>
      <c r="K22" s="87"/>
      <c r="L22" s="87"/>
      <c r="M22" s="87"/>
      <c r="N22" s="87"/>
      <c r="O22" s="87"/>
    </row>
    <row r="23" spans="1:15" s="23" customFormat="1" ht="20.25" x14ac:dyDescent="0.25">
      <c r="A23" s="87"/>
      <c r="B23" s="87"/>
      <c r="C23" s="131"/>
      <c r="D23" s="131"/>
      <c r="E23" s="87"/>
      <c r="F23" s="87"/>
      <c r="G23" s="87"/>
      <c r="H23" s="87"/>
      <c r="I23" s="87"/>
      <c r="J23" s="87"/>
      <c r="K23" s="87"/>
      <c r="L23" s="87"/>
      <c r="M23" s="87"/>
      <c r="N23" s="87"/>
      <c r="O23" s="87"/>
    </row>
    <row r="24" spans="1:15" s="23" customFormat="1" ht="20.25" x14ac:dyDescent="0.25">
      <c r="A24" s="87"/>
      <c r="B24" s="87"/>
      <c r="C24" s="131"/>
      <c r="D24" s="131"/>
      <c r="E24" s="87"/>
      <c r="F24" s="87"/>
      <c r="G24" s="87"/>
      <c r="H24" s="87"/>
      <c r="I24" s="87"/>
      <c r="J24" s="87"/>
      <c r="K24" s="87"/>
      <c r="L24" s="87"/>
      <c r="M24" s="87"/>
      <c r="N24" s="87"/>
      <c r="O24" s="87"/>
    </row>
    <row r="25" spans="1:15" s="23" customFormat="1" ht="20.25" x14ac:dyDescent="0.25">
      <c r="A25" s="87"/>
      <c r="B25" s="87"/>
      <c r="C25" s="131"/>
      <c r="D25" s="131"/>
      <c r="E25" s="87"/>
      <c r="F25" s="87"/>
      <c r="G25" s="87"/>
      <c r="H25" s="87"/>
      <c r="I25" s="87"/>
      <c r="J25" s="87"/>
      <c r="K25" s="87"/>
      <c r="L25" s="87"/>
      <c r="M25" s="87"/>
      <c r="N25" s="87"/>
      <c r="O25" s="87"/>
    </row>
    <row r="26" spans="1:15" s="23" customFormat="1" ht="20.25" x14ac:dyDescent="0.25">
      <c r="A26" s="87"/>
      <c r="B26" s="87"/>
      <c r="C26" s="131"/>
      <c r="D26" s="131"/>
      <c r="E26" s="87"/>
      <c r="F26" s="87"/>
      <c r="G26" s="87"/>
      <c r="H26" s="87"/>
      <c r="I26" s="87"/>
      <c r="J26" s="87"/>
      <c r="K26" s="87"/>
      <c r="L26" s="87"/>
      <c r="M26" s="87"/>
      <c r="N26" s="87"/>
      <c r="O26" s="87"/>
    </row>
    <row r="27" spans="1:15" s="23" customFormat="1" ht="20.25" x14ac:dyDescent="0.25">
      <c r="A27" s="87"/>
      <c r="B27" s="87"/>
      <c r="C27" s="131"/>
      <c r="D27" s="131"/>
      <c r="E27" s="87"/>
      <c r="F27" s="87"/>
      <c r="G27" s="87"/>
      <c r="H27" s="87"/>
      <c r="I27" s="87"/>
      <c r="J27" s="87"/>
      <c r="K27" s="87"/>
      <c r="L27" s="87"/>
      <c r="M27" s="87"/>
      <c r="N27" s="87"/>
      <c r="O27" s="87"/>
    </row>
    <row r="28" spans="1:15" s="23" customFormat="1" ht="20.25" x14ac:dyDescent="0.25">
      <c r="A28" s="87"/>
      <c r="B28" s="87"/>
      <c r="C28" s="131"/>
      <c r="D28" s="131"/>
      <c r="E28" s="87"/>
      <c r="F28" s="87"/>
      <c r="G28" s="87"/>
      <c r="H28" s="87"/>
      <c r="I28" s="87"/>
      <c r="J28" s="87"/>
      <c r="K28" s="87"/>
      <c r="L28" s="87"/>
      <c r="M28" s="87"/>
      <c r="N28" s="87"/>
      <c r="O28" s="87"/>
    </row>
    <row r="29" spans="1:15" s="23" customFormat="1" ht="20.25" x14ac:dyDescent="0.25">
      <c r="A29" s="87"/>
      <c r="B29" s="87"/>
      <c r="C29" s="131"/>
      <c r="D29" s="131"/>
      <c r="E29" s="87"/>
      <c r="F29" s="87"/>
      <c r="G29" s="87"/>
      <c r="H29" s="87"/>
      <c r="I29" s="87"/>
      <c r="J29" s="87"/>
      <c r="K29" s="87"/>
      <c r="L29" s="87"/>
      <c r="M29" s="87"/>
      <c r="N29" s="87"/>
      <c r="O29" s="87"/>
    </row>
    <row r="30" spans="1:15" s="23" customFormat="1" ht="20.25" x14ac:dyDescent="0.25">
      <c r="A30" s="87"/>
      <c r="B30" s="87"/>
      <c r="C30" s="131"/>
      <c r="D30" s="131"/>
      <c r="E30" s="87"/>
      <c r="F30" s="87"/>
      <c r="G30" s="87"/>
      <c r="H30" s="87"/>
      <c r="I30" s="87"/>
      <c r="J30" s="87"/>
      <c r="K30" s="87"/>
      <c r="L30" s="87"/>
      <c r="M30" s="87"/>
      <c r="N30" s="87"/>
      <c r="O30" s="87"/>
    </row>
    <row r="31" spans="1:15" s="23" customFormat="1" ht="20.25" x14ac:dyDescent="0.25">
      <c r="A31" s="87"/>
      <c r="B31" s="87"/>
      <c r="C31" s="131"/>
      <c r="D31" s="131"/>
      <c r="E31" s="87"/>
      <c r="F31" s="87"/>
      <c r="G31" s="87"/>
      <c r="H31" s="87"/>
      <c r="I31" s="87"/>
      <c r="J31" s="87"/>
      <c r="K31" s="87"/>
      <c r="L31" s="87"/>
      <c r="M31" s="87"/>
      <c r="N31" s="87"/>
      <c r="O31" s="87"/>
    </row>
    <row r="32" spans="1:15" s="23" customFormat="1" ht="20.25" x14ac:dyDescent="0.25">
      <c r="A32" s="87"/>
      <c r="B32" s="87"/>
      <c r="C32" s="131"/>
      <c r="D32" s="131"/>
      <c r="E32" s="87"/>
      <c r="F32" s="87"/>
      <c r="G32" s="87"/>
      <c r="H32" s="87"/>
      <c r="I32" s="87"/>
      <c r="J32" s="87"/>
      <c r="K32" s="87"/>
      <c r="L32" s="87"/>
      <c r="M32" s="87"/>
      <c r="N32" s="87"/>
      <c r="O32" s="87"/>
    </row>
    <row r="33" spans="1:15" s="23" customFormat="1" ht="20.25" x14ac:dyDescent="0.25">
      <c r="A33" s="87"/>
      <c r="B33" s="87"/>
      <c r="C33" s="131"/>
      <c r="D33" s="131"/>
      <c r="E33" s="87"/>
      <c r="F33" s="87"/>
      <c r="G33" s="87"/>
      <c r="H33" s="87"/>
      <c r="I33" s="87"/>
      <c r="J33" s="87"/>
      <c r="K33" s="87"/>
      <c r="L33" s="87"/>
      <c r="M33" s="87"/>
      <c r="N33" s="87"/>
      <c r="O33" s="87"/>
    </row>
    <row r="34" spans="1:15" s="23" customFormat="1" ht="20.25" x14ac:dyDescent="0.25">
      <c r="A34" s="87"/>
      <c r="B34" s="87"/>
      <c r="C34" s="131"/>
      <c r="D34" s="131"/>
      <c r="E34" s="87"/>
      <c r="F34" s="87"/>
      <c r="G34" s="87"/>
      <c r="H34" s="87"/>
      <c r="I34" s="87"/>
      <c r="J34" s="87"/>
      <c r="K34" s="87"/>
      <c r="L34" s="87"/>
      <c r="M34" s="87"/>
      <c r="N34" s="87"/>
      <c r="O34" s="87"/>
    </row>
    <row r="35" spans="1:15" s="23" customFormat="1" ht="20.25" x14ac:dyDescent="0.25">
      <c r="A35" s="87"/>
      <c r="B35" s="87"/>
      <c r="C35" s="131"/>
      <c r="D35" s="131"/>
      <c r="E35" s="87"/>
      <c r="F35" s="87"/>
      <c r="G35" s="87"/>
      <c r="H35" s="87"/>
      <c r="I35" s="87"/>
      <c r="J35" s="87"/>
      <c r="K35" s="87"/>
      <c r="L35" s="87"/>
      <c r="M35" s="87"/>
      <c r="N35" s="87"/>
      <c r="O35" s="87"/>
    </row>
    <row r="36" spans="1:15" s="23" customFormat="1" ht="20.25" x14ac:dyDescent="0.25">
      <c r="A36" s="87"/>
      <c r="B36" s="87"/>
      <c r="C36" s="131"/>
      <c r="D36" s="131"/>
      <c r="E36" s="87"/>
      <c r="F36" s="87"/>
      <c r="G36" s="87"/>
      <c r="H36" s="87"/>
      <c r="I36" s="87"/>
      <c r="J36" s="87"/>
      <c r="K36" s="87"/>
      <c r="L36" s="87"/>
      <c r="M36" s="87"/>
      <c r="N36" s="87"/>
      <c r="O36" s="87"/>
    </row>
    <row r="37" spans="1:15" s="23" customFormat="1" ht="20.25" x14ac:dyDescent="0.25">
      <c r="A37" s="87"/>
      <c r="B37" s="87"/>
      <c r="C37" s="131"/>
      <c r="D37" s="131"/>
      <c r="E37" s="87"/>
      <c r="F37" s="87"/>
      <c r="G37" s="87"/>
      <c r="H37" s="87"/>
      <c r="I37" s="87"/>
      <c r="J37" s="87"/>
      <c r="K37" s="87"/>
      <c r="L37" s="87"/>
      <c r="M37" s="87"/>
      <c r="N37" s="87"/>
      <c r="O37" s="87"/>
    </row>
    <row r="38" spans="1:15" s="23" customFormat="1" ht="20.25" x14ac:dyDescent="0.25">
      <c r="A38" s="87"/>
      <c r="B38" s="87"/>
      <c r="C38" s="131"/>
      <c r="D38" s="131"/>
      <c r="E38" s="87"/>
      <c r="F38" s="87"/>
      <c r="G38" s="87"/>
      <c r="H38" s="87"/>
      <c r="I38" s="87"/>
      <c r="J38" s="87"/>
      <c r="K38" s="87"/>
      <c r="L38" s="87"/>
      <c r="M38" s="87"/>
      <c r="N38" s="87"/>
      <c r="O38" s="87"/>
    </row>
    <row r="39" spans="1:15" s="23" customFormat="1" ht="20.25" x14ac:dyDescent="0.25">
      <c r="A39" s="87"/>
      <c r="B39" s="87"/>
      <c r="C39" s="131"/>
      <c r="D39" s="131"/>
      <c r="E39" s="87"/>
      <c r="F39" s="87"/>
      <c r="G39" s="87"/>
      <c r="H39" s="87"/>
      <c r="I39" s="87"/>
      <c r="J39" s="87"/>
      <c r="K39" s="87"/>
      <c r="L39" s="87"/>
      <c r="M39" s="87"/>
      <c r="N39" s="87"/>
      <c r="O39" s="87"/>
    </row>
    <row r="40" spans="1:15" s="23" customFormat="1" ht="20.25" x14ac:dyDescent="0.25">
      <c r="A40" s="87"/>
      <c r="B40" s="87"/>
      <c r="C40" s="131"/>
      <c r="D40" s="131"/>
      <c r="E40" s="87"/>
      <c r="F40" s="87"/>
      <c r="G40" s="87"/>
      <c r="H40" s="87"/>
      <c r="I40" s="87"/>
      <c r="J40" s="87"/>
      <c r="K40" s="87"/>
      <c r="L40" s="87"/>
      <c r="M40" s="87"/>
      <c r="N40" s="87"/>
      <c r="O40" s="87"/>
    </row>
    <row r="41" spans="1:15" s="23" customFormat="1" ht="20.25" x14ac:dyDescent="0.25">
      <c r="A41" s="87"/>
      <c r="B41" s="87"/>
      <c r="C41" s="131"/>
      <c r="D41" s="131"/>
      <c r="E41" s="87"/>
      <c r="F41" s="87"/>
      <c r="G41" s="87"/>
      <c r="H41" s="87"/>
      <c r="I41" s="87"/>
      <c r="J41" s="87"/>
      <c r="K41" s="87"/>
      <c r="L41" s="87"/>
      <c r="M41" s="87"/>
      <c r="N41" s="87"/>
      <c r="O41" s="87"/>
    </row>
    <row r="42" spans="1:15" s="23" customFormat="1" ht="20.25" x14ac:dyDescent="0.25">
      <c r="A42" s="87"/>
      <c r="B42" s="87"/>
      <c r="C42" s="131"/>
      <c r="D42" s="131"/>
      <c r="E42" s="87"/>
      <c r="F42" s="87"/>
      <c r="G42" s="87"/>
      <c r="H42" s="87"/>
      <c r="I42" s="87"/>
      <c r="J42" s="87"/>
      <c r="K42" s="87"/>
      <c r="L42" s="87"/>
      <c r="M42" s="87"/>
      <c r="N42" s="87"/>
      <c r="O42" s="87"/>
    </row>
    <row r="43" spans="1:15" s="23" customFormat="1" ht="20.25" x14ac:dyDescent="0.25">
      <c r="A43" s="87"/>
      <c r="B43" s="87"/>
      <c r="C43" s="131"/>
      <c r="D43" s="131"/>
      <c r="E43" s="87"/>
      <c r="F43" s="87"/>
      <c r="G43" s="87"/>
      <c r="H43" s="87"/>
      <c r="I43" s="87"/>
      <c r="J43" s="87"/>
      <c r="K43" s="87"/>
      <c r="L43" s="87"/>
      <c r="M43" s="87"/>
      <c r="N43" s="87"/>
      <c r="O43" s="87"/>
    </row>
    <row r="44" spans="1:15" s="23" customFormat="1" ht="20.25" x14ac:dyDescent="0.25">
      <c r="A44" s="87"/>
      <c r="B44" s="87"/>
      <c r="C44" s="131"/>
      <c r="D44" s="131"/>
      <c r="E44" s="87"/>
      <c r="F44" s="87"/>
      <c r="G44" s="87"/>
      <c r="H44" s="87"/>
      <c r="I44" s="87"/>
      <c r="J44" s="87"/>
      <c r="K44" s="87"/>
      <c r="L44" s="87"/>
      <c r="M44" s="87"/>
      <c r="N44" s="87"/>
      <c r="O44" s="87"/>
    </row>
    <row r="45" spans="1:15" s="23" customFormat="1" ht="20.25" x14ac:dyDescent="0.25">
      <c r="A45" s="87"/>
      <c r="B45" s="87"/>
      <c r="C45" s="131"/>
      <c r="D45" s="131"/>
      <c r="E45" s="87"/>
      <c r="F45" s="87"/>
      <c r="G45" s="87"/>
      <c r="H45" s="87"/>
      <c r="I45" s="87"/>
      <c r="J45" s="87"/>
      <c r="K45" s="87"/>
      <c r="L45" s="87"/>
      <c r="M45" s="87"/>
      <c r="N45" s="87"/>
      <c r="O45" s="87"/>
    </row>
    <row r="46" spans="1:15" s="23" customFormat="1" ht="20.25" x14ac:dyDescent="0.25">
      <c r="A46" s="87"/>
      <c r="B46" s="87"/>
      <c r="C46" s="131"/>
      <c r="D46" s="131"/>
      <c r="E46" s="87"/>
      <c r="F46" s="87"/>
      <c r="G46" s="87"/>
      <c r="H46" s="87"/>
      <c r="I46" s="87"/>
      <c r="J46" s="87"/>
      <c r="K46" s="87"/>
      <c r="L46" s="87"/>
      <c r="M46" s="87"/>
      <c r="N46" s="87"/>
      <c r="O46" s="87"/>
    </row>
    <row r="47" spans="1:15" s="23" customFormat="1" ht="20.25" x14ac:dyDescent="0.25">
      <c r="A47" s="87"/>
      <c r="B47" s="87"/>
      <c r="C47" s="131"/>
      <c r="D47" s="131"/>
      <c r="E47" s="87"/>
      <c r="F47" s="87"/>
      <c r="G47" s="87"/>
      <c r="H47" s="87"/>
      <c r="I47" s="87"/>
      <c r="J47" s="87"/>
      <c r="K47" s="87"/>
      <c r="L47" s="87"/>
      <c r="M47" s="87"/>
      <c r="N47" s="87"/>
      <c r="O47" s="87"/>
    </row>
    <row r="48" spans="1:15" s="23" customFormat="1" ht="20.25" x14ac:dyDescent="0.25">
      <c r="A48" s="87"/>
      <c r="B48" s="87"/>
      <c r="C48" s="131"/>
      <c r="D48" s="131"/>
      <c r="E48" s="87"/>
      <c r="F48" s="87"/>
      <c r="G48" s="87"/>
      <c r="H48" s="87"/>
      <c r="I48" s="87"/>
      <c r="J48" s="87"/>
      <c r="K48" s="87"/>
      <c r="L48" s="87"/>
      <c r="M48" s="87"/>
      <c r="N48" s="87"/>
      <c r="O48" s="87"/>
    </row>
    <row r="49" spans="1:15" s="23" customFormat="1" ht="20.25" x14ac:dyDescent="0.25">
      <c r="A49" s="87"/>
      <c r="B49" s="87"/>
      <c r="C49" s="131"/>
      <c r="D49" s="131"/>
      <c r="E49" s="87"/>
      <c r="F49" s="87"/>
      <c r="G49" s="87"/>
      <c r="H49" s="87"/>
      <c r="I49" s="87"/>
      <c r="J49" s="87"/>
      <c r="K49" s="87"/>
      <c r="L49" s="87"/>
      <c r="M49" s="87"/>
      <c r="N49" s="87"/>
      <c r="O49" s="87"/>
    </row>
    <row r="50" spans="1:15" s="23" customFormat="1" ht="20.25" x14ac:dyDescent="0.25">
      <c r="A50" s="87"/>
      <c r="B50" s="87"/>
      <c r="C50" s="131"/>
      <c r="D50" s="131"/>
      <c r="E50" s="87"/>
      <c r="F50" s="87"/>
      <c r="G50" s="87"/>
      <c r="H50" s="87"/>
      <c r="I50" s="87"/>
      <c r="J50" s="87"/>
      <c r="K50" s="87"/>
      <c r="L50" s="87"/>
      <c r="M50" s="87"/>
      <c r="N50" s="87"/>
      <c r="O50" s="87"/>
    </row>
    <row r="51" spans="1:15" s="23" customFormat="1" ht="20.25" x14ac:dyDescent="0.25">
      <c r="A51" s="87"/>
      <c r="B51" s="87"/>
      <c r="C51" s="131"/>
      <c r="D51" s="131"/>
      <c r="E51" s="87"/>
      <c r="F51" s="87"/>
      <c r="G51" s="87"/>
      <c r="H51" s="87"/>
      <c r="I51" s="87"/>
      <c r="J51" s="87"/>
      <c r="K51" s="87"/>
      <c r="L51" s="87"/>
      <c r="M51" s="87"/>
      <c r="N51" s="87"/>
      <c r="O51" s="87"/>
    </row>
    <row r="52" spans="1:15" s="23" customFormat="1" ht="20.25" x14ac:dyDescent="0.25">
      <c r="A52" s="87"/>
      <c r="C52" s="133"/>
      <c r="D52" s="133"/>
    </row>
    <row r="53" spans="1:15" s="23" customFormat="1" ht="20.25" x14ac:dyDescent="0.25">
      <c r="A53" s="87"/>
      <c r="C53" s="133"/>
      <c r="D53" s="133"/>
    </row>
    <row r="54" spans="1:15" s="23" customFormat="1" ht="20.25" x14ac:dyDescent="0.25">
      <c r="A54" s="87"/>
      <c r="C54" s="133"/>
      <c r="D54" s="133"/>
    </row>
    <row r="55" spans="1:15" s="23" customFormat="1" ht="20.25" x14ac:dyDescent="0.25">
      <c r="A55" s="87"/>
      <c r="C55" s="133"/>
      <c r="D55" s="133"/>
    </row>
    <row r="56" spans="1:15" s="23" customFormat="1" ht="20.25" x14ac:dyDescent="0.25">
      <c r="A56" s="87"/>
      <c r="C56" s="133"/>
      <c r="D56" s="133"/>
    </row>
    <row r="57" spans="1:15" s="23" customFormat="1" ht="20.25" x14ac:dyDescent="0.25">
      <c r="A57" s="87"/>
      <c r="C57" s="133"/>
      <c r="D57" s="133"/>
    </row>
    <row r="58" spans="1:15" s="23" customFormat="1" ht="20.25" x14ac:dyDescent="0.25">
      <c r="A58" s="87"/>
      <c r="C58" s="133"/>
      <c r="D58" s="133"/>
    </row>
    <row r="59" spans="1:15" s="23" customFormat="1" ht="20.25" x14ac:dyDescent="0.25">
      <c r="A59" s="87"/>
      <c r="C59" s="133"/>
      <c r="D59" s="133"/>
    </row>
    <row r="60" spans="1:15" s="23" customFormat="1" ht="20.25" x14ac:dyDescent="0.25">
      <c r="A60" s="87"/>
      <c r="C60" s="133"/>
      <c r="D60" s="133"/>
    </row>
    <row r="61" spans="1:15" s="23" customFormat="1" ht="20.25" x14ac:dyDescent="0.25">
      <c r="A61" s="87"/>
      <c r="C61" s="133"/>
      <c r="D61" s="133"/>
    </row>
    <row r="62" spans="1:15" s="23" customFormat="1" ht="20.25" x14ac:dyDescent="0.25">
      <c r="A62" s="87"/>
      <c r="C62" s="133"/>
      <c r="D62" s="133"/>
    </row>
    <row r="63" spans="1:15" s="23" customFormat="1" ht="20.25" x14ac:dyDescent="0.25">
      <c r="A63" s="87"/>
      <c r="C63" s="133"/>
      <c r="D63" s="133"/>
    </row>
    <row r="64" spans="1:15" s="23" customFormat="1" ht="20.25" x14ac:dyDescent="0.25">
      <c r="A64" s="87"/>
      <c r="C64" s="133"/>
      <c r="D64" s="133"/>
    </row>
    <row r="65" spans="1:4" s="23" customFormat="1" ht="20.25" x14ac:dyDescent="0.25">
      <c r="A65" s="87"/>
      <c r="C65" s="133"/>
      <c r="D65" s="133"/>
    </row>
    <row r="66" spans="1:4" s="23" customFormat="1" ht="20.25" x14ac:dyDescent="0.25">
      <c r="A66" s="87"/>
      <c r="C66" s="133"/>
      <c r="D66" s="133"/>
    </row>
    <row r="67" spans="1:4" s="23" customFormat="1" ht="20.25" x14ac:dyDescent="0.25">
      <c r="A67" s="87"/>
      <c r="C67" s="133"/>
      <c r="D67" s="133"/>
    </row>
    <row r="68" spans="1:4" s="23" customFormat="1" ht="20.25" x14ac:dyDescent="0.25">
      <c r="A68" s="87"/>
      <c r="C68" s="133"/>
      <c r="D68" s="133"/>
    </row>
    <row r="69" spans="1:4" s="23" customFormat="1" ht="20.25" x14ac:dyDescent="0.25">
      <c r="A69" s="87"/>
      <c r="C69" s="133"/>
      <c r="D69" s="133"/>
    </row>
    <row r="70" spans="1:4" s="23" customFormat="1" ht="20.25" x14ac:dyDescent="0.25">
      <c r="A70" s="87"/>
      <c r="C70" s="133"/>
      <c r="D70" s="133"/>
    </row>
    <row r="71" spans="1:4" s="23" customFormat="1" ht="20.25" x14ac:dyDescent="0.25">
      <c r="A71" s="87"/>
      <c r="C71" s="133"/>
      <c r="D71" s="133"/>
    </row>
    <row r="72" spans="1:4" s="23" customFormat="1" ht="20.25" x14ac:dyDescent="0.25">
      <c r="A72" s="87"/>
      <c r="C72" s="133"/>
      <c r="D72" s="133"/>
    </row>
    <row r="73" spans="1:4" s="23" customFormat="1" ht="20.25" x14ac:dyDescent="0.25">
      <c r="A73" s="87"/>
      <c r="C73" s="133"/>
      <c r="D73" s="133"/>
    </row>
    <row r="74" spans="1:4" s="23" customFormat="1" ht="20.25" x14ac:dyDescent="0.25">
      <c r="A74" s="87"/>
      <c r="C74" s="133"/>
      <c r="D74" s="133"/>
    </row>
    <row r="75" spans="1:4" s="23" customFormat="1" ht="20.25" x14ac:dyDescent="0.25">
      <c r="A75" s="87"/>
      <c r="C75" s="133"/>
      <c r="D75" s="133"/>
    </row>
    <row r="76" spans="1:4" s="23" customFormat="1" ht="20.25" x14ac:dyDescent="0.25">
      <c r="A76" s="87"/>
      <c r="C76" s="133"/>
      <c r="D76" s="133"/>
    </row>
    <row r="77" spans="1:4" s="23" customFormat="1" ht="20.25" x14ac:dyDescent="0.25">
      <c r="A77" s="87"/>
      <c r="C77" s="133"/>
      <c r="D77" s="133"/>
    </row>
    <row r="78" spans="1:4" s="23" customFormat="1" ht="20.25" x14ac:dyDescent="0.25">
      <c r="A78" s="87"/>
      <c r="C78" s="133"/>
      <c r="D78" s="133"/>
    </row>
    <row r="79" spans="1:4" s="23" customFormat="1" ht="20.25" x14ac:dyDescent="0.25">
      <c r="A79" s="87"/>
      <c r="C79" s="133"/>
      <c r="D79" s="133"/>
    </row>
    <row r="80" spans="1:4" s="23" customFormat="1" ht="20.25" x14ac:dyDescent="0.25">
      <c r="A80" s="87"/>
      <c r="C80" s="133"/>
      <c r="D80" s="133"/>
    </row>
    <row r="81" spans="1:4" s="23" customFormat="1" ht="20.25" x14ac:dyDescent="0.25">
      <c r="A81" s="87"/>
      <c r="C81" s="133"/>
      <c r="D81" s="133"/>
    </row>
    <row r="82" spans="1:4" s="23" customFormat="1" ht="20.25" x14ac:dyDescent="0.25">
      <c r="A82" s="87"/>
      <c r="C82" s="133"/>
      <c r="D82" s="133"/>
    </row>
    <row r="83" spans="1:4" s="23" customFormat="1" ht="20.25" x14ac:dyDescent="0.25">
      <c r="A83" s="87"/>
      <c r="C83" s="133"/>
      <c r="D83" s="133"/>
    </row>
    <row r="84" spans="1:4" s="23" customFormat="1" ht="20.25" x14ac:dyDescent="0.25">
      <c r="A84" s="87"/>
      <c r="C84" s="133"/>
      <c r="D84" s="133"/>
    </row>
    <row r="85" spans="1:4" s="23" customFormat="1" ht="20.25" x14ac:dyDescent="0.25">
      <c r="A85" s="87"/>
      <c r="C85" s="133"/>
      <c r="D85" s="133"/>
    </row>
    <row r="86" spans="1:4" s="23" customFormat="1" ht="20.25" x14ac:dyDescent="0.25">
      <c r="A86" s="87"/>
      <c r="C86" s="133"/>
      <c r="D86" s="133"/>
    </row>
    <row r="87" spans="1:4" s="23" customFormat="1" ht="20.25" x14ac:dyDescent="0.25">
      <c r="A87" s="87"/>
      <c r="C87" s="133"/>
      <c r="D87" s="133"/>
    </row>
    <row r="88" spans="1:4" s="23" customFormat="1" ht="20.25" x14ac:dyDescent="0.25">
      <c r="A88" s="87"/>
      <c r="C88" s="133"/>
      <c r="D88" s="133"/>
    </row>
    <row r="89" spans="1:4" s="23" customFormat="1" ht="20.25" x14ac:dyDescent="0.25">
      <c r="A89" s="87"/>
      <c r="C89" s="133"/>
      <c r="D89" s="133"/>
    </row>
    <row r="90" spans="1:4" s="23" customFormat="1" ht="20.25" x14ac:dyDescent="0.25">
      <c r="A90" s="87"/>
      <c r="C90" s="133"/>
      <c r="D90" s="133"/>
    </row>
    <row r="91" spans="1:4" s="23" customFormat="1" ht="20.25" x14ac:dyDescent="0.25">
      <c r="A91" s="87"/>
      <c r="C91" s="133"/>
      <c r="D91" s="133"/>
    </row>
    <row r="92" spans="1:4" s="23" customFormat="1" ht="20.25" x14ac:dyDescent="0.25">
      <c r="A92" s="87"/>
      <c r="C92" s="133"/>
      <c r="D92" s="133"/>
    </row>
    <row r="93" spans="1:4" s="23" customFormat="1" ht="20.25" x14ac:dyDescent="0.25">
      <c r="A93" s="87"/>
      <c r="C93" s="133"/>
      <c r="D93" s="133"/>
    </row>
    <row r="94" spans="1:4" s="23" customFormat="1" ht="20.25" x14ac:dyDescent="0.25">
      <c r="A94" s="87"/>
      <c r="C94" s="133"/>
      <c r="D94" s="133"/>
    </row>
    <row r="95" spans="1:4" s="23" customFormat="1" ht="20.25" x14ac:dyDescent="0.25">
      <c r="A95" s="87"/>
      <c r="C95" s="133"/>
      <c r="D95" s="133"/>
    </row>
    <row r="96" spans="1:4" s="23" customFormat="1" ht="20.25" x14ac:dyDescent="0.25">
      <c r="A96" s="87"/>
      <c r="C96" s="133"/>
      <c r="D96" s="133"/>
    </row>
    <row r="97" spans="1:4" s="23" customFormat="1" ht="20.25" x14ac:dyDescent="0.25">
      <c r="A97" s="87"/>
      <c r="C97" s="133"/>
      <c r="D97" s="133"/>
    </row>
    <row r="98" spans="1:4" s="23" customFormat="1" ht="20.25" x14ac:dyDescent="0.25">
      <c r="A98" s="87"/>
      <c r="C98" s="133"/>
      <c r="D98" s="133"/>
    </row>
    <row r="99" spans="1:4" s="23" customFormat="1" ht="20.25" x14ac:dyDescent="0.25">
      <c r="A99" s="87"/>
      <c r="C99" s="133"/>
      <c r="D99" s="133"/>
    </row>
    <row r="100" spans="1:4" s="23" customFormat="1" ht="20.25" x14ac:dyDescent="0.25">
      <c r="A100" s="87"/>
      <c r="C100" s="133"/>
      <c r="D100" s="133"/>
    </row>
    <row r="101" spans="1:4" s="23" customFormat="1" ht="20.25" x14ac:dyDescent="0.25">
      <c r="A101" s="87"/>
      <c r="C101" s="133"/>
      <c r="D101" s="133"/>
    </row>
    <row r="102" spans="1:4" s="23" customFormat="1" ht="20.25" x14ac:dyDescent="0.25">
      <c r="A102" s="87"/>
      <c r="C102" s="133"/>
      <c r="D102" s="133"/>
    </row>
    <row r="103" spans="1:4" s="23" customFormat="1" ht="20.25" x14ac:dyDescent="0.25">
      <c r="A103" s="87"/>
      <c r="C103" s="133"/>
      <c r="D103" s="133"/>
    </row>
    <row r="104" spans="1:4" s="23" customFormat="1" ht="20.25" x14ac:dyDescent="0.25">
      <c r="A104" s="87"/>
      <c r="C104" s="133"/>
      <c r="D104" s="133"/>
    </row>
    <row r="105" spans="1:4" s="23" customFormat="1" ht="20.25" x14ac:dyDescent="0.25">
      <c r="A105" s="87"/>
      <c r="C105" s="133"/>
      <c r="D105" s="133"/>
    </row>
    <row r="106" spans="1:4" s="23" customFormat="1" ht="20.25" x14ac:dyDescent="0.25">
      <c r="A106" s="87"/>
      <c r="C106" s="133"/>
      <c r="D106" s="133"/>
    </row>
    <row r="107" spans="1:4" s="23" customFormat="1" ht="20.25" x14ac:dyDescent="0.25">
      <c r="A107" s="87"/>
      <c r="C107" s="133"/>
      <c r="D107" s="133"/>
    </row>
    <row r="108" spans="1:4" s="23" customFormat="1" ht="20.25" x14ac:dyDescent="0.25">
      <c r="A108" s="87"/>
      <c r="C108" s="133"/>
      <c r="D108" s="133"/>
    </row>
    <row r="109" spans="1:4" s="23" customFormat="1" ht="20.25" x14ac:dyDescent="0.25">
      <c r="A109" s="87"/>
      <c r="C109" s="133"/>
      <c r="D109" s="133"/>
    </row>
    <row r="110" spans="1:4" s="23" customFormat="1" ht="20.25" x14ac:dyDescent="0.25">
      <c r="A110" s="87"/>
      <c r="C110" s="133"/>
      <c r="D110" s="133"/>
    </row>
    <row r="111" spans="1:4" s="23" customFormat="1" ht="20.25" x14ac:dyDescent="0.25">
      <c r="A111" s="87"/>
      <c r="C111" s="133"/>
      <c r="D111" s="133"/>
    </row>
    <row r="112" spans="1:4" s="23" customFormat="1" ht="20.25" x14ac:dyDescent="0.25">
      <c r="A112" s="87"/>
      <c r="C112" s="133"/>
      <c r="D112" s="133"/>
    </row>
    <row r="113" spans="1:4" s="23" customFormat="1" ht="20.25" x14ac:dyDescent="0.25">
      <c r="A113" s="87"/>
      <c r="C113" s="133"/>
      <c r="D113" s="133"/>
    </row>
    <row r="114" spans="1:4" s="23" customFormat="1" ht="20.25" x14ac:dyDescent="0.25">
      <c r="A114" s="87"/>
      <c r="C114" s="133"/>
      <c r="D114" s="133"/>
    </row>
    <row r="115" spans="1:4" s="23" customFormat="1" ht="20.25" x14ac:dyDescent="0.25">
      <c r="A115" s="87"/>
      <c r="C115" s="133"/>
      <c r="D115" s="133"/>
    </row>
    <row r="116" spans="1:4" s="23" customFormat="1" ht="20.25" x14ac:dyDescent="0.25">
      <c r="A116" s="87"/>
      <c r="C116" s="133"/>
      <c r="D116" s="133"/>
    </row>
    <row r="117" spans="1:4" s="23" customFormat="1" ht="20.25" x14ac:dyDescent="0.25">
      <c r="A117" s="87"/>
      <c r="C117" s="133"/>
      <c r="D117" s="133"/>
    </row>
    <row r="118" spans="1:4" s="23" customFormat="1" ht="20.25" x14ac:dyDescent="0.25">
      <c r="A118" s="87"/>
      <c r="C118" s="133"/>
      <c r="D118" s="133"/>
    </row>
    <row r="119" spans="1:4" s="23" customFormat="1" ht="20.25" x14ac:dyDescent="0.25">
      <c r="A119" s="87"/>
      <c r="C119" s="133"/>
      <c r="D119" s="133"/>
    </row>
    <row r="120" spans="1:4" s="23" customFormat="1" ht="20.25" x14ac:dyDescent="0.25">
      <c r="A120" s="87"/>
      <c r="C120" s="133"/>
      <c r="D120" s="133"/>
    </row>
    <row r="121" spans="1:4" s="23" customFormat="1" ht="20.25" x14ac:dyDescent="0.25">
      <c r="A121" s="87"/>
      <c r="C121" s="133"/>
      <c r="D121" s="133"/>
    </row>
    <row r="122" spans="1:4" s="23" customFormat="1" ht="20.25" x14ac:dyDescent="0.25">
      <c r="A122" s="87"/>
      <c r="C122" s="133"/>
      <c r="D122" s="133"/>
    </row>
    <row r="123" spans="1:4" s="23" customFormat="1" ht="20.25" x14ac:dyDescent="0.25">
      <c r="A123" s="87"/>
      <c r="C123" s="133"/>
      <c r="D123" s="133"/>
    </row>
    <row r="124" spans="1:4" s="23" customFormat="1" ht="20.25" x14ac:dyDescent="0.25">
      <c r="A124" s="87"/>
      <c r="C124" s="133"/>
      <c r="D124" s="133"/>
    </row>
    <row r="125" spans="1:4" s="23" customFormat="1" ht="20.25" x14ac:dyDescent="0.25">
      <c r="A125" s="87"/>
      <c r="C125" s="133"/>
      <c r="D125" s="133"/>
    </row>
    <row r="126" spans="1:4" s="23" customFormat="1" ht="20.25" x14ac:dyDescent="0.25">
      <c r="A126" s="87"/>
      <c r="C126" s="133"/>
      <c r="D126" s="133"/>
    </row>
    <row r="127" spans="1:4" s="23" customFormat="1" ht="20.25" x14ac:dyDescent="0.25">
      <c r="A127" s="87"/>
      <c r="C127" s="133"/>
      <c r="D127" s="133"/>
    </row>
    <row r="128" spans="1:4" s="23" customFormat="1" ht="20.25" x14ac:dyDescent="0.25">
      <c r="A128" s="87"/>
      <c r="C128" s="133"/>
      <c r="D128" s="133"/>
    </row>
    <row r="129" spans="1:4" s="23" customFormat="1" ht="20.25" x14ac:dyDescent="0.25">
      <c r="A129" s="87"/>
      <c r="C129" s="133"/>
      <c r="D129" s="133"/>
    </row>
    <row r="130" spans="1:4" s="23" customFormat="1" ht="20.25" x14ac:dyDescent="0.25">
      <c r="A130" s="87"/>
      <c r="C130" s="133"/>
      <c r="D130" s="133"/>
    </row>
    <row r="131" spans="1:4" s="23" customFormat="1" ht="20.25" x14ac:dyDescent="0.25">
      <c r="A131" s="87"/>
      <c r="C131" s="133"/>
      <c r="D131" s="133"/>
    </row>
    <row r="132" spans="1:4" s="23" customFormat="1" ht="20.25" x14ac:dyDescent="0.25">
      <c r="A132" s="87"/>
      <c r="C132" s="133"/>
      <c r="D132" s="133"/>
    </row>
    <row r="133" spans="1:4" s="23" customFormat="1" ht="20.25" x14ac:dyDescent="0.25">
      <c r="A133" s="87"/>
      <c r="C133" s="133"/>
      <c r="D133" s="133"/>
    </row>
    <row r="134" spans="1:4" s="23" customFormat="1" ht="20.25" x14ac:dyDescent="0.25">
      <c r="A134" s="87"/>
      <c r="C134" s="133"/>
      <c r="D134" s="133"/>
    </row>
    <row r="135" spans="1:4" s="23" customFormat="1" ht="20.25" x14ac:dyDescent="0.25">
      <c r="A135" s="87"/>
      <c r="C135" s="133"/>
      <c r="D135" s="133"/>
    </row>
    <row r="136" spans="1:4" s="23" customFormat="1" ht="20.25" x14ac:dyDescent="0.25">
      <c r="A136" s="87"/>
      <c r="C136" s="133"/>
      <c r="D136" s="133"/>
    </row>
    <row r="137" spans="1:4" s="23" customFormat="1" ht="20.25" x14ac:dyDescent="0.25">
      <c r="A137" s="87"/>
      <c r="C137" s="133"/>
      <c r="D137" s="133"/>
    </row>
    <row r="138" spans="1:4" s="23" customFormat="1" ht="20.25" x14ac:dyDescent="0.25">
      <c r="A138" s="87"/>
      <c r="C138" s="133"/>
      <c r="D138" s="133"/>
    </row>
    <row r="139" spans="1:4" s="23" customFormat="1" ht="20.25" x14ac:dyDescent="0.25">
      <c r="A139" s="87"/>
      <c r="C139" s="133"/>
      <c r="D139" s="133"/>
    </row>
    <row r="140" spans="1:4" s="23" customFormat="1" ht="20.25" x14ac:dyDescent="0.25">
      <c r="A140" s="87"/>
      <c r="C140" s="133"/>
      <c r="D140" s="133"/>
    </row>
    <row r="141" spans="1:4" s="23" customFormat="1" ht="20.25" x14ac:dyDescent="0.25">
      <c r="A141" s="87"/>
      <c r="C141" s="133"/>
      <c r="D141" s="133"/>
    </row>
    <row r="142" spans="1:4" s="23" customFormat="1" ht="20.25" x14ac:dyDescent="0.25">
      <c r="A142" s="87"/>
      <c r="C142" s="133"/>
      <c r="D142" s="133"/>
    </row>
    <row r="143" spans="1:4" s="23" customFormat="1" ht="20.25" x14ac:dyDescent="0.25">
      <c r="A143" s="87"/>
      <c r="C143" s="133"/>
      <c r="D143" s="133"/>
    </row>
    <row r="144" spans="1:4" s="23" customFormat="1" ht="20.25" x14ac:dyDescent="0.25">
      <c r="A144" s="87"/>
      <c r="C144" s="133"/>
      <c r="D144" s="133"/>
    </row>
    <row r="145" spans="1:4" s="23" customFormat="1" ht="20.25" x14ac:dyDescent="0.25">
      <c r="A145" s="87"/>
      <c r="C145" s="133"/>
      <c r="D145" s="133"/>
    </row>
    <row r="146" spans="1:4" s="23" customFormat="1" ht="20.25" x14ac:dyDescent="0.25">
      <c r="A146" s="87"/>
      <c r="C146" s="133"/>
      <c r="D146" s="133"/>
    </row>
    <row r="147" spans="1:4" s="23" customFormat="1" ht="20.25" x14ac:dyDescent="0.25">
      <c r="A147" s="87"/>
      <c r="C147" s="133"/>
      <c r="D147" s="133"/>
    </row>
    <row r="148" spans="1:4" s="23" customFormat="1" ht="20.25" x14ac:dyDescent="0.25">
      <c r="A148" s="87"/>
      <c r="C148" s="133"/>
      <c r="D148" s="133"/>
    </row>
    <row r="149" spans="1:4" s="23" customFormat="1" ht="20.25" x14ac:dyDescent="0.25">
      <c r="A149" s="87"/>
      <c r="C149" s="133"/>
      <c r="D149" s="133"/>
    </row>
    <row r="150" spans="1:4" s="23" customFormat="1" ht="20.25" x14ac:dyDescent="0.25">
      <c r="A150" s="87"/>
      <c r="C150" s="133"/>
      <c r="D150" s="133"/>
    </row>
    <row r="151" spans="1:4" s="23" customFormat="1" ht="20.25" x14ac:dyDescent="0.25">
      <c r="A151" s="87"/>
      <c r="C151" s="133"/>
      <c r="D151" s="133"/>
    </row>
    <row r="152" spans="1:4" s="23" customFormat="1" ht="20.25" x14ac:dyDescent="0.25">
      <c r="A152" s="87"/>
      <c r="C152" s="133"/>
      <c r="D152" s="133"/>
    </row>
    <row r="153" spans="1:4" s="23" customFormat="1" ht="20.25" x14ac:dyDescent="0.25">
      <c r="A153" s="87"/>
      <c r="C153" s="133"/>
      <c r="D153" s="133"/>
    </row>
    <row r="154" spans="1:4" s="23" customFormat="1" ht="20.25" x14ac:dyDescent="0.25">
      <c r="A154" s="87"/>
      <c r="C154" s="133"/>
      <c r="D154" s="133"/>
    </row>
    <row r="155" spans="1:4" s="23" customFormat="1" ht="20.25" x14ac:dyDescent="0.25">
      <c r="A155" s="87"/>
      <c r="C155" s="133"/>
      <c r="D155" s="133"/>
    </row>
    <row r="156" spans="1:4" s="23" customFormat="1" ht="20.25" x14ac:dyDescent="0.25">
      <c r="A156" s="87"/>
      <c r="C156" s="133"/>
      <c r="D156" s="133"/>
    </row>
    <row r="157" spans="1:4" s="23" customFormat="1" ht="20.25" x14ac:dyDescent="0.25">
      <c r="A157" s="87"/>
      <c r="C157" s="133"/>
      <c r="D157" s="133"/>
    </row>
    <row r="158" spans="1:4" s="23" customFormat="1" ht="20.25" x14ac:dyDescent="0.25">
      <c r="A158" s="87"/>
      <c r="C158" s="133"/>
      <c r="D158" s="133"/>
    </row>
    <row r="159" spans="1:4" s="23" customFormat="1" ht="20.25" x14ac:dyDescent="0.25">
      <c r="A159" s="87"/>
      <c r="C159" s="133"/>
      <c r="D159" s="133"/>
    </row>
    <row r="160" spans="1:4" s="23" customFormat="1" ht="20.25" x14ac:dyDescent="0.25">
      <c r="A160" s="87"/>
      <c r="C160" s="133"/>
      <c r="D160" s="133"/>
    </row>
    <row r="161" spans="1:4" s="23" customFormat="1" ht="20.25" x14ac:dyDescent="0.25">
      <c r="A161" s="87"/>
      <c r="C161" s="133"/>
      <c r="D161" s="133"/>
    </row>
    <row r="162" spans="1:4" s="23" customFormat="1" ht="20.25" x14ac:dyDescent="0.25">
      <c r="A162" s="87"/>
      <c r="C162" s="133"/>
      <c r="D162" s="133"/>
    </row>
    <row r="163" spans="1:4" s="23" customFormat="1" ht="20.25" x14ac:dyDescent="0.25">
      <c r="A163" s="87"/>
      <c r="C163" s="133"/>
      <c r="D163" s="133"/>
    </row>
    <row r="164" spans="1:4" s="23" customFormat="1" ht="20.25" x14ac:dyDescent="0.25">
      <c r="A164" s="87"/>
      <c r="C164" s="133"/>
      <c r="D164" s="133"/>
    </row>
    <row r="165" spans="1:4" s="23" customFormat="1" ht="20.25" x14ac:dyDescent="0.25">
      <c r="A165" s="87"/>
      <c r="C165" s="133"/>
      <c r="D165" s="133"/>
    </row>
    <row r="166" spans="1:4" s="23" customFormat="1" ht="20.25" x14ac:dyDescent="0.25">
      <c r="A166" s="87"/>
      <c r="C166" s="133"/>
      <c r="D166" s="133"/>
    </row>
    <row r="167" spans="1:4" s="23" customFormat="1" ht="20.25" x14ac:dyDescent="0.25">
      <c r="A167" s="87"/>
      <c r="C167" s="133"/>
      <c r="D167" s="133"/>
    </row>
    <row r="168" spans="1:4" s="23" customFormat="1" ht="20.25" x14ac:dyDescent="0.25">
      <c r="A168" s="87"/>
      <c r="C168" s="133"/>
      <c r="D168" s="133"/>
    </row>
    <row r="169" spans="1:4" s="23" customFormat="1" ht="20.25" x14ac:dyDescent="0.25">
      <c r="A169" s="87"/>
      <c r="C169" s="133"/>
      <c r="D169" s="133"/>
    </row>
    <row r="170" spans="1:4" s="23" customFormat="1" ht="20.25" x14ac:dyDescent="0.25">
      <c r="A170" s="87"/>
      <c r="C170" s="133"/>
      <c r="D170" s="133"/>
    </row>
    <row r="171" spans="1:4" s="23" customFormat="1" ht="20.25" x14ac:dyDescent="0.25">
      <c r="A171" s="87"/>
      <c r="C171" s="133"/>
      <c r="D171" s="133"/>
    </row>
    <row r="172" spans="1:4" s="23" customFormat="1" ht="20.25" x14ac:dyDescent="0.25">
      <c r="A172" s="87"/>
      <c r="C172" s="133"/>
      <c r="D172" s="133"/>
    </row>
    <row r="173" spans="1:4" s="23" customFormat="1" ht="20.25" x14ac:dyDescent="0.25">
      <c r="A173" s="87"/>
      <c r="C173" s="133"/>
      <c r="D173" s="133"/>
    </row>
    <row r="174" spans="1:4" s="23" customFormat="1" ht="20.25" x14ac:dyDescent="0.25">
      <c r="A174" s="87"/>
      <c r="C174" s="133"/>
      <c r="D174" s="133"/>
    </row>
    <row r="175" spans="1:4" s="23" customFormat="1" ht="20.25" x14ac:dyDescent="0.25">
      <c r="A175" s="87"/>
      <c r="C175" s="133"/>
      <c r="D175" s="133"/>
    </row>
    <row r="176" spans="1:4" s="23" customFormat="1" ht="20.25" x14ac:dyDescent="0.25">
      <c r="A176" s="87"/>
      <c r="C176" s="133"/>
      <c r="D176" s="133"/>
    </row>
    <row r="177" spans="1:4" s="23" customFormat="1" ht="20.25" x14ac:dyDescent="0.25">
      <c r="A177" s="87"/>
      <c r="C177" s="133"/>
      <c r="D177" s="133"/>
    </row>
    <row r="178" spans="1:4" s="23" customFormat="1" ht="20.25" x14ac:dyDescent="0.25">
      <c r="A178" s="87"/>
      <c r="C178" s="133"/>
      <c r="D178" s="133"/>
    </row>
    <row r="179" spans="1:4" s="23" customFormat="1" ht="20.25" x14ac:dyDescent="0.25">
      <c r="A179" s="87"/>
      <c r="C179" s="133"/>
      <c r="D179" s="133"/>
    </row>
    <row r="180" spans="1:4" s="23" customFormat="1" ht="20.25" x14ac:dyDescent="0.25">
      <c r="A180" s="87"/>
      <c r="C180" s="133"/>
      <c r="D180" s="133"/>
    </row>
    <row r="181" spans="1:4" s="23" customFormat="1" ht="20.25" x14ac:dyDescent="0.25">
      <c r="A181" s="87"/>
      <c r="C181" s="133"/>
      <c r="D181" s="133"/>
    </row>
    <row r="182" spans="1:4" s="23" customFormat="1" ht="20.25" x14ac:dyDescent="0.25">
      <c r="A182" s="87"/>
      <c r="C182" s="133"/>
      <c r="D182" s="133"/>
    </row>
    <row r="183" spans="1:4" s="23" customFormat="1" ht="20.25" x14ac:dyDescent="0.25">
      <c r="A183" s="87"/>
      <c r="C183" s="133"/>
      <c r="D183" s="133"/>
    </row>
    <row r="184" spans="1:4" s="23" customFormat="1" ht="20.25" x14ac:dyDescent="0.25">
      <c r="A184" s="87"/>
      <c r="C184" s="133"/>
      <c r="D184" s="133"/>
    </row>
    <row r="185" spans="1:4" s="23" customFormat="1" ht="20.25" x14ac:dyDescent="0.25">
      <c r="A185" s="87"/>
      <c r="C185" s="133"/>
      <c r="D185" s="133"/>
    </row>
    <row r="186" spans="1:4" s="23" customFormat="1" ht="20.25" x14ac:dyDescent="0.25">
      <c r="A186" s="87"/>
      <c r="C186" s="133"/>
      <c r="D186" s="133"/>
    </row>
    <row r="187" spans="1:4" s="23" customFormat="1" ht="20.25" x14ac:dyDescent="0.25">
      <c r="A187" s="87"/>
      <c r="C187" s="133"/>
      <c r="D187" s="133"/>
    </row>
    <row r="188" spans="1:4" s="23" customFormat="1" ht="20.25" x14ac:dyDescent="0.25">
      <c r="A188" s="87"/>
      <c r="C188" s="133"/>
      <c r="D188" s="133"/>
    </row>
    <row r="189" spans="1:4" s="23" customFormat="1" ht="20.25" x14ac:dyDescent="0.25">
      <c r="A189" s="87"/>
      <c r="C189" s="133"/>
      <c r="D189" s="133"/>
    </row>
    <row r="190" spans="1:4" s="23" customFormat="1" ht="20.25" x14ac:dyDescent="0.25">
      <c r="A190" s="87"/>
      <c r="C190" s="133"/>
      <c r="D190" s="133"/>
    </row>
    <row r="191" spans="1:4" s="23" customFormat="1" ht="20.25" x14ac:dyDescent="0.25">
      <c r="A191" s="87"/>
      <c r="C191" s="133"/>
      <c r="D191" s="133"/>
    </row>
    <row r="192" spans="1:4" s="23" customFormat="1" ht="20.25" x14ac:dyDescent="0.25">
      <c r="A192" s="87"/>
      <c r="C192" s="133"/>
      <c r="D192" s="133"/>
    </row>
    <row r="193" spans="1:4" s="23" customFormat="1" ht="20.25" x14ac:dyDescent="0.25">
      <c r="A193" s="87"/>
      <c r="C193" s="133"/>
      <c r="D193" s="133"/>
    </row>
    <row r="194" spans="1:4" s="23" customFormat="1" ht="20.25" x14ac:dyDescent="0.25">
      <c r="A194" s="87"/>
      <c r="C194" s="133"/>
      <c r="D194" s="133"/>
    </row>
    <row r="195" spans="1:4" s="23" customFormat="1" ht="20.25" x14ac:dyDescent="0.25">
      <c r="A195" s="87"/>
      <c r="C195" s="133"/>
      <c r="D195" s="133"/>
    </row>
    <row r="196" spans="1:4" s="23" customFormat="1" ht="20.25" x14ac:dyDescent="0.25">
      <c r="A196" s="87"/>
      <c r="C196" s="133"/>
      <c r="D196" s="133"/>
    </row>
    <row r="197" spans="1:4" s="23" customFormat="1" ht="20.25" x14ac:dyDescent="0.25">
      <c r="A197" s="87"/>
      <c r="C197" s="133"/>
      <c r="D197" s="133"/>
    </row>
    <row r="198" spans="1:4" s="23" customFormat="1" ht="20.25" x14ac:dyDescent="0.25">
      <c r="A198" s="87"/>
      <c r="C198" s="133"/>
      <c r="D198" s="133"/>
    </row>
    <row r="199" spans="1:4" s="23" customFormat="1" ht="20.25" x14ac:dyDescent="0.25">
      <c r="A199" s="87"/>
      <c r="C199" s="133"/>
      <c r="D199" s="133"/>
    </row>
    <row r="200" spans="1:4" s="23" customFormat="1" ht="20.25" x14ac:dyDescent="0.25">
      <c r="A200" s="87"/>
      <c r="C200" s="133"/>
      <c r="D200" s="133"/>
    </row>
    <row r="201" spans="1:4" s="23" customFormat="1" ht="20.25" x14ac:dyDescent="0.25">
      <c r="A201" s="87"/>
      <c r="C201" s="133"/>
      <c r="D201" s="133"/>
    </row>
    <row r="202" spans="1:4" s="23" customFormat="1" ht="20.25" x14ac:dyDescent="0.25">
      <c r="A202" s="87"/>
      <c r="C202" s="133"/>
      <c r="D202" s="133"/>
    </row>
    <row r="203" spans="1:4" s="23" customFormat="1" ht="20.25" x14ac:dyDescent="0.25">
      <c r="A203" s="87"/>
      <c r="C203" s="133"/>
      <c r="D203" s="133"/>
    </row>
    <row r="204" spans="1:4" s="23" customFormat="1" ht="20.25" x14ac:dyDescent="0.25">
      <c r="A204" s="87"/>
      <c r="C204" s="133"/>
      <c r="D204" s="133"/>
    </row>
    <row r="205" spans="1:4" s="23" customFormat="1" ht="20.25" x14ac:dyDescent="0.25">
      <c r="A205" s="87"/>
      <c r="C205" s="133"/>
      <c r="D205" s="133"/>
    </row>
    <row r="206" spans="1:4" s="23" customFormat="1" ht="20.25" x14ac:dyDescent="0.25">
      <c r="A206" s="87"/>
      <c r="C206" s="133"/>
      <c r="D206" s="133"/>
    </row>
    <row r="207" spans="1:4" s="23" customFormat="1" ht="20.25" x14ac:dyDescent="0.25">
      <c r="A207" s="87"/>
      <c r="C207" s="133"/>
      <c r="D207" s="133"/>
    </row>
    <row r="208" spans="1:4" s="23" customFormat="1" x14ac:dyDescent="0.25">
      <c r="A208" s="87"/>
    </row>
    <row r="209" spans="1:8" s="23" customFormat="1" ht="20.25" x14ac:dyDescent="0.25">
      <c r="A209" s="87"/>
      <c r="B209" s="134" t="s">
        <v>86</v>
      </c>
      <c r="C209" s="134" t="s">
        <v>139</v>
      </c>
      <c r="D209" s="135" t="s">
        <v>86</v>
      </c>
      <c r="E209" s="135" t="s">
        <v>139</v>
      </c>
    </row>
    <row r="210" spans="1:8" s="23" customFormat="1" ht="42" x14ac:dyDescent="0.35">
      <c r="A210" s="87"/>
      <c r="B210" s="136" t="s">
        <v>88</v>
      </c>
      <c r="C210" s="136"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35">
      <c r="A211" s="87"/>
      <c r="B211" s="136" t="s">
        <v>88</v>
      </c>
      <c r="C211" s="136" t="s">
        <v>205</v>
      </c>
      <c r="E211" s="23" t="s">
        <v>204</v>
      </c>
      <c r="F211" s="23" t="str">
        <f t="shared" ref="F211:F221" si="0">IF(NOT(ISBLANK(D211)),D211,IF(NOT(ISBLANK(E211)),"     "&amp;E211,FALSE))</f>
        <v xml:space="preserve">     Afectación menor a 200 SMLMV</v>
      </c>
    </row>
    <row r="212" spans="1:8" s="23" customFormat="1" ht="42" x14ac:dyDescent="0.35">
      <c r="A212" s="87"/>
      <c r="B212" s="136" t="s">
        <v>88</v>
      </c>
      <c r="C212" s="136" t="s">
        <v>209</v>
      </c>
      <c r="E212" s="23" t="s">
        <v>205</v>
      </c>
      <c r="F212" s="23" t="str">
        <f t="shared" si="0"/>
        <v xml:space="preserve">     Entre 200 y 1000 SMLMV</v>
      </c>
    </row>
    <row r="213" spans="1:8" s="23" customFormat="1" ht="42" x14ac:dyDescent="0.35">
      <c r="A213" s="87"/>
      <c r="B213" s="136" t="s">
        <v>88</v>
      </c>
      <c r="C213" s="136" t="s">
        <v>210</v>
      </c>
      <c r="E213" s="23" t="s">
        <v>209</v>
      </c>
      <c r="F213" s="23" t="str">
        <f t="shared" si="0"/>
        <v xml:space="preserve">     Entre 1000 y 5000 SMLMV </v>
      </c>
    </row>
    <row r="214" spans="1:8" s="23" customFormat="1" ht="42" x14ac:dyDescent="0.35">
      <c r="A214" s="87"/>
      <c r="B214" s="136" t="s">
        <v>88</v>
      </c>
      <c r="C214" s="136" t="s">
        <v>206</v>
      </c>
      <c r="E214" s="23" t="s">
        <v>210</v>
      </c>
      <c r="F214" s="23" t="str">
        <f t="shared" si="0"/>
        <v xml:space="preserve">     Entre 5000 y 10000 SMLMV</v>
      </c>
    </row>
    <row r="215" spans="1:8" s="23" customFormat="1" ht="42" x14ac:dyDescent="0.35">
      <c r="A215" s="87"/>
      <c r="B215" s="136" t="s">
        <v>56</v>
      </c>
      <c r="C215" s="136" t="s">
        <v>91</v>
      </c>
      <c r="E215" s="23" t="s">
        <v>206</v>
      </c>
      <c r="F215" s="23" t="str">
        <f t="shared" si="0"/>
        <v xml:space="preserve">     Mayor a 10000 SMLMV</v>
      </c>
    </row>
    <row r="216" spans="1:8" s="23" customFormat="1" ht="63" x14ac:dyDescent="0.35">
      <c r="A216" s="87"/>
      <c r="B216" s="136" t="s">
        <v>56</v>
      </c>
      <c r="C216" s="136" t="s">
        <v>92</v>
      </c>
      <c r="D216" s="23" t="s">
        <v>56</v>
      </c>
      <c r="F216" s="23" t="str">
        <f t="shared" si="0"/>
        <v>Pérdida Reputacional</v>
      </c>
    </row>
    <row r="217" spans="1:8" s="23" customFormat="1" ht="42" x14ac:dyDescent="0.35">
      <c r="A217" s="87"/>
      <c r="B217" s="136" t="s">
        <v>56</v>
      </c>
      <c r="C217" s="136" t="s">
        <v>94</v>
      </c>
      <c r="E217" s="23" t="s">
        <v>91</v>
      </c>
      <c r="F217" s="23" t="str">
        <f>IF(NOT(ISBLANK(D217)),D217,IF(NOT(ISBLANK(E217)),"     "&amp;E217,FALSE))</f>
        <v xml:space="preserve">     El riesgo afecta la imagen de alguna área de la organización</v>
      </c>
    </row>
    <row r="218" spans="1:8" s="23" customFormat="1" ht="63" x14ac:dyDescent="0.35">
      <c r="A218" s="87"/>
      <c r="B218" s="136" t="s">
        <v>56</v>
      </c>
      <c r="C218" s="136"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35">
      <c r="A219" s="87"/>
      <c r="B219" s="136" t="s">
        <v>56</v>
      </c>
      <c r="C219" s="136" t="s">
        <v>112</v>
      </c>
      <c r="E219" s="23" t="s">
        <v>94</v>
      </c>
      <c r="F219" s="23" t="str">
        <f t="shared" si="0"/>
        <v xml:space="preserve">     El riesgo afecta la imagen de la entidad con algunos usuarios de relevancia frente al logro de los objetivos</v>
      </c>
    </row>
    <row r="220" spans="1:8" s="23" customFormat="1" x14ac:dyDescent="0.25">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25">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25">
      <c r="A222" s="87"/>
      <c r="B222" s="23" t="str">
        <v>Afectación Económica o presupuestal</v>
      </c>
    </row>
    <row r="223" spans="1:8" s="23" customFormat="1" x14ac:dyDescent="0.25">
      <c r="B223" s="23" t="str">
        <v>Pérdida Reputacional</v>
      </c>
      <c r="F223" s="137" t="s">
        <v>140</v>
      </c>
    </row>
    <row r="224" spans="1:8" s="23" customFormat="1" x14ac:dyDescent="0.25">
      <c r="F224" s="137" t="s">
        <v>141</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2025-02-04T15:52:08Z</dcterms:modified>
</cp:coreProperties>
</file>