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1. SIG MIPG\"/>
    </mc:Choice>
  </mc:AlternateContent>
  <xr:revisionPtr revIDLastSave="0" documentId="13_ncr:1_{19955ED4-8739-4A47-9CC2-434B1D0B56C5}" xr6:coauthVersionLast="47" xr6:coauthVersionMax="47" xr10:uidLastSave="{00000000-0000-0000-0000-000000000000}"/>
  <bookViews>
    <workbookView xWindow="-108" yWindow="-108" windowWidth="23256" windowHeight="12456" firstSheet="1" activeTab="5" xr2:uid="{00000000-000D-0000-FFFF-FFFF00000000}"/>
  </bookViews>
  <sheets>
    <sheet name="LISTADOS" sheetId="25" state="hidden" r:id="rId1"/>
    <sheet name="Intructivo" sheetId="20" r:id="rId2"/>
    <sheet name="Contexto" sheetId="24" r:id="rId3"/>
    <sheet name="Priorizacion de Causas" sheetId="22" r:id="rId4"/>
    <sheet name="DOFA" sheetId="23" r:id="rId5"/>
    <sheet name="Mapa final" sheetId="26" r:id="rId6"/>
    <sheet name="Matriz Calor Inherente" sheetId="27" r:id="rId7"/>
    <sheet name="Matriz Calor Residual" sheetId="29" r:id="rId8"/>
    <sheet name="Tabla probabilidad" sheetId="12" r:id="rId9"/>
    <sheet name="Tabla Impacto" sheetId="13" r:id="rId10"/>
    <sheet name="Tabla Valoración controles" sheetId="15" r:id="rId11"/>
    <sheet name="Opciones Tratamiento" sheetId="16" state="hidden" r:id="rId12"/>
    <sheet name="Hoja1" sheetId="11" state="hidden" r:id="rId13"/>
  </sheets>
  <externalReferences>
    <externalReference r:id="rId14"/>
  </externalReferences>
  <calcPr calcId="191029"/>
  <pivotCaches>
    <pivotCache cacheId="8"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 i="26" l="1"/>
  <c r="AM55" i="29"/>
  <c r="AL55" i="29"/>
  <c r="AK55" i="29"/>
  <c r="AJ55" i="29"/>
  <c r="AI55" i="29"/>
  <c r="AH55" i="29"/>
  <c r="AG55" i="29"/>
  <c r="AF55" i="29"/>
  <c r="AE55" i="29"/>
  <c r="AD55" i="29"/>
  <c r="AC55" i="29"/>
  <c r="AB55" i="29"/>
  <c r="AA55" i="29"/>
  <c r="Z55" i="29"/>
  <c r="Y55" i="29"/>
  <c r="X55" i="29"/>
  <c r="W55" i="29"/>
  <c r="V55" i="29"/>
  <c r="U55" i="29"/>
  <c r="T55" i="29"/>
  <c r="S55" i="29"/>
  <c r="R55" i="29"/>
  <c r="Q55" i="29"/>
  <c r="P55" i="29"/>
  <c r="O55" i="29"/>
  <c r="N55" i="29"/>
  <c r="M55" i="29"/>
  <c r="L55" i="29"/>
  <c r="K55" i="29"/>
  <c r="J55" i="29"/>
  <c r="AM54" i="29"/>
  <c r="AL54" i="29"/>
  <c r="AK54" i="29"/>
  <c r="AJ54" i="29"/>
  <c r="AI54" i="29"/>
  <c r="AH54" i="29"/>
  <c r="AG54" i="29"/>
  <c r="AF54" i="29"/>
  <c r="AE54" i="29"/>
  <c r="AD54" i="29"/>
  <c r="AC54" i="29"/>
  <c r="AB54" i="29"/>
  <c r="AA54" i="29"/>
  <c r="Z54" i="29"/>
  <c r="Y54" i="29"/>
  <c r="X54" i="29"/>
  <c r="W54" i="29"/>
  <c r="V54" i="29"/>
  <c r="U54" i="29"/>
  <c r="T54" i="29"/>
  <c r="S54" i="29"/>
  <c r="R54" i="29"/>
  <c r="Q54" i="29"/>
  <c r="P54" i="29"/>
  <c r="O54" i="29"/>
  <c r="N54" i="29"/>
  <c r="M54" i="29"/>
  <c r="L54" i="29"/>
  <c r="K54" i="29"/>
  <c r="J54" i="29"/>
  <c r="AM53" i="29"/>
  <c r="AL53" i="29"/>
  <c r="AK53" i="29"/>
  <c r="AJ53" i="29"/>
  <c r="AI53" i="29"/>
  <c r="AH53" i="29"/>
  <c r="AG53" i="29"/>
  <c r="AF53" i="29"/>
  <c r="AE53" i="29"/>
  <c r="AD53" i="29"/>
  <c r="AC53" i="29"/>
  <c r="AB53" i="29"/>
  <c r="AA53" i="29"/>
  <c r="Z53" i="29"/>
  <c r="Y53" i="29"/>
  <c r="X53" i="29"/>
  <c r="W53" i="29"/>
  <c r="V53" i="29"/>
  <c r="U53" i="29"/>
  <c r="T53" i="29"/>
  <c r="S53" i="29"/>
  <c r="R53" i="29"/>
  <c r="Q53" i="29"/>
  <c r="P53" i="29"/>
  <c r="O53" i="29"/>
  <c r="N53" i="29"/>
  <c r="M53" i="29"/>
  <c r="L53" i="29"/>
  <c r="K53" i="29"/>
  <c r="J53" i="29"/>
  <c r="AM52" i="29"/>
  <c r="AL52" i="29"/>
  <c r="AK52" i="29"/>
  <c r="AJ52" i="29"/>
  <c r="AI52" i="29"/>
  <c r="AH52" i="29"/>
  <c r="AG52" i="29"/>
  <c r="AF52" i="29"/>
  <c r="AE52" i="29"/>
  <c r="AD52" i="29"/>
  <c r="AC52" i="29"/>
  <c r="AB52" i="29"/>
  <c r="AA52" i="29"/>
  <c r="Z52" i="29"/>
  <c r="Y52" i="29"/>
  <c r="X52" i="29"/>
  <c r="W52" i="29"/>
  <c r="V52" i="29"/>
  <c r="U52" i="29"/>
  <c r="T52" i="29"/>
  <c r="S52" i="29"/>
  <c r="R52" i="29"/>
  <c r="Q52" i="29"/>
  <c r="P52" i="29"/>
  <c r="O52" i="29"/>
  <c r="N52" i="29"/>
  <c r="M52" i="29"/>
  <c r="L52" i="29"/>
  <c r="K52" i="29"/>
  <c r="J52" i="29"/>
  <c r="AM51" i="29"/>
  <c r="AL51" i="29"/>
  <c r="AK51" i="29"/>
  <c r="AJ51" i="29"/>
  <c r="AI51" i="29"/>
  <c r="AH51" i="29"/>
  <c r="AG51" i="29"/>
  <c r="AF51" i="29"/>
  <c r="AE51" i="29"/>
  <c r="AD51" i="29"/>
  <c r="AC51" i="29"/>
  <c r="AB51" i="29"/>
  <c r="AA51" i="29"/>
  <c r="Z51" i="29"/>
  <c r="Y51" i="29"/>
  <c r="X51" i="29"/>
  <c r="W51" i="29"/>
  <c r="V51" i="29"/>
  <c r="U51" i="29"/>
  <c r="T51" i="29"/>
  <c r="S51" i="29"/>
  <c r="R51" i="29"/>
  <c r="Q51" i="29"/>
  <c r="P51" i="29"/>
  <c r="O51" i="29"/>
  <c r="N51" i="29"/>
  <c r="M51" i="29"/>
  <c r="L51" i="29"/>
  <c r="K51" i="29"/>
  <c r="J51" i="29"/>
  <c r="AM50" i="29"/>
  <c r="AL50" i="29"/>
  <c r="AK50" i="29"/>
  <c r="AJ50" i="29"/>
  <c r="AI50" i="29"/>
  <c r="AH50" i="29"/>
  <c r="AG50" i="29"/>
  <c r="AF50" i="29"/>
  <c r="AE50" i="29"/>
  <c r="AD50" i="29"/>
  <c r="AC50" i="29"/>
  <c r="AB50" i="29"/>
  <c r="AA50" i="29"/>
  <c r="Z50" i="29"/>
  <c r="Y50" i="29"/>
  <c r="X50" i="29"/>
  <c r="W50" i="29"/>
  <c r="V50" i="29"/>
  <c r="U50" i="29"/>
  <c r="T50" i="29"/>
  <c r="S50" i="29"/>
  <c r="R50" i="29"/>
  <c r="Q50" i="29"/>
  <c r="P50" i="29"/>
  <c r="O50" i="29"/>
  <c r="N50" i="29"/>
  <c r="M50" i="29"/>
  <c r="L50" i="29"/>
  <c r="K50" i="29"/>
  <c r="J50" i="29"/>
  <c r="AM49" i="29"/>
  <c r="AL49" i="29"/>
  <c r="AK49" i="29"/>
  <c r="AJ49" i="29"/>
  <c r="AI49" i="29"/>
  <c r="AH49" i="29"/>
  <c r="AG49" i="29"/>
  <c r="AF49" i="29"/>
  <c r="AE49" i="29"/>
  <c r="AD49" i="29"/>
  <c r="AC49" i="29"/>
  <c r="AB49" i="29"/>
  <c r="AA49" i="29"/>
  <c r="Z49" i="29"/>
  <c r="Y49" i="29"/>
  <c r="X49" i="29"/>
  <c r="W49" i="29"/>
  <c r="V49" i="29"/>
  <c r="U49" i="29"/>
  <c r="T49" i="29"/>
  <c r="S49" i="29"/>
  <c r="R49" i="29"/>
  <c r="Q49" i="29"/>
  <c r="P49" i="29"/>
  <c r="O49" i="29"/>
  <c r="N49" i="29"/>
  <c r="M49" i="29"/>
  <c r="L49" i="29"/>
  <c r="K49" i="29"/>
  <c r="J49" i="29"/>
  <c r="AM48" i="29"/>
  <c r="AL48" i="29"/>
  <c r="AK48" i="29"/>
  <c r="AJ48" i="29"/>
  <c r="AI48" i="29"/>
  <c r="AH48" i="29"/>
  <c r="AG48" i="29"/>
  <c r="AF48" i="29"/>
  <c r="AE48" i="29"/>
  <c r="AD48" i="29"/>
  <c r="AC48" i="29"/>
  <c r="AB48" i="29"/>
  <c r="AA48" i="29"/>
  <c r="Z48" i="29"/>
  <c r="Y48" i="29"/>
  <c r="X48" i="29"/>
  <c r="W48" i="29"/>
  <c r="V48" i="29"/>
  <c r="U48" i="29"/>
  <c r="T48" i="29"/>
  <c r="S48" i="29"/>
  <c r="R48" i="29"/>
  <c r="Q48" i="29"/>
  <c r="P48" i="29"/>
  <c r="O48" i="29"/>
  <c r="N48" i="29"/>
  <c r="M48" i="29"/>
  <c r="L48" i="29"/>
  <c r="K48" i="29"/>
  <c r="J48" i="29"/>
  <c r="AM47" i="29"/>
  <c r="AL47" i="29"/>
  <c r="AK47" i="29"/>
  <c r="AJ47" i="29"/>
  <c r="AI47" i="29"/>
  <c r="AH47" i="29"/>
  <c r="AG47" i="29"/>
  <c r="AF47" i="29"/>
  <c r="AE47" i="29"/>
  <c r="AD47" i="29"/>
  <c r="AC47" i="29"/>
  <c r="AB47" i="29"/>
  <c r="AA47" i="29"/>
  <c r="Z47" i="29"/>
  <c r="Y47" i="29"/>
  <c r="X47" i="29"/>
  <c r="W47" i="29"/>
  <c r="V47" i="29"/>
  <c r="U47" i="29"/>
  <c r="T47" i="29"/>
  <c r="S47" i="29"/>
  <c r="R47" i="29"/>
  <c r="Q47" i="29"/>
  <c r="P47" i="29"/>
  <c r="O47" i="29"/>
  <c r="N47" i="29"/>
  <c r="M47" i="29"/>
  <c r="L47" i="29"/>
  <c r="K47" i="29"/>
  <c r="J47" i="29"/>
  <c r="AM46" i="29"/>
  <c r="AL46" i="29"/>
  <c r="AK46" i="29"/>
  <c r="AJ46" i="29"/>
  <c r="AI46" i="29"/>
  <c r="AH46" i="29"/>
  <c r="AG46" i="29"/>
  <c r="AF46" i="29"/>
  <c r="AE46" i="29"/>
  <c r="AD46" i="29"/>
  <c r="AC46" i="29"/>
  <c r="AB46" i="29"/>
  <c r="AA46" i="29"/>
  <c r="Z46" i="29"/>
  <c r="Y46" i="29"/>
  <c r="X46" i="29"/>
  <c r="W46" i="29"/>
  <c r="V46" i="29"/>
  <c r="U46" i="29"/>
  <c r="T46" i="29"/>
  <c r="S46" i="29"/>
  <c r="R46" i="29"/>
  <c r="Q46" i="29"/>
  <c r="P46" i="29"/>
  <c r="O46" i="29"/>
  <c r="N46" i="29"/>
  <c r="M46" i="29"/>
  <c r="L46" i="29"/>
  <c r="K46" i="29"/>
  <c r="J46" i="29"/>
  <c r="AM45" i="29"/>
  <c r="AL45" i="29"/>
  <c r="AK45" i="29"/>
  <c r="AJ45" i="29"/>
  <c r="AI45" i="29"/>
  <c r="AH45" i="29"/>
  <c r="AG45" i="29"/>
  <c r="AF45" i="29"/>
  <c r="AE45" i="29"/>
  <c r="AD45" i="29"/>
  <c r="AC45" i="29"/>
  <c r="AB45" i="29"/>
  <c r="AA45" i="29"/>
  <c r="Z45" i="29"/>
  <c r="Y45" i="29"/>
  <c r="X45" i="29"/>
  <c r="W45" i="29"/>
  <c r="V45" i="29"/>
  <c r="U45" i="29"/>
  <c r="T45" i="29"/>
  <c r="S45" i="29"/>
  <c r="R45" i="29"/>
  <c r="Q45" i="29"/>
  <c r="P45" i="29"/>
  <c r="O45" i="29"/>
  <c r="N45" i="29"/>
  <c r="M45" i="29"/>
  <c r="L45" i="29"/>
  <c r="K45" i="29"/>
  <c r="J45" i="29"/>
  <c r="AM44" i="29"/>
  <c r="AL44" i="29"/>
  <c r="AK44" i="29"/>
  <c r="AJ44" i="29"/>
  <c r="AI44" i="29"/>
  <c r="AH44" i="29"/>
  <c r="AG44" i="29"/>
  <c r="AF44" i="29"/>
  <c r="AE44" i="29"/>
  <c r="AD44" i="29"/>
  <c r="AC44" i="29"/>
  <c r="AB44" i="29"/>
  <c r="AA44" i="29"/>
  <c r="Z44" i="29"/>
  <c r="Y44" i="29"/>
  <c r="X44" i="29"/>
  <c r="W44" i="29"/>
  <c r="V44" i="29"/>
  <c r="U44" i="29"/>
  <c r="T44" i="29"/>
  <c r="S44" i="29"/>
  <c r="R44" i="29"/>
  <c r="Q44" i="29"/>
  <c r="P44" i="29"/>
  <c r="O44" i="29"/>
  <c r="N44" i="29"/>
  <c r="M44" i="29"/>
  <c r="L44" i="29"/>
  <c r="K44" i="29"/>
  <c r="J44" i="29"/>
  <c r="AM43" i="29"/>
  <c r="AL43" i="29"/>
  <c r="AK43" i="29"/>
  <c r="AJ43" i="29"/>
  <c r="AI43" i="29"/>
  <c r="AH43" i="29"/>
  <c r="AG43" i="29"/>
  <c r="AF43" i="29"/>
  <c r="AE43" i="29"/>
  <c r="AD43" i="29"/>
  <c r="AC43" i="29"/>
  <c r="AB43" i="29"/>
  <c r="AA43" i="29"/>
  <c r="Z43" i="29"/>
  <c r="Y43" i="29"/>
  <c r="X43" i="29"/>
  <c r="W43" i="29"/>
  <c r="V43" i="29"/>
  <c r="U43" i="29"/>
  <c r="T43" i="29"/>
  <c r="S43" i="29"/>
  <c r="R43" i="29"/>
  <c r="Q43" i="29"/>
  <c r="P43" i="29"/>
  <c r="O43" i="29"/>
  <c r="N43" i="29"/>
  <c r="M43" i="29"/>
  <c r="L43" i="29"/>
  <c r="K43" i="29"/>
  <c r="J43" i="29"/>
  <c r="AM42" i="29"/>
  <c r="AL42" i="29"/>
  <c r="AK42" i="29"/>
  <c r="AJ42" i="29"/>
  <c r="AI42" i="29"/>
  <c r="AH42" i="29"/>
  <c r="AG42" i="29"/>
  <c r="AF42" i="29"/>
  <c r="AE42" i="29"/>
  <c r="AD42" i="29"/>
  <c r="AC42" i="29"/>
  <c r="AB42" i="29"/>
  <c r="AA42" i="29"/>
  <c r="Z42" i="29"/>
  <c r="Y42" i="29"/>
  <c r="X42" i="29"/>
  <c r="W42" i="29"/>
  <c r="V42" i="29"/>
  <c r="U42" i="29"/>
  <c r="T42" i="29"/>
  <c r="S42" i="29"/>
  <c r="R42" i="29"/>
  <c r="Q42" i="29"/>
  <c r="P42" i="29"/>
  <c r="O42" i="29"/>
  <c r="N42" i="29"/>
  <c r="M42" i="29"/>
  <c r="L42" i="29"/>
  <c r="K42" i="29"/>
  <c r="J42" i="29"/>
  <c r="AM41" i="29"/>
  <c r="AL41" i="29"/>
  <c r="AK41" i="29"/>
  <c r="AJ41" i="29"/>
  <c r="AI41" i="29"/>
  <c r="AH41" i="29"/>
  <c r="AG41" i="29"/>
  <c r="AF41" i="29"/>
  <c r="AE41" i="29"/>
  <c r="AD41" i="29"/>
  <c r="AC41" i="29"/>
  <c r="AB41" i="29"/>
  <c r="AA41" i="29"/>
  <c r="Z41" i="29"/>
  <c r="Y41" i="29"/>
  <c r="X41" i="29"/>
  <c r="W41" i="29"/>
  <c r="V41" i="29"/>
  <c r="U41" i="29"/>
  <c r="T41" i="29"/>
  <c r="S41" i="29"/>
  <c r="R41" i="29"/>
  <c r="Q41" i="29"/>
  <c r="P41" i="29"/>
  <c r="O41" i="29"/>
  <c r="N41" i="29"/>
  <c r="M41" i="29"/>
  <c r="L41" i="29"/>
  <c r="K41" i="29"/>
  <c r="J41" i="29"/>
  <c r="AM40" i="29"/>
  <c r="AL40" i="29"/>
  <c r="AK40" i="29"/>
  <c r="AJ40" i="29"/>
  <c r="AI40" i="29"/>
  <c r="AH40" i="29"/>
  <c r="AG40" i="29"/>
  <c r="AF40" i="29"/>
  <c r="AE40" i="29"/>
  <c r="AD40" i="29"/>
  <c r="AC40" i="29"/>
  <c r="AB40" i="29"/>
  <c r="AA40" i="29"/>
  <c r="Z40" i="29"/>
  <c r="Y40" i="29"/>
  <c r="X40" i="29"/>
  <c r="W40" i="29"/>
  <c r="V40" i="29"/>
  <c r="U40" i="29"/>
  <c r="T40" i="29"/>
  <c r="S40" i="29"/>
  <c r="R40" i="29"/>
  <c r="Q40" i="29"/>
  <c r="P40" i="29"/>
  <c r="O40" i="29"/>
  <c r="N40" i="29"/>
  <c r="M40" i="29"/>
  <c r="L40" i="29"/>
  <c r="K40" i="29"/>
  <c r="J40" i="29"/>
  <c r="AM39" i="29"/>
  <c r="AL39" i="29"/>
  <c r="AK39" i="29"/>
  <c r="AJ39" i="29"/>
  <c r="AI39" i="29"/>
  <c r="AH39" i="29"/>
  <c r="AG39" i="29"/>
  <c r="AF39" i="29"/>
  <c r="AE39" i="29"/>
  <c r="AD39" i="29"/>
  <c r="AC39" i="29"/>
  <c r="AB39" i="29"/>
  <c r="AA39" i="29"/>
  <c r="Z39" i="29"/>
  <c r="Y39" i="29"/>
  <c r="X39" i="29"/>
  <c r="W39" i="29"/>
  <c r="V39" i="29"/>
  <c r="U39" i="29"/>
  <c r="T39" i="29"/>
  <c r="S39" i="29"/>
  <c r="R39" i="29"/>
  <c r="Q39" i="29"/>
  <c r="P39" i="29"/>
  <c r="O39" i="29"/>
  <c r="N39" i="29"/>
  <c r="M39" i="29"/>
  <c r="L39" i="29"/>
  <c r="K39" i="29"/>
  <c r="J39" i="29"/>
  <c r="AM38" i="29"/>
  <c r="AL38" i="29"/>
  <c r="AK38" i="29"/>
  <c r="AJ38" i="29"/>
  <c r="AI38" i="29"/>
  <c r="AH38" i="29"/>
  <c r="AG38" i="29"/>
  <c r="AF38" i="29"/>
  <c r="AE38" i="29"/>
  <c r="AD38" i="29"/>
  <c r="AC38" i="29"/>
  <c r="AB38" i="29"/>
  <c r="AA38" i="29"/>
  <c r="Z38" i="29"/>
  <c r="Y38" i="29"/>
  <c r="X38" i="29"/>
  <c r="W38" i="29"/>
  <c r="V38" i="29"/>
  <c r="U38" i="29"/>
  <c r="T38" i="29"/>
  <c r="S38" i="29"/>
  <c r="R38" i="29"/>
  <c r="Q38" i="29"/>
  <c r="P38" i="29"/>
  <c r="O38" i="29"/>
  <c r="N38" i="29"/>
  <c r="M38" i="29"/>
  <c r="L38" i="29"/>
  <c r="K38" i="29"/>
  <c r="J38" i="29"/>
  <c r="AM37" i="29"/>
  <c r="AL37" i="29"/>
  <c r="AK37" i="29"/>
  <c r="AJ37" i="29"/>
  <c r="AI37" i="29"/>
  <c r="AH37" i="29"/>
  <c r="AG37" i="29"/>
  <c r="AF37" i="29"/>
  <c r="AE37" i="29"/>
  <c r="AD37" i="29"/>
  <c r="AC37" i="29"/>
  <c r="AB37" i="29"/>
  <c r="AA37" i="29"/>
  <c r="Z37" i="29"/>
  <c r="Y37" i="29"/>
  <c r="X37" i="29"/>
  <c r="W37" i="29"/>
  <c r="V37" i="29"/>
  <c r="U37" i="29"/>
  <c r="T37" i="29"/>
  <c r="S37" i="29"/>
  <c r="R37" i="29"/>
  <c r="Q37" i="29"/>
  <c r="P37" i="29"/>
  <c r="O37" i="29"/>
  <c r="N37" i="29"/>
  <c r="M37" i="29"/>
  <c r="L37" i="29"/>
  <c r="K37" i="29"/>
  <c r="J37" i="29"/>
  <c r="AM36" i="29"/>
  <c r="AL36" i="29"/>
  <c r="AK36" i="29"/>
  <c r="AJ36" i="29"/>
  <c r="AI36" i="29"/>
  <c r="AH36" i="29"/>
  <c r="AG36" i="29"/>
  <c r="AF36" i="29"/>
  <c r="AE36" i="29"/>
  <c r="AD36" i="29"/>
  <c r="AC36" i="29"/>
  <c r="AB36" i="29"/>
  <c r="AA36" i="29"/>
  <c r="Z36" i="29"/>
  <c r="Y36" i="29"/>
  <c r="X36" i="29"/>
  <c r="W36" i="29"/>
  <c r="V36" i="29"/>
  <c r="U36" i="29"/>
  <c r="T36" i="29"/>
  <c r="S36" i="29"/>
  <c r="R36" i="29"/>
  <c r="Q36" i="29"/>
  <c r="P36" i="29"/>
  <c r="O36" i="29"/>
  <c r="N36" i="29"/>
  <c r="M36" i="29"/>
  <c r="L36" i="29"/>
  <c r="K36" i="29"/>
  <c r="J36" i="29"/>
  <c r="AM35" i="29"/>
  <c r="AL35" i="29"/>
  <c r="AK35" i="29"/>
  <c r="AJ35" i="29"/>
  <c r="AI35" i="29"/>
  <c r="AH35" i="29"/>
  <c r="AG35" i="29"/>
  <c r="AF35" i="29"/>
  <c r="AE35" i="29"/>
  <c r="AD35" i="29"/>
  <c r="AC35" i="29"/>
  <c r="AB35" i="29"/>
  <c r="AA35" i="29"/>
  <c r="Z35" i="29"/>
  <c r="Y35" i="29"/>
  <c r="X35" i="29"/>
  <c r="W35" i="29"/>
  <c r="V35" i="29"/>
  <c r="U35" i="29"/>
  <c r="T35" i="29"/>
  <c r="S35" i="29"/>
  <c r="R35" i="29"/>
  <c r="Q35" i="29"/>
  <c r="P35" i="29"/>
  <c r="O35" i="29"/>
  <c r="N35" i="29"/>
  <c r="M35" i="29"/>
  <c r="L35" i="29"/>
  <c r="K35" i="29"/>
  <c r="J35" i="29"/>
  <c r="AM34" i="29"/>
  <c r="AL34" i="29"/>
  <c r="AK34" i="29"/>
  <c r="AJ34" i="29"/>
  <c r="AI34" i="29"/>
  <c r="AH34" i="29"/>
  <c r="AG34" i="29"/>
  <c r="AF34" i="29"/>
  <c r="AE34" i="29"/>
  <c r="AD34" i="29"/>
  <c r="AC34" i="29"/>
  <c r="AB34" i="29"/>
  <c r="AA34" i="29"/>
  <c r="Z34" i="29"/>
  <c r="Y34" i="29"/>
  <c r="X34" i="29"/>
  <c r="W34" i="29"/>
  <c r="V34" i="29"/>
  <c r="U34" i="29"/>
  <c r="T34" i="29"/>
  <c r="S34" i="29"/>
  <c r="R34" i="29"/>
  <c r="Q34" i="29"/>
  <c r="P34" i="29"/>
  <c r="O34" i="29"/>
  <c r="N34" i="29"/>
  <c r="M34" i="29"/>
  <c r="L34" i="29"/>
  <c r="K34" i="29"/>
  <c r="J34" i="29"/>
  <c r="AM33" i="29"/>
  <c r="AL33" i="29"/>
  <c r="AK33" i="29"/>
  <c r="AJ33" i="29"/>
  <c r="AI33" i="29"/>
  <c r="AH33" i="29"/>
  <c r="AG33" i="29"/>
  <c r="AF33" i="29"/>
  <c r="AE33" i="29"/>
  <c r="AD33" i="29"/>
  <c r="AC33" i="29"/>
  <c r="AB33" i="29"/>
  <c r="AA33" i="29"/>
  <c r="Z33" i="29"/>
  <c r="Y33" i="29"/>
  <c r="X33" i="29"/>
  <c r="W33" i="29"/>
  <c r="V33" i="29"/>
  <c r="U33" i="29"/>
  <c r="T33" i="29"/>
  <c r="S33" i="29"/>
  <c r="R33" i="29"/>
  <c r="Q33" i="29"/>
  <c r="P33" i="29"/>
  <c r="O33" i="29"/>
  <c r="N33" i="29"/>
  <c r="M33" i="29"/>
  <c r="L33" i="29"/>
  <c r="K33" i="29"/>
  <c r="J33" i="29"/>
  <c r="AM32" i="29"/>
  <c r="AL32" i="29"/>
  <c r="AK32" i="29"/>
  <c r="AJ32" i="29"/>
  <c r="AI32" i="29"/>
  <c r="AH32" i="29"/>
  <c r="AG32" i="29"/>
  <c r="AF32" i="29"/>
  <c r="AE32" i="29"/>
  <c r="AD32" i="29"/>
  <c r="AC32" i="29"/>
  <c r="AB32" i="29"/>
  <c r="AA32" i="29"/>
  <c r="Z32" i="29"/>
  <c r="Y32" i="29"/>
  <c r="X32" i="29"/>
  <c r="W32" i="29"/>
  <c r="V32" i="29"/>
  <c r="U32" i="29"/>
  <c r="T32" i="29"/>
  <c r="S32" i="29"/>
  <c r="R32" i="29"/>
  <c r="Q32" i="29"/>
  <c r="P32" i="29"/>
  <c r="O32" i="29"/>
  <c r="N32" i="29"/>
  <c r="M32" i="29"/>
  <c r="L32" i="29"/>
  <c r="K32" i="29"/>
  <c r="J32" i="29"/>
  <c r="AM31" i="29"/>
  <c r="AL31" i="29"/>
  <c r="AK31" i="29"/>
  <c r="AJ31" i="29"/>
  <c r="AI31" i="29"/>
  <c r="AH31" i="29"/>
  <c r="AG31" i="29"/>
  <c r="AF31" i="29"/>
  <c r="AE31" i="29"/>
  <c r="AD31" i="29"/>
  <c r="AC31" i="29"/>
  <c r="AB31" i="29"/>
  <c r="AA31" i="29"/>
  <c r="Z31" i="29"/>
  <c r="Y31" i="29"/>
  <c r="X31" i="29"/>
  <c r="W31" i="29"/>
  <c r="V31" i="29"/>
  <c r="U31" i="29"/>
  <c r="T31" i="29"/>
  <c r="S31" i="29"/>
  <c r="R31" i="29"/>
  <c r="Q31" i="29"/>
  <c r="P31" i="29"/>
  <c r="O31" i="29"/>
  <c r="N31" i="29"/>
  <c r="M31" i="29"/>
  <c r="L31" i="29"/>
  <c r="K31" i="29"/>
  <c r="J31" i="29"/>
  <c r="AM30" i="29"/>
  <c r="AL30" i="29"/>
  <c r="AK30" i="29"/>
  <c r="AJ30" i="29"/>
  <c r="AI30" i="29"/>
  <c r="AH30" i="29"/>
  <c r="AG30" i="29"/>
  <c r="AF30" i="29"/>
  <c r="AE30" i="29"/>
  <c r="AD30" i="29"/>
  <c r="AC30" i="29"/>
  <c r="AB30" i="29"/>
  <c r="AA30" i="29"/>
  <c r="Z30" i="29"/>
  <c r="Y30" i="29"/>
  <c r="X30" i="29"/>
  <c r="W30" i="29"/>
  <c r="V30" i="29"/>
  <c r="U30" i="29"/>
  <c r="T30" i="29"/>
  <c r="S30" i="29"/>
  <c r="R30" i="29"/>
  <c r="Q30" i="29"/>
  <c r="P30" i="29"/>
  <c r="O30" i="29"/>
  <c r="N30" i="29"/>
  <c r="M30" i="29"/>
  <c r="L30" i="29"/>
  <c r="K30" i="29"/>
  <c r="J30" i="29"/>
  <c r="AM29" i="29"/>
  <c r="AL29" i="29"/>
  <c r="AK29" i="29"/>
  <c r="AJ29" i="29"/>
  <c r="AI29" i="29"/>
  <c r="AH29" i="29"/>
  <c r="AG29" i="29"/>
  <c r="AF29" i="29"/>
  <c r="AE29" i="29"/>
  <c r="AD29" i="29"/>
  <c r="AC29" i="29"/>
  <c r="AB29" i="29"/>
  <c r="AA29" i="29"/>
  <c r="Z29" i="29"/>
  <c r="Y29" i="29"/>
  <c r="X29" i="29"/>
  <c r="W29" i="29"/>
  <c r="V29" i="29"/>
  <c r="U29" i="29"/>
  <c r="T29" i="29"/>
  <c r="S29" i="29"/>
  <c r="R29" i="29"/>
  <c r="Q29" i="29"/>
  <c r="P29" i="29"/>
  <c r="O29" i="29"/>
  <c r="N29" i="29"/>
  <c r="M29" i="29"/>
  <c r="L29" i="29"/>
  <c r="K29" i="29"/>
  <c r="J29" i="29"/>
  <c r="AM28" i="29"/>
  <c r="AL28" i="29"/>
  <c r="AK28" i="29"/>
  <c r="AJ28" i="29"/>
  <c r="AI28" i="29"/>
  <c r="AH28" i="29"/>
  <c r="AG28" i="29"/>
  <c r="AF28" i="29"/>
  <c r="AE28" i="29"/>
  <c r="AD28" i="29"/>
  <c r="AC28" i="29"/>
  <c r="AB28" i="29"/>
  <c r="AA28" i="29"/>
  <c r="Z28" i="29"/>
  <c r="Y28" i="29"/>
  <c r="X28" i="29"/>
  <c r="W28" i="29"/>
  <c r="V28" i="29"/>
  <c r="U28" i="29"/>
  <c r="T28" i="29"/>
  <c r="S28" i="29"/>
  <c r="R28" i="29"/>
  <c r="Q28" i="29"/>
  <c r="P28" i="29"/>
  <c r="O28" i="29"/>
  <c r="N28" i="29"/>
  <c r="M28" i="29"/>
  <c r="L28" i="29"/>
  <c r="K28" i="29"/>
  <c r="J28" i="29"/>
  <c r="AM27" i="29"/>
  <c r="AL27" i="29"/>
  <c r="AK27" i="29"/>
  <c r="AJ27" i="29"/>
  <c r="AI27" i="29"/>
  <c r="AH27" i="29"/>
  <c r="AG27" i="29"/>
  <c r="AF27" i="29"/>
  <c r="AE27" i="29"/>
  <c r="AD27" i="29"/>
  <c r="AC27" i="29"/>
  <c r="AB27" i="29"/>
  <c r="AA27" i="29"/>
  <c r="Z27" i="29"/>
  <c r="Y27" i="29"/>
  <c r="X27" i="29"/>
  <c r="W27" i="29"/>
  <c r="V27" i="29"/>
  <c r="U27" i="29"/>
  <c r="T27" i="29"/>
  <c r="S27" i="29"/>
  <c r="R27" i="29"/>
  <c r="Q27" i="29"/>
  <c r="P27" i="29"/>
  <c r="O27" i="29"/>
  <c r="N27" i="29"/>
  <c r="M27" i="29"/>
  <c r="L27" i="29"/>
  <c r="K27" i="29"/>
  <c r="J27" i="29"/>
  <c r="AM26" i="29"/>
  <c r="AL26" i="29"/>
  <c r="AK26" i="29"/>
  <c r="AJ26" i="29"/>
  <c r="AI26" i="29"/>
  <c r="AH26" i="29"/>
  <c r="AG26" i="29"/>
  <c r="AF26" i="29"/>
  <c r="AE26" i="29"/>
  <c r="AD26" i="29"/>
  <c r="AC26" i="29"/>
  <c r="AB26" i="29"/>
  <c r="AA26" i="29"/>
  <c r="Z26" i="29"/>
  <c r="Y26" i="29"/>
  <c r="X26" i="29"/>
  <c r="W26" i="29"/>
  <c r="V26" i="29"/>
  <c r="U26" i="29"/>
  <c r="T26" i="29"/>
  <c r="S26" i="29"/>
  <c r="R26" i="29"/>
  <c r="Q26" i="29"/>
  <c r="P26" i="29"/>
  <c r="O26" i="29"/>
  <c r="N26" i="29"/>
  <c r="M26" i="29"/>
  <c r="L26" i="29"/>
  <c r="K26" i="29"/>
  <c r="J26" i="29"/>
  <c r="AM25" i="29"/>
  <c r="AL25" i="29"/>
  <c r="AK25" i="29"/>
  <c r="AJ25" i="29"/>
  <c r="AI25" i="29"/>
  <c r="AH25" i="29"/>
  <c r="AG25" i="29"/>
  <c r="AF25" i="29"/>
  <c r="AE25" i="29"/>
  <c r="AD25" i="29"/>
  <c r="AC25" i="29"/>
  <c r="AB25" i="29"/>
  <c r="AA25" i="29"/>
  <c r="Z25" i="29"/>
  <c r="Y25" i="29"/>
  <c r="X25" i="29"/>
  <c r="W25" i="29"/>
  <c r="V25" i="29"/>
  <c r="U25" i="29"/>
  <c r="T25" i="29"/>
  <c r="S25" i="29"/>
  <c r="R25" i="29"/>
  <c r="Q25" i="29"/>
  <c r="P25" i="29"/>
  <c r="O25" i="29"/>
  <c r="N25" i="29"/>
  <c r="M25" i="29"/>
  <c r="L25" i="29"/>
  <c r="K25" i="29"/>
  <c r="J25" i="29"/>
  <c r="AM24" i="29"/>
  <c r="AL24" i="29"/>
  <c r="AK24" i="29"/>
  <c r="AJ24" i="29"/>
  <c r="AI24" i="29"/>
  <c r="AH24" i="29"/>
  <c r="AG24" i="29"/>
  <c r="AF24" i="29"/>
  <c r="AE24" i="29"/>
  <c r="AD24" i="29"/>
  <c r="AC24" i="29"/>
  <c r="AB24" i="29"/>
  <c r="AA24" i="29"/>
  <c r="Z24" i="29"/>
  <c r="Y24" i="29"/>
  <c r="X24" i="29"/>
  <c r="W24" i="29"/>
  <c r="V24" i="29"/>
  <c r="U24" i="29"/>
  <c r="T24" i="29"/>
  <c r="S24" i="29"/>
  <c r="R24" i="29"/>
  <c r="Q24" i="29"/>
  <c r="P24" i="29"/>
  <c r="O24" i="29"/>
  <c r="N24" i="29"/>
  <c r="M24" i="29"/>
  <c r="L24" i="29"/>
  <c r="K24" i="29"/>
  <c r="J24" i="29"/>
  <c r="AM23" i="29"/>
  <c r="AL23" i="29"/>
  <c r="AK23" i="29"/>
  <c r="AJ23" i="29"/>
  <c r="AI23" i="29"/>
  <c r="AH23" i="29"/>
  <c r="AG23" i="29"/>
  <c r="AF23" i="29"/>
  <c r="AE23" i="29"/>
  <c r="AD23" i="29"/>
  <c r="AC23" i="29"/>
  <c r="AB23" i="29"/>
  <c r="AA23" i="29"/>
  <c r="Z23" i="29"/>
  <c r="Y23" i="29"/>
  <c r="X23" i="29"/>
  <c r="W23" i="29"/>
  <c r="V23" i="29"/>
  <c r="U23" i="29"/>
  <c r="T23" i="29"/>
  <c r="S23" i="29"/>
  <c r="R23" i="29"/>
  <c r="Q23" i="29"/>
  <c r="P23" i="29"/>
  <c r="O23" i="29"/>
  <c r="N23" i="29"/>
  <c r="M23" i="29"/>
  <c r="L23" i="29"/>
  <c r="K23" i="29"/>
  <c r="J23" i="29"/>
  <c r="AM22" i="29"/>
  <c r="AL22" i="29"/>
  <c r="AK22" i="29"/>
  <c r="AJ22" i="29"/>
  <c r="AI22" i="29"/>
  <c r="AH22" i="29"/>
  <c r="AG22" i="29"/>
  <c r="AF22" i="29"/>
  <c r="AE22" i="29"/>
  <c r="AD22" i="29"/>
  <c r="AC22" i="29"/>
  <c r="AB22" i="29"/>
  <c r="AA22" i="29"/>
  <c r="Z22" i="29"/>
  <c r="Y22" i="29"/>
  <c r="X22" i="29"/>
  <c r="W22" i="29"/>
  <c r="V22" i="29"/>
  <c r="U22" i="29"/>
  <c r="T22" i="29"/>
  <c r="S22" i="29"/>
  <c r="R22" i="29"/>
  <c r="Q22" i="29"/>
  <c r="P22" i="29"/>
  <c r="O22" i="29"/>
  <c r="N22" i="29"/>
  <c r="M22" i="29"/>
  <c r="L22" i="29"/>
  <c r="K22" i="29"/>
  <c r="J22" i="29"/>
  <c r="AM21" i="29"/>
  <c r="AL21" i="29"/>
  <c r="AK21" i="29"/>
  <c r="AJ21" i="29"/>
  <c r="AI21" i="29"/>
  <c r="AH21" i="29"/>
  <c r="AG21" i="29"/>
  <c r="AF21" i="29"/>
  <c r="AE21" i="29"/>
  <c r="AD21" i="29"/>
  <c r="AC21" i="29"/>
  <c r="AB21" i="29"/>
  <c r="AA21" i="29"/>
  <c r="Z21" i="29"/>
  <c r="Y21" i="29"/>
  <c r="X21" i="29"/>
  <c r="W21" i="29"/>
  <c r="V21" i="29"/>
  <c r="U21" i="29"/>
  <c r="T21" i="29"/>
  <c r="S21" i="29"/>
  <c r="R21" i="29"/>
  <c r="Q21" i="29"/>
  <c r="P21" i="29"/>
  <c r="O21" i="29"/>
  <c r="N21" i="29"/>
  <c r="M21" i="29"/>
  <c r="L21" i="29"/>
  <c r="K21" i="29"/>
  <c r="J21" i="29"/>
  <c r="AM20" i="29"/>
  <c r="AL20" i="29"/>
  <c r="AK20" i="29"/>
  <c r="AJ20" i="29"/>
  <c r="AI20" i="29"/>
  <c r="AH20" i="29"/>
  <c r="AG20" i="29"/>
  <c r="AF20" i="29"/>
  <c r="AE20" i="29"/>
  <c r="AD20" i="29"/>
  <c r="AC20" i="29"/>
  <c r="AB20" i="29"/>
  <c r="AA20" i="29"/>
  <c r="Z20" i="29"/>
  <c r="Y20" i="29"/>
  <c r="X20" i="29"/>
  <c r="W20" i="29"/>
  <c r="V20" i="29"/>
  <c r="U20" i="29"/>
  <c r="T20" i="29"/>
  <c r="S20" i="29"/>
  <c r="R20" i="29"/>
  <c r="Q20" i="29"/>
  <c r="P20" i="29"/>
  <c r="O20" i="29"/>
  <c r="N20" i="29"/>
  <c r="M20" i="29"/>
  <c r="L20" i="29"/>
  <c r="K20" i="29"/>
  <c r="J20" i="29"/>
  <c r="AM19" i="29"/>
  <c r="AL19" i="29"/>
  <c r="AK19" i="29"/>
  <c r="AJ19" i="29"/>
  <c r="AI19" i="29"/>
  <c r="AH19" i="29"/>
  <c r="AG19" i="29"/>
  <c r="AF19" i="29"/>
  <c r="AE19" i="29"/>
  <c r="AD19" i="29"/>
  <c r="AC19" i="29"/>
  <c r="AB19" i="29"/>
  <c r="AA19" i="29"/>
  <c r="Z19" i="29"/>
  <c r="Y19" i="29"/>
  <c r="X19" i="29"/>
  <c r="W19" i="29"/>
  <c r="V19" i="29"/>
  <c r="U19" i="29"/>
  <c r="T19" i="29"/>
  <c r="S19" i="29"/>
  <c r="R19" i="29"/>
  <c r="Q19" i="29"/>
  <c r="P19" i="29"/>
  <c r="O19" i="29"/>
  <c r="N19" i="29"/>
  <c r="M19" i="29"/>
  <c r="L19" i="29"/>
  <c r="K19" i="29"/>
  <c r="J19" i="29"/>
  <c r="AM18" i="29"/>
  <c r="AL18" i="29"/>
  <c r="AK18" i="29"/>
  <c r="AJ18" i="29"/>
  <c r="AI18" i="29"/>
  <c r="AH18" i="29"/>
  <c r="AG18" i="29"/>
  <c r="AF18" i="29"/>
  <c r="AE18" i="29"/>
  <c r="AD18" i="29"/>
  <c r="AC18" i="29"/>
  <c r="AB18" i="29"/>
  <c r="AA18" i="29"/>
  <c r="Z18" i="29"/>
  <c r="Y18" i="29"/>
  <c r="X18" i="29"/>
  <c r="W18" i="29"/>
  <c r="V18" i="29"/>
  <c r="U18" i="29"/>
  <c r="T18" i="29"/>
  <c r="S18" i="29"/>
  <c r="R18" i="29"/>
  <c r="Q18" i="29"/>
  <c r="P18" i="29"/>
  <c r="O18" i="29"/>
  <c r="N18" i="29"/>
  <c r="M18" i="29"/>
  <c r="L18" i="29"/>
  <c r="K18" i="29"/>
  <c r="J18" i="29"/>
  <c r="AM17" i="29"/>
  <c r="AL17" i="29"/>
  <c r="AK17" i="29"/>
  <c r="AJ17" i="29"/>
  <c r="AI17" i="29"/>
  <c r="AH17" i="29"/>
  <c r="AG17" i="29"/>
  <c r="AF17" i="29"/>
  <c r="AE17" i="29"/>
  <c r="AD17" i="29"/>
  <c r="AC17" i="29"/>
  <c r="AB17" i="29"/>
  <c r="AA17" i="29"/>
  <c r="Z17" i="29"/>
  <c r="Y17" i="29"/>
  <c r="X17" i="29"/>
  <c r="W17" i="29"/>
  <c r="V17" i="29"/>
  <c r="U17" i="29"/>
  <c r="T17" i="29"/>
  <c r="S17" i="29"/>
  <c r="R17" i="29"/>
  <c r="Q17" i="29"/>
  <c r="P17" i="29"/>
  <c r="O17" i="29"/>
  <c r="N17" i="29"/>
  <c r="M17" i="29"/>
  <c r="L17" i="29"/>
  <c r="K17" i="29"/>
  <c r="J17" i="29"/>
  <c r="AM16" i="29"/>
  <c r="AL16" i="29"/>
  <c r="AK16" i="29"/>
  <c r="AJ16" i="29"/>
  <c r="AI16" i="29"/>
  <c r="AH16" i="29"/>
  <c r="AG16" i="29"/>
  <c r="AF16" i="29"/>
  <c r="AE16" i="29"/>
  <c r="AD16" i="29"/>
  <c r="AC16" i="29"/>
  <c r="AB16" i="29"/>
  <c r="AA16" i="29"/>
  <c r="Z16" i="29"/>
  <c r="Y16" i="29"/>
  <c r="X16" i="29"/>
  <c r="W16" i="29"/>
  <c r="V16" i="29"/>
  <c r="U16" i="29"/>
  <c r="T16" i="29"/>
  <c r="S16" i="29"/>
  <c r="R16" i="29"/>
  <c r="Q16" i="29"/>
  <c r="P16" i="29"/>
  <c r="O16" i="29"/>
  <c r="N16" i="29"/>
  <c r="M16" i="29"/>
  <c r="L16" i="29"/>
  <c r="K16" i="29"/>
  <c r="J16" i="29"/>
  <c r="AM15" i="29"/>
  <c r="AL15" i="29"/>
  <c r="AK15" i="29"/>
  <c r="AJ15" i="29"/>
  <c r="AI15" i="29"/>
  <c r="AH15" i="29"/>
  <c r="AG15" i="29"/>
  <c r="AF15" i="29"/>
  <c r="AE15" i="29"/>
  <c r="AD15" i="29"/>
  <c r="AC15" i="29"/>
  <c r="AB15" i="29"/>
  <c r="AA15" i="29"/>
  <c r="Z15" i="29"/>
  <c r="Y15" i="29"/>
  <c r="X15" i="29"/>
  <c r="W15" i="29"/>
  <c r="V15" i="29"/>
  <c r="U15" i="29"/>
  <c r="T15" i="29"/>
  <c r="S15" i="29"/>
  <c r="R15" i="29"/>
  <c r="Q15" i="29"/>
  <c r="P15" i="29"/>
  <c r="O15" i="29"/>
  <c r="N15" i="29"/>
  <c r="M15" i="29"/>
  <c r="L15" i="29"/>
  <c r="K15" i="29"/>
  <c r="J15" i="29"/>
  <c r="AM14" i="29"/>
  <c r="AL14" i="29"/>
  <c r="AK14" i="29"/>
  <c r="AJ14" i="29"/>
  <c r="AI14" i="29"/>
  <c r="AH14" i="29"/>
  <c r="AG14" i="29"/>
  <c r="AF14" i="29"/>
  <c r="AE14" i="29"/>
  <c r="AD14" i="29"/>
  <c r="AC14" i="29"/>
  <c r="AB14" i="29"/>
  <c r="AA14" i="29"/>
  <c r="Z14" i="29"/>
  <c r="Y14" i="29"/>
  <c r="X14" i="29"/>
  <c r="W14" i="29"/>
  <c r="V14" i="29"/>
  <c r="U14" i="29"/>
  <c r="T14" i="29"/>
  <c r="S14" i="29"/>
  <c r="R14" i="29"/>
  <c r="Q14" i="29"/>
  <c r="P14" i="29"/>
  <c r="O14" i="29"/>
  <c r="N14" i="29"/>
  <c r="M14" i="29"/>
  <c r="L14" i="29"/>
  <c r="K14" i="29"/>
  <c r="J14" i="29"/>
  <c r="AM13" i="29"/>
  <c r="AL13" i="29"/>
  <c r="AK13" i="29"/>
  <c r="AJ13" i="29"/>
  <c r="AI13" i="29"/>
  <c r="AH13" i="29"/>
  <c r="AG13" i="29"/>
  <c r="AF13" i="29"/>
  <c r="AE13" i="29"/>
  <c r="AD13" i="29"/>
  <c r="AC13" i="29"/>
  <c r="AB13" i="29"/>
  <c r="AA13" i="29"/>
  <c r="Z13" i="29"/>
  <c r="Y13" i="29"/>
  <c r="X13" i="29"/>
  <c r="W13" i="29"/>
  <c r="V13" i="29"/>
  <c r="U13" i="29"/>
  <c r="T13" i="29"/>
  <c r="S13" i="29"/>
  <c r="R13" i="29"/>
  <c r="Q13" i="29"/>
  <c r="P13" i="29"/>
  <c r="O13" i="29"/>
  <c r="N13" i="29"/>
  <c r="M13" i="29"/>
  <c r="L13" i="29"/>
  <c r="K13" i="29"/>
  <c r="J13" i="29"/>
  <c r="AM12" i="29"/>
  <c r="AL12" i="29"/>
  <c r="AK12" i="29"/>
  <c r="AJ12" i="29"/>
  <c r="AI12" i="29"/>
  <c r="AH12" i="29"/>
  <c r="AG12" i="29"/>
  <c r="AF12" i="29"/>
  <c r="AE12" i="29"/>
  <c r="AD12" i="29"/>
  <c r="AC12" i="29"/>
  <c r="AB12" i="29"/>
  <c r="AA12" i="29"/>
  <c r="Z12" i="29"/>
  <c r="Y12" i="29"/>
  <c r="X12" i="29"/>
  <c r="W12" i="29"/>
  <c r="V12" i="29"/>
  <c r="U12" i="29"/>
  <c r="T12" i="29"/>
  <c r="S12" i="29"/>
  <c r="R12" i="29"/>
  <c r="Q12" i="29"/>
  <c r="P12" i="29"/>
  <c r="O12" i="29"/>
  <c r="N12" i="29"/>
  <c r="M12" i="29"/>
  <c r="L12" i="29"/>
  <c r="K12" i="29"/>
  <c r="J12" i="29"/>
  <c r="AM11" i="29"/>
  <c r="AL11" i="29"/>
  <c r="AK11" i="29"/>
  <c r="AJ11" i="29"/>
  <c r="AI11" i="29"/>
  <c r="AH11" i="29"/>
  <c r="AG11" i="29"/>
  <c r="AF11" i="29"/>
  <c r="AE11" i="29"/>
  <c r="AD11" i="29"/>
  <c r="AC11" i="29"/>
  <c r="AB11" i="29"/>
  <c r="AA11" i="29"/>
  <c r="Z11" i="29"/>
  <c r="Y11" i="29"/>
  <c r="X11" i="29"/>
  <c r="W11" i="29"/>
  <c r="V11" i="29"/>
  <c r="U11" i="29"/>
  <c r="T11" i="29"/>
  <c r="S11" i="29"/>
  <c r="R11" i="29"/>
  <c r="Q11" i="29"/>
  <c r="P11" i="29"/>
  <c r="O11" i="29"/>
  <c r="N11" i="29"/>
  <c r="M11" i="29"/>
  <c r="L11" i="29"/>
  <c r="K11" i="29"/>
  <c r="J11" i="29"/>
  <c r="AM10" i="29"/>
  <c r="AL10" i="29"/>
  <c r="AK10" i="29"/>
  <c r="AJ10" i="29"/>
  <c r="AI10" i="29"/>
  <c r="AH10" i="29"/>
  <c r="AG10" i="29"/>
  <c r="AF10" i="29"/>
  <c r="AE10" i="29"/>
  <c r="AD10" i="29"/>
  <c r="AC10" i="29"/>
  <c r="AB10" i="29"/>
  <c r="AA10" i="29"/>
  <c r="Z10" i="29"/>
  <c r="Y10" i="29"/>
  <c r="X10" i="29"/>
  <c r="W10" i="29"/>
  <c r="V10" i="29"/>
  <c r="U10" i="29"/>
  <c r="T10" i="29"/>
  <c r="S10" i="29"/>
  <c r="R10" i="29"/>
  <c r="Q10" i="29"/>
  <c r="P10" i="29"/>
  <c r="O10" i="29"/>
  <c r="N10" i="29"/>
  <c r="M10" i="29"/>
  <c r="L10" i="29"/>
  <c r="K10" i="29"/>
  <c r="J10" i="29"/>
  <c r="AM9" i="29"/>
  <c r="AL9" i="29"/>
  <c r="AK9" i="29"/>
  <c r="AJ9" i="29"/>
  <c r="AI9" i="29"/>
  <c r="AH9" i="29"/>
  <c r="AG9" i="29"/>
  <c r="AF9" i="29"/>
  <c r="AE9" i="29"/>
  <c r="AD9" i="29"/>
  <c r="AC9" i="29"/>
  <c r="AB9" i="29"/>
  <c r="AA9" i="29"/>
  <c r="Z9" i="29"/>
  <c r="Y9" i="29"/>
  <c r="X9" i="29"/>
  <c r="W9" i="29"/>
  <c r="V9" i="29"/>
  <c r="U9" i="29"/>
  <c r="T9" i="29"/>
  <c r="S9" i="29"/>
  <c r="R9" i="29"/>
  <c r="Q9" i="29"/>
  <c r="P9" i="29"/>
  <c r="O9" i="29"/>
  <c r="N9" i="29"/>
  <c r="M9" i="29"/>
  <c r="L9" i="29"/>
  <c r="K9" i="29"/>
  <c r="J9" i="29"/>
  <c r="AM8" i="29"/>
  <c r="AL8" i="29"/>
  <c r="AK8" i="29"/>
  <c r="AJ8" i="29"/>
  <c r="AI8" i="29"/>
  <c r="AH8" i="29"/>
  <c r="AG8" i="29"/>
  <c r="AF8" i="29"/>
  <c r="AE8" i="29"/>
  <c r="AD8" i="29"/>
  <c r="AC8" i="29"/>
  <c r="AB8" i="29"/>
  <c r="AA8" i="29"/>
  <c r="Z8" i="29"/>
  <c r="Y8" i="29"/>
  <c r="X8" i="29"/>
  <c r="W8" i="29"/>
  <c r="V8" i="29"/>
  <c r="U8" i="29"/>
  <c r="T8" i="29"/>
  <c r="S8" i="29"/>
  <c r="R8" i="29"/>
  <c r="Q8" i="29"/>
  <c r="P8" i="29"/>
  <c r="O8" i="29"/>
  <c r="N8" i="29"/>
  <c r="M8" i="29"/>
  <c r="L8" i="29"/>
  <c r="K8" i="29"/>
  <c r="J8" i="29"/>
  <c r="AM7" i="29"/>
  <c r="AL7" i="29"/>
  <c r="AK7" i="29"/>
  <c r="AJ7" i="29"/>
  <c r="AI7" i="29"/>
  <c r="AH7" i="29"/>
  <c r="AG7" i="29"/>
  <c r="AF7" i="29"/>
  <c r="AE7" i="29"/>
  <c r="AD7" i="29"/>
  <c r="AC7" i="29"/>
  <c r="AB7" i="29"/>
  <c r="AA7" i="29"/>
  <c r="Z7" i="29"/>
  <c r="Y7" i="29"/>
  <c r="X7" i="29"/>
  <c r="W7" i="29"/>
  <c r="V7" i="29"/>
  <c r="U7" i="29"/>
  <c r="T7" i="29"/>
  <c r="S7" i="29"/>
  <c r="R7" i="29"/>
  <c r="Q7" i="29"/>
  <c r="P7" i="29"/>
  <c r="O7" i="29"/>
  <c r="N7" i="29"/>
  <c r="M7" i="29"/>
  <c r="L7" i="29"/>
  <c r="K7" i="29"/>
  <c r="J7" i="29"/>
  <c r="AM6" i="29"/>
  <c r="AL6" i="29"/>
  <c r="AK6" i="29"/>
  <c r="AJ6" i="29"/>
  <c r="AI6" i="29"/>
  <c r="AH6" i="29"/>
  <c r="AG6" i="29"/>
  <c r="AF6" i="29"/>
  <c r="AE6" i="29"/>
  <c r="AD6" i="29"/>
  <c r="AC6" i="29"/>
  <c r="AB6" i="29"/>
  <c r="AA6" i="29"/>
  <c r="Z6" i="29"/>
  <c r="Y6" i="29"/>
  <c r="X6" i="29"/>
  <c r="W6" i="29"/>
  <c r="V6" i="29"/>
  <c r="U6" i="29"/>
  <c r="T6" i="29"/>
  <c r="S6" i="29"/>
  <c r="R6" i="29"/>
  <c r="Q6" i="29"/>
  <c r="P6" i="29"/>
  <c r="O6" i="29"/>
  <c r="N6" i="29"/>
  <c r="M6" i="29"/>
  <c r="L6" i="29"/>
  <c r="K6" i="29"/>
  <c r="J6" i="29"/>
  <c r="AL44" i="27"/>
  <c r="AJ44" i="27"/>
  <c r="AH44" i="27"/>
  <c r="AF44" i="27"/>
  <c r="AD44" i="27"/>
  <c r="AB44" i="27"/>
  <c r="Z44" i="27"/>
  <c r="X44" i="27"/>
  <c r="V44" i="27"/>
  <c r="T44" i="27"/>
  <c r="R44" i="27"/>
  <c r="P44" i="27"/>
  <c r="N44" i="27"/>
  <c r="L44" i="27"/>
  <c r="J44" i="27"/>
  <c r="AL42" i="27"/>
  <c r="AJ42" i="27"/>
  <c r="AH42" i="27"/>
  <c r="AF42" i="27"/>
  <c r="AD42" i="27"/>
  <c r="AB42" i="27"/>
  <c r="Z42" i="27"/>
  <c r="X42" i="27"/>
  <c r="V42" i="27"/>
  <c r="T42" i="27"/>
  <c r="R42" i="27"/>
  <c r="P42" i="27"/>
  <c r="N42" i="27"/>
  <c r="L42" i="27"/>
  <c r="J42" i="27"/>
  <c r="AL40" i="27"/>
  <c r="AJ40" i="27"/>
  <c r="AH40" i="27"/>
  <c r="AF40" i="27"/>
  <c r="AD40" i="27"/>
  <c r="AB40" i="27"/>
  <c r="Z40" i="27"/>
  <c r="X40" i="27"/>
  <c r="V40" i="27"/>
  <c r="T40" i="27"/>
  <c r="R40" i="27"/>
  <c r="P40" i="27"/>
  <c r="N40" i="27"/>
  <c r="L40" i="27"/>
  <c r="J40" i="27"/>
  <c r="AL38" i="27"/>
  <c r="AJ38" i="27"/>
  <c r="AH38" i="27"/>
  <c r="AF38" i="27"/>
  <c r="AD38" i="27"/>
  <c r="AB38" i="27"/>
  <c r="Z38" i="27"/>
  <c r="X38" i="27"/>
  <c r="V38" i="27"/>
  <c r="T38" i="27"/>
  <c r="R38" i="27"/>
  <c r="P38" i="27"/>
  <c r="N38" i="27"/>
  <c r="L38" i="27"/>
  <c r="J38" i="27"/>
  <c r="AL36" i="27"/>
  <c r="AJ36" i="27"/>
  <c r="AH36" i="27"/>
  <c r="AF36" i="27"/>
  <c r="AD36" i="27"/>
  <c r="AB36" i="27"/>
  <c r="Z36" i="27"/>
  <c r="X36" i="27"/>
  <c r="V36" i="27"/>
  <c r="T36" i="27"/>
  <c r="R36" i="27"/>
  <c r="P36" i="27"/>
  <c r="N36" i="27"/>
  <c r="L36" i="27"/>
  <c r="J36" i="27"/>
  <c r="AL34" i="27"/>
  <c r="AJ34" i="27"/>
  <c r="AH34" i="27"/>
  <c r="AF34" i="27"/>
  <c r="AD34" i="27"/>
  <c r="AB34" i="27"/>
  <c r="Z34" i="27"/>
  <c r="X34" i="27"/>
  <c r="V34" i="27"/>
  <c r="T34" i="27"/>
  <c r="R34" i="27"/>
  <c r="P34" i="27"/>
  <c r="N34" i="27"/>
  <c r="L34" i="27"/>
  <c r="J34" i="27"/>
  <c r="AL32" i="27"/>
  <c r="AJ32" i="27"/>
  <c r="AH32" i="27"/>
  <c r="AF32" i="27"/>
  <c r="AD32" i="27"/>
  <c r="AB32" i="27"/>
  <c r="Z32" i="27"/>
  <c r="X32" i="27"/>
  <c r="V32" i="27"/>
  <c r="T32" i="27"/>
  <c r="R32" i="27"/>
  <c r="P32" i="27"/>
  <c r="N32" i="27"/>
  <c r="L32" i="27"/>
  <c r="J32" i="27"/>
  <c r="AL30" i="27"/>
  <c r="AJ30" i="27"/>
  <c r="AH30" i="27"/>
  <c r="AF30" i="27"/>
  <c r="AD30" i="27"/>
  <c r="AB30" i="27"/>
  <c r="Z30" i="27"/>
  <c r="X30" i="27"/>
  <c r="V30" i="27"/>
  <c r="T30" i="27"/>
  <c r="R30" i="27"/>
  <c r="P30" i="27"/>
  <c r="N30" i="27"/>
  <c r="L30" i="27"/>
  <c r="J30" i="27"/>
  <c r="AL28" i="27"/>
  <c r="AJ28" i="27"/>
  <c r="AH28" i="27"/>
  <c r="AF28" i="27"/>
  <c r="AD28" i="27"/>
  <c r="AB28" i="27"/>
  <c r="Z28" i="27"/>
  <c r="X28" i="27"/>
  <c r="V28" i="27"/>
  <c r="T28" i="27"/>
  <c r="R28" i="27"/>
  <c r="P28" i="27"/>
  <c r="N28" i="27"/>
  <c r="L28" i="27"/>
  <c r="J28" i="27"/>
  <c r="AL26" i="27"/>
  <c r="AJ26" i="27"/>
  <c r="AH26" i="27"/>
  <c r="AF26" i="27"/>
  <c r="AD26" i="27"/>
  <c r="AB26" i="27"/>
  <c r="Z26" i="27"/>
  <c r="X26" i="27"/>
  <c r="V26" i="27"/>
  <c r="T26" i="27"/>
  <c r="R26" i="27"/>
  <c r="P26" i="27"/>
  <c r="N26" i="27"/>
  <c r="L26" i="27"/>
  <c r="J26" i="27"/>
  <c r="AL24" i="27"/>
  <c r="AJ24" i="27"/>
  <c r="AH24" i="27"/>
  <c r="AF24" i="27"/>
  <c r="AD24" i="27"/>
  <c r="AB24" i="27"/>
  <c r="Z24" i="27"/>
  <c r="X24" i="27"/>
  <c r="V24" i="27"/>
  <c r="T24" i="27"/>
  <c r="R24" i="27"/>
  <c r="P24" i="27"/>
  <c r="N24" i="27"/>
  <c r="L24" i="27"/>
  <c r="J24" i="27"/>
  <c r="AL22" i="27"/>
  <c r="AJ22" i="27"/>
  <c r="AH22" i="27"/>
  <c r="AF22" i="27"/>
  <c r="AD22" i="27"/>
  <c r="AB22" i="27"/>
  <c r="Z22" i="27"/>
  <c r="X22" i="27"/>
  <c r="V22" i="27"/>
  <c r="T22" i="27"/>
  <c r="R22" i="27"/>
  <c r="P22" i="27"/>
  <c r="N22" i="27"/>
  <c r="L22" i="27"/>
  <c r="J22" i="27"/>
  <c r="AL20" i="27"/>
  <c r="AJ20" i="27"/>
  <c r="AH20" i="27"/>
  <c r="AF20" i="27"/>
  <c r="AD20" i="27"/>
  <c r="AB20" i="27"/>
  <c r="Z20" i="27"/>
  <c r="X20" i="27"/>
  <c r="V20" i="27"/>
  <c r="T20" i="27"/>
  <c r="R20" i="27"/>
  <c r="P20" i="27"/>
  <c r="N20" i="27"/>
  <c r="L20" i="27"/>
  <c r="J20" i="27"/>
  <c r="AL18" i="27"/>
  <c r="AJ18" i="27"/>
  <c r="AH18" i="27"/>
  <c r="AF18" i="27"/>
  <c r="AD18" i="27"/>
  <c r="AB18" i="27"/>
  <c r="Z18" i="27"/>
  <c r="X18" i="27"/>
  <c r="V18" i="27"/>
  <c r="T18" i="27"/>
  <c r="R18" i="27"/>
  <c r="P18" i="27"/>
  <c r="N18" i="27"/>
  <c r="L18" i="27"/>
  <c r="J18" i="27"/>
  <c r="AL16" i="27"/>
  <c r="AJ16" i="27"/>
  <c r="AH16" i="27"/>
  <c r="AF16" i="27"/>
  <c r="AD16" i="27"/>
  <c r="AB16" i="27"/>
  <c r="Z16" i="27"/>
  <c r="X16" i="27"/>
  <c r="V16" i="27"/>
  <c r="T16" i="27"/>
  <c r="R16" i="27"/>
  <c r="P16" i="27"/>
  <c r="N16" i="27"/>
  <c r="L16" i="27"/>
  <c r="J16" i="27"/>
  <c r="AL14" i="27"/>
  <c r="AJ14" i="27"/>
  <c r="AH14" i="27"/>
  <c r="AF14" i="27"/>
  <c r="AD14" i="27"/>
  <c r="AB14" i="27"/>
  <c r="Z14" i="27"/>
  <c r="X14" i="27"/>
  <c r="V14" i="27"/>
  <c r="T14" i="27"/>
  <c r="R14" i="27"/>
  <c r="P14" i="27"/>
  <c r="N14" i="27"/>
  <c r="L14" i="27"/>
  <c r="J14" i="27"/>
  <c r="AL12" i="27"/>
  <c r="AJ12" i="27"/>
  <c r="AH12" i="27"/>
  <c r="AF12" i="27"/>
  <c r="AD12" i="27"/>
  <c r="AB12" i="27"/>
  <c r="Z12" i="27"/>
  <c r="X12" i="27"/>
  <c r="V12" i="27"/>
  <c r="T12" i="27"/>
  <c r="R12" i="27"/>
  <c r="P12" i="27"/>
  <c r="N12" i="27"/>
  <c r="L12" i="27"/>
  <c r="J12" i="27"/>
  <c r="AL10" i="27"/>
  <c r="AJ10" i="27"/>
  <c r="AH10" i="27"/>
  <c r="AF10" i="27"/>
  <c r="AD10" i="27"/>
  <c r="AB10" i="27"/>
  <c r="Z10" i="27"/>
  <c r="X10" i="27"/>
  <c r="V10" i="27"/>
  <c r="T10" i="27"/>
  <c r="R10" i="27"/>
  <c r="P10" i="27"/>
  <c r="N10" i="27"/>
  <c r="L10" i="27"/>
  <c r="J10" i="27"/>
  <c r="AL8" i="27"/>
  <c r="AJ8" i="27"/>
  <c r="AH8" i="27"/>
  <c r="AF8" i="27"/>
  <c r="AD8" i="27"/>
  <c r="AB8" i="27"/>
  <c r="Z8" i="27"/>
  <c r="X8" i="27"/>
  <c r="V8" i="27"/>
  <c r="T8" i="27"/>
  <c r="R8" i="27"/>
  <c r="P8" i="27"/>
  <c r="N8" i="27"/>
  <c r="L8" i="27"/>
  <c r="J8" i="27"/>
  <c r="AL6" i="27"/>
  <c r="AJ6" i="27"/>
  <c r="AH6" i="27"/>
  <c r="AF6" i="27"/>
  <c r="AD6" i="27"/>
  <c r="AB6" i="27"/>
  <c r="Z6" i="27"/>
  <c r="X6" i="27"/>
  <c r="V6" i="27"/>
  <c r="T6" i="27"/>
  <c r="R6" i="27"/>
  <c r="P6" i="27"/>
  <c r="N6" i="27"/>
  <c r="L6" i="27"/>
  <c r="J6" i="27"/>
  <c r="H69" i="26"/>
  <c r="W54" i="26"/>
  <c r="T54" i="26"/>
  <c r="N54" i="26"/>
  <c r="W53" i="26"/>
  <c r="T53" i="26"/>
  <c r="AE54" i="26" s="1"/>
  <c r="AD54" i="26" s="1"/>
  <c r="N53" i="26"/>
  <c r="W52" i="26"/>
  <c r="T52" i="26"/>
  <c r="N52" i="26"/>
  <c r="W51" i="26"/>
  <c r="T51" i="26"/>
  <c r="N51" i="26"/>
  <c r="W50" i="26"/>
  <c r="T50" i="26"/>
  <c r="AE51" i="26" s="1"/>
  <c r="AD51" i="26" s="1"/>
  <c r="N50" i="26"/>
  <c r="AE49" i="26"/>
  <c r="AD49" i="26" s="1"/>
  <c r="AA49" i="26"/>
  <c r="AC49" i="26" s="1"/>
  <c r="W49" i="26"/>
  <c r="T49" i="26"/>
  <c r="AE50" i="26" s="1"/>
  <c r="AD50" i="26" s="1"/>
  <c r="N49" i="26"/>
  <c r="O49" i="26" s="1"/>
  <c r="P49" i="26" s="1"/>
  <c r="K49" i="26"/>
  <c r="L49" i="26" s="1"/>
  <c r="W48" i="26"/>
  <c r="T48" i="26"/>
  <c r="N48" i="26"/>
  <c r="W47" i="26"/>
  <c r="T47" i="26"/>
  <c r="AA47" i="26" s="1"/>
  <c r="N47" i="26"/>
  <c r="AE46" i="26"/>
  <c r="AD46" i="26" s="1"/>
  <c r="W46" i="26"/>
  <c r="T46" i="26"/>
  <c r="N46" i="26"/>
  <c r="W45" i="26"/>
  <c r="T45" i="26"/>
  <c r="N45" i="26"/>
  <c r="W44" i="26"/>
  <c r="T44" i="26"/>
  <c r="AA45" i="26" s="1"/>
  <c r="N44" i="26"/>
  <c r="W43" i="26"/>
  <c r="T43" i="26"/>
  <c r="AA43" i="26" s="1"/>
  <c r="N43" i="26"/>
  <c r="O43" i="26" s="1"/>
  <c r="K43" i="26"/>
  <c r="L43" i="26" s="1"/>
  <c r="AA42" i="26"/>
  <c r="AC42" i="26" s="1"/>
  <c r="W42" i="26"/>
  <c r="T42" i="26"/>
  <c r="N42" i="26"/>
  <c r="W41" i="26"/>
  <c r="T41" i="26"/>
  <c r="N41" i="26"/>
  <c r="AE40" i="26"/>
  <c r="AD40" i="26" s="1"/>
  <c r="AC40" i="26"/>
  <c r="AB40" i="26"/>
  <c r="W40" i="26"/>
  <c r="T40" i="26"/>
  <c r="N40" i="26"/>
  <c r="W39" i="26"/>
  <c r="T39" i="26"/>
  <c r="AA40" i="26" s="1"/>
  <c r="N39" i="26"/>
  <c r="W38" i="26"/>
  <c r="T38" i="26"/>
  <c r="AE39" i="26" s="1"/>
  <c r="AD39" i="26" s="1"/>
  <c r="N38" i="26"/>
  <c r="W37" i="26"/>
  <c r="T37" i="26"/>
  <c r="AE38" i="26" s="1"/>
  <c r="AD38" i="26" s="1"/>
  <c r="N37" i="26"/>
  <c r="O37" i="26" s="1"/>
  <c r="K37" i="26"/>
  <c r="L37" i="26" s="1"/>
  <c r="W36" i="26"/>
  <c r="T36" i="26"/>
  <c r="N36" i="26"/>
  <c r="W35" i="26"/>
  <c r="T35" i="26"/>
  <c r="AA36" i="26" s="1"/>
  <c r="AC36" i="26" s="1"/>
  <c r="N35" i="26"/>
  <c r="AA34" i="26"/>
  <c r="AC34" i="26" s="1"/>
  <c r="W34" i="26"/>
  <c r="T34" i="26"/>
  <c r="N34" i="26"/>
  <c r="W33" i="26"/>
  <c r="T33" i="26"/>
  <c r="AE34" i="26" s="1"/>
  <c r="AD34" i="26" s="1"/>
  <c r="N33" i="26"/>
  <c r="W32" i="26"/>
  <c r="T32" i="26"/>
  <c r="N32" i="26"/>
  <c r="W31" i="26"/>
  <c r="T31" i="26"/>
  <c r="AA32" i="26" s="1"/>
  <c r="AC32" i="26" s="1"/>
  <c r="N31" i="26"/>
  <c r="O31" i="26" s="1"/>
  <c r="P31" i="26" s="1"/>
  <c r="K31" i="26"/>
  <c r="L31" i="26" s="1"/>
  <c r="W30" i="26"/>
  <c r="T30" i="26"/>
  <c r="N30" i="26"/>
  <c r="W29" i="26"/>
  <c r="T29" i="26"/>
  <c r="N29" i="26"/>
  <c r="W28" i="26"/>
  <c r="T28" i="26"/>
  <c r="N28" i="26"/>
  <c r="AE27" i="26"/>
  <c r="AD27" i="26" s="1"/>
  <c r="W27" i="26"/>
  <c r="T27" i="26"/>
  <c r="AA28" i="26" s="1"/>
  <c r="AC28" i="26" s="1"/>
  <c r="N27" i="26"/>
  <c r="W26" i="26"/>
  <c r="T26" i="26"/>
  <c r="N26" i="26"/>
  <c r="W25" i="26"/>
  <c r="T25" i="26"/>
  <c r="AE25" i="26" s="1"/>
  <c r="AD25" i="26" s="1"/>
  <c r="N25" i="26"/>
  <c r="O25" i="26" s="1"/>
  <c r="P25" i="26" s="1"/>
  <c r="K25" i="26"/>
  <c r="W24" i="26"/>
  <c r="T24" i="26"/>
  <c r="N24" i="26"/>
  <c r="W23" i="26"/>
  <c r="T23" i="26"/>
  <c r="AE24" i="26" s="1"/>
  <c r="AD24" i="26" s="1"/>
  <c r="N23" i="26"/>
  <c r="W22" i="26"/>
  <c r="T22" i="26"/>
  <c r="AA23" i="26" s="1"/>
  <c r="AC23" i="26" s="1"/>
  <c r="N22" i="26"/>
  <c r="W21" i="26"/>
  <c r="T21" i="26"/>
  <c r="N21" i="26"/>
  <c r="W20" i="26"/>
  <c r="T20" i="26"/>
  <c r="N20" i="26"/>
  <c r="W19" i="26"/>
  <c r="T19" i="26"/>
  <c r="AA19" i="26" s="1"/>
  <c r="AC19" i="26" s="1"/>
  <c r="N19" i="26"/>
  <c r="O19" i="26" s="1"/>
  <c r="P19" i="26" s="1"/>
  <c r="K19" i="26"/>
  <c r="W18" i="26"/>
  <c r="T18" i="26"/>
  <c r="W17" i="26"/>
  <c r="T17" i="26"/>
  <c r="W16" i="26"/>
  <c r="T16" i="26"/>
  <c r="N16" i="26"/>
  <c r="W15" i="26"/>
  <c r="T15" i="26"/>
  <c r="N15" i="26"/>
  <c r="O15" i="26" s="1"/>
  <c r="P15" i="26" s="1"/>
  <c r="K15" i="26"/>
  <c r="W14" i="26"/>
  <c r="T14" i="26"/>
  <c r="N14" i="26"/>
  <c r="W13" i="26"/>
  <c r="N13" i="26"/>
  <c r="W12" i="26"/>
  <c r="T12" i="26"/>
  <c r="N12" i="26"/>
  <c r="W11" i="26"/>
  <c r="T11" i="26"/>
  <c r="N11" i="26"/>
  <c r="W10" i="26"/>
  <c r="T10" i="26"/>
  <c r="N10" i="26"/>
  <c r="O10" i="26" s="1"/>
  <c r="K10" i="26"/>
  <c r="L10" i="26" s="1"/>
  <c r="D50" i="23"/>
  <c r="D49" i="23"/>
  <c r="D48" i="23"/>
  <c r="D47" i="23"/>
  <c r="D46" i="23"/>
  <c r="D45" i="23"/>
  <c r="D44" i="23"/>
  <c r="D43" i="23"/>
  <c r="D42" i="23"/>
  <c r="D41" i="23"/>
  <c r="D40" i="23"/>
  <c r="G21" i="23"/>
  <c r="G25" i="23"/>
  <c r="G24" i="23"/>
  <c r="G23" i="23"/>
  <c r="G22" i="23"/>
  <c r="G20" i="23"/>
  <c r="G19" i="23"/>
  <c r="G18" i="23"/>
  <c r="G17" i="23"/>
  <c r="G16" i="23"/>
  <c r="G15" i="23"/>
  <c r="G14" i="23"/>
  <c r="G13" i="23"/>
  <c r="G12" i="23"/>
  <c r="G11" i="23"/>
  <c r="A6" i="23"/>
  <c r="C1" i="23"/>
  <c r="S47" i="22"/>
  <c r="B43" i="22"/>
  <c r="B42" i="22"/>
  <c r="B41" i="22"/>
  <c r="B40" i="22"/>
  <c r="B39" i="22"/>
  <c r="R12" i="22"/>
  <c r="S12" i="22"/>
  <c r="R13" i="22"/>
  <c r="S13" i="22"/>
  <c r="R14" i="22"/>
  <c r="S14" i="22"/>
  <c r="R15" i="22"/>
  <c r="S15" i="22"/>
  <c r="R16" i="22"/>
  <c r="S16" i="22"/>
  <c r="R17" i="22"/>
  <c r="S17" i="22"/>
  <c r="R18" i="22"/>
  <c r="S18" i="22"/>
  <c r="R19" i="22"/>
  <c r="S19" i="22"/>
  <c r="R20" i="22"/>
  <c r="S20" i="22"/>
  <c r="R21" i="22"/>
  <c r="S21" i="22"/>
  <c r="R22" i="22"/>
  <c r="S22" i="22"/>
  <c r="R23" i="22"/>
  <c r="S23" i="22"/>
  <c r="R24" i="22"/>
  <c r="S24" i="22"/>
  <c r="R25" i="22"/>
  <c r="S25" i="22"/>
  <c r="R26" i="22"/>
  <c r="S26" i="22"/>
  <c r="R27" i="22"/>
  <c r="S27" i="22"/>
  <c r="R28" i="22"/>
  <c r="S28" i="22"/>
  <c r="R29" i="22"/>
  <c r="S29" i="22"/>
  <c r="R30" i="22"/>
  <c r="S30" i="22"/>
  <c r="R31" i="22"/>
  <c r="S31" i="22"/>
  <c r="R32" i="22"/>
  <c r="S32" i="22"/>
  <c r="R33" i="22"/>
  <c r="S33" i="22"/>
  <c r="R34" i="22"/>
  <c r="S34" i="22"/>
  <c r="R35" i="22"/>
  <c r="S35" i="22"/>
  <c r="R36" i="22"/>
  <c r="S36" i="22"/>
  <c r="R37" i="22"/>
  <c r="S37" i="22"/>
  <c r="R38" i="22"/>
  <c r="S38" i="22"/>
  <c r="R39" i="22"/>
  <c r="S39" i="22"/>
  <c r="R40" i="22"/>
  <c r="S40" i="22"/>
  <c r="R41" i="22"/>
  <c r="S41" i="22"/>
  <c r="R42" i="22"/>
  <c r="S42" i="22"/>
  <c r="R43" i="22"/>
  <c r="S43" i="22"/>
  <c r="R44" i="22"/>
  <c r="S44" i="22"/>
  <c r="R45" i="22"/>
  <c r="S45" i="22"/>
  <c r="S11" i="22"/>
  <c r="R11"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A7" i="22"/>
  <c r="A6" i="22"/>
  <c r="C1" i="22"/>
  <c r="AE19" i="26" l="1"/>
  <c r="AD19" i="26" s="1"/>
  <c r="AE21" i="26"/>
  <c r="AD21" i="26" s="1"/>
  <c r="AB19" i="26"/>
  <c r="AB23" i="26"/>
  <c r="AA27" i="26"/>
  <c r="AE35" i="26"/>
  <c r="AD35" i="26" s="1"/>
  <c r="AE42" i="26"/>
  <c r="AD42" i="26" s="1"/>
  <c r="Q25" i="26"/>
  <c r="AA20" i="26"/>
  <c r="AE29" i="26"/>
  <c r="AD29" i="26" s="1"/>
  <c r="AA24" i="26"/>
  <c r="AC24" i="26" s="1"/>
  <c r="Q19" i="26"/>
  <c r="AE28" i="26"/>
  <c r="AD28" i="26" s="1"/>
  <c r="AA50" i="26"/>
  <c r="P37" i="26"/>
  <c r="Q37" i="26"/>
  <c r="Q43" i="26"/>
  <c r="P43" i="26"/>
  <c r="AC47" i="26"/>
  <c r="AB47" i="26"/>
  <c r="AC45" i="26"/>
  <c r="AB45" i="26"/>
  <c r="Q10" i="26"/>
  <c r="P10" i="26"/>
  <c r="AE10" i="26" s="1"/>
  <c r="Q15" i="26"/>
  <c r="AA52" i="26"/>
  <c r="AE53" i="26"/>
  <c r="AD53" i="26" s="1"/>
  <c r="AB32" i="26"/>
  <c r="AB42" i="26"/>
  <c r="AF42" i="26" s="1"/>
  <c r="AE45" i="26"/>
  <c r="AD45" i="26" s="1"/>
  <c r="Q49" i="26"/>
  <c r="AA48" i="26"/>
  <c r="AE48" i="26"/>
  <c r="AD48" i="26" s="1"/>
  <c r="AE15" i="26"/>
  <c r="AD15" i="26" s="1"/>
  <c r="L25" i="26"/>
  <c r="AA37" i="26"/>
  <c r="Q31" i="26"/>
  <c r="AB34" i="26"/>
  <c r="AF34" i="26" s="1"/>
  <c r="AE37" i="26"/>
  <c r="AD37" i="26" s="1"/>
  <c r="AA39" i="26"/>
  <c r="AA26" i="26"/>
  <c r="AE32" i="26"/>
  <c r="AD32" i="26" s="1"/>
  <c r="AA31" i="26"/>
  <c r="AE47" i="26"/>
  <c r="AD47" i="26" s="1"/>
  <c r="AE52" i="26"/>
  <c r="AD52" i="26" s="1"/>
  <c r="AE30" i="26"/>
  <c r="AD30" i="26" s="1"/>
  <c r="AA29" i="26"/>
  <c r="AF40" i="26"/>
  <c r="AA15" i="26"/>
  <c r="L19" i="26"/>
  <c r="AC20" i="26"/>
  <c r="AB20" i="26"/>
  <c r="AE20" i="26"/>
  <c r="AD20" i="26" s="1"/>
  <c r="AA22" i="26"/>
  <c r="AE23" i="26"/>
  <c r="AD23" i="26" s="1"/>
  <c r="AF23" i="26" s="1"/>
  <c r="AB36" i="26"/>
  <c r="AB49" i="26"/>
  <c r="AF49" i="26" s="1"/>
  <c r="AA53" i="26"/>
  <c r="L15" i="26"/>
  <c r="AB28" i="26"/>
  <c r="AF28" i="26" s="1"/>
  <c r="AA33" i="26"/>
  <c r="AA41" i="26"/>
  <c r="AA51" i="26"/>
  <c r="AE26" i="26"/>
  <c r="AD26" i="26" s="1"/>
  <c r="AA25" i="26"/>
  <c r="AE31" i="26"/>
  <c r="AD31" i="26" s="1"/>
  <c r="AE41" i="26"/>
  <c r="AD41" i="26" s="1"/>
  <c r="AA10" i="26"/>
  <c r="AA30" i="26"/>
  <c r="AE36" i="26"/>
  <c r="AD36" i="26" s="1"/>
  <c r="AA35" i="26"/>
  <c r="AA38" i="26"/>
  <c r="AE16" i="26"/>
  <c r="AD16" i="26" s="1"/>
  <c r="AC43" i="26"/>
  <c r="AB43" i="26"/>
  <c r="AE33" i="26"/>
  <c r="AD33" i="26" s="1"/>
  <c r="AA44" i="26"/>
  <c r="AE43" i="26"/>
  <c r="AD43" i="26" s="1"/>
  <c r="AE44" i="26"/>
  <c r="AD44" i="26" s="1"/>
  <c r="AE22" i="26"/>
  <c r="AD22" i="26" s="1"/>
  <c r="AA21" i="26"/>
  <c r="AA46" i="26"/>
  <c r="AA54" i="26"/>
  <c r="AF32" i="26" l="1"/>
  <c r="AF43" i="26"/>
  <c r="AB27" i="26"/>
  <c r="AF27" i="26" s="1"/>
  <c r="AC27" i="26"/>
  <c r="AB24" i="26"/>
  <c r="AF24" i="26" s="1"/>
  <c r="AB50" i="26"/>
  <c r="AF50" i="26" s="1"/>
  <c r="AC50" i="26"/>
  <c r="AF19" i="26"/>
  <c r="AD10" i="26"/>
  <c r="AE11" i="26"/>
  <c r="AB33" i="26"/>
  <c r="AF33" i="26" s="1"/>
  <c r="AC33" i="26"/>
  <c r="AC35" i="26"/>
  <c r="AB35" i="26"/>
  <c r="AF35" i="26" s="1"/>
  <c r="AB21" i="26"/>
  <c r="AF21" i="26" s="1"/>
  <c r="AC21" i="26"/>
  <c r="AF45" i="26"/>
  <c r="AC54" i="26"/>
  <c r="AB54" i="26"/>
  <c r="AF54" i="26" s="1"/>
  <c r="AC26" i="26"/>
  <c r="AB26" i="26"/>
  <c r="AF26" i="26" s="1"/>
  <c r="AC39" i="26"/>
  <c r="AB39" i="26"/>
  <c r="AF39" i="26" s="1"/>
  <c r="AC10" i="26"/>
  <c r="AA11" i="26" s="1"/>
  <c r="AB10" i="26"/>
  <c r="AF47" i="26"/>
  <c r="AC38" i="26"/>
  <c r="AB38" i="26"/>
  <c r="AF38" i="26" s="1"/>
  <c r="AC37" i="26"/>
  <c r="AB37" i="26"/>
  <c r="AF37" i="26" s="1"/>
  <c r="AB29" i="26"/>
  <c r="AF29" i="26" s="1"/>
  <c r="AC29" i="26"/>
  <c r="AC44" i="26"/>
  <c r="AB44" i="26"/>
  <c r="AF44" i="26" s="1"/>
  <c r="AC53" i="26"/>
  <c r="AB53" i="26"/>
  <c r="AF53" i="26" s="1"/>
  <c r="AE17" i="26"/>
  <c r="AF20" i="26"/>
  <c r="AC15" i="26"/>
  <c r="AA16" i="26" s="1"/>
  <c r="AB15" i="26"/>
  <c r="AF15" i="26" s="1"/>
  <c r="AC30" i="26"/>
  <c r="AB30" i="26"/>
  <c r="AF30" i="26" s="1"/>
  <c r="AC51" i="26"/>
  <c r="AB51" i="26"/>
  <c r="AF51" i="26" s="1"/>
  <c r="AC31" i="26"/>
  <c r="AB31" i="26"/>
  <c r="AF31" i="26" s="1"/>
  <c r="AC48" i="26"/>
  <c r="AB48" i="26"/>
  <c r="AF48" i="26" s="1"/>
  <c r="AB46" i="26"/>
  <c r="AF46" i="26" s="1"/>
  <c r="AC46" i="26"/>
  <c r="AC52" i="26"/>
  <c r="AB52" i="26"/>
  <c r="AF52" i="26" s="1"/>
  <c r="AB25" i="26"/>
  <c r="AF25" i="26" s="1"/>
  <c r="AC25" i="26"/>
  <c r="AF36" i="26"/>
  <c r="AC41" i="26"/>
  <c r="AB41" i="26"/>
  <c r="AF41" i="26" s="1"/>
  <c r="AC22" i="26"/>
  <c r="AB22" i="26"/>
  <c r="AF22" i="26" s="1"/>
  <c r="AF10" i="26" l="1"/>
  <c r="AC16" i="26"/>
  <c r="AA17" i="26" s="1"/>
  <c r="AB16" i="26"/>
  <c r="AF16" i="26" s="1"/>
  <c r="AD17" i="26"/>
  <c r="AE18" i="26"/>
  <c r="AD18" i="26" s="1"/>
  <c r="AC11" i="26"/>
  <c r="AA12" i="26" s="1"/>
  <c r="AB11" i="26"/>
  <c r="AD11" i="26"/>
  <c r="AE12" i="26"/>
  <c r="AE13" i="26" l="1"/>
  <c r="AD12" i="26"/>
  <c r="AC12" i="26"/>
  <c r="AA13" i="26" s="1"/>
  <c r="AB12" i="26"/>
  <c r="AF12" i="26" s="1"/>
  <c r="AF11" i="26"/>
  <c r="AC17" i="26"/>
  <c r="AA18" i="26" s="1"/>
  <c r="AB17" i="26"/>
  <c r="AF17" i="26" s="1"/>
  <c r="AC18" i="26" l="1"/>
  <c r="AB18" i="26"/>
  <c r="AF18" i="26" s="1"/>
  <c r="AC13" i="26"/>
  <c r="AA14" i="26" s="1"/>
  <c r="AB13" i="26"/>
  <c r="AD13" i="26"/>
  <c r="AE14" i="26"/>
  <c r="AD14" i="26" s="1"/>
  <c r="AF13" i="26" l="1"/>
  <c r="AC14" i="26"/>
  <c r="AB14" i="26"/>
  <c r="AF14" i="26" s="1"/>
  <c r="S46" i="22" l="1"/>
  <c r="F217" i="13" l="1"/>
  <c r="F221" i="13" l="1"/>
  <c r="F211" i="13"/>
  <c r="F212" i="13"/>
  <c r="F213" i="13"/>
  <c r="F214" i="13"/>
  <c r="F215" i="13"/>
  <c r="F216" i="13"/>
  <c r="F218" i="13"/>
  <c r="F219" i="13"/>
  <c r="F220" i="13"/>
  <c r="F210" i="13"/>
  <c r="B221" i="13" a="1"/>
  <c r="B221" i="13" l="1"/>
  <c r="H21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EDUARDO HERNANDEZ</author>
  </authors>
  <commentList>
    <comment ref="S10" authorId="0" shapeId="0" xr:uid="{3D4357B1-24AA-4FBD-943E-1AFA07DFEF43}">
      <text>
        <r>
          <rPr>
            <b/>
            <sz val="9"/>
            <color indexed="81"/>
            <rFont val="Tahoma"/>
            <family val="2"/>
          </rPr>
          <t>ACER:</t>
        </r>
        <r>
          <rPr>
            <sz val="9"/>
            <color indexed="81"/>
            <rFont val="Tahoma"/>
            <family val="2"/>
          </rPr>
          <t xml:space="preserve">
Documentar
FORMULAR QUE PASA CON LA DESVIACION Y CUAL PUEDE SER LA EVIDENCIA, en donde tenbemos establecido ques e debe hacer el seguimiento - EN QUE DOCUMENTO DEL PROCESO
</t>
        </r>
      </text>
    </comment>
    <comment ref="S11" authorId="1" shapeId="0" xr:uid="{670410A9-F4B0-497A-9AEF-99901951F64B}">
      <text>
        <r>
          <rPr>
            <b/>
            <sz val="9"/>
            <color indexed="81"/>
            <rFont val="Tahoma"/>
            <family val="2"/>
          </rPr>
          <t>EDUARDO HERNANDEZ:</t>
        </r>
        <r>
          <rPr>
            <sz val="9"/>
            <color indexed="81"/>
            <rFont val="Tahoma"/>
            <family val="2"/>
          </rPr>
          <t xml:space="preserve">
FALTA REGISTRO</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<sst xmlns="http://schemas.openxmlformats.org/spreadsheetml/2006/main" count="627" uniqueCount="425">
  <si>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</si>
  <si>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</si>
  <si>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</si>
  <si>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</si>
  <si>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</si>
  <si>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</si>
  <si>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</si>
  <si>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</si>
  <si>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</si>
  <si>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</si>
  <si>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</si>
  <si>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</si>
  <si>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</si>
  <si>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</si>
  <si>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</si>
  <si>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</si>
  <si>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</si>
  <si>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</si>
  <si>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</si>
  <si>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</si>
  <si>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</si>
  <si>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</si>
  <si>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</si>
  <si>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</si>
  <si>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</si>
  <si>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</si>
  <si>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</si>
  <si>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</si>
  <si>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</si>
  <si>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</si>
  <si>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</si>
  <si>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</si>
  <si>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</si>
  <si>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</si>
  <si>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</si>
  <si>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</si>
  <si>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</si>
  <si>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</si>
  <si>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</si>
  <si>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</si>
  <si>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</si>
  <si>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</si>
  <si>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</si>
  <si>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</si>
  <si>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</si>
  <si>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</si>
  <si>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</si>
  <si>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</si>
  <si>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</si>
  <si>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</si>
  <si>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</si>
  <si>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</si>
  <si>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</si>
  <si>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</si>
  <si>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</si>
  <si>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</si>
  <si>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</si>
  <si>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</si>
  <si>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</si>
  <si>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</si>
  <si>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</si>
  <si>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</si>
  <si>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</si>
  <si>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</si>
  <si>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</si>
  <si>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</si>
  <si>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</si>
  <si>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</si>
  <si>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</si>
  <si>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</si>
  <si>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</si>
  <si>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</si>
  <si>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</si>
  <si>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</si>
  <si>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</si>
  <si>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</si>
  <si>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</si>
  <si>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</si>
  <si>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</si>
  <si>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</si>
  <si>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</si>
  <si>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</si>
  <si>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</si>
  <si>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</si>
  <si>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</si>
  <si>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</si>
  <si>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</si>
  <si>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</si>
  <si>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</si>
  <si>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</si>
  <si>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</si>
  <si>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</si>
  <si>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</si>
  <si>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</si>
  <si>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</si>
  <si>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</si>
  <si>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</si>
  <si>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</si>
  <si>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</si>
  <si>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</si>
  <si>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</si>
  <si>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</si>
  <si>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</si>
  <si>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</si>
  <si>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</si>
  <si>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</si>
  <si>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</si>
  <si>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</si>
  <si>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</si>
  <si>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</si>
  <si>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</si>
  <si>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</si>
  <si>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</si>
  <si>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</si>
  <si>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</si>
  <si>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</si>
  <si>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</si>
  <si>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</si>
  <si>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</si>
  <si>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</si>
  <si>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</si>
  <si>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</si>
  <si>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</si>
  <si>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</si>
  <si>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</si>
  <si>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</si>
  <si>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</si>
  <si>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</si>
  <si>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</si>
  <si>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</si>
  <si>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</si>
  <si>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</si>
  <si>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</si>
  <si>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</si>
  <si>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</si>
  <si>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</si>
  <si>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</si>
  <si>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</si>
  <si>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</si>
  <si>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</si>
  <si>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</si>
  <si>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</si>
  <si>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</si>
  <si>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</si>
  <si>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</si>
  <si>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</si>
  <si>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</si>
  <si>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</si>
  <si>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</si>
  <si>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</si>
  <si>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</si>
  <si>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</si>
  <si>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</si>
  <si>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</si>
  <si>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</si>
  <si>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</si>
  <si>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</si>
  <si>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</si>
  <si>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</si>
  <si>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</si>
  <si>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</si>
  <si>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</si>
  <si>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</si>
  <si>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</si>
  <si>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</si>
  <si>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</si>
  <si>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</si>
  <si>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</si>
  <si>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</si>
  <si>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</si>
  <si>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</si>
  <si>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</si>
  <si>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</si>
  <si>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</si>
  <si>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</si>
  <si>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</si>
  <si>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</si>
  <si>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</si>
  <si>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</si>
  <si>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</si>
  <si>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</si>
  <si>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</si>
  <si>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</si>
  <si>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</si>
  <si>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</si>
  <si>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</si>
  <si>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</si>
  <si>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</si>
  <si>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</si>
  <si>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</si>
  <si>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</si>
  <si>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</si>
  <si>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</si>
  <si>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</si>
  <si>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</si>
  <si>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</si>
  <si>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</si>
  <si>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</si>
  <si>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</si>
  <si>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</si>
  <si>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</si>
  <si>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</si>
  <si>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</si>
  <si>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</si>
  <si>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</si>
  <si>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</si>
  <si>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</si>
  <si>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</si>
  <si>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</si>
  <si>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</si>
  <si>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</si>
  <si>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</si>
  <si>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</si>
  <si>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</si>
  <si>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</si>
  <si>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</si>
  <si>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</si>
  <si>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</si>
  <si>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</si>
  <si>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</si>
  <si>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</si>
  <si>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</si>
  <si>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</si>
  <si>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</si>
  <si>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</si>
  <si>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</si>
  <si>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</si>
  <si>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</si>
  <si>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</si>
  <si>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</si>
  <si>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</si>
  <si>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</si>
  <si>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</si>
  <si>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</si>
  <si>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</si>
  <si>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</si>
  <si>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</si>
  <si>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</si>
  <si>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</si>
  <si>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</si>
  <si>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</si>
  <si>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</si>
  <si>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</si>
  <si>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</si>
  <si>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</si>
  <si>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</si>
  <si>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</si>
  <si>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</si>
  <si>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</si>
  <si>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</si>
  <si>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</si>
  <si>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</si>
  <si>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</si>
  <si>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</si>
  <si>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</si>
  <si>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</si>
  <si>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Codigo:FOR-029-PRO-SIG-01</t>
  </si>
  <si>
    <t>Versión: 01</t>
  </si>
  <si>
    <t>Fecha: 21/02/2024</t>
  </si>
  <si>
    <t>Pagina:  1 de 1</t>
  </si>
  <si>
    <t>Fecha:21/02/2024</t>
  </si>
  <si>
    <t>PROCESO:  SISTEMA INTEGRADO DE GESTIÓN Y MIPG</t>
  </si>
  <si>
    <t>LEGALES Y REGLAMENTARIOS</t>
  </si>
  <si>
    <t>POLITICOS</t>
  </si>
  <si>
    <t>ECONOMICOS Y FINANCIEROS</t>
  </si>
  <si>
    <t>TECNOLOGICOS</t>
  </si>
  <si>
    <t>FINANCIEROS</t>
  </si>
  <si>
    <t>PROCESOS OPERATIVOS</t>
  </si>
  <si>
    <t>TECNOLOGÍA (Integridad de datos, disponibilidad de datos y sistemas, desarrollo, producción, mantenimiento de sistemas de información)</t>
  </si>
  <si>
    <t>COMUNICACIÓN INTERNA</t>
  </si>
  <si>
    <t>ESTRATÉGICOS</t>
  </si>
  <si>
    <t>FACTORES GEOGRÁFICOS (Ubicación, espacio, topografía, clima, recursos naturales, etc)</t>
  </si>
  <si>
    <t>DISEÑO DEL PROCESO</t>
  </si>
  <si>
    <t>INTERACCION CON LOS PROCESOS</t>
  </si>
  <si>
    <t>TRANSVERSALIDAD</t>
  </si>
  <si>
    <t>RESPONSABLE DEL PROCESO</t>
  </si>
  <si>
    <t>COMUNICACIÓN ENTRE LOS PROCESOS</t>
  </si>
  <si>
    <t>NORMATIVIDAD</t>
  </si>
  <si>
    <t>ARTICULACIÓN D ELOS PROCESOS</t>
  </si>
  <si>
    <t>PROCEDIMIENTOS DEL PROCESO</t>
  </si>
  <si>
    <t>ACTIVOS DE SEGURIDAD DIGITAL DEL PROCESO</t>
  </si>
  <si>
    <t xml:space="preserve">Constantes cambios normativos externos </t>
  </si>
  <si>
    <t xml:space="preserve">Cambios de Gobierno </t>
  </si>
  <si>
    <t>Politicas publicas</t>
  </si>
  <si>
    <t>Ausencia de disponibilidad de capital</t>
  </si>
  <si>
    <t xml:space="preserve">Afectacion del Orden Publico </t>
  </si>
  <si>
    <t>Constante evolucion  tecnologica</t>
  </si>
  <si>
    <t>Dificultad en el acceso a sistemas de informacion externos</t>
  </si>
  <si>
    <t>Dificultad en la implementacion de la politica de Gobierno Digital</t>
  </si>
  <si>
    <t xml:space="preserve">Interrupcion de los servicios publicos </t>
  </si>
  <si>
    <t>Malas practicas de la ciudadania que afectan el desarrollo sostenible</t>
  </si>
  <si>
    <t>Epidemias o pandemias</t>
  </si>
  <si>
    <t>Declaratoria de emergencias</t>
  </si>
  <si>
    <t>Falta de comuniacion acertiva con el ciudadano.</t>
  </si>
  <si>
    <t>Desastres o catastrofes naturales</t>
  </si>
  <si>
    <t xml:space="preserve">OBJETIVO:  DESARROLLAR ACCIONES PARA LA IMPLEMENTACIÓN, SOSTENIBILIDAD Y MEJORA CONTINUA DEL SISTEMA INTEGRADO DE GESTIÓN DE LA ADMINISTRACIÓN MUNICIPAL DE IBAGUÉ “SIGAMI”, COMO HERRAMIENTA PARA LA TOMA DE DECISIONES Y EL CUMPLIMIENTO DE LA MISIÓN Y OBJETIVOS INSTITUCIONALES.
</t>
  </si>
  <si>
    <t xml:space="preserve">Personal insuficiente para apoyar la totalidad de procesos </t>
  </si>
  <si>
    <t xml:space="preserve">Carencia de las competencias e idoneidad de algunas personas de planta y contratista para desarrollar la actividad </t>
  </si>
  <si>
    <t xml:space="preserve"> Ausencia de seguimiento a la publicación de las versiones de los documentos y formatos validados y aprobados por la Dirección de Fortalecimiento institucional y el comité de gestión y desempeño</t>
  </si>
  <si>
    <t>Ausencia de sentido de pertenencia y cultura ciudadana por parte de algunos servidores publicos</t>
  </si>
  <si>
    <t xml:space="preserve">Limitación presupuestal para el desarrollo del proceso </t>
  </si>
  <si>
    <t>Infraestructura inadecuada e insuficiente, falta de materiales, equipos y herramientas adecuadas para el desarrollo de los procesos</t>
  </si>
  <si>
    <t>Ejecucion de las actividades sin tener en cuenta la caracterizacion del proceso.</t>
  </si>
  <si>
    <t xml:space="preserve">Insuficiencia de equipos tecnologicos y obsolecencia de los mismos </t>
  </si>
  <si>
    <t>Sistemas de informacion no integrados</t>
  </si>
  <si>
    <t>Falta de apropiación o desconocimiento por parte de los funcionario de sistemas de información, plataformas y apliaciónes propias de la Administración</t>
  </si>
  <si>
    <t>Dificultad para trabajar en equipo</t>
  </si>
  <si>
    <t>Dificultad en la comunicación entre los diferentes funcionarios y dependencias de la Administración</t>
  </si>
  <si>
    <t>Falta de apropiación por parte de los funcionarios de las diferentes políticas laborales y ambientales</t>
  </si>
  <si>
    <t>Falta de empoderamiento, compromiso y liderazgo por parte de la alta dirección o líderes de procesos ocasionando el no cumplimiento de las metas y afectación en el clima laboral</t>
  </si>
  <si>
    <t>PERSONAL DE LA ENTIDAD (Capacidad del personal, politicas de manejo del talento humano, idoneidad)</t>
  </si>
  <si>
    <t>Falta de claridad de los procedimientos con relacion a las actividades de la caracterización</t>
  </si>
  <si>
    <t xml:space="preserve">Dificultad de articulacion de los procesos internos para la toma de decisiones </t>
  </si>
  <si>
    <t>Falta de comunicación y control  para reportar las entradas y salidas de los diferentes procesos</t>
  </si>
  <si>
    <t>Reportes de información no enviados a tiempo por los diferentes procesos</t>
  </si>
  <si>
    <t>Incumplimiento de roles y objetivos de los procesos</t>
  </si>
  <si>
    <t>Pagina:  1 de 2</t>
  </si>
  <si>
    <t>Pagina:  1 de 3</t>
  </si>
  <si>
    <t>NO</t>
  </si>
  <si>
    <t>1) Empoderamiento del alcalde frente al proceso</t>
  </si>
  <si>
    <t>2) Los procesos tienen sus Procedimientos y Riesgos identificados y documentados</t>
  </si>
  <si>
    <t xml:space="preserve">3) Se cuenta con un espacio dentro de la pagina de la entidad para publicacion y divulgacion de la informacion propia del proceso </t>
  </si>
  <si>
    <t xml:space="preserve">4) Existe equipo multidisciplinario y cualificado para el correcto desarrollo de los diferentes sistemas </t>
  </si>
  <si>
    <t>5) Capacitación del talento humano en diferentes áreas</t>
  </si>
  <si>
    <t xml:space="preserve">6) Conocimiento de la entidad y documentacion de los procesos </t>
  </si>
  <si>
    <t>7) Afianciamiento de actividades de socializacion y divulgacion del sistema para el personal de planta y contratista</t>
  </si>
  <si>
    <t xml:space="preserve">8) El sistema integrado de gestion se encuentra certificado </t>
  </si>
  <si>
    <t>9) Se encuentra establecida la institucionalidad del sistema integrado de gestion y MIPG</t>
  </si>
  <si>
    <t xml:space="preserve">10) Facilidad de adaptabilidad a cambios por parte de la institución y del personal </t>
  </si>
  <si>
    <t>Convenio con entidades que puedan aportar al fortalecimiento del SIGAMI</t>
  </si>
  <si>
    <t xml:space="preserve">Adquisicion o desarrollo de una herramienta tecnológica que permita integrar los demas subsistemas </t>
  </si>
  <si>
    <t>Soporte tecnico con entidades de orden nacional para el fortalecimiento del SIGAMI</t>
  </si>
  <si>
    <t xml:space="preserve"> Asesoria de administradoras de riesgos laborales para el fortalecimiento del sistema de seguridad y salud en el trabajo </t>
  </si>
  <si>
    <t xml:space="preserve">Apoyo y reconocimiento nacional e internacional debido a los resultados obtenidos en el fortalecimiento de la entidad </t>
  </si>
  <si>
    <t xml:space="preserve">Fortalecimiento de la imagen institucional a nivel local, regional y nacional a partir de la sostenibilidad de la certificacion en el sistema integrado de gestion de la administracion </t>
  </si>
  <si>
    <t xml:space="preserve">Replica de experiencias exitosas en otras entidades publicas </t>
  </si>
  <si>
    <t xml:space="preserve">Mayor competitividad a nivel nacional </t>
  </si>
  <si>
    <t>D7 O1 Gestionar la asignacion de recursos para modernizacion tecnologica.</t>
  </si>
  <si>
    <t>D3 O2 Generar alianzas estrategicas, con entidades y/o organizaciones que permitan optimizar los recursos internos para el funcionamiento del SIGAMI</t>
  </si>
  <si>
    <t>D4,10 O3 Realizar capacitaciones  para el fortalecimiento del SIGAMI</t>
  </si>
  <si>
    <t>D12 O7 Acercamiento para compartir las experiencias exitosas de otras entidades publicas relacionadas con el tema</t>
  </si>
  <si>
    <t>D6O6 Presentar un proyecto donde se evidencie la necesidad de centralizacion de sedes administrativas de la alcaldia municipal en busca de mejorar la integracion de los proceso en cumplimiento a la mision institucional. (satisfaccion del cliente)</t>
  </si>
  <si>
    <t>D5 O5 Gestionar recursos para el fortalecimiento del sistema integrado de gestion.</t>
  </si>
  <si>
    <t>D3,12 O2,7 Elaborar un plan que contenga responsabilidad de personal de contrato en la implementación de los diferentes sistemas como apoyo al personal de planta.</t>
  </si>
  <si>
    <t xml:space="preserve">F1 O2 Generar convenios con entidades externas para el fortalecimiento del sistema integrado de gestion. </t>
  </si>
  <si>
    <t>F2 O4 Con el apoyo de la ARL se identifican los riesgos del sistema de gestion de la seguridad y salud en el trabajo, lo cual previene la materializacion de los riesgos minimizando los factores de riesgos.</t>
  </si>
  <si>
    <t xml:space="preserve">F6 O7 Mediante el conocimiento de los procesos y la documentacion de los mismos, permite el acercamiento a otras entidades para compartir experiencias exitosas. </t>
  </si>
  <si>
    <t>F5 O3 Establecer relaciones con entidades del orden nacional que permitan la profesionalizacion del talento humano.</t>
  </si>
  <si>
    <t>D5 A2,3 Fortalecer los rubros para el buen funcionamiento del sistema integrado de gestion</t>
  </si>
  <si>
    <t xml:space="preserve">D12A2 Publicacion inmediata de la infromacion requerida y en el caso de ser necesarion emitir comunicación al ente solicitante de la informacion. </t>
  </si>
  <si>
    <t>D1D5D6 A1,2 Realizar un cronograma de trabajo reprogramando las actividades no ejecutadas en los planes de trabajo , a fin de dar cumplimiento del  mismo.</t>
  </si>
  <si>
    <t>D6,7 A4,5 Solicitar a la Dirección de Informatica la necesidad de equipos tecnologicos para la realización de funciones del personal adscrito a la Dirección de Talento Humano</t>
  </si>
  <si>
    <t>D1,3,14 A1,2 Realizar un plan de choque para la revisión inmediata de los documentos del Sistema Integrado de Gestión</t>
  </si>
  <si>
    <t>F3 A5 Teniendo en cuenta que en la administracion municipal fue creada la secretaria de las TICS, donde existe personal idoneo para el manejo de los sistemas tecnologicos. Se solicitará a esta secretaria el soporte tecnico para el acceso a la informacion externa pertinente.</t>
  </si>
  <si>
    <t>F9 A3 Gestionar alianzas con entidades externas para sostenibildad del Sistema.</t>
  </si>
  <si>
    <t>Solicitar capacitación en modificaciones normativas y realizar jornadas internas de actualización</t>
  </si>
  <si>
    <t>F10 A1Actualización del normograma (Proceso, procedimiento)</t>
  </si>
  <si>
    <t>F10 A1 Seguimiento a la implementación de los normogramas institucionales a través de la columna denominada evidencia de cumplimiento</t>
  </si>
  <si>
    <t>D1,3,14 A1,2 Realizar el reporte y la solicitud de actualización a traves del correo SIGAMI para la actualizacion de los documentos en el listado maestro</t>
  </si>
  <si>
    <t>DESARROLLAR ACCIONES PARA LA IMPLEMENTACIÓN, SOSTENIBILIDAD Y MEJORA CONTINUA DEL SISTEMA INTEGRADO DE GESTIÓN DE LA ADMINISTRACIÓN MUNICIPAL DE IBAGUÉ “SIGAMI”, COMO HERRAMIENTA PARA LA TOMA DE DECISIONES Y EL CUMPLIMIENTO DE LA MISIÓN Y OBJETIVOS INSTITUCIONALES.</t>
  </si>
  <si>
    <t>SISTEMA INTEGRADO DE GESTIÓN Y MIPG</t>
  </si>
  <si>
    <t>INICIA DESDE LA PLANEACION DEL PROCESO, EL AFIANZAMIENTO DE LA CULTURA Y COMPROMISO ORGANIZACIONAL CON EL SIGAMI, HASTA LA CONSOLIDACIÓN DE LOS RESULTADOS DE LA MEDICIÓN Y SEGUIMIENTO DEL SISTEMA.</t>
  </si>
  <si>
    <t xml:space="preserve">cancelación o retiro de las certificaciones obtenidas </t>
  </si>
  <si>
    <t>Incumplimiento de los requisitos de las normas HSEQ</t>
  </si>
  <si>
    <t>Incumplimiento de los indicadores de Gestión</t>
  </si>
  <si>
    <t>Inadecuada Gestión del Conocimiento</t>
  </si>
  <si>
    <t>Incumplimiento de la estructura documental del instrutivo de Elaboración de Documentos del SIGAMI</t>
  </si>
  <si>
    <t>Auditorías  NO PLANEADAS DENTRO DEL PAA. (internas fuera de los parametros estabelcidos)</t>
  </si>
  <si>
    <t xml:space="preserve">Constantes cambios en la normatividad </t>
  </si>
  <si>
    <t xml:space="preserve">Consolidación de Indicadores del Sistema Integrado de Gestión SIGAMI
Auditorías Internas - Seguimiento al cumplimiento de los requisitos de las Normas HSEQ
Consolidación y monitoreo a mapas de riesgos
Consolidación y seguimiento a normogramas </t>
  </si>
  <si>
    <t>Causa Raíz (EVENTO)</t>
  </si>
  <si>
    <t>Subcausas (CAUSAS) - FACTORES</t>
  </si>
  <si>
    <t>MONITOREO ENERO -FEBRERO</t>
  </si>
  <si>
    <t>MONITOREO MARZO  - ABRIL</t>
  </si>
  <si>
    <t xml:space="preserve">MONITOREO MAYO - JUNIO </t>
  </si>
  <si>
    <t xml:space="preserve">MONITOREO JULIO - AGOSTO </t>
  </si>
  <si>
    <t>MONITOREO SEPTIEMBRE - OCTUBRE</t>
  </si>
  <si>
    <t>MONITOREO NOVIEMBRE - DICIEMBRE</t>
  </si>
  <si>
    <t xml:space="preserve">Tipo de Riesgos </t>
  </si>
  <si>
    <r>
      <t>Posibilidad de perdida</t>
    </r>
    <r>
      <rPr>
        <sz val="10"/>
        <color theme="4"/>
        <rFont val="Arial Narrow"/>
        <family val="2"/>
      </rPr>
      <t xml:space="preserve"> </t>
    </r>
    <r>
      <rPr>
        <sz val="10"/>
        <color rgb="FF00B050"/>
        <rFont val="Arial Narrow"/>
        <family val="2"/>
      </rPr>
      <t xml:space="preserve">reputacional </t>
    </r>
    <r>
      <rPr>
        <sz val="10"/>
        <rFont val="Arial Narrow"/>
        <family val="2"/>
      </rPr>
      <t xml:space="preserve">por la </t>
    </r>
    <r>
      <rPr>
        <sz val="10"/>
        <color rgb="FFFF0000"/>
        <rFont val="Arial Narrow"/>
        <family val="2"/>
      </rPr>
      <t>cancelación o retiro de las certificaciones obtenidas</t>
    </r>
    <r>
      <rPr>
        <sz val="10"/>
        <rFont val="Arial Narrow"/>
        <family val="2"/>
      </rPr>
      <t xml:space="preserve"> debido al </t>
    </r>
    <r>
      <rPr>
        <sz val="10"/>
        <color rgb="FF002060"/>
        <rFont val="Arial Narrow"/>
        <family val="2"/>
      </rPr>
      <t>incumplimiento de los requisitos de las normas HSEQ.</t>
    </r>
  </si>
  <si>
    <t>Gestion</t>
  </si>
  <si>
    <t>El (la) directora (a) de Fortalecimiento Institucional  junto con su equipo de trabajo trimestralmente consolida el reporte de indicadores y revisa el cumplimiento de las metas. Dejando como evidencia el tablero de indicadores de SIGAMI.</t>
  </si>
  <si>
    <t xml:space="preserve">La director(a) de Fortalecimiento Institucional presentará el reporte o semaforización de las entregas con el fin de los procesos que no hayan cumplido a cabalidad con las directrices impartidas realizcen las acciones correctivas necesarias. </t>
  </si>
  <si>
    <t>La director(a) de Fortalecimiento Institucional</t>
  </si>
  <si>
    <t>1 de enero de 2024</t>
  </si>
  <si>
    <t>30 de Agosto de 2024</t>
  </si>
  <si>
    <t>Semaforización presentada en comité SIGAMI</t>
  </si>
  <si>
    <t xml:space="preserve">Durante este periodo no se entrega semaforizacion ya que las entregas del seguimiento a  indicadores, normograma, salidas no conformes y acciones correctivas se hacen de manera trimestral. </t>
  </si>
  <si>
    <t xml:space="preserve">El (la) directora (a) de Fortalecimiento Institucional junto con su equipo de trabajo de manera permanente  antes de eliminar, actualizar o crear un documento SIGAMI, verifica que dichos documentos cumplna con la estructura documental determinada en el  procedimiento de control de documentos e instrutivo de Elaboración de Documentos del SIGAMI, con el proposito de Verificar el cumplimiento de los requisitos establecidos para tal fin, Dejando como evidencia correos electrónicos o el listado maestro de documentos. Si un documento no cumple con los criterios establecidos, es devuelto para realizar las correcciones pertinentes </t>
  </si>
  <si>
    <t>multa o sanción de los entes reguladores</t>
  </si>
  <si>
    <t>debido al incumplimiento de la normatividad vigente en Seguridad y Salud en el Trabajo y ambiente.</t>
  </si>
  <si>
    <t>Incumplimiento del plan de trabajo</t>
  </si>
  <si>
    <t>Desarrollo, implementación y seguimiento al plan de trabajo del Sistema de Salud y Seguridad en el Trabajo y Sistema de Gestión Ambiental.</t>
  </si>
  <si>
    <t>Semestralmente el grupo de SST y/o el equipo líder del Sistema de Gestión Ambiental junto con la Dirección de Fortalecimiento Institucional realizarán seguimiento al plan anual de trabajo y a las acciones correctivas de las auditorías al Sistema Sistema de Seguridad y Salud en el Trabajo y del Sistema de gestión Ambiental para Verificar la eficacia de las mismas.</t>
  </si>
  <si>
    <t>Lider del Sistema de Seguridad y Salud en el trabajo y Líder del Sistema de Gestión Ambiental</t>
  </si>
  <si>
    <t>1 enero de 2024</t>
  </si>
  <si>
    <t>30 de Diciembre de 2024</t>
  </si>
  <si>
    <t>Actas de reunion, Matriz de seguimiento a no conformidades de la auditoria Externa.</t>
  </si>
  <si>
    <t>29/03/2024 se realizo mesa de trabajo con el equipo HSEQ, para realizar Monitoreo y seguimiento al mapa de riesgos y acciones correctivas resultantes de la auditoria externa</t>
  </si>
  <si>
    <t>24/05/2024 se realizo mesa de trabajo con el equipo HSEQ, para realizar Monitoreo y seguimiento al mapa de riesgos y acciones correctivas resultantes de la auditoria externa</t>
  </si>
  <si>
    <t xml:space="preserve">29/07/2024 se realizo mesa de trabajo con el equipo HSEQ, para realizar seguimiento a las acciones correctivas resultantes de la auditoria externa </t>
  </si>
  <si>
    <t>El 30 de Agosto del 2024, se realizo mesa de trabajo con el equipo HSEQ, para realizar seguimiento a las acciones correctivas resultantes de la auditoria externa</t>
  </si>
  <si>
    <t xml:space="preserve">Insuficiencia en el talento humano </t>
  </si>
  <si>
    <t>deficiente priorización en la gestión para el cumplimiento de los requisitos o necesidades en SST y Sistema de Gestión Ambiental</t>
  </si>
  <si>
    <t>Falta de compromiso, gestión y liderazgo en los diferentes sistemas que componen SIGAMI</t>
  </si>
  <si>
    <t>El comité Institucional de Gestión y Desempeño, semestralmente verifica el cumplimiento de los planes de trabajo y revisan el cumplimiento de los indicadores de los objetivos, dejando como evidencia las actas de comité, con el propósito de validar el avance y mejora contínua del Sistema de Gestión HSEQ. Si se presentan desviaciones se generará un plan de acción con el fin de dar cumplimiento a lo establecido.</t>
  </si>
  <si>
    <r>
      <rPr>
        <b/>
        <sz val="10"/>
        <color theme="9" tint="-0.249977111117893"/>
        <rFont val="Arial Narrow"/>
        <family val="2"/>
      </rPr>
      <t xml:space="preserve">*Nota: </t>
    </r>
    <r>
      <rPr>
        <sz val="10"/>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</si>
  <si>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reporte de indicadores</t>
  </si>
  <si>
    <t>reporte de riesgos de corrupción</t>
  </si>
  <si>
    <t>reporte de riesgos de gestión</t>
  </si>
  <si>
    <t>normograma</t>
  </si>
  <si>
    <t>salidas no conformes</t>
  </si>
  <si>
    <t>Auditorías</t>
  </si>
  <si>
    <r>
      <t xml:space="preserve">Los Líderes de los Sistemas de Gestión y sus equipos de trabajo, (anualmente) verifican la apropaición del conocimiento sobre las normas, cada vez que haya vinculacion del personal, dejando como evidencia el informe del </t>
    </r>
    <r>
      <rPr>
        <b/>
        <sz val="10"/>
        <rFont val="Arial Narrow"/>
        <family val="2"/>
      </rPr>
      <t>PLAN DE ACCION DEBILIDADES GESTIÓN DEL CONOCIMIENTO</t>
    </r>
    <r>
      <rPr>
        <sz val="10"/>
        <rFont val="Arial Narrow"/>
        <family val="2"/>
      </rPr>
      <t xml:space="preserve">.  Asi mismo en los  Sistema Integrado de Gestión a través de las evaluación de impacto de los procesos de Inducción y reinducción a fin de identificar las fortalezas y debilidades del personal.  Dejando como evidencia el informe  de resultados. </t>
    </r>
  </si>
  <si>
    <t xml:space="preserve">El (la) directora (a) de Fortalecimiento Institucional cada vez que se requiera, revisa que la Oficina de Control Interno dentro de su Programa Anual de Auditoría determinando las fechas previstas de las auditorias, con el fin de realizar adecuadamente la planeación de las mismas. </t>
  </si>
  <si>
    <t>El (la) directora (a) de Fortalecimiento Institucional  junto con su equipo de trabajo trimestralmente consolida el reporte de normograma y realiza el seguimiento del cumplimiento de la normatividad externa. Dejando como evidencia actas de reunión y correos eléctronicos de retrolimentación del mismo para posteriores correcciones de los hallazgos.</t>
  </si>
  <si>
    <t xml:space="preserve">En el comité SIGAMI realizado el 23 de marzo de 2024 se presento una matriz semaforo con los diferentes procesos y su estado de reporte actual frente a indicadores, monitoreo de mapas de riesgo, normograma, acciones correctivas y salidas no conformes. </t>
  </si>
  <si>
    <t xml:space="preserve">En el comité SIGAMI realizado el 14 de Agosto de 2024 se presento una matriz semaforo con los diferentes procesos y su estado de reporte actual frente a indicadores, monitoreo de mapas de riesgo, normograma, acciones correctivas y salidas no conformes. </t>
  </si>
  <si>
    <t xml:space="preserve">En el comité SIGAMI realizado el 16 de Diciembre de 2024 se presento una matriz semaforo con los diferentes procesos y su estado de reporte actual frente a indicadores, monitoreo de mapas de riesgo, normograma, acciones correctivas y salidas no conformes. </t>
  </si>
  <si>
    <r>
      <t xml:space="preserve">
Posibilidad de perdida reputacional y afectación económica por </t>
    </r>
    <r>
      <rPr>
        <sz val="10"/>
        <color rgb="FFFF0000"/>
        <rFont val="Arial Narrow"/>
        <family val="2"/>
      </rPr>
      <t xml:space="preserve">multa o sanción de los entes reguladores </t>
    </r>
    <r>
      <rPr>
        <sz val="10"/>
        <color rgb="FF002060"/>
        <rFont val="Arial Narrow"/>
        <family val="2"/>
      </rPr>
      <t>debido al incumplimiento de la normatividad vigente en Seguridad y Salud en el Trabajo y ambiente.</t>
    </r>
  </si>
  <si>
    <t>Los líderes de los Sistemas de Seguridad y Salud en el Trabajo y el Sistema de Gestión Ambiental  mensualmente verifican el cumplimiento al plan de trabajo  respectivo, con el proposito de controlar las actividades definidas, dejando como evidencia las actas de reunión y el Plan de Trabjo   y los indicadores de Gestión del Sistema de Gestión de SST y Gestión Ambiental. Si se determinan actividades que ha pasado su fecha de ejecución, se realiza plan de choque para cumplir lo establecido.</t>
  </si>
  <si>
    <t xml:space="preserve">Los líderes de los Sistemas de Seguridad y Salud en el Trabajo y el Sistema de Gestión Ambiental con los Profesionales designados, anualmente verifican la necesidad del talento humano en misión con el proposito de determinar los perfiles  requeridos para el buen funcionamiento de los Sistemas de SST y Gestión Ambiental y se incluye en el plan anual de adquisiciones de las dependencias, dejando como evidencia el plan anual de adquisiones. Si se presentan desviaciones, se solicitará actualización del plan de adquisiciones. </t>
  </si>
  <si>
    <t>Los líderes de los Sistemas de Seguridad y Salud en el Trabajo y el Sistema de Gestión Ambiental con los Profesionales designados, trimestralmente mensualmente realizan seguimiento al cumplimiento del Plan de Acción, con el propósito de validar el cumplimiento de las actividades definidas, dejando como evidencia  el Plan de Trabajo actas de reunión. Si se determinan actividades que ha pasado su fecha de ejecución, se debe actualizar el  Plan de Trabajo con la respectiva fecha programada para ejecutar las actividades pendientes se realiza plan de choque para cumplir lo establecido. SE EVIODENCIA EN EL FORMATO DE ACCIONES CORRECTIVAS Y DE MEJORA</t>
  </si>
  <si>
    <t>El 30 de Noviembre del 2024, se realizo mesa de trabajo con el equipo HSEQ, para realizar seguimiento a las acciones correctivas resultantes de la auditoria externa</t>
  </si>
  <si>
    <t>FINALIZADO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</si>
</sst>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color theme="1"/>
      <name val="Arial Narrow"/>
      <family val="2"/>
    </font>
    <font>
      <sz val="10"/>
      <color rgb="FF00B050"/>
      <name val="Arial Narrow"/>
      <family val="2"/>
    </font>
    <font>
      <sz val="10"/>
      <color rgb="FFFF0000"/>
      <name val="Arial Narrow"/>
      <family val="2"/>
    </font>
    <font>
      <sz val="10"/>
      <color rgb="FF002060"/>
      <name val="Arial Narrow"/>
      <family val="2"/>
    </font>
    <font>
      <sz val="10"/>
      <color theme="4"/>
      <name val="Arial Narrow"/>
      <family val="2"/>
    </font>
    <font>
      <b/>
      <sz val="9"/>
      <color indexed="81"/>
      <name val="Tahoma"/>
      <family val="2"/>
    </font>
    <font>
      <sz val="9"/>
      <color indexed="81"/>
      <name val="Tahoma"/>
      <family val="2"/>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59999389629810485"/>
        <bgColor indexed="64"/>
      </patternFill>
    </fill>
  </fills>
  <borders count="11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dashed">
        <color theme="9" tint="-0.24994659260841701"/>
      </left>
      <right style="thin">
        <color indexed="64"/>
      </right>
      <top style="dashed">
        <color theme="9" tint="-0.24994659260841701"/>
      </top>
      <bottom style="dashed">
        <color theme="9" tint="-0.24994659260841701"/>
      </bottom>
      <diagonal/>
    </border>
    <border>
      <left style="thin">
        <color indexed="64"/>
      </left>
      <right style="thin">
        <color indexed="64"/>
      </right>
      <top style="dashed">
        <color theme="9" tint="-0.24994659260841701"/>
      </top>
      <bottom/>
      <diagonal/>
    </border>
    <border>
      <left style="thin">
        <color indexed="64"/>
      </left>
      <right style="thin">
        <color indexed="64"/>
      </right>
      <top/>
      <bottom style="dashed">
        <color theme="9" tint="-0.24994659260841701"/>
      </bottom>
      <diagonal/>
    </border>
    <border>
      <left style="dashed">
        <color theme="9" tint="-0.24994659260841701"/>
      </left>
      <right style="thin">
        <color indexed="64"/>
      </right>
      <top style="dashed">
        <color theme="9" tint="-0.24994659260841701"/>
      </top>
      <bottom/>
      <diagonal/>
    </border>
    <border>
      <left style="dashed">
        <color theme="9" tint="-0.24994659260841701"/>
      </left>
      <right style="thin">
        <color indexed="64"/>
      </right>
      <top/>
      <bottom/>
      <diagonal/>
    </border>
    <border>
      <left style="dashed">
        <color theme="9" tint="-0.24994659260841701"/>
      </left>
      <right style="thin">
        <color indexed="64"/>
      </right>
      <top/>
      <bottom style="dashed">
        <color theme="9" tint="-0.24994659260841701"/>
      </bottom>
      <diagonal/>
    </border>
    <border>
      <left style="dashed">
        <color theme="9" tint="-0.24994659260841701"/>
      </left>
      <right style="dashed">
        <color theme="9" tint="-0.24994659260841701"/>
      </right>
      <top/>
      <bottom style="dashed">
        <color theme="9" tint="-0.249977111117893"/>
      </bottom>
      <diagonal/>
    </border>
  </borders>
  <cellStyleXfs count="5">
    <xf numFmtId="0" fontId="0" fillId="0" borderId="0"/>
    <xf numFmtId="9" fontId="12" fillId="0" borderId="0" applyFont="0" applyFill="0" applyBorder="0" applyAlignment="0" applyProtection="0"/>
    <xf numFmtId="0" fontId="36" fillId="0" borderId="0"/>
    <xf numFmtId="0" fontId="37" fillId="0" borderId="0"/>
    <xf numFmtId="0" fontId="4" fillId="0" borderId="0"/>
  </cellStyleXfs>
  <cellXfs count="636">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3" fillId="0" borderId="0" xfId="0" applyFont="1"/>
    <xf numFmtId="0" fontId="11" fillId="0" borderId="0" xfId="0" applyFont="1"/>
    <xf numFmtId="0" fontId="17" fillId="11" borderId="12" xfId="0" applyFont="1" applyFill="1" applyBorder="1" applyAlignment="1" applyProtection="1">
      <alignment horizontal="center" vertical="center" wrapText="1" readingOrder="1"/>
      <protection hidden="1"/>
    </xf>
    <xf numFmtId="0" fontId="17" fillId="11" borderId="19"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19"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5" xfId="0" applyFont="1" applyFill="1" applyBorder="1" applyAlignment="1" applyProtection="1">
      <alignment horizontal="center" vertic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1" borderId="16" xfId="0" applyFont="1" applyFill="1" applyBorder="1" applyAlignment="1" applyProtection="1">
      <alignment horizontal="center" vertical="center" wrapText="1" readingOrder="1"/>
      <protection hidden="1"/>
    </xf>
    <xf numFmtId="0" fontId="17" fillId="11" borderId="18" xfId="0" applyFont="1" applyFill="1" applyBorder="1" applyAlignment="1" applyProtection="1">
      <alignment horizontal="center" vertical="center" wrapText="1" readingOrder="1"/>
      <protection hidden="1"/>
    </xf>
    <xf numFmtId="0" fontId="17" fillId="11" borderId="17" xfId="0" applyFont="1" applyFill="1" applyBorder="1" applyAlignment="1" applyProtection="1">
      <alignment horizontal="center" vertic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19"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15"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17" fillId="13" borderId="17"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19"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15"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8" xfId="0" applyFont="1" applyFill="1" applyBorder="1" applyAlignment="1" applyProtection="1">
      <alignment horizontal="center" wrapText="1" readingOrder="1"/>
      <protection hidden="1"/>
    </xf>
    <xf numFmtId="0" fontId="17" fillId="5" borderId="17"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0" fillId="3" borderId="0" xfId="0" applyFill="1"/>
    <xf numFmtId="0" fontId="38" fillId="3" borderId="51" xfId="2" applyFont="1" applyFill="1" applyBorder="1"/>
    <xf numFmtId="0" fontId="38" fillId="3" borderId="52" xfId="2" applyFont="1" applyFill="1" applyBorder="1"/>
    <xf numFmtId="0" fontId="38" fillId="3" borderId="53" xfId="2" applyFont="1" applyFill="1" applyBorder="1"/>
    <xf numFmtId="0" fontId="14" fillId="3" borderId="0" xfId="0" applyFont="1" applyFill="1" applyAlignment="1">
      <alignment vertical="center"/>
    </xf>
    <xf numFmtId="0" fontId="4" fillId="3" borderId="0" xfId="0" applyFont="1" applyFill="1"/>
    <xf numFmtId="0" fontId="26" fillId="3" borderId="0" xfId="0" applyFont="1" applyFill="1"/>
    <xf numFmtId="0" fontId="27" fillId="3" borderId="34" xfId="0" applyFont="1" applyFill="1" applyBorder="1" applyAlignment="1">
      <alignment horizontal="center" vertical="center" wrapText="1" readingOrder="1"/>
    </xf>
    <xf numFmtId="0" fontId="28" fillId="3" borderId="34" xfId="0" applyFont="1" applyFill="1" applyBorder="1" applyAlignment="1">
      <alignment horizontal="justify" vertical="center" wrapText="1" readingOrder="1"/>
    </xf>
    <xf numFmtId="9" fontId="27" fillId="3" borderId="43" xfId="0" applyNumberFormat="1" applyFont="1" applyFill="1" applyBorder="1" applyAlignment="1">
      <alignment horizontal="center" vertical="center" wrapText="1" readingOrder="1"/>
    </xf>
    <xf numFmtId="0" fontId="27" fillId="3" borderId="33" xfId="0" applyFont="1" applyFill="1" applyBorder="1" applyAlignment="1">
      <alignment horizontal="center" vertical="center" wrapText="1" readingOrder="1"/>
    </xf>
    <xf numFmtId="0" fontId="28" fillId="3" borderId="33" xfId="0" applyFont="1" applyFill="1" applyBorder="1" applyAlignment="1">
      <alignment horizontal="justify" vertical="center" wrapText="1" readingOrder="1"/>
    </xf>
    <xf numFmtId="9" fontId="27" fillId="3" borderId="38" xfId="0" applyNumberFormat="1" applyFont="1" applyFill="1" applyBorder="1" applyAlignment="1">
      <alignment horizontal="center" vertical="center" wrapText="1" readingOrder="1"/>
    </xf>
    <xf numFmtId="0" fontId="28" fillId="3" borderId="38" xfId="0" applyFont="1" applyFill="1" applyBorder="1" applyAlignment="1">
      <alignment horizontal="center" vertical="center" wrapText="1" readingOrder="1"/>
    </xf>
    <xf numFmtId="0" fontId="27" fillId="3" borderId="40" xfId="0" applyFont="1" applyFill="1" applyBorder="1" applyAlignment="1">
      <alignment horizontal="center" vertical="center" wrapText="1" readingOrder="1"/>
    </xf>
    <xf numFmtId="0" fontId="28" fillId="3" borderId="40" xfId="0" applyFont="1" applyFill="1" applyBorder="1" applyAlignment="1">
      <alignment horizontal="justify" vertical="center" wrapText="1" readingOrder="1"/>
    </xf>
    <xf numFmtId="0" fontId="28" fillId="3" borderId="41" xfId="0" applyFont="1" applyFill="1" applyBorder="1" applyAlignment="1">
      <alignment horizontal="center" vertical="center" wrapText="1" readingOrder="1"/>
    </xf>
    <xf numFmtId="0" fontId="35" fillId="3" borderId="0" xfId="0" applyFont="1" applyFill="1"/>
    <xf numFmtId="0" fontId="27" fillId="15" borderId="45" xfId="0" applyFont="1" applyFill="1" applyBorder="1" applyAlignment="1">
      <alignment horizontal="center" vertical="center" wrapText="1" readingOrder="1"/>
    </xf>
    <xf numFmtId="0" fontId="27" fillId="15" borderId="46" xfId="0" applyFont="1" applyFill="1" applyBorder="1" applyAlignment="1">
      <alignment horizontal="center" vertical="center" wrapText="1" readingOrder="1"/>
    </xf>
    <xf numFmtId="0" fontId="11" fillId="3" borderId="0" xfId="0" applyFont="1" applyFill="1"/>
    <xf numFmtId="0" fontId="24" fillId="3" borderId="0" xfId="0" applyFont="1" applyFill="1" applyAlignment="1">
      <alignment horizontal="center" vertical="center" wrapText="1"/>
    </xf>
    <xf numFmtId="0" fontId="13" fillId="3" borderId="0" xfId="0" applyFont="1" applyFill="1"/>
    <xf numFmtId="0" fontId="3" fillId="3" borderId="0" xfId="0" applyFont="1" applyFill="1" applyAlignment="1">
      <alignment horizontal="left" vertical="center"/>
    </xf>
    <xf numFmtId="0" fontId="38" fillId="3" borderId="14" xfId="2" applyFont="1" applyFill="1" applyBorder="1"/>
    <xf numFmtId="0" fontId="43" fillId="3" borderId="0" xfId="0" applyFont="1" applyFill="1" applyAlignment="1">
      <alignment horizontal="left" vertical="center" wrapText="1"/>
    </xf>
    <xf numFmtId="0" fontId="44" fillId="3" borderId="0" xfId="0" applyFont="1" applyFill="1" applyAlignment="1">
      <alignment horizontal="left" vertical="top" wrapText="1"/>
    </xf>
    <xf numFmtId="0" fontId="38" fillId="3" borderId="0" xfId="2" applyFont="1" applyFill="1"/>
    <xf numFmtId="0" fontId="38" fillId="3" borderId="15" xfId="2" applyFont="1" applyFill="1" applyBorder="1"/>
    <xf numFmtId="0" fontId="38" fillId="3" borderId="16" xfId="2" applyFont="1" applyFill="1" applyBorder="1"/>
    <xf numFmtId="0" fontId="38" fillId="3" borderId="18" xfId="2" applyFont="1" applyFill="1" applyBorder="1"/>
    <xf numFmtId="0" fontId="38" fillId="3" borderId="17" xfId="2" applyFont="1" applyFill="1" applyBorder="1"/>
    <xf numFmtId="0" fontId="42" fillId="3" borderId="0" xfId="2" applyFont="1" applyFill="1" applyAlignment="1">
      <alignment horizontal="left" vertical="center" wrapText="1"/>
    </xf>
    <xf numFmtId="0" fontId="38" fillId="3" borderId="0" xfId="2" applyFont="1" applyFill="1" applyAlignment="1">
      <alignment horizontal="left" vertical="center" wrapText="1"/>
    </xf>
    <xf numFmtId="0" fontId="38" fillId="3" borderId="0" xfId="2" quotePrefix="1" applyFont="1" applyFill="1" applyAlignment="1">
      <alignment horizontal="left" vertical="center" wrapText="1"/>
    </xf>
    <xf numFmtId="0" fontId="40" fillId="3" borderId="14" xfId="2" quotePrefix="1" applyFont="1" applyFill="1" applyBorder="1" applyAlignment="1">
      <alignment horizontal="left" vertical="top" wrapText="1"/>
    </xf>
    <xf numFmtId="0" fontId="41" fillId="3" borderId="0" xfId="2" quotePrefix="1" applyFont="1" applyFill="1" applyAlignment="1">
      <alignment horizontal="left" vertical="top" wrapText="1"/>
    </xf>
    <xf numFmtId="0" fontId="41" fillId="3" borderId="15" xfId="2" quotePrefix="1" applyFont="1" applyFill="1" applyBorder="1" applyAlignment="1">
      <alignment horizontal="left" vertical="top" wrapText="1"/>
    </xf>
    <xf numFmtId="0" fontId="5" fillId="0" borderId="2" xfId="0" applyFont="1" applyBorder="1" applyAlignment="1" applyProtection="1">
      <alignment horizontal="justify" vertical="top" wrapText="1"/>
      <protection locked="0"/>
    </xf>
    <xf numFmtId="0" fontId="48" fillId="6" borderId="0" xfId="0" applyFont="1" applyFill="1" applyAlignment="1">
      <alignment horizontal="center" vertical="center" wrapText="1" readingOrder="1"/>
    </xf>
    <xf numFmtId="0" fontId="49" fillId="5" borderId="11" xfId="0" applyFont="1" applyFill="1" applyBorder="1" applyAlignment="1">
      <alignment horizontal="center" vertical="center" wrapText="1" readingOrder="1"/>
    </xf>
    <xf numFmtId="0" fontId="49" fillId="0" borderId="11" xfId="0" applyFont="1" applyBorder="1" applyAlignment="1">
      <alignment horizontal="center" vertical="center" wrapText="1" readingOrder="1"/>
    </xf>
    <xf numFmtId="0" fontId="49" fillId="0" borderId="11" xfId="0" applyFont="1" applyBorder="1" applyAlignment="1">
      <alignment horizontal="justify" vertical="center" wrapText="1" readingOrder="1"/>
    </xf>
    <xf numFmtId="0" fontId="49" fillId="7" borderId="1" xfId="0" applyFont="1" applyFill="1" applyBorder="1" applyAlignment="1">
      <alignment horizontal="center" vertical="center" wrapText="1" readingOrder="1"/>
    </xf>
    <xf numFmtId="0" fontId="49" fillId="0" borderId="1" xfId="0" applyFont="1" applyBorder="1" applyAlignment="1">
      <alignment horizontal="center" vertical="center" wrapText="1" readingOrder="1"/>
    </xf>
    <xf numFmtId="0" fontId="49" fillId="0" borderId="1" xfId="0" applyFont="1" applyBorder="1" applyAlignment="1">
      <alignment horizontal="justify" vertical="center" wrapText="1" readingOrder="1"/>
    </xf>
    <xf numFmtId="0" fontId="49" fillId="4" borderId="1" xfId="0" applyFont="1" applyFill="1" applyBorder="1" applyAlignment="1">
      <alignment horizontal="center" vertical="center" wrapText="1" readingOrder="1"/>
    </xf>
    <xf numFmtId="0" fontId="49" fillId="8" borderId="1" xfId="0" applyFont="1" applyFill="1" applyBorder="1" applyAlignment="1">
      <alignment horizontal="center" vertical="center" wrapText="1" readingOrder="1"/>
    </xf>
    <xf numFmtId="0" fontId="49" fillId="9" borderId="1" xfId="0" applyFont="1" applyFill="1" applyBorder="1" applyAlignment="1">
      <alignment horizontal="center" vertical="center" wrapText="1" readingOrder="1"/>
    </xf>
    <xf numFmtId="0" fontId="50" fillId="3" borderId="0" xfId="0" applyFont="1" applyFill="1" applyAlignment="1">
      <alignment horizontal="justify" vertical="center" wrapText="1" readingOrder="1"/>
    </xf>
    <xf numFmtId="0" fontId="51" fillId="3" borderId="0" xfId="0" applyFont="1" applyFill="1" applyAlignment="1">
      <alignment vertical="center"/>
    </xf>
    <xf numFmtId="0" fontId="50" fillId="0" borderId="0" xfId="0" applyFont="1" applyAlignment="1">
      <alignment horizontal="justify" vertical="center" wrapText="1" readingOrder="1"/>
    </xf>
    <xf numFmtId="0" fontId="50" fillId="0" borderId="0" xfId="0" applyFont="1" applyAlignment="1">
      <alignment vertical="center"/>
    </xf>
    <xf numFmtId="0" fontId="11" fillId="0" borderId="0" xfId="0" pivotButton="1" applyFont="1"/>
    <xf numFmtId="0" fontId="52" fillId="0" borderId="0" xfId="0" applyFont="1" applyAlignment="1">
      <alignment horizontal="center" wrapText="1"/>
    </xf>
    <xf numFmtId="0" fontId="53" fillId="0" borderId="0" xfId="0" applyFont="1"/>
    <xf numFmtId="0" fontId="57" fillId="0" borderId="78" xfId="0" applyFont="1" applyBorder="1" applyAlignment="1">
      <alignment vertical="center" wrapText="1"/>
    </xf>
    <xf numFmtId="0" fontId="55" fillId="0" borderId="0" xfId="0" applyFont="1" applyAlignment="1">
      <alignment vertical="center" wrapText="1"/>
    </xf>
    <xf numFmtId="0" fontId="57" fillId="0" borderId="0" xfId="0" applyFont="1"/>
    <xf numFmtId="0" fontId="55" fillId="0" borderId="0" xfId="0" applyFont="1" applyAlignment="1">
      <alignment horizontal="center" vertical="center" wrapText="1"/>
    </xf>
    <xf numFmtId="0" fontId="57" fillId="0" borderId="33" xfId="0" applyFont="1" applyBorder="1" applyAlignment="1">
      <alignment vertical="center" wrapText="1"/>
    </xf>
    <xf numFmtId="0" fontId="59" fillId="17" borderId="83" xfId="0" applyFont="1" applyFill="1" applyBorder="1" applyAlignment="1">
      <alignment vertical="center"/>
    </xf>
    <xf numFmtId="0" fontId="59" fillId="17" borderId="84" xfId="0" applyFont="1" applyFill="1" applyBorder="1" applyAlignment="1">
      <alignment horizontal="center" vertical="center"/>
    </xf>
    <xf numFmtId="0" fontId="59" fillId="17" borderId="85" xfId="0" applyFont="1" applyFill="1" applyBorder="1" applyAlignment="1">
      <alignment horizontal="center" vertical="center"/>
    </xf>
    <xf numFmtId="0" fontId="57" fillId="18" borderId="33" xfId="0" applyFont="1" applyFill="1" applyBorder="1" applyAlignment="1">
      <alignment vertical="center" wrapText="1"/>
    </xf>
    <xf numFmtId="0" fontId="57" fillId="0" borderId="33" xfId="0" applyFont="1" applyBorder="1" applyAlignment="1">
      <alignment horizontal="left" vertical="center" wrapText="1"/>
    </xf>
    <xf numFmtId="0" fontId="61" fillId="0" borderId="33" xfId="0" applyFont="1" applyBorder="1" applyAlignment="1">
      <alignment horizontal="left" vertical="center" wrapText="1"/>
    </xf>
    <xf numFmtId="0" fontId="57" fillId="0" borderId="0" xfId="0" applyFont="1" applyAlignment="1">
      <alignment vertical="center" wrapText="1"/>
    </xf>
    <xf numFmtId="0" fontId="57" fillId="0" borderId="0" xfId="0" applyFont="1" applyAlignment="1">
      <alignment horizontal="left" vertical="center" wrapText="1"/>
    </xf>
    <xf numFmtId="0" fontId="57" fillId="0" borderId="0" xfId="0" applyFont="1" applyAlignment="1">
      <alignment horizontal="left" vertical="center"/>
    </xf>
    <xf numFmtId="0" fontId="62" fillId="0" borderId="0" xfId="0" applyFont="1" applyAlignment="1">
      <alignment horizontal="left" vertical="center" wrapText="1"/>
    </xf>
    <xf numFmtId="0" fontId="36" fillId="0" borderId="0" xfId="0" applyFont="1" applyAlignment="1">
      <alignment horizontal="left" vertical="center" wrapText="1"/>
    </xf>
    <xf numFmtId="0" fontId="62" fillId="0" borderId="0" xfId="0" applyFont="1" applyAlignment="1">
      <alignment horizontal="left" vertical="center"/>
    </xf>
    <xf numFmtId="0" fontId="36" fillId="0" borderId="0" xfId="0" applyFont="1" applyAlignment="1">
      <alignment horizontal="left" vertical="center"/>
    </xf>
    <xf numFmtId="0" fontId="57" fillId="0" borderId="15" xfId="0" applyFont="1" applyBorder="1" applyAlignment="1">
      <alignment horizontal="left" vertical="center" wrapText="1"/>
    </xf>
    <xf numFmtId="0" fontId="57" fillId="0" borderId="15" xfId="0" applyFont="1" applyBorder="1"/>
    <xf numFmtId="0" fontId="57" fillId="0" borderId="18" xfId="0" applyFont="1" applyBorder="1"/>
    <xf numFmtId="0" fontId="57" fillId="0" borderId="17" xfId="0" applyFont="1" applyBorder="1"/>
    <xf numFmtId="0" fontId="57" fillId="3" borderId="0" xfId="0" applyFont="1" applyFill="1" applyAlignment="1">
      <alignment horizontal="left" vertical="center" wrapText="1"/>
    </xf>
    <xf numFmtId="0" fontId="57" fillId="3" borderId="87" xfId="0" applyFont="1" applyFill="1" applyBorder="1" applyAlignment="1">
      <alignment horizontal="left" vertical="center" wrapText="1"/>
    </xf>
    <xf numFmtId="0" fontId="57" fillId="0" borderId="89" xfId="0" applyFont="1" applyBorder="1"/>
    <xf numFmtId="0" fontId="64" fillId="19" borderId="34" xfId="0" applyFont="1" applyFill="1" applyBorder="1" applyAlignment="1">
      <alignment horizontal="center" vertical="center" wrapText="1"/>
    </xf>
    <xf numFmtId="0" fontId="63" fillId="19" borderId="34" xfId="0" applyFont="1" applyFill="1" applyBorder="1" applyAlignment="1">
      <alignment horizontal="center" vertical="center" wrapText="1"/>
    </xf>
    <xf numFmtId="0" fontId="65" fillId="19" borderId="34" xfId="0" applyFont="1" applyFill="1" applyBorder="1" applyAlignment="1">
      <alignment horizontal="center" vertical="center" wrapText="1"/>
    </xf>
    <xf numFmtId="165" fontId="65" fillId="19" borderId="90" xfId="0" applyNumberFormat="1" applyFont="1" applyFill="1" applyBorder="1" applyAlignment="1">
      <alignment horizontal="center" vertical="center" wrapText="1"/>
    </xf>
    <xf numFmtId="0" fontId="66" fillId="19" borderId="91" xfId="0" applyFont="1" applyFill="1" applyBorder="1" applyAlignment="1">
      <alignment horizontal="center" vertical="center" wrapText="1"/>
    </xf>
    <xf numFmtId="0" fontId="54" fillId="0" borderId="0" xfId="0" applyFont="1" applyAlignment="1">
      <alignment horizontal="center" vertical="center" wrapText="1"/>
    </xf>
    <xf numFmtId="0" fontId="57" fillId="0" borderId="33" xfId="0" applyFont="1" applyBorder="1" applyAlignment="1">
      <alignment horizontal="center" vertical="center"/>
    </xf>
    <xf numFmtId="0" fontId="57" fillId="0" borderId="33" xfId="0" applyFont="1" applyBorder="1" applyAlignment="1" applyProtection="1">
      <alignment horizontal="center" vertical="center"/>
      <protection locked="0"/>
    </xf>
    <xf numFmtId="166" fontId="57" fillId="0" borderId="92" xfId="0" applyNumberFormat="1" applyFont="1" applyBorder="1" applyAlignment="1">
      <alignment horizontal="center" vertical="center"/>
    </xf>
    <xf numFmtId="0" fontId="57" fillId="0" borderId="95" xfId="0" applyFont="1" applyBorder="1" applyAlignment="1">
      <alignment horizontal="left" vertical="center" wrapText="1"/>
    </xf>
    <xf numFmtId="0" fontId="57" fillId="0" borderId="95" xfId="0" applyFont="1" applyBorder="1" applyAlignment="1" applyProtection="1">
      <alignment horizontal="center" vertical="center"/>
      <protection locked="0"/>
    </xf>
    <xf numFmtId="165" fontId="57" fillId="20" borderId="79" xfId="0" applyNumberFormat="1" applyFont="1" applyFill="1" applyBorder="1" applyAlignment="1">
      <alignment vertical="center"/>
    </xf>
    <xf numFmtId="165" fontId="57"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6" fillId="3" borderId="0" xfId="0" applyFont="1" applyFill="1" applyAlignment="1">
      <alignment horizontal="left"/>
    </xf>
    <xf numFmtId="0" fontId="54" fillId="0" borderId="0" xfId="0" applyFont="1" applyAlignment="1">
      <alignment horizontal="center" vertical="center"/>
    </xf>
    <xf numFmtId="0" fontId="54" fillId="0" borderId="0" xfId="0" applyFont="1"/>
    <xf numFmtId="0" fontId="57" fillId="21" borderId="33" xfId="0" applyFont="1" applyFill="1" applyBorder="1" applyAlignment="1">
      <alignment horizontal="left" vertical="center" wrapText="1"/>
    </xf>
    <xf numFmtId="0" fontId="57" fillId="21" borderId="33" xfId="0" applyFont="1" applyFill="1" applyBorder="1" applyAlignment="1">
      <alignment vertical="center" wrapText="1"/>
    </xf>
    <xf numFmtId="0" fontId="57" fillId="21" borderId="33" xfId="0" applyFont="1" applyFill="1" applyBorder="1" applyAlignment="1">
      <alignment vertical="center"/>
    </xf>
    <xf numFmtId="0" fontId="57" fillId="22" borderId="33" xfId="0" applyFont="1" applyFill="1" applyBorder="1" applyAlignment="1">
      <alignment vertical="center" wrapText="1"/>
    </xf>
    <xf numFmtId="0" fontId="57" fillId="22" borderId="33" xfId="0" applyFont="1" applyFill="1" applyBorder="1" applyAlignment="1">
      <alignment horizontal="left" vertical="center" wrapText="1"/>
    </xf>
    <xf numFmtId="0" fontId="61" fillId="22" borderId="33" xfId="0" applyFont="1" applyFill="1" applyBorder="1" applyAlignment="1">
      <alignment vertical="center" wrapText="1"/>
    </xf>
    <xf numFmtId="0" fontId="61" fillId="22" borderId="33" xfId="0" applyFont="1" applyFill="1" applyBorder="1" applyAlignment="1">
      <alignment horizontal="left" vertical="center" wrapText="1"/>
    </xf>
    <xf numFmtId="0" fontId="57" fillId="23" borderId="79" xfId="0" applyFont="1" applyFill="1" applyBorder="1" applyAlignment="1">
      <alignment vertical="center" wrapText="1"/>
    </xf>
    <xf numFmtId="0" fontId="57" fillId="23" borderId="38" xfId="0" applyFont="1" applyFill="1" applyBorder="1" applyAlignment="1">
      <alignment vertical="center" wrapText="1"/>
    </xf>
    <xf numFmtId="0" fontId="57" fillId="23" borderId="38" xfId="0" applyFont="1" applyFill="1" applyBorder="1" applyAlignment="1">
      <alignment horizontal="left" vertical="center" wrapText="1"/>
    </xf>
    <xf numFmtId="0" fontId="57" fillId="23" borderId="33" xfId="0" applyFont="1" applyFill="1" applyBorder="1" applyAlignment="1">
      <alignment horizontal="left" vertical="center" wrapText="1"/>
    </xf>
    <xf numFmtId="0" fontId="57" fillId="23" borderId="95" xfId="0" applyFont="1" applyFill="1" applyBorder="1" applyAlignment="1">
      <alignment horizontal="left" vertical="center" wrapText="1"/>
    </xf>
    <xf numFmtId="0" fontId="0" fillId="0" borderId="9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9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94" xfId="0" applyBorder="1" applyAlignment="1">
      <alignment horizontal="center" vertical="center"/>
      <extLst>
        <ext xmlns:xfpb="http://schemas.microsoft.com/office/spreadsheetml/2022/featurepropertybag" uri="{C7286773-470A-42A8-94C5-96B5CB345126}">
          <xfpb:xfComplement i="0"/>
        </ext>
      </extLst>
    </xf>
    <xf numFmtId="0" fontId="0" fillId="0" borderId="106" xfId="0" applyBorder="1" applyAlignment="1">
      <alignment horizontal="center" vertical="center"/>
      <extLst>
        <ext xmlns:xfpb="http://schemas.microsoft.com/office/spreadsheetml/2022/featurepropertybag" uri="{C7286773-470A-42A8-94C5-96B5CB345126}">
          <xfpb:xfComplement i="0"/>
        </ext>
      </extLst>
    </xf>
    <xf numFmtId="0" fontId="0" fillId="0" borderId="97" xfId="0" applyBorder="1" applyAlignment="1">
      <alignment horizontal="center" vertical="center"/>
      <extLst>
        <ext xmlns:xfpb="http://schemas.microsoft.com/office/spreadsheetml/2022/featurepropertybag" uri="{C7286773-470A-42A8-94C5-96B5CB345126}">
          <xfpb:xfComplement i="0"/>
        </ext>
      </extLst>
    </xf>
    <xf numFmtId="0" fontId="63" fillId="19" borderId="33" xfId="0" applyFont="1" applyFill="1" applyBorder="1" applyAlignment="1">
      <alignment horizontal="center" vertical="center" wrapText="1"/>
    </xf>
    <xf numFmtId="0" fontId="63" fillId="19" borderId="92" xfId="0" applyFont="1" applyFill="1" applyBorder="1" applyAlignment="1">
      <alignment horizontal="center" vertical="center" wrapText="1"/>
    </xf>
    <xf numFmtId="0" fontId="63" fillId="19" borderId="92" xfId="0" applyFont="1" applyFill="1" applyBorder="1" applyAlignment="1">
      <alignment horizontal="center" vertical="center" textRotation="255"/>
    </xf>
    <xf numFmtId="0" fontId="63" fillId="19" borderId="92" xfId="0" applyFont="1" applyFill="1" applyBorder="1" applyAlignment="1">
      <alignment horizontal="center" vertical="center"/>
    </xf>
    <xf numFmtId="0" fontId="5" fillId="3" borderId="0" xfId="0" applyFont="1" applyFill="1"/>
    <xf numFmtId="0" fontId="5" fillId="0" borderId="0" xfId="0" applyFont="1"/>
    <xf numFmtId="0" fontId="5" fillId="3" borderId="0" xfId="0" applyFont="1" applyFill="1" applyAlignment="1">
      <alignment horizontal="center" vertical="center"/>
    </xf>
    <xf numFmtId="0" fontId="5" fillId="3" borderId="0" xfId="0" applyFont="1" applyFill="1" applyAlignment="1">
      <alignment horizontal="left" vertical="center"/>
    </xf>
    <xf numFmtId="0" fontId="5" fillId="3" borderId="0" xfId="0" applyFont="1" applyFill="1" applyAlignment="1">
      <alignment horizontal="center"/>
    </xf>
    <xf numFmtId="0" fontId="69" fillId="2" borderId="8" xfId="0" applyFont="1" applyFill="1" applyBorder="1" applyAlignment="1">
      <alignment horizontal="center" vertical="center"/>
    </xf>
    <xf numFmtId="0" fontId="69" fillId="2" borderId="2" xfId="0" applyFont="1" applyFill="1" applyBorder="1" applyAlignment="1">
      <alignment horizontal="center" vertical="center" textRotation="90"/>
    </xf>
    <xf numFmtId="0" fontId="69" fillId="3" borderId="0" xfId="0" applyFont="1" applyFill="1" applyAlignment="1">
      <alignment horizontal="center" vertical="center"/>
    </xf>
    <xf numFmtId="0" fontId="69" fillId="2" borderId="0" xfId="0" applyFont="1" applyFill="1" applyAlignment="1">
      <alignment horizontal="center" vertical="center"/>
    </xf>
    <xf numFmtId="0" fontId="5" fillId="0" borderId="75" xfId="0" applyFont="1" applyBorder="1" applyAlignment="1" applyProtection="1">
      <alignment horizontal="center" vertical="center" wrapText="1"/>
      <protection locked="0"/>
    </xf>
    <xf numFmtId="0" fontId="38" fillId="0" borderId="75"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textRotation="90"/>
      <protection locked="0"/>
    </xf>
    <xf numFmtId="9" fontId="5" fillId="0" borderId="2" xfId="0" applyNumberFormat="1" applyFont="1" applyBorder="1" applyAlignment="1" applyProtection="1">
      <alignment horizontal="center" vertical="center"/>
      <protection hidden="1"/>
    </xf>
    <xf numFmtId="164" fontId="5" fillId="0" borderId="2" xfId="1" applyNumberFormat="1" applyFont="1" applyBorder="1" applyAlignment="1">
      <alignment horizontal="center" vertical="center"/>
    </xf>
    <xf numFmtId="0" fontId="69" fillId="0" borderId="2" xfId="0" applyFont="1" applyBorder="1" applyAlignment="1" applyProtection="1">
      <alignment horizontal="center" vertical="center" textRotation="90" wrapText="1"/>
      <protection hidden="1"/>
    </xf>
    <xf numFmtId="9" fontId="5" fillId="0" borderId="4" xfId="0" applyNumberFormat="1" applyFont="1" applyBorder="1" applyAlignment="1" applyProtection="1">
      <alignment horizontal="center" vertical="center"/>
      <protection hidden="1"/>
    </xf>
    <xf numFmtId="0" fontId="69" fillId="0" borderId="2" xfId="0" applyFont="1" applyBorder="1" applyAlignment="1" applyProtection="1">
      <alignment horizontal="center" vertical="center" textRotation="90"/>
      <protection hidden="1"/>
    </xf>
    <xf numFmtId="0" fontId="5" fillId="3" borderId="0" xfId="0" applyFont="1" applyFill="1" applyAlignment="1">
      <alignment vertical="center"/>
    </xf>
    <xf numFmtId="0" fontId="5" fillId="0" borderId="0" xfId="0" applyFont="1" applyAlignment="1">
      <alignment vertical="center"/>
    </xf>
    <xf numFmtId="0" fontId="38" fillId="0" borderId="2" xfId="0" applyFont="1" applyBorder="1" applyAlignment="1" applyProtection="1">
      <alignment horizontal="justify" vertical="center" wrapText="1"/>
      <protection locked="0"/>
    </xf>
    <xf numFmtId="0" fontId="5" fillId="0" borderId="2" xfId="0" applyFont="1" applyBorder="1" applyAlignment="1" applyProtection="1">
      <alignment horizontal="justify" vertical="center"/>
      <protection locked="0"/>
    </xf>
    <xf numFmtId="0" fontId="5" fillId="0" borderId="2" xfId="0" applyFont="1" applyBorder="1" applyAlignment="1" applyProtection="1">
      <alignment horizontal="justify" vertical="center" wrapText="1"/>
      <protection locked="0"/>
    </xf>
    <xf numFmtId="0" fontId="5" fillId="13" borderId="2" xfId="0" applyFont="1" applyFill="1" applyBorder="1" applyAlignment="1">
      <alignment horizontal="center" vertical="center"/>
    </xf>
    <xf numFmtId="0" fontId="5" fillId="13" borderId="2" xfId="0" applyFont="1" applyFill="1" applyBorder="1" applyAlignment="1" applyProtection="1">
      <alignment horizontal="justify" vertical="center" wrapText="1"/>
      <protection locked="0"/>
    </xf>
    <xf numFmtId="164" fontId="5" fillId="0" borderId="2" xfId="1" applyNumberFormat="1" applyFont="1" applyBorder="1" applyAlignment="1">
      <alignment horizontal="center" vertical="top"/>
    </xf>
    <xf numFmtId="0" fontId="69" fillId="0" borderId="2" xfId="0" applyFont="1" applyBorder="1" applyAlignment="1" applyProtection="1">
      <alignment horizontal="center" vertical="top" textRotation="90" wrapText="1"/>
      <protection hidden="1"/>
    </xf>
    <xf numFmtId="9" fontId="5" fillId="0" borderId="4" xfId="0" applyNumberFormat="1" applyFont="1" applyBorder="1" applyAlignment="1" applyProtection="1">
      <alignment horizontal="center" vertical="top"/>
      <protection hidden="1"/>
    </xf>
    <xf numFmtId="0" fontId="69" fillId="0" borderId="2" xfId="0" applyFont="1" applyBorder="1" applyAlignment="1" applyProtection="1">
      <alignment horizontal="center" vertical="top" textRotation="90"/>
      <protection hidden="1"/>
    </xf>
    <xf numFmtId="0" fontId="5" fillId="13" borderId="2" xfId="0" applyFont="1" applyFill="1" applyBorder="1" applyAlignment="1" applyProtection="1">
      <alignment horizontal="justify" vertical="center"/>
      <protection locked="0"/>
    </xf>
    <xf numFmtId="0" fontId="5" fillId="0" borderId="4" xfId="0" applyFont="1" applyBorder="1" applyAlignment="1" applyProtection="1">
      <alignment horizontal="center" vertical="top" wrapText="1"/>
      <protection locked="0"/>
    </xf>
    <xf numFmtId="0" fontId="5" fillId="0" borderId="75" xfId="0" applyFont="1" applyBorder="1" applyAlignment="1" applyProtection="1">
      <alignment horizontal="center" vertical="top" wrapText="1"/>
      <protection locked="0"/>
    </xf>
    <xf numFmtId="0" fontId="38" fillId="3" borderId="75" xfId="0" applyFont="1" applyFill="1" applyBorder="1" applyAlignment="1" applyProtection="1">
      <alignment horizontal="center" vertical="top" wrapText="1"/>
      <protection locked="0"/>
    </xf>
    <xf numFmtId="0" fontId="38" fillId="0" borderId="75" xfId="0" applyFont="1" applyBorder="1" applyAlignment="1" applyProtection="1">
      <alignment horizontal="center" vertical="top" wrapText="1"/>
      <protection locked="0"/>
    </xf>
    <xf numFmtId="0" fontId="5" fillId="0" borderId="2" xfId="0" applyFont="1" applyBorder="1" applyAlignment="1">
      <alignment horizontal="center" vertical="top"/>
    </xf>
    <xf numFmtId="0" fontId="5" fillId="0" borderId="2" xfId="0" applyFont="1" applyBorder="1" applyAlignment="1" applyProtection="1">
      <alignment horizontal="center" vertical="top"/>
      <protection hidden="1"/>
    </xf>
    <xf numFmtId="0" fontId="5" fillId="0" borderId="2" xfId="0" applyFont="1" applyBorder="1" applyAlignment="1" applyProtection="1">
      <alignment horizontal="center" vertical="top" textRotation="90"/>
      <protection locked="0"/>
    </xf>
    <xf numFmtId="9" fontId="5" fillId="0" borderId="2" xfId="0" applyNumberFormat="1" applyFont="1" applyBorder="1" applyAlignment="1" applyProtection="1">
      <alignment horizontal="center" vertical="top"/>
      <protection hidden="1"/>
    </xf>
    <xf numFmtId="0" fontId="5" fillId="0" borderId="4" xfId="0" applyFont="1" applyBorder="1" applyAlignment="1" applyProtection="1">
      <alignment horizontal="center" vertical="top" textRotation="90"/>
      <protection locked="0"/>
    </xf>
    <xf numFmtId="0" fontId="5" fillId="0" borderId="2" xfId="0" applyFont="1" applyBorder="1" applyAlignment="1" applyProtection="1">
      <alignment horizontal="center" vertical="top" wrapText="1"/>
      <protection locked="0"/>
    </xf>
    <xf numFmtId="0" fontId="5" fillId="0" borderId="2" xfId="0" applyFont="1" applyBorder="1" applyAlignment="1" applyProtection="1">
      <alignment horizontal="center" vertical="top"/>
      <protection locked="0"/>
    </xf>
    <xf numFmtId="14" fontId="5" fillId="0" borderId="2" xfId="0" applyNumberFormat="1" applyFont="1" applyBorder="1" applyAlignment="1" applyProtection="1">
      <alignment horizontal="center" vertical="top"/>
      <protection locked="0"/>
    </xf>
    <xf numFmtId="14"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8" xfId="0" applyFont="1" applyBorder="1" applyAlignment="1" applyProtection="1">
      <alignment horizontal="center" vertical="top" wrapText="1"/>
      <protection locked="0"/>
    </xf>
    <xf numFmtId="0" fontId="5" fillId="0" borderId="2" xfId="0" applyFont="1" applyBorder="1" applyAlignment="1" applyProtection="1">
      <alignment horizontal="justify" vertical="top"/>
      <protection locked="0"/>
    </xf>
    <xf numFmtId="0" fontId="5" fillId="0" borderId="5" xfId="0" applyFont="1" applyBorder="1" applyAlignment="1" applyProtection="1">
      <alignment horizontal="center" vertical="top" wrapText="1"/>
      <protection locked="0"/>
    </xf>
    <xf numFmtId="0" fontId="38" fillId="0" borderId="8" xfId="0" applyFont="1" applyBorder="1" applyAlignment="1" applyProtection="1">
      <alignment horizontal="center" vertical="top" wrapText="1"/>
      <protection locked="0"/>
    </xf>
    <xf numFmtId="0" fontId="38" fillId="0" borderId="5"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69"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xf>
    <xf numFmtId="14" fontId="5" fillId="0" borderId="0" xfId="0" applyNumberFormat="1" applyFont="1" applyAlignment="1">
      <alignment horizontal="center" vertical="center"/>
    </xf>
    <xf numFmtId="2" fontId="5" fillId="0" borderId="0" xfId="0" applyNumberFormat="1" applyFont="1" applyAlignment="1">
      <alignment horizontal="center" vertical="center"/>
    </xf>
    <xf numFmtId="0" fontId="44" fillId="3" borderId="64" xfId="2" applyFont="1" applyFill="1" applyBorder="1" applyAlignment="1">
      <alignment horizontal="justify" vertical="center" wrapText="1"/>
    </xf>
    <xf numFmtId="0" fontId="44" fillId="3" borderId="65" xfId="2" applyFont="1" applyFill="1" applyBorder="1" applyAlignment="1">
      <alignment horizontal="justify" vertical="center" wrapText="1"/>
    </xf>
    <xf numFmtId="0" fontId="43" fillId="3" borderId="71" xfId="0" applyFont="1" applyFill="1" applyBorder="1" applyAlignment="1">
      <alignment horizontal="left" vertical="center" wrapText="1"/>
    </xf>
    <xf numFmtId="0" fontId="43" fillId="3" borderId="72" xfId="0" applyFont="1" applyFill="1" applyBorder="1" applyAlignment="1">
      <alignment horizontal="left" vertical="center" wrapText="1"/>
    </xf>
    <xf numFmtId="0" fontId="43" fillId="3" borderId="58" xfId="3" applyFont="1" applyFill="1" applyBorder="1" applyAlignment="1">
      <alignment horizontal="left" vertical="top" wrapText="1" readingOrder="1"/>
    </xf>
    <xf numFmtId="0" fontId="43" fillId="3" borderId="59" xfId="3" applyFont="1" applyFill="1" applyBorder="1" applyAlignment="1">
      <alignment horizontal="left" vertical="top" wrapText="1" readingOrder="1"/>
    </xf>
    <xf numFmtId="0" fontId="44" fillId="3" borderId="60" xfId="2" applyFont="1" applyFill="1" applyBorder="1" applyAlignment="1">
      <alignment horizontal="justify" vertical="center" wrapText="1"/>
    </xf>
    <xf numFmtId="0" fontId="44" fillId="3" borderId="61" xfId="2" applyFont="1" applyFill="1" applyBorder="1" applyAlignment="1">
      <alignment horizontal="justify" vertical="center" wrapText="1"/>
    </xf>
    <xf numFmtId="0" fontId="43" fillId="3" borderId="62" xfId="0" applyFont="1" applyFill="1" applyBorder="1" applyAlignment="1">
      <alignment horizontal="left" vertical="center" wrapText="1"/>
    </xf>
    <xf numFmtId="0" fontId="43" fillId="3" borderId="63" xfId="0" applyFont="1" applyFill="1" applyBorder="1" applyAlignment="1">
      <alignment horizontal="left" vertical="center" wrapText="1"/>
    </xf>
    <xf numFmtId="0" fontId="38" fillId="3" borderId="14" xfId="2" applyFont="1" applyFill="1" applyBorder="1" applyAlignment="1">
      <alignment horizontal="left" vertical="top" wrapText="1"/>
    </xf>
    <xf numFmtId="0" fontId="38" fillId="3" borderId="0" xfId="2" applyFont="1" applyFill="1" applyAlignment="1">
      <alignment horizontal="left" vertical="top" wrapText="1"/>
    </xf>
    <xf numFmtId="0" fontId="38" fillId="3" borderId="15" xfId="2" applyFont="1" applyFill="1" applyBorder="1" applyAlignment="1">
      <alignment horizontal="left" vertical="top" wrapText="1"/>
    </xf>
    <xf numFmtId="0" fontId="43" fillId="3" borderId="73" xfId="0" applyFont="1" applyFill="1" applyBorder="1" applyAlignment="1">
      <alignment horizontal="left" vertical="center" wrapText="1"/>
    </xf>
    <xf numFmtId="0" fontId="43" fillId="3" borderId="74" xfId="0" applyFont="1" applyFill="1" applyBorder="1" applyAlignment="1">
      <alignment horizontal="left" vertical="center" wrapText="1"/>
    </xf>
    <xf numFmtId="0" fontId="44" fillId="3" borderId="66" xfId="0" applyFont="1" applyFill="1" applyBorder="1" applyAlignment="1">
      <alignment horizontal="justify" vertical="center" wrapText="1"/>
    </xf>
    <xf numFmtId="0" fontId="44" fillId="3" borderId="67" xfId="0" applyFont="1" applyFill="1" applyBorder="1" applyAlignment="1">
      <alignment horizontal="justify" vertical="center" wrapText="1"/>
    </xf>
    <xf numFmtId="0" fontId="39" fillId="14" borderId="48" xfId="2" applyFont="1" applyFill="1" applyBorder="1" applyAlignment="1">
      <alignment horizontal="center" vertical="center" wrapText="1"/>
    </xf>
    <xf numFmtId="0" fontId="39" fillId="14" borderId="49" xfId="2" applyFont="1" applyFill="1" applyBorder="1" applyAlignment="1">
      <alignment horizontal="center" vertical="center" wrapText="1"/>
    </xf>
    <xf numFmtId="0" fontId="39" fillId="14" borderId="50" xfId="2" applyFont="1" applyFill="1" applyBorder="1" applyAlignment="1">
      <alignment horizontal="center" vertical="center" wrapText="1"/>
    </xf>
    <xf numFmtId="0" fontId="38" fillId="0" borderId="14" xfId="2" quotePrefix="1" applyFont="1" applyBorder="1" applyAlignment="1">
      <alignment horizontal="left" vertical="center" wrapText="1"/>
    </xf>
    <xf numFmtId="0" fontId="38" fillId="0" borderId="0" xfId="2" quotePrefix="1" applyFont="1" applyAlignment="1">
      <alignment horizontal="left" vertical="center" wrapText="1"/>
    </xf>
    <xf numFmtId="0" fontId="38" fillId="0" borderId="15" xfId="2" quotePrefix="1" applyFont="1" applyBorder="1" applyAlignment="1">
      <alignment horizontal="left" vertical="center" wrapText="1"/>
    </xf>
    <xf numFmtId="0" fontId="38" fillId="0" borderId="68" xfId="2" quotePrefix="1" applyFont="1" applyBorder="1" applyAlignment="1">
      <alignment horizontal="left" vertical="center" wrapText="1"/>
    </xf>
    <xf numFmtId="0" fontId="38" fillId="0" borderId="69" xfId="2" quotePrefix="1" applyFont="1" applyBorder="1" applyAlignment="1">
      <alignment horizontal="left" vertical="center" wrapText="1"/>
    </xf>
    <xf numFmtId="0" fontId="38" fillId="0" borderId="70" xfId="2" quotePrefix="1" applyFont="1" applyBorder="1" applyAlignment="1">
      <alignment horizontal="left" vertical="center" wrapText="1"/>
    </xf>
    <xf numFmtId="0" fontId="40" fillId="3" borderId="51" xfId="2" quotePrefix="1" applyFont="1" applyFill="1" applyBorder="1" applyAlignment="1">
      <alignment horizontal="left" vertical="top" wrapText="1"/>
    </xf>
    <xf numFmtId="0" fontId="41" fillId="3" borderId="52" xfId="2" quotePrefix="1" applyFont="1" applyFill="1" applyBorder="1" applyAlignment="1">
      <alignment horizontal="left" vertical="top" wrapText="1"/>
    </xf>
    <xf numFmtId="0" fontId="41" fillId="3" borderId="53" xfId="2" quotePrefix="1" applyFont="1" applyFill="1" applyBorder="1" applyAlignment="1">
      <alignment horizontal="left" vertical="top" wrapText="1"/>
    </xf>
    <xf numFmtId="0" fontId="38" fillId="0" borderId="14" xfId="2" quotePrefix="1" applyFont="1" applyBorder="1" applyAlignment="1">
      <alignment horizontal="left" vertical="top" wrapText="1"/>
    </xf>
    <xf numFmtId="0" fontId="38" fillId="0" borderId="0" xfId="2" quotePrefix="1" applyFont="1" applyAlignment="1">
      <alignment horizontal="left" vertical="top" wrapText="1"/>
    </xf>
    <xf numFmtId="0" fontId="38" fillId="0" borderId="15" xfId="2" quotePrefix="1" applyFont="1" applyBorder="1" applyAlignment="1">
      <alignment horizontal="left" vertical="top" wrapText="1"/>
    </xf>
    <xf numFmtId="0" fontId="43" fillId="14" borderId="54" xfId="3" applyFont="1" applyFill="1" applyBorder="1" applyAlignment="1">
      <alignment horizontal="center" vertical="center" wrapText="1"/>
    </xf>
    <xf numFmtId="0" fontId="43" fillId="14" borderId="55" xfId="3" applyFont="1" applyFill="1" applyBorder="1" applyAlignment="1">
      <alignment horizontal="center" vertical="center" wrapText="1"/>
    </xf>
    <xf numFmtId="0" fontId="43" fillId="14" borderId="56" xfId="2" applyFont="1" applyFill="1" applyBorder="1" applyAlignment="1">
      <alignment horizontal="center" vertical="center"/>
    </xf>
    <xf numFmtId="0" fontId="43" fillId="14" borderId="57" xfId="2" applyFont="1" applyFill="1" applyBorder="1" applyAlignment="1">
      <alignment horizontal="center" vertical="center"/>
    </xf>
    <xf numFmtId="0" fontId="1" fillId="3" borderId="68" xfId="2" quotePrefix="1" applyFont="1" applyFill="1" applyBorder="1" applyAlignment="1">
      <alignment horizontal="justify" vertical="center" wrapText="1"/>
    </xf>
    <xf numFmtId="0" fontId="1" fillId="3" borderId="69" xfId="2" quotePrefix="1" applyFont="1" applyFill="1" applyBorder="1" applyAlignment="1">
      <alignment horizontal="justify" vertical="center" wrapText="1"/>
    </xf>
    <xf numFmtId="0" fontId="1" fillId="3" borderId="70" xfId="2" quotePrefix="1" applyFont="1" applyFill="1" applyBorder="1" applyAlignment="1">
      <alignment horizontal="justify" vertical="center" wrapText="1"/>
    </xf>
    <xf numFmtId="0" fontId="60" fillId="16" borderId="39" xfId="0" applyFont="1" applyFill="1" applyBorder="1" applyAlignment="1">
      <alignment horizontal="left" vertical="center" wrapText="1"/>
    </xf>
    <xf numFmtId="0" fontId="60" fillId="16" borderId="40" xfId="0" applyFont="1" applyFill="1" applyBorder="1" applyAlignment="1">
      <alignment horizontal="left" vertical="center"/>
    </xf>
    <xf numFmtId="0" fontId="60" fillId="16" borderId="41" xfId="0" applyFont="1" applyFill="1" applyBorder="1" applyAlignment="1">
      <alignment horizontal="left" vertical="center"/>
    </xf>
    <xf numFmtId="0" fontId="60" fillId="3" borderId="0" xfId="0" applyFont="1" applyFill="1" applyAlignment="1">
      <alignment horizontal="center" vertical="center" wrapText="1"/>
    </xf>
    <xf numFmtId="0" fontId="55" fillId="0" borderId="77" xfId="0" applyFont="1" applyBorder="1" applyAlignment="1">
      <alignment vertical="center" wrapText="1"/>
    </xf>
    <xf numFmtId="0" fontId="55" fillId="0" borderId="37" xfId="0" applyFont="1" applyBorder="1" applyAlignment="1">
      <alignment vertical="center" wrapText="1"/>
    </xf>
    <xf numFmtId="0" fontId="56" fillId="0" borderId="78" xfId="0" applyFont="1" applyBorder="1" applyAlignment="1">
      <alignment horizontal="center" vertical="center" wrapText="1"/>
    </xf>
    <xf numFmtId="0" fontId="56" fillId="0" borderId="33" xfId="0" applyFont="1" applyBorder="1" applyAlignment="1">
      <alignment horizontal="center" vertical="center" wrapText="1"/>
    </xf>
    <xf numFmtId="0" fontId="58" fillId="0" borderId="79" xfId="0" applyFont="1" applyBorder="1" applyAlignment="1">
      <alignment horizontal="center" vertical="center" wrapText="1"/>
    </xf>
    <xf numFmtId="0" fontId="58" fillId="0" borderId="38" xfId="0" applyFont="1" applyBorder="1" applyAlignment="1">
      <alignment horizontal="center" vertical="center" wrapText="1"/>
    </xf>
    <xf numFmtId="0" fontId="55" fillId="0" borderId="0" xfId="0" applyFont="1" applyAlignment="1">
      <alignment horizontal="center" vertical="center" wrapText="1"/>
    </xf>
    <xf numFmtId="0" fontId="55" fillId="0" borderId="80" xfId="0" applyFont="1" applyBorder="1" applyAlignment="1">
      <alignment horizontal="center" vertical="center" wrapText="1"/>
    </xf>
    <xf numFmtId="0" fontId="55" fillId="0" borderId="81" xfId="0" applyFont="1" applyBorder="1" applyAlignment="1">
      <alignment horizontal="center" vertical="center" wrapText="1"/>
    </xf>
    <xf numFmtId="0" fontId="55" fillId="0" borderId="82" xfId="0" applyFont="1" applyBorder="1" applyAlignment="1">
      <alignment horizontal="center" vertical="center" wrapText="1"/>
    </xf>
    <xf numFmtId="0" fontId="59" fillId="16" borderId="37" xfId="0" applyFont="1" applyFill="1" applyBorder="1" applyAlignment="1">
      <alignment horizontal="center" vertical="center" wrapText="1"/>
    </xf>
    <xf numFmtId="0" fontId="59" fillId="16" borderId="33" xfId="0" applyFont="1" applyFill="1" applyBorder="1" applyAlignment="1">
      <alignment horizontal="center" vertical="center" wrapText="1"/>
    </xf>
    <xf numFmtId="0" fontId="59" fillId="16" borderId="38" xfId="0" applyFont="1" applyFill="1" applyBorder="1" applyAlignment="1">
      <alignment horizontal="center" vertical="center" wrapText="1"/>
    </xf>
    <xf numFmtId="0" fontId="57" fillId="16" borderId="37" xfId="0" applyFont="1" applyFill="1" applyBorder="1" applyAlignment="1">
      <alignment horizontal="left" vertical="center"/>
    </xf>
    <xf numFmtId="0" fontId="57" fillId="16" borderId="33" xfId="0" applyFont="1" applyFill="1" applyBorder="1" applyAlignment="1">
      <alignment horizontal="left" vertical="center"/>
    </xf>
    <xf numFmtId="0" fontId="57" fillId="16" borderId="38" xfId="0" applyFont="1" applyFill="1" applyBorder="1" applyAlignment="1">
      <alignment horizontal="left" vertical="center"/>
    </xf>
    <xf numFmtId="0" fontId="56" fillId="0" borderId="84" xfId="0" applyFont="1" applyBorder="1" applyAlignment="1">
      <alignment horizontal="center" vertical="center" wrapText="1"/>
    </xf>
    <xf numFmtId="0" fontId="56" fillId="0" borderId="105" xfId="0" applyFont="1" applyBorder="1" applyAlignment="1">
      <alignment horizontal="center" vertical="center" wrapText="1"/>
    </xf>
    <xf numFmtId="0" fontId="56" fillId="0" borderId="34" xfId="0" applyFont="1" applyBorder="1" applyAlignment="1">
      <alignment horizontal="center" vertical="center" wrapText="1"/>
    </xf>
    <xf numFmtId="0" fontId="63" fillId="20" borderId="39" xfId="0" applyFont="1" applyFill="1" applyBorder="1" applyAlignment="1">
      <alignment horizontal="right" vertical="center"/>
    </xf>
    <xf numFmtId="0" fontId="63" fillId="20" borderId="40" xfId="0" applyFont="1" applyFill="1" applyBorder="1" applyAlignment="1">
      <alignment horizontal="right" vertical="center"/>
    </xf>
    <xf numFmtId="0" fontId="57" fillId="0" borderId="78" xfId="0" applyFont="1" applyBorder="1" applyAlignment="1">
      <alignment horizontal="left" vertical="center" wrapText="1"/>
    </xf>
    <xf numFmtId="0" fontId="57" fillId="0" borderId="79" xfId="0" applyFont="1" applyBorder="1" applyAlignment="1">
      <alignment horizontal="left" vertical="center" wrapText="1"/>
    </xf>
    <xf numFmtId="0" fontId="57" fillId="0" borderId="33" xfId="0" applyFont="1" applyBorder="1" applyAlignment="1">
      <alignment horizontal="left" vertical="center" wrapText="1"/>
    </xf>
    <xf numFmtId="0" fontId="57" fillId="0" borderId="38" xfId="0" applyFont="1" applyBorder="1" applyAlignment="1">
      <alignment horizontal="left" vertical="center" wrapText="1"/>
    </xf>
    <xf numFmtId="0" fontId="0" fillId="0" borderId="69" xfId="0" applyBorder="1" applyAlignment="1">
      <alignment horizontal="center"/>
    </xf>
    <xf numFmtId="0" fontId="0" fillId="0" borderId="88" xfId="0" applyBorder="1" applyAlignment="1">
      <alignment horizontal="center"/>
    </xf>
    <xf numFmtId="0" fontId="57" fillId="16" borderId="33" xfId="0" applyFont="1" applyFill="1" applyBorder="1" applyAlignment="1">
      <alignment vertical="center"/>
    </xf>
    <xf numFmtId="0" fontId="57" fillId="16" borderId="40" xfId="0" applyFont="1" applyFill="1" applyBorder="1" applyAlignment="1">
      <alignment horizontal="left" vertical="center" wrapText="1"/>
    </xf>
    <xf numFmtId="0" fontId="63" fillId="19" borderId="36" xfId="0" applyFont="1" applyFill="1" applyBorder="1" applyAlignment="1">
      <alignment horizontal="center" vertical="center" wrapText="1"/>
    </xf>
    <xf numFmtId="0" fontId="63" fillId="19" borderId="47" xfId="0" applyFont="1" applyFill="1" applyBorder="1" applyAlignment="1">
      <alignment horizontal="center" vertical="center" wrapText="1"/>
    </xf>
    <xf numFmtId="0" fontId="63" fillId="20" borderId="12" xfId="0" applyFont="1" applyFill="1" applyBorder="1" applyAlignment="1">
      <alignment horizontal="right" vertical="center"/>
    </xf>
    <xf numFmtId="0" fontId="63" fillId="20" borderId="19" xfId="0" applyFont="1" applyFill="1" applyBorder="1" applyAlignment="1">
      <alignment horizontal="right" vertical="center"/>
    </xf>
    <xf numFmtId="0" fontId="63" fillId="20" borderId="86" xfId="0" applyFont="1" applyFill="1" applyBorder="1" applyAlignment="1">
      <alignment horizontal="right" vertical="center"/>
    </xf>
    <xf numFmtId="0" fontId="0" fillId="0" borderId="19" xfId="0" applyBorder="1" applyAlignment="1">
      <alignment horizontal="center"/>
    </xf>
    <xf numFmtId="0" fontId="0" fillId="0" borderId="86" xfId="0" applyBorder="1" applyAlignment="1">
      <alignment horizontal="center"/>
    </xf>
    <xf numFmtId="0" fontId="0" fillId="0" borderId="0" xfId="0" applyAlignment="1">
      <alignment horizontal="center"/>
    </xf>
    <xf numFmtId="0" fontId="0" fillId="0" borderId="87" xfId="0" applyBorder="1" applyAlignment="1">
      <alignment horizontal="center"/>
    </xf>
    <xf numFmtId="0" fontId="36" fillId="3" borderId="92" xfId="0" applyFont="1" applyFill="1" applyBorder="1" applyAlignment="1" applyProtection="1">
      <alignment horizontal="left" vertical="center" wrapText="1"/>
      <protection locked="0"/>
    </xf>
    <xf numFmtId="0" fontId="36" fillId="3" borderId="81" xfId="0" applyFont="1" applyFill="1" applyBorder="1" applyAlignment="1" applyProtection="1">
      <alignment horizontal="left" vertical="center" wrapText="1"/>
      <protection locked="0"/>
    </xf>
    <xf numFmtId="0" fontId="36" fillId="3" borderId="99" xfId="0" applyFont="1" applyFill="1" applyBorder="1" applyAlignment="1" applyProtection="1">
      <alignment horizontal="left" vertical="center" wrapText="1"/>
      <protection locked="0"/>
    </xf>
    <xf numFmtId="0" fontId="68" fillId="19" borderId="92" xfId="0" applyFont="1" applyFill="1" applyBorder="1" applyAlignment="1">
      <alignment horizontal="center" vertical="center"/>
    </xf>
    <xf numFmtId="0" fontId="68" fillId="19" borderId="81" xfId="0" applyFont="1" applyFill="1" applyBorder="1" applyAlignment="1">
      <alignment horizontal="center" vertical="center"/>
    </xf>
    <xf numFmtId="0" fontId="68" fillId="19" borderId="99" xfId="0" applyFont="1" applyFill="1" applyBorder="1" applyAlignment="1">
      <alignment horizontal="center" vertical="center"/>
    </xf>
    <xf numFmtId="0" fontId="36" fillId="0" borderId="92" xfId="0" applyFont="1" applyBorder="1" applyAlignment="1" applyProtection="1">
      <alignment horizontal="left" vertical="center" wrapText="1"/>
      <protection locked="0"/>
    </xf>
    <xf numFmtId="0" fontId="36" fillId="0" borderId="81" xfId="0" applyFont="1" applyBorder="1" applyAlignment="1" applyProtection="1">
      <alignment horizontal="left" vertical="center" wrapText="1"/>
      <protection locked="0"/>
    </xf>
    <xf numFmtId="0" fontId="36" fillId="0" borderId="99" xfId="0" applyFont="1" applyBorder="1" applyAlignment="1" applyProtection="1">
      <alignment horizontal="left" vertical="center" wrapText="1"/>
      <protection locked="0"/>
    </xf>
    <xf numFmtId="0" fontId="57" fillId="0" borderId="0" xfId="0" applyFont="1" applyAlignment="1">
      <alignment horizontal="center"/>
    </xf>
    <xf numFmtId="0" fontId="36" fillId="3" borderId="0" xfId="0" applyFont="1" applyFill="1" applyAlignment="1">
      <alignment horizontal="left"/>
    </xf>
    <xf numFmtId="0" fontId="36" fillId="3" borderId="33" xfId="0" applyFont="1" applyFill="1" applyBorder="1" applyAlignment="1" applyProtection="1">
      <alignment horizontal="left" vertical="center"/>
      <protection locked="0"/>
    </xf>
    <xf numFmtId="0" fontId="36" fillId="3" borderId="92" xfId="0" applyFont="1" applyFill="1" applyBorder="1" applyAlignment="1" applyProtection="1">
      <alignment horizontal="left" vertical="center"/>
      <protection locked="0"/>
    </xf>
    <xf numFmtId="0" fontId="36" fillId="3" borderId="99" xfId="0" applyFont="1" applyFill="1" applyBorder="1" applyAlignment="1" applyProtection="1">
      <alignment horizontal="left" vertical="center"/>
      <protection locked="0"/>
    </xf>
    <xf numFmtId="0" fontId="36" fillId="3" borderId="81" xfId="0" applyFont="1" applyFill="1" applyBorder="1" applyAlignment="1" applyProtection="1">
      <alignment horizontal="left" vertical="center"/>
      <protection locked="0"/>
    </xf>
    <xf numFmtId="0" fontId="36" fillId="3" borderId="92" xfId="0" applyFont="1" applyFill="1" applyBorder="1" applyAlignment="1" applyProtection="1">
      <alignment horizontal="center" vertical="center"/>
      <protection locked="0"/>
    </xf>
    <xf numFmtId="0" fontId="36" fillId="3" borderId="99" xfId="0" applyFont="1" applyFill="1" applyBorder="1" applyAlignment="1" applyProtection="1">
      <alignment horizontal="center" vertical="center"/>
      <protection locked="0"/>
    </xf>
    <xf numFmtId="0" fontId="36" fillId="3" borderId="81" xfId="0" applyFont="1" applyFill="1" applyBorder="1" applyAlignment="1" applyProtection="1">
      <alignment horizontal="center" vertical="center"/>
      <protection locked="0"/>
    </xf>
    <xf numFmtId="0" fontId="68" fillId="19" borderId="95" xfId="0" applyFont="1" applyFill="1" applyBorder="1" applyAlignment="1">
      <alignment horizontal="center" vertical="center" textRotation="255"/>
    </xf>
    <xf numFmtId="0" fontId="68" fillId="19" borderId="105" xfId="0" applyFont="1" applyFill="1" applyBorder="1" applyAlignment="1">
      <alignment horizontal="center" vertical="center" textRotation="255"/>
    </xf>
    <xf numFmtId="0" fontId="68" fillId="19" borderId="34" xfId="0" applyFont="1" applyFill="1" applyBorder="1" applyAlignment="1">
      <alignment horizontal="center" vertical="center" textRotation="255"/>
    </xf>
    <xf numFmtId="0" fontId="68" fillId="19" borderId="33" xfId="0" applyFont="1" applyFill="1" applyBorder="1" applyAlignment="1">
      <alignment horizontal="center" vertical="center" wrapText="1"/>
    </xf>
    <xf numFmtId="0" fontId="68" fillId="19" borderId="33" xfId="0" applyFont="1" applyFill="1" applyBorder="1" applyAlignment="1">
      <alignment horizontal="center" vertical="center"/>
    </xf>
    <xf numFmtId="0" fontId="68" fillId="19" borderId="92" xfId="0" applyFont="1" applyFill="1" applyBorder="1" applyAlignment="1">
      <alignment horizontal="center" vertical="center" wrapText="1"/>
    </xf>
    <xf numFmtId="0" fontId="62" fillId="0" borderId="92" xfId="0" applyFont="1" applyBorder="1" applyAlignment="1">
      <alignment horizontal="left" vertical="center" wrapText="1"/>
    </xf>
    <xf numFmtId="0" fontId="62" fillId="0" borderId="81" xfId="0" applyFont="1" applyBorder="1" applyAlignment="1">
      <alignment horizontal="left" vertical="center" wrapText="1"/>
    </xf>
    <xf numFmtId="0" fontId="62" fillId="0" borderId="99" xfId="0" applyFont="1" applyBorder="1" applyAlignment="1">
      <alignment horizontal="left" vertical="center" wrapText="1"/>
    </xf>
    <xf numFmtId="0" fontId="36" fillId="3" borderId="33" xfId="0" applyFont="1" applyFill="1" applyBorder="1" applyAlignment="1" applyProtection="1">
      <alignment horizontal="left" vertical="center" wrapText="1"/>
      <protection locked="0"/>
    </xf>
    <xf numFmtId="0" fontId="36" fillId="3" borderId="95" xfId="0" applyFont="1" applyFill="1" applyBorder="1" applyAlignment="1" applyProtection="1">
      <alignment horizontal="left" vertical="center"/>
      <protection locked="0"/>
    </xf>
    <xf numFmtId="0" fontId="68" fillId="19" borderId="33" xfId="0" applyFont="1" applyFill="1" applyBorder="1" applyAlignment="1">
      <alignment horizontal="center" vertical="center" textRotation="255"/>
    </xf>
    <xf numFmtId="0" fontId="63" fillId="20" borderId="51" xfId="0" applyFont="1" applyFill="1" applyBorder="1" applyAlignment="1">
      <alignment horizontal="left" vertical="center"/>
    </xf>
    <xf numFmtId="0" fontId="63" fillId="20" borderId="52" xfId="0" applyFont="1" applyFill="1" applyBorder="1" applyAlignment="1">
      <alignment horizontal="left" vertical="center"/>
    </xf>
    <xf numFmtId="0" fontId="63" fillId="20" borderId="53" xfId="0" applyFont="1" applyFill="1" applyBorder="1" applyAlignment="1">
      <alignment horizontal="left" vertical="center"/>
    </xf>
    <xf numFmtId="0" fontId="63" fillId="20" borderId="16" xfId="0" applyFont="1" applyFill="1" applyBorder="1" applyAlignment="1">
      <alignment horizontal="left" vertical="center"/>
    </xf>
    <xf numFmtId="0" fontId="63" fillId="20" borderId="18" xfId="0" applyFont="1" applyFill="1" applyBorder="1" applyAlignment="1">
      <alignment horizontal="left" vertical="center"/>
    </xf>
    <xf numFmtId="0" fontId="63" fillId="20" borderId="17" xfId="0" applyFont="1" applyFill="1" applyBorder="1" applyAlignment="1">
      <alignment horizontal="left" vertical="center"/>
    </xf>
    <xf numFmtId="0" fontId="67" fillId="19" borderId="33" xfId="0" applyFont="1" applyFill="1" applyBorder="1" applyAlignment="1">
      <alignment horizontal="center" vertical="center" wrapText="1"/>
    </xf>
    <xf numFmtId="0" fontId="68" fillId="19" borderId="92" xfId="0" applyFont="1" applyFill="1" applyBorder="1" applyAlignment="1">
      <alignment horizontal="center"/>
    </xf>
    <xf numFmtId="0" fontId="68" fillId="19" borderId="81" xfId="0" applyFont="1" applyFill="1" applyBorder="1" applyAlignment="1">
      <alignment horizontal="center"/>
    </xf>
    <xf numFmtId="0" fontId="68" fillId="19" borderId="99" xfId="0" applyFont="1" applyFill="1" applyBorder="1" applyAlignment="1">
      <alignment horizontal="center"/>
    </xf>
    <xf numFmtId="0" fontId="68" fillId="19" borderId="81" xfId="0" applyFont="1" applyFill="1" applyBorder="1" applyAlignment="1">
      <alignment horizontal="center" vertical="center" wrapText="1"/>
    </xf>
    <xf numFmtId="0" fontId="68" fillId="19" borderId="99" xfId="0" applyFont="1" applyFill="1" applyBorder="1" applyAlignment="1">
      <alignment horizontal="center" vertical="center" wrapText="1"/>
    </xf>
    <xf numFmtId="0" fontId="68" fillId="19" borderId="103" xfId="0" applyFont="1" applyFill="1" applyBorder="1" applyAlignment="1">
      <alignment horizontal="center" vertical="center" wrapText="1"/>
    </xf>
    <xf numFmtId="0" fontId="68" fillId="19" borderId="49" xfId="0" applyFont="1" applyFill="1" applyBorder="1" applyAlignment="1">
      <alignment horizontal="center" vertical="center" wrapText="1"/>
    </xf>
    <xf numFmtId="0" fontId="68" fillId="19" borderId="104" xfId="0" applyFont="1" applyFill="1" applyBorder="1" applyAlignment="1">
      <alignment horizontal="center" vertical="center" wrapText="1"/>
    </xf>
    <xf numFmtId="0" fontId="57" fillId="0" borderId="103" xfId="0" applyFont="1" applyBorder="1" applyAlignment="1">
      <alignment horizontal="left" vertical="center" wrapText="1"/>
    </xf>
    <xf numFmtId="0" fontId="57" fillId="0" borderId="104" xfId="0" applyFont="1" applyBorder="1" applyAlignment="1">
      <alignment horizontal="left" vertical="center" wrapText="1"/>
    </xf>
    <xf numFmtId="0" fontId="57" fillId="0" borderId="85" xfId="0" applyFont="1" applyBorder="1" applyAlignment="1">
      <alignment horizontal="center" vertical="center" wrapText="1"/>
    </xf>
    <xf numFmtId="0" fontId="57" fillId="0" borderId="98" xfId="0" applyFont="1" applyBorder="1" applyAlignment="1">
      <alignment horizontal="center" vertical="center" wrapText="1"/>
    </xf>
    <xf numFmtId="0" fontId="57" fillId="0" borderId="43" xfId="0" applyFont="1" applyBorder="1" applyAlignment="1">
      <alignment horizontal="center" vertical="center" wrapText="1"/>
    </xf>
    <xf numFmtId="0" fontId="57" fillId="0" borderId="92" xfId="0" applyFont="1" applyBorder="1" applyAlignment="1">
      <alignment horizontal="left" vertical="center" wrapText="1"/>
    </xf>
    <xf numFmtId="0" fontId="57" fillId="0" borderId="99" xfId="0" applyFont="1" applyBorder="1" applyAlignment="1">
      <alignment horizontal="left" vertical="center" wrapText="1"/>
    </xf>
    <xf numFmtId="0" fontId="56" fillId="0" borderId="80" xfId="0" applyFont="1" applyBorder="1" applyAlignment="1">
      <alignment horizontal="center" vertical="center" wrapText="1"/>
    </xf>
    <xf numFmtId="0" fontId="56" fillId="0" borderId="81" xfId="0" applyFont="1" applyBorder="1" applyAlignment="1">
      <alignment horizontal="center" vertical="center" wrapText="1"/>
    </xf>
    <xf numFmtId="0" fontId="56" fillId="0" borderId="82" xfId="0" applyFont="1" applyBorder="1" applyAlignment="1">
      <alignment horizontal="center" vertical="center" wrapText="1"/>
    </xf>
    <xf numFmtId="0" fontId="56" fillId="0" borderId="96" xfId="0" applyFont="1" applyBorder="1" applyAlignment="1">
      <alignment horizontal="center" vertical="center" wrapText="1"/>
    </xf>
    <xf numFmtId="0" fontId="56" fillId="0" borderId="52" xfId="0" applyFont="1" applyBorder="1" applyAlignment="1">
      <alignment horizontal="center" vertical="center" wrapText="1"/>
    </xf>
    <xf numFmtId="0" fontId="56" fillId="0" borderId="107" xfId="0" applyFont="1" applyBorder="1" applyAlignment="1">
      <alignment horizontal="center" vertical="center" wrapText="1"/>
    </xf>
    <xf numFmtId="0" fontId="56" fillId="0" borderId="90" xfId="0" applyFont="1" applyBorder="1" applyAlignment="1">
      <alignment horizontal="center" vertical="center" wrapText="1"/>
    </xf>
    <xf numFmtId="0" fontId="56" fillId="0" borderId="69" xfId="0" applyFont="1" applyBorder="1" applyAlignment="1">
      <alignment horizontal="center" vertical="center" wrapText="1"/>
    </xf>
    <xf numFmtId="0" fontId="56" fillId="0" borderId="88" xfId="0" applyFont="1" applyBorder="1" applyAlignment="1">
      <alignment horizontal="center" vertical="center" wrapText="1"/>
    </xf>
    <xf numFmtId="9" fontId="5" fillId="0" borderId="4" xfId="0" applyNumberFormat="1" applyFont="1" applyBorder="1" applyAlignment="1" applyProtection="1">
      <alignment horizontal="center" vertical="top" wrapText="1"/>
      <protection locked="0"/>
    </xf>
    <xf numFmtId="9" fontId="5" fillId="0" borderId="8" xfId="0" applyNumberFormat="1" applyFont="1" applyBorder="1" applyAlignment="1" applyProtection="1">
      <alignment horizontal="center" vertical="top" wrapText="1"/>
      <protection locked="0"/>
    </xf>
    <xf numFmtId="9" fontId="5" fillId="0" borderId="5" xfId="0" applyNumberFormat="1" applyFont="1" applyBorder="1" applyAlignment="1" applyProtection="1">
      <alignment horizontal="center" vertical="top" wrapText="1"/>
      <protection locked="0"/>
    </xf>
    <xf numFmtId="9" fontId="5" fillId="0" borderId="4" xfId="0" applyNumberFormat="1" applyFont="1" applyBorder="1" applyAlignment="1" applyProtection="1">
      <alignment horizontal="center" vertical="top" wrapText="1"/>
      <protection hidden="1"/>
    </xf>
    <xf numFmtId="9" fontId="5" fillId="0" borderId="8" xfId="0" applyNumberFormat="1" applyFont="1" applyBorder="1" applyAlignment="1" applyProtection="1">
      <alignment horizontal="center" vertical="top" wrapText="1"/>
      <protection hidden="1"/>
    </xf>
    <xf numFmtId="9" fontId="5" fillId="0" borderId="5" xfId="0" applyNumberFormat="1" applyFont="1" applyBorder="1" applyAlignment="1" applyProtection="1">
      <alignment horizontal="center" vertical="top" wrapText="1"/>
      <protection hidden="1"/>
    </xf>
    <xf numFmtId="0" fontId="69" fillId="0" borderId="4" xfId="0" applyFont="1" applyBorder="1" applyAlignment="1" applyProtection="1">
      <alignment horizontal="center" vertical="top" wrapText="1"/>
      <protection hidden="1"/>
    </xf>
    <xf numFmtId="0" fontId="69" fillId="0" borderId="8" xfId="0" applyFont="1" applyBorder="1" applyAlignment="1" applyProtection="1">
      <alignment horizontal="center" vertical="top" wrapText="1"/>
      <protection hidden="1"/>
    </xf>
    <xf numFmtId="0" fontId="69" fillId="0" borderId="5" xfId="0" applyFont="1" applyBorder="1" applyAlignment="1" applyProtection="1">
      <alignment horizontal="center" vertical="top" wrapText="1"/>
      <protection hidden="1"/>
    </xf>
    <xf numFmtId="0" fontId="69" fillId="0" borderId="4" xfId="0" applyFont="1" applyBorder="1" applyAlignment="1" applyProtection="1">
      <alignment horizontal="center" vertical="top"/>
      <protection hidden="1"/>
    </xf>
    <xf numFmtId="0" fontId="69" fillId="0" borderId="8" xfId="0" applyFont="1" applyBorder="1" applyAlignment="1" applyProtection="1">
      <alignment horizontal="center" vertical="top"/>
      <protection hidden="1"/>
    </xf>
    <xf numFmtId="0" fontId="69" fillId="0" borderId="5" xfId="0" applyFont="1" applyBorder="1" applyAlignment="1" applyProtection="1">
      <alignment horizontal="center" vertical="top"/>
      <protection hidden="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38" fillId="0" borderId="8" xfId="0" applyFont="1" applyBorder="1" applyAlignment="1" applyProtection="1">
      <alignment horizontal="center" vertical="top" wrapText="1"/>
      <protection locked="0"/>
    </xf>
    <xf numFmtId="0" fontId="38" fillId="0" borderId="5" xfId="0" applyFont="1" applyBorder="1" applyAlignment="1" applyProtection="1">
      <alignment horizontal="center" vertical="top" wrapText="1"/>
      <protection locked="0"/>
    </xf>
    <xf numFmtId="0" fontId="5" fillId="0" borderId="4" xfId="0" applyFont="1" applyBorder="1" applyAlignment="1" applyProtection="1">
      <alignment horizontal="center" vertical="top"/>
      <protection locked="0"/>
    </xf>
    <xf numFmtId="0" fontId="5" fillId="0" borderId="8" xfId="0" applyFont="1" applyBorder="1" applyAlignment="1" applyProtection="1">
      <alignment horizontal="center" vertical="top"/>
      <protection locked="0"/>
    </xf>
    <xf numFmtId="0" fontId="5" fillId="0" borderId="5" xfId="0" applyFont="1" applyBorder="1" applyAlignment="1" applyProtection="1">
      <alignment horizontal="center" vertical="top"/>
      <protection locked="0"/>
    </xf>
    <xf numFmtId="0" fontId="5" fillId="0" borderId="2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38" fillId="0" borderId="75" xfId="0" applyFont="1" applyBorder="1" applyAlignment="1" applyProtection="1">
      <alignment horizontal="center" vertical="top" wrapText="1"/>
      <protection locked="0"/>
    </xf>
    <xf numFmtId="0" fontId="5" fillId="0" borderId="30" xfId="0" applyFont="1" applyBorder="1" applyAlignment="1" applyProtection="1">
      <alignment horizontal="center" vertical="top" wrapText="1"/>
      <protection locked="0"/>
    </xf>
    <xf numFmtId="0" fontId="5" fillId="0" borderId="76" xfId="0" applyFont="1" applyBorder="1" applyAlignment="1" applyProtection="1">
      <alignment horizontal="center" vertical="top" wrapText="1"/>
      <protection locked="0"/>
    </xf>
    <xf numFmtId="0" fontId="5" fillId="0" borderId="32" xfId="0" applyFont="1" applyBorder="1" applyAlignment="1" applyProtection="1">
      <alignment horizontal="center" vertical="top" wrapText="1"/>
      <protection locked="0"/>
    </xf>
    <xf numFmtId="15" fontId="5" fillId="13" borderId="109" xfId="0" applyNumberFormat="1" applyFont="1" applyFill="1" applyBorder="1" applyAlignment="1">
      <alignment horizontal="center" vertical="center" wrapText="1"/>
    </xf>
    <xf numFmtId="15" fontId="5" fillId="13" borderId="105" xfId="0" applyNumberFormat="1" applyFont="1" applyFill="1" applyBorder="1" applyAlignment="1">
      <alignment horizontal="center" vertical="center" wrapText="1"/>
    </xf>
    <xf numFmtId="15" fontId="5" fillId="13" borderId="34" xfId="0" applyNumberFormat="1" applyFont="1" applyFill="1" applyBorder="1" applyAlignment="1">
      <alignment horizontal="center" vertical="center" wrapText="1"/>
    </xf>
    <xf numFmtId="0" fontId="5" fillId="13" borderId="109" xfId="0" applyFont="1" applyFill="1" applyBorder="1" applyAlignment="1">
      <alignment horizontal="center" vertical="center" wrapText="1"/>
    </xf>
    <xf numFmtId="0" fontId="5" fillId="13" borderId="105" xfId="0" applyFont="1" applyFill="1" applyBorder="1" applyAlignment="1">
      <alignment horizontal="center" vertical="center" wrapText="1"/>
    </xf>
    <xf numFmtId="0" fontId="5" fillId="13" borderId="34" xfId="0" applyFont="1" applyFill="1" applyBorder="1" applyAlignment="1">
      <alignment horizontal="center" vertical="center" wrapText="1"/>
    </xf>
    <xf numFmtId="0" fontId="38" fillId="3" borderId="75" xfId="0" applyFont="1" applyFill="1" applyBorder="1" applyAlignment="1" applyProtection="1">
      <alignment horizontal="center" vertical="top" wrapText="1"/>
      <protection locked="0"/>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protection locked="0"/>
    </xf>
    <xf numFmtId="14" fontId="5" fillId="0" borderId="8" xfId="0" applyNumberFormat="1" applyFont="1" applyBorder="1" applyAlignment="1" applyProtection="1">
      <alignment horizontal="center" vertical="center"/>
      <protection locked="0"/>
    </xf>
    <xf numFmtId="14" fontId="5" fillId="0" borderId="5"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111" xfId="0" applyFont="1" applyBorder="1" applyAlignment="1" applyProtection="1">
      <alignment horizontal="center" vertical="center"/>
      <protection locked="0"/>
    </xf>
    <xf numFmtId="0" fontId="5" fillId="0" borderId="112" xfId="0" applyFont="1" applyBorder="1" applyAlignment="1" applyProtection="1">
      <alignment horizontal="center" vertical="center"/>
      <protection locked="0"/>
    </xf>
    <xf numFmtId="0" fontId="5" fillId="0" borderId="113" xfId="0" applyFont="1" applyBorder="1" applyAlignment="1" applyProtection="1">
      <alignment horizontal="center" vertical="center"/>
      <protection locked="0"/>
    </xf>
    <xf numFmtId="9" fontId="5" fillId="0" borderId="4" xfId="0" applyNumberFormat="1" applyFont="1" applyBorder="1" applyAlignment="1" applyProtection="1">
      <alignment horizontal="center" vertical="center" wrapText="1"/>
      <protection hidden="1"/>
    </xf>
    <xf numFmtId="9" fontId="5" fillId="0" borderId="8" xfId="0" applyNumberFormat="1" applyFont="1" applyBorder="1" applyAlignment="1" applyProtection="1">
      <alignment horizontal="center" vertical="center" wrapText="1"/>
      <protection hidden="1"/>
    </xf>
    <xf numFmtId="0" fontId="69" fillId="0" borderId="4" xfId="0" applyFont="1" applyBorder="1" applyAlignment="1" applyProtection="1">
      <alignment horizontal="center" vertical="center" wrapText="1"/>
      <protection hidden="1"/>
    </xf>
    <xf numFmtId="0" fontId="69" fillId="0" borderId="8" xfId="0" applyFont="1" applyBorder="1" applyAlignment="1" applyProtection="1">
      <alignment horizontal="center" vertical="center" wrapText="1"/>
      <protection hidden="1"/>
    </xf>
    <xf numFmtId="0" fontId="69" fillId="0" borderId="4" xfId="0" applyFont="1" applyBorder="1" applyAlignment="1" applyProtection="1">
      <alignment horizontal="center" vertical="center"/>
      <protection hidden="1"/>
    </xf>
    <xf numFmtId="0" fontId="69" fillId="0" borderId="8" xfId="0" applyFont="1" applyBorder="1" applyAlignment="1" applyProtection="1">
      <alignment horizontal="center" vertical="center"/>
      <protection hidden="1"/>
    </xf>
    <xf numFmtId="0" fontId="5" fillId="0" borderId="4" xfId="0" applyFont="1" applyBorder="1" applyAlignment="1" applyProtection="1">
      <alignment horizontal="center" vertical="center" textRotation="90"/>
      <protection locked="0"/>
    </xf>
    <xf numFmtId="0" fontId="5" fillId="0" borderId="8" xfId="0" applyFont="1" applyBorder="1" applyAlignment="1" applyProtection="1">
      <alignment horizontal="center" vertical="center" textRotation="90"/>
      <protection locked="0"/>
    </xf>
    <xf numFmtId="0" fontId="38" fillId="0" borderId="100" xfId="0" applyFont="1" applyBorder="1" applyAlignment="1" applyProtection="1">
      <alignment horizontal="center" vertical="center" wrapText="1"/>
      <protection locked="0"/>
    </xf>
    <xf numFmtId="0" fontId="38" fillId="0" borderId="101"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7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9" fontId="5" fillId="0" borderId="4" xfId="0" applyNumberFormat="1" applyFont="1" applyBorder="1" applyAlignment="1" applyProtection="1">
      <alignment horizontal="center" vertical="center" wrapText="1"/>
      <protection locked="0"/>
    </xf>
    <xf numFmtId="9" fontId="5" fillId="0" borderId="8" xfId="0" applyNumberFormat="1" applyFont="1" applyBorder="1" applyAlignment="1" applyProtection="1">
      <alignment horizontal="center" vertical="center" wrapText="1"/>
      <protection locked="0"/>
    </xf>
    <xf numFmtId="0" fontId="71" fillId="0" borderId="4" xfId="0" applyFont="1" applyBorder="1" applyAlignment="1" applyProtection="1">
      <alignment horizontal="center" vertical="center" wrapText="1"/>
      <protection locked="0"/>
    </xf>
    <xf numFmtId="0" fontId="71" fillId="0" borderId="8" xfId="0" applyFont="1" applyBorder="1" applyAlignment="1" applyProtection="1">
      <alignment horizontal="center" vertical="center" wrapText="1"/>
      <protection locked="0"/>
    </xf>
    <xf numFmtId="0" fontId="72" fillId="0" borderId="28" xfId="0" applyFont="1" applyBorder="1" applyAlignment="1" applyProtection="1">
      <alignment horizontal="center" vertical="center" wrapText="1"/>
      <protection locked="0"/>
    </xf>
    <xf numFmtId="0" fontId="72" fillId="0" borderId="9" xfId="0" applyFont="1" applyBorder="1" applyAlignment="1" applyProtection="1">
      <alignment horizontal="center" vertical="center" wrapText="1"/>
      <protection locked="0"/>
    </xf>
    <xf numFmtId="0" fontId="38" fillId="0" borderId="75" xfId="0" applyFont="1" applyBorder="1" applyAlignment="1" applyProtection="1">
      <alignment horizontal="center" vertical="center" wrapText="1"/>
      <protection locked="0"/>
    </xf>
    <xf numFmtId="0" fontId="38" fillId="0" borderId="10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textRotation="90"/>
      <protection locked="0"/>
    </xf>
    <xf numFmtId="0" fontId="69" fillId="2" borderId="105" xfId="0" applyFont="1" applyFill="1" applyBorder="1" applyAlignment="1">
      <alignment horizontal="center" vertical="center" wrapText="1"/>
    </xf>
    <xf numFmtId="0" fontId="69" fillId="2" borderId="110" xfId="0" applyFont="1" applyFill="1" applyBorder="1" applyAlignment="1">
      <alignment horizontal="center" vertical="center" wrapText="1"/>
    </xf>
    <xf numFmtId="0" fontId="69" fillId="2" borderId="2" xfId="0" applyFont="1" applyFill="1" applyBorder="1" applyAlignment="1">
      <alignment horizontal="center" vertical="center" textRotation="90" wrapText="1"/>
    </xf>
    <xf numFmtId="0" fontId="69" fillId="2" borderId="4" xfId="0" applyFont="1" applyFill="1" applyBorder="1" applyAlignment="1">
      <alignment horizontal="center" vertical="center" wrapText="1"/>
    </xf>
    <xf numFmtId="0" fontId="69" fillId="2" borderId="5" xfId="0" applyFont="1" applyFill="1" applyBorder="1" applyAlignment="1">
      <alignment horizontal="center" vertical="center" wrapText="1"/>
    </xf>
    <xf numFmtId="0" fontId="69" fillId="2" borderId="9" xfId="0" applyFont="1" applyFill="1" applyBorder="1" applyAlignment="1">
      <alignment horizontal="center" vertical="center" wrapText="1"/>
    </xf>
    <xf numFmtId="0" fontId="69" fillId="2" borderId="3" xfId="0" applyFont="1" applyFill="1" applyBorder="1" applyAlignment="1">
      <alignment horizontal="center" vertical="center"/>
    </xf>
    <xf numFmtId="0" fontId="69" fillId="2" borderId="9" xfId="0" applyFont="1" applyFill="1" applyBorder="1" applyAlignment="1">
      <alignment horizontal="center" vertical="center"/>
    </xf>
    <xf numFmtId="0" fontId="69" fillId="2" borderId="2" xfId="0" applyFont="1" applyFill="1" applyBorder="1" applyAlignment="1">
      <alignment horizontal="center" vertical="center" wrapText="1"/>
    </xf>
    <xf numFmtId="0" fontId="69" fillId="2" borderId="4" xfId="0" applyFont="1" applyFill="1" applyBorder="1" applyAlignment="1">
      <alignment horizontal="center" vertical="center" textRotation="90" wrapText="1"/>
    </xf>
    <xf numFmtId="0" fontId="69" fillId="2" borderId="5" xfId="0" applyFont="1" applyFill="1" applyBorder="1" applyAlignment="1">
      <alignment horizontal="center" vertical="center" textRotation="90" wrapText="1"/>
    </xf>
    <xf numFmtId="0" fontId="70" fillId="0" borderId="4" xfId="0" applyFont="1" applyBorder="1" applyAlignment="1" applyProtection="1">
      <alignment horizontal="center" vertical="center" wrapText="1"/>
      <protection locked="0"/>
    </xf>
    <xf numFmtId="0" fontId="70" fillId="0" borderId="8" xfId="0" applyFont="1" applyBorder="1" applyAlignment="1" applyProtection="1">
      <alignment horizontal="center" vertical="center" wrapText="1"/>
      <protection locked="0"/>
    </xf>
    <xf numFmtId="0" fontId="69" fillId="2" borderId="113" xfId="0" applyFont="1" applyFill="1" applyBorder="1" applyAlignment="1">
      <alignment horizontal="center" vertical="center" wrapText="1"/>
    </xf>
    <xf numFmtId="0" fontId="69" fillId="2" borderId="108" xfId="0" applyFont="1" applyFill="1" applyBorder="1" applyAlignment="1">
      <alignment horizontal="center" vertical="center" wrapText="1"/>
    </xf>
    <xf numFmtId="0" fontId="69" fillId="2" borderId="31" xfId="0" applyFont="1" applyFill="1" applyBorder="1" applyAlignment="1">
      <alignment horizontal="center" vertical="center"/>
    </xf>
    <xf numFmtId="0" fontId="69" fillId="2" borderId="4" xfId="0" applyFont="1" applyFill="1" applyBorder="1" applyAlignment="1">
      <alignment horizontal="center" vertical="center" textRotation="90"/>
    </xf>
    <xf numFmtId="0" fontId="69" fillId="2" borderId="5" xfId="0" applyFont="1" applyFill="1" applyBorder="1" applyAlignment="1">
      <alignment horizontal="center" vertical="center" textRotation="90"/>
    </xf>
    <xf numFmtId="0" fontId="69" fillId="2" borderId="2" xfId="0" applyFont="1" applyFill="1" applyBorder="1" applyAlignment="1">
      <alignment horizontal="center" vertical="center"/>
    </xf>
    <xf numFmtId="0" fontId="69" fillId="2" borderId="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69" fillId="2" borderId="6" xfId="0" applyFont="1" applyFill="1" applyBorder="1" applyAlignment="1">
      <alignment horizontal="left" vertical="center"/>
    </xf>
    <xf numFmtId="0" fontId="69" fillId="2" borderId="10" xfId="0" applyFont="1" applyFill="1" applyBorder="1" applyAlignment="1">
      <alignment horizontal="left" vertical="center"/>
    </xf>
    <xf numFmtId="0" fontId="5" fillId="3" borderId="75" xfId="0" applyFont="1" applyFill="1" applyBorder="1" applyAlignment="1" applyProtection="1">
      <alignment horizontal="left" vertical="center"/>
      <protection locked="0"/>
    </xf>
    <xf numFmtId="0" fontId="5" fillId="3" borderId="75" xfId="0" applyFont="1" applyFill="1" applyBorder="1" applyAlignment="1" applyProtection="1">
      <alignment horizontal="left" vertical="center" wrapText="1"/>
      <protection locked="0"/>
    </xf>
    <xf numFmtId="0" fontId="5" fillId="3" borderId="100" xfId="0" applyFont="1" applyFill="1" applyBorder="1" applyAlignment="1" applyProtection="1">
      <alignment horizontal="left" vertical="center" wrapText="1"/>
      <protection locked="0"/>
    </xf>
    <xf numFmtId="0" fontId="69" fillId="2" borderId="4" xfId="0" applyFont="1" applyFill="1" applyBorder="1" applyAlignment="1">
      <alignment horizontal="center" vertical="center"/>
    </xf>
    <xf numFmtId="0" fontId="69" fillId="2" borderId="114" xfId="0" applyFont="1" applyFill="1" applyBorder="1" applyAlignment="1">
      <alignment horizontal="center" vertical="center"/>
    </xf>
    <xf numFmtId="0" fontId="69" fillId="2" borderId="5" xfId="0" applyFont="1" applyFill="1" applyBorder="1" applyAlignment="1">
      <alignment horizontal="center" vertical="center"/>
    </xf>
    <xf numFmtId="0" fontId="69" fillId="2" borderId="6" xfId="0" applyFont="1" applyFill="1" applyBorder="1" applyAlignment="1">
      <alignment horizontal="center" vertical="center"/>
    </xf>
    <xf numFmtId="0" fontId="69" fillId="2" borderId="10" xfId="0" applyFont="1" applyFill="1" applyBorder="1" applyAlignment="1">
      <alignment horizontal="center" vertical="center"/>
    </xf>
    <xf numFmtId="0" fontId="69" fillId="2" borderId="32" xfId="0" applyFont="1" applyFill="1" applyBorder="1" applyAlignment="1">
      <alignment horizontal="center" vertical="center"/>
    </xf>
    <xf numFmtId="0" fontId="69" fillId="2" borderId="33" xfId="0" applyFont="1" applyFill="1" applyBorder="1" applyAlignment="1">
      <alignment horizontal="center" vertical="center"/>
    </xf>
    <xf numFmtId="0" fontId="15" fillId="0" borderId="12" xfId="0" applyFont="1" applyBorder="1" applyAlignment="1">
      <alignment horizontal="center" vertical="center" wrapText="1"/>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wrapText="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24" xfId="0" applyFont="1" applyFill="1" applyBorder="1" applyAlignment="1">
      <alignment horizontal="center" vertical="center" wrapText="1" readingOrder="1"/>
    </xf>
    <xf numFmtId="0" fontId="19" fillId="5" borderId="25" xfId="0" applyFont="1" applyFill="1" applyBorder="1" applyAlignment="1">
      <alignment horizontal="center" vertical="center" wrapText="1" readingOrder="1"/>
    </xf>
    <xf numFmtId="0" fontId="19" fillId="5" borderId="26" xfId="0" applyFont="1" applyFill="1" applyBorder="1" applyAlignment="1">
      <alignment horizontal="center" vertical="center" wrapText="1" readingOrder="1"/>
    </xf>
    <xf numFmtId="0" fontId="19" fillId="5" borderId="27"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13" borderId="23"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24" xfId="0" applyFont="1" applyFill="1" applyBorder="1" applyAlignment="1">
      <alignment horizontal="center" vertical="center" wrapText="1" readingOrder="1"/>
    </xf>
    <xf numFmtId="0" fontId="19" fillId="13" borderId="25" xfId="0" applyFont="1" applyFill="1" applyBorder="1" applyAlignment="1">
      <alignment horizontal="center" vertical="center" wrapText="1" readingOrder="1"/>
    </xf>
    <xf numFmtId="0" fontId="19" fillId="13" borderId="26" xfId="0" applyFont="1" applyFill="1" applyBorder="1" applyAlignment="1">
      <alignment horizontal="center" vertical="center" wrapText="1" readingOrder="1"/>
    </xf>
    <xf numFmtId="0" fontId="19" fillId="13" borderId="27"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23"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16" fillId="10" borderId="0" xfId="0" applyFont="1" applyFill="1" applyAlignment="1">
      <alignment horizontal="center" vertical="center" textRotation="90" wrapText="1" readingOrder="1"/>
    </xf>
    <xf numFmtId="0" fontId="16" fillId="10" borderId="15" xfId="0" applyFont="1" applyFill="1" applyBorder="1" applyAlignment="1">
      <alignment horizontal="center" vertical="center" textRotation="90" wrapText="1" readingOrder="1"/>
    </xf>
    <xf numFmtId="0" fontId="33" fillId="0" borderId="12" xfId="0" applyFont="1" applyBorder="1" applyAlignment="1">
      <alignment horizontal="center" vertical="center" wrapText="1"/>
    </xf>
    <xf numFmtId="0" fontId="33" fillId="0" borderId="19"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0" xfId="0" applyFont="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8" xfId="0" applyFont="1" applyBorder="1" applyAlignment="1">
      <alignment horizontal="center" vertical="center"/>
    </xf>
    <xf numFmtId="0" fontId="33" fillId="0" borderId="17" xfId="0" applyFont="1" applyBorder="1" applyAlignment="1">
      <alignment horizontal="center" vertical="center"/>
    </xf>
    <xf numFmtId="0" fontId="33" fillId="0" borderId="19" xfId="0" applyFont="1" applyBorder="1" applyAlignment="1">
      <alignment horizontal="center" vertical="center" wrapText="1"/>
    </xf>
    <xf numFmtId="0" fontId="31" fillId="0" borderId="0" xfId="0" applyFont="1" applyAlignment="1">
      <alignment horizontal="center" vertical="center" wrapText="1"/>
    </xf>
    <xf numFmtId="0" fontId="20" fillId="0" borderId="0" xfId="0" applyFont="1" applyAlignment="1">
      <alignment horizontal="center" vertical="center" wrapText="1"/>
    </xf>
    <xf numFmtId="0" fontId="32" fillId="12" borderId="20" xfId="0" applyFont="1" applyFill="1" applyBorder="1" applyAlignment="1">
      <alignment horizontal="center" vertical="center" wrapText="1" readingOrder="1"/>
    </xf>
    <xf numFmtId="0" fontId="32" fillId="12" borderId="21" xfId="0" applyFont="1" applyFill="1" applyBorder="1" applyAlignment="1">
      <alignment horizontal="center" vertical="center" wrapText="1" readingOrder="1"/>
    </xf>
    <xf numFmtId="0" fontId="32" fillId="12" borderId="22" xfId="0" applyFont="1" applyFill="1" applyBorder="1" applyAlignment="1">
      <alignment horizontal="center" vertical="center" wrapText="1" readingOrder="1"/>
    </xf>
    <xf numFmtId="0" fontId="32" fillId="12" borderId="23" xfId="0" applyFont="1" applyFill="1" applyBorder="1" applyAlignment="1">
      <alignment horizontal="center" vertical="center" wrapText="1" readingOrder="1"/>
    </xf>
    <xf numFmtId="0" fontId="32" fillId="12" borderId="0" xfId="0" applyFont="1" applyFill="1" applyAlignment="1">
      <alignment horizontal="center" vertical="center" wrapText="1" readingOrder="1"/>
    </xf>
    <xf numFmtId="0" fontId="32" fillId="12" borderId="24" xfId="0" applyFont="1" applyFill="1" applyBorder="1" applyAlignment="1">
      <alignment horizontal="center" vertical="center" wrapText="1" readingOrder="1"/>
    </xf>
    <xf numFmtId="0" fontId="32" fillId="12" borderId="25" xfId="0" applyFont="1" applyFill="1" applyBorder="1" applyAlignment="1">
      <alignment horizontal="center" vertical="center" wrapText="1" readingOrder="1"/>
    </xf>
    <xf numFmtId="0" fontId="32" fillId="12" borderId="26" xfId="0" applyFont="1" applyFill="1" applyBorder="1" applyAlignment="1">
      <alignment horizontal="center" vertical="center" wrapText="1" readingOrder="1"/>
    </xf>
    <xf numFmtId="0" fontId="32" fillId="12" borderId="27" xfId="0" applyFont="1" applyFill="1" applyBorder="1" applyAlignment="1">
      <alignment horizontal="center" vertical="center" wrapText="1" readingOrder="1"/>
    </xf>
    <xf numFmtId="0" fontId="33" fillId="0" borderId="14" xfId="0" applyFont="1" applyBorder="1" applyAlignment="1">
      <alignment horizontal="center" vertical="center" wrapText="1"/>
    </xf>
    <xf numFmtId="0" fontId="32" fillId="11" borderId="20" xfId="0" applyFont="1" applyFill="1" applyBorder="1" applyAlignment="1">
      <alignment horizontal="center" vertical="center" wrapText="1" readingOrder="1"/>
    </xf>
    <xf numFmtId="0" fontId="32" fillId="11" borderId="21" xfId="0" applyFont="1" applyFill="1" applyBorder="1" applyAlignment="1">
      <alignment horizontal="center" vertical="center" wrapText="1" readingOrder="1"/>
    </xf>
    <xf numFmtId="0" fontId="32" fillId="11" borderId="22" xfId="0" applyFont="1" applyFill="1" applyBorder="1" applyAlignment="1">
      <alignment horizontal="center" vertical="center" wrapText="1" readingOrder="1"/>
    </xf>
    <xf numFmtId="0" fontId="32" fillId="11" borderId="23" xfId="0" applyFont="1" applyFill="1" applyBorder="1" applyAlignment="1">
      <alignment horizontal="center" vertical="center" wrapText="1" readingOrder="1"/>
    </xf>
    <xf numFmtId="0" fontId="32" fillId="11" borderId="0" xfId="0" applyFont="1" applyFill="1" applyAlignment="1">
      <alignment horizontal="center" vertical="center" wrapText="1" readingOrder="1"/>
    </xf>
    <xf numFmtId="0" fontId="32" fillId="11" borderId="24" xfId="0" applyFont="1" applyFill="1" applyBorder="1" applyAlignment="1">
      <alignment horizontal="center" vertical="center" wrapText="1" readingOrder="1"/>
    </xf>
    <xf numFmtId="0" fontId="32" fillId="11" borderId="25" xfId="0" applyFont="1" applyFill="1" applyBorder="1" applyAlignment="1">
      <alignment horizontal="center" vertical="center" wrapText="1" readingOrder="1"/>
    </xf>
    <xf numFmtId="0" fontId="32" fillId="11" borderId="26" xfId="0" applyFont="1" applyFill="1" applyBorder="1" applyAlignment="1">
      <alignment horizontal="center" vertical="center" wrapText="1" readingOrder="1"/>
    </xf>
    <xf numFmtId="0" fontId="32" fillId="11" borderId="27" xfId="0" applyFont="1" applyFill="1" applyBorder="1" applyAlignment="1">
      <alignment horizontal="center" vertical="center" wrapText="1" readingOrder="1"/>
    </xf>
    <xf numFmtId="0" fontId="32" fillId="13" borderId="20" xfId="0" applyFont="1" applyFill="1" applyBorder="1" applyAlignment="1">
      <alignment horizontal="center" vertical="center" wrapText="1" readingOrder="1"/>
    </xf>
    <xf numFmtId="0" fontId="32" fillId="13" borderId="21" xfId="0" applyFont="1" applyFill="1" applyBorder="1" applyAlignment="1">
      <alignment horizontal="center" vertical="center" wrapText="1" readingOrder="1"/>
    </xf>
    <xf numFmtId="0" fontId="32" fillId="13" borderId="22" xfId="0" applyFont="1" applyFill="1" applyBorder="1" applyAlignment="1">
      <alignment horizontal="center" vertical="center" wrapText="1" readingOrder="1"/>
    </xf>
    <xf numFmtId="0" fontId="32" fillId="13" borderId="23" xfId="0" applyFont="1" applyFill="1" applyBorder="1" applyAlignment="1">
      <alignment horizontal="center" vertical="center" wrapText="1" readingOrder="1"/>
    </xf>
    <xf numFmtId="0" fontId="32" fillId="13" borderId="0" xfId="0" applyFont="1" applyFill="1" applyAlignment="1">
      <alignment horizontal="center" vertical="center" wrapText="1" readingOrder="1"/>
    </xf>
    <xf numFmtId="0" fontId="32" fillId="13" borderId="24" xfId="0" applyFont="1" applyFill="1" applyBorder="1" applyAlignment="1">
      <alignment horizontal="center" vertical="center" wrapText="1" readingOrder="1"/>
    </xf>
    <xf numFmtId="0" fontId="32" fillId="13" borderId="25" xfId="0" applyFont="1" applyFill="1" applyBorder="1" applyAlignment="1">
      <alignment horizontal="center" vertical="center" wrapText="1" readingOrder="1"/>
    </xf>
    <xf numFmtId="0" fontId="32" fillId="13" borderId="26" xfId="0" applyFont="1" applyFill="1" applyBorder="1" applyAlignment="1">
      <alignment horizontal="center" vertical="center" wrapText="1" readingOrder="1"/>
    </xf>
    <xf numFmtId="0" fontId="32" fillId="13" borderId="27" xfId="0" applyFont="1" applyFill="1" applyBorder="1" applyAlignment="1">
      <alignment horizontal="center" vertical="center" wrapText="1" readingOrder="1"/>
    </xf>
    <xf numFmtId="0" fontId="32" fillId="5" borderId="20" xfId="0" applyFont="1" applyFill="1" applyBorder="1" applyAlignment="1">
      <alignment horizontal="center" vertical="center" wrapText="1" readingOrder="1"/>
    </xf>
    <xf numFmtId="0" fontId="32" fillId="5" borderId="21" xfId="0" applyFont="1" applyFill="1" applyBorder="1" applyAlignment="1">
      <alignment horizontal="center" vertical="center" wrapText="1" readingOrder="1"/>
    </xf>
    <xf numFmtId="0" fontId="32" fillId="5" borderId="22" xfId="0" applyFont="1" applyFill="1" applyBorder="1" applyAlignment="1">
      <alignment horizontal="center" vertical="center" wrapText="1" readingOrder="1"/>
    </xf>
    <xf numFmtId="0" fontId="32" fillId="5" borderId="23" xfId="0" applyFont="1" applyFill="1" applyBorder="1" applyAlignment="1">
      <alignment horizontal="center" vertical="center" wrapText="1" readingOrder="1"/>
    </xf>
    <xf numFmtId="0" fontId="32" fillId="5" borderId="0" xfId="0" applyFont="1" applyFill="1" applyAlignment="1">
      <alignment horizontal="center" vertical="center" wrapText="1" readingOrder="1"/>
    </xf>
    <xf numFmtId="0" fontId="32" fillId="5" borderId="24" xfId="0" applyFont="1" applyFill="1" applyBorder="1" applyAlignment="1">
      <alignment horizontal="center" vertical="center" wrapText="1" readingOrder="1"/>
    </xf>
    <xf numFmtId="0" fontId="32" fillId="5" borderId="25" xfId="0" applyFont="1" applyFill="1" applyBorder="1" applyAlignment="1">
      <alignment horizontal="center" vertical="center" wrapText="1" readingOrder="1"/>
    </xf>
    <xf numFmtId="0" fontId="32" fillId="5" borderId="26" xfId="0" applyFont="1" applyFill="1" applyBorder="1" applyAlignment="1">
      <alignment horizontal="center" vertical="center" wrapText="1" readingOrder="1"/>
    </xf>
    <xf numFmtId="0" fontId="32" fillId="5" borderId="27" xfId="0" applyFont="1" applyFill="1" applyBorder="1" applyAlignment="1">
      <alignment horizontal="center" vertical="center" wrapText="1" readingOrder="1"/>
    </xf>
    <xf numFmtId="0" fontId="22" fillId="0" borderId="0" xfId="0" applyFont="1" applyAlignment="1">
      <alignment horizontal="center" vertical="center"/>
    </xf>
    <xf numFmtId="0" fontId="47" fillId="0" borderId="0" xfId="0" applyFont="1" applyAlignment="1">
      <alignment horizontal="center" vertical="center"/>
    </xf>
    <xf numFmtId="0" fontId="30" fillId="15" borderId="35" xfId="0" applyFont="1" applyFill="1" applyBorder="1" applyAlignment="1">
      <alignment horizontal="center" vertical="center" wrapText="1" readingOrder="1"/>
    </xf>
    <xf numFmtId="0" fontId="30" fillId="15" borderId="36" xfId="0" applyFont="1" applyFill="1" applyBorder="1" applyAlignment="1">
      <alignment horizontal="center" vertical="center" wrapText="1" readingOrder="1"/>
    </xf>
    <xf numFmtId="0" fontId="30" fillId="15" borderId="47" xfId="0" applyFont="1" applyFill="1" applyBorder="1" applyAlignment="1">
      <alignment horizontal="center" vertical="center" wrapText="1" readingOrder="1"/>
    </xf>
    <xf numFmtId="0" fontId="25" fillId="3" borderId="0" xfId="0" applyFont="1" applyFill="1" applyAlignment="1">
      <alignment horizontal="justify" vertical="center" wrapText="1"/>
    </xf>
    <xf numFmtId="0" fontId="27" fillId="15" borderId="44" xfId="0" applyFont="1" applyFill="1" applyBorder="1" applyAlignment="1">
      <alignment horizontal="center" vertical="center" wrapText="1" readingOrder="1"/>
    </xf>
    <xf numFmtId="0" fontId="27" fillId="15" borderId="45" xfId="0" applyFont="1" applyFill="1" applyBorder="1" applyAlignment="1">
      <alignment horizontal="center" vertical="center" wrapText="1" readingOrder="1"/>
    </xf>
    <xf numFmtId="0" fontId="27" fillId="3" borderId="42" xfId="0" applyFont="1" applyFill="1" applyBorder="1" applyAlignment="1">
      <alignment horizontal="center" vertical="center" wrapText="1" readingOrder="1"/>
    </xf>
    <xf numFmtId="0" fontId="27" fillId="3" borderId="37" xfId="0" applyFont="1" applyFill="1" applyBorder="1" applyAlignment="1">
      <alignment horizontal="center" vertical="center" wrapText="1" readingOrder="1"/>
    </xf>
    <xf numFmtId="0" fontId="27" fillId="3" borderId="34" xfId="0" applyFont="1" applyFill="1" applyBorder="1" applyAlignment="1">
      <alignment horizontal="center" vertical="center" wrapText="1" readingOrder="1"/>
    </xf>
    <xf numFmtId="0" fontId="27" fillId="3" borderId="33" xfId="0" applyFont="1" applyFill="1" applyBorder="1" applyAlignment="1">
      <alignment horizontal="center" vertical="center" wrapText="1" readingOrder="1"/>
    </xf>
    <xf numFmtId="0" fontId="27" fillId="3" borderId="39" xfId="0" applyFont="1" applyFill="1" applyBorder="1" applyAlignment="1">
      <alignment horizontal="center" vertical="center" wrapText="1" readingOrder="1"/>
    </xf>
    <xf numFmtId="0" fontId="27"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834106</xdr:colOff>
      <xdr:row>0</xdr:row>
      <xdr:rowOff>0</xdr:rowOff>
    </xdr:from>
    <xdr:to>
      <xdr:col>5</xdr:col>
      <xdr:colOff>1485129</xdr:colOff>
      <xdr:row>4</xdr:row>
      <xdr:rowOff>21107</xdr:rowOff>
    </xdr:to>
    <xdr:pic>
      <xdr:nvPicPr>
        <xdr:cNvPr id="2" name="Imagen 1">
          <a:extLst>
            <a:ext uri="{FF2B5EF4-FFF2-40B4-BE49-F238E27FC236}">
              <a16:creationId xmlns:a16="http://schemas.microsoft.com/office/drawing/2014/main" id="{67ACCCA2-9C19-431E-A2DE-4F5DDB353DF6}"/>
            </a:ext>
          </a:extLst>
        </xdr:cNvPr>
        <xdr:cNvPicPr>
          <a:picLocks noChangeAspect="1"/>
        </xdr:cNvPicPr>
      </xdr:nvPicPr>
      <xdr:blipFill>
        <a:blip xmlns:r="http://schemas.openxmlformats.org/officeDocument/2006/relationships" r:embed="rId1"/>
        <a:stretch>
          <a:fillRect/>
        </a:stretch>
      </xdr:blipFill>
      <xdr:spPr>
        <a:xfrm>
          <a:off x="11347801" y="0"/>
          <a:ext cx="651023" cy="790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44</xdr:row>
      <xdr:rowOff>288634</xdr:rowOff>
    </xdr:to>
    <xdr:sp macro="" textlink="">
      <xdr:nvSpPr>
        <xdr:cNvPr id="3" name="CuadroTexto 2">
          <a:extLst>
            <a:ext uri="{FF2B5EF4-FFF2-40B4-BE49-F238E27FC236}">
              <a16:creationId xmlns:a16="http://schemas.microsoft.com/office/drawing/2014/main" id="{8335E96B-B5F1-48E3-8253-E8FA7A702D9F}"/>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319AEEC8-6C98-49FA-8CBF-0E123D8E50AC}"/>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45</xdr:row>
      <xdr:rowOff>0</xdr:rowOff>
    </xdr:from>
    <xdr:to>
      <xdr:col>0</xdr:col>
      <xdr:colOff>2</xdr:colOff>
      <xdr:row>45</xdr:row>
      <xdr:rowOff>0</xdr:rowOff>
    </xdr:to>
    <xdr:sp macro="" textlink="">
      <xdr:nvSpPr>
        <xdr:cNvPr id="6" name="CuadroTexto 5">
          <a:extLst>
            <a:ext uri="{FF2B5EF4-FFF2-40B4-BE49-F238E27FC236}">
              <a16:creationId xmlns:a16="http://schemas.microsoft.com/office/drawing/2014/main" id="{7E56F4DA-FB72-4ABB-A604-DFFDE4AACB6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18</xdr:col>
      <xdr:colOff>152026</xdr:colOff>
      <xdr:row>0</xdr:row>
      <xdr:rowOff>160020</xdr:rowOff>
    </xdr:from>
    <xdr:to>
      <xdr:col>18</xdr:col>
      <xdr:colOff>775986</xdr:colOff>
      <xdr:row>3</xdr:row>
      <xdr:rowOff>28100</xdr:rowOff>
    </xdr:to>
    <xdr:pic>
      <xdr:nvPicPr>
        <xdr:cNvPr id="2" name="Imagen 1">
          <a:extLst>
            <a:ext uri="{FF2B5EF4-FFF2-40B4-BE49-F238E27FC236}">
              <a16:creationId xmlns:a16="http://schemas.microsoft.com/office/drawing/2014/main" id="{1FFD1189-AAE7-446C-A535-82DCE629BC4C}"/>
            </a:ext>
          </a:extLst>
        </xdr:cNvPr>
        <xdr:cNvPicPr>
          <a:picLocks noChangeAspect="1"/>
        </xdr:cNvPicPr>
      </xdr:nvPicPr>
      <xdr:blipFill>
        <a:blip xmlns:r="http://schemas.openxmlformats.org/officeDocument/2006/relationships" r:embed="rId1"/>
        <a:stretch>
          <a:fillRect/>
        </a:stretch>
      </xdr:blipFill>
      <xdr:spPr>
        <a:xfrm>
          <a:off x="10461886" y="160020"/>
          <a:ext cx="623960" cy="767240"/>
        </a:xfrm>
        <a:prstGeom prst="rect">
          <a:avLst/>
        </a:prstGeom>
      </xdr:spPr>
    </xdr:pic>
    <xdr:clientData/>
  </xdr:twoCellAnchor>
  <xdr:twoCellAnchor editAs="oneCell">
    <xdr:from>
      <xdr:col>0</xdr:col>
      <xdr:colOff>254645</xdr:colOff>
      <xdr:row>0</xdr:row>
      <xdr:rowOff>0</xdr:rowOff>
    </xdr:from>
    <xdr:to>
      <xdr:col>1</xdr:col>
      <xdr:colOff>2160895</xdr:colOff>
      <xdr:row>3</xdr:row>
      <xdr:rowOff>83820</xdr:rowOff>
    </xdr:to>
    <xdr:pic>
      <xdr:nvPicPr>
        <xdr:cNvPr id="5" name="Imagen 4">
          <a:extLst>
            <a:ext uri="{FF2B5EF4-FFF2-40B4-BE49-F238E27FC236}">
              <a16:creationId xmlns:a16="http://schemas.microsoft.com/office/drawing/2014/main" id="{3CC1CDFE-C6AC-5400-4CF4-15EC02ECB19E}"/>
            </a:ext>
          </a:extLst>
        </xdr:cNvPr>
        <xdr:cNvPicPr>
          <a:picLocks noChangeAspect="1"/>
        </xdr:cNvPicPr>
      </xdr:nvPicPr>
      <xdr:blipFill>
        <a:blip xmlns:r="http://schemas.openxmlformats.org/officeDocument/2006/relationships" r:embed="rId2"/>
        <a:stretch>
          <a:fillRect/>
        </a:stretch>
      </xdr:blipFill>
      <xdr:spPr>
        <a:xfrm>
          <a:off x="254645" y="0"/>
          <a:ext cx="2256770" cy="982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197746</xdr:colOff>
      <xdr:row>0</xdr:row>
      <xdr:rowOff>0</xdr:rowOff>
    </xdr:from>
    <xdr:to>
      <xdr:col>11</xdr:col>
      <xdr:colOff>821706</xdr:colOff>
      <xdr:row>3</xdr:row>
      <xdr:rowOff>195740</xdr:rowOff>
    </xdr:to>
    <xdr:pic>
      <xdr:nvPicPr>
        <xdr:cNvPr id="4" name="Imagen 3">
          <a:extLst>
            <a:ext uri="{FF2B5EF4-FFF2-40B4-BE49-F238E27FC236}">
              <a16:creationId xmlns:a16="http://schemas.microsoft.com/office/drawing/2014/main" id="{26B97343-483D-433A-A51C-3CBA42D76065}"/>
            </a:ext>
          </a:extLst>
        </xdr:cNvPr>
        <xdr:cNvPicPr>
          <a:picLocks noChangeAspect="1"/>
        </xdr:cNvPicPr>
      </xdr:nvPicPr>
      <xdr:blipFill>
        <a:blip xmlns:r="http://schemas.openxmlformats.org/officeDocument/2006/relationships" r:embed="rId1"/>
        <a:stretch>
          <a:fillRect/>
        </a:stretch>
      </xdr:blipFill>
      <xdr:spPr>
        <a:xfrm>
          <a:off x="13563226" y="0"/>
          <a:ext cx="623960" cy="767240"/>
        </a:xfrm>
        <a:prstGeom prst="rect">
          <a:avLst/>
        </a:prstGeom>
      </xdr:spPr>
    </xdr:pic>
    <xdr:clientData/>
  </xdr:twoCellAnchor>
  <xdr:twoCellAnchor editAs="oneCell">
    <xdr:from>
      <xdr:col>0</xdr:col>
      <xdr:colOff>114300</xdr:colOff>
      <xdr:row>0</xdr:row>
      <xdr:rowOff>0</xdr:rowOff>
    </xdr:from>
    <xdr:to>
      <xdr:col>1</xdr:col>
      <xdr:colOff>845820</xdr:colOff>
      <xdr:row>3</xdr:row>
      <xdr:rowOff>184952</xdr:rowOff>
    </xdr:to>
    <xdr:pic>
      <xdr:nvPicPr>
        <xdr:cNvPr id="2" name="Imagen 1">
          <a:extLst>
            <a:ext uri="{FF2B5EF4-FFF2-40B4-BE49-F238E27FC236}">
              <a16:creationId xmlns:a16="http://schemas.microsoft.com/office/drawing/2014/main" id="{1EE77E30-E2EE-8AFE-DE30-5EA2AC0F0794}"/>
            </a:ext>
          </a:extLst>
        </xdr:cNvPr>
        <xdr:cNvPicPr>
          <a:picLocks noChangeAspect="1"/>
        </xdr:cNvPicPr>
      </xdr:nvPicPr>
      <xdr:blipFill>
        <a:blip xmlns:r="http://schemas.openxmlformats.org/officeDocument/2006/relationships" r:embed="rId2"/>
        <a:stretch>
          <a:fillRect/>
        </a:stretch>
      </xdr:blipFill>
      <xdr:spPr>
        <a:xfrm>
          <a:off x="114300" y="0"/>
          <a:ext cx="1668780" cy="756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17.%20SIG%20Y%20MIPG\GESTION%20SIG.xlsx" TargetMode="External"/><Relationship Id="rId2" Type="http://schemas.microsoft.com/office/2019/04/relationships/externalLinkLongPath" Target="file:///C:\Users\EDUARDO%20HERNANDEZ\OneDrive\Documentos\SECRETARIA%20DE%20PLANEACION%20MPAL\INFORME%20DE%20ACTIVIDADES\REVISION%20DEPENDENCIAS\MATRIZ\1.%20MONITOREO\10-8-24%20REV%20SIGAMI%20RIESGOS%20GEST-CORRUPCION\5.%20BIM%20(SEP-OCT_24)\17.%20SIG%20Y%20MIPG\GESTION%20SIG.xlsx?2B1115FA" TargetMode="External"/><Relationship Id="rId1" Type="http://schemas.openxmlformats.org/officeDocument/2006/relationships/externalLinkPath" Target="file:///\\2B1115FA\GESTION%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uctivo"/>
      <sheetName val="Contexto"/>
      <sheetName val="Priorización de Causa"/>
      <sheetName val="DOFA"/>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row r="10">
          <cell r="A10">
            <v>1</v>
          </cell>
          <cell r="K10" t="str">
            <v>Media</v>
          </cell>
          <cell r="O10" t="str">
            <v>Mayor</v>
          </cell>
          <cell r="R10">
            <v>1</v>
          </cell>
          <cell r="AB10" t="str">
            <v>Media</v>
          </cell>
          <cell r="AD10" t="str">
            <v>Mayor</v>
          </cell>
        </row>
        <row r="11">
          <cell r="R11">
            <v>2</v>
          </cell>
          <cell r="AB11" t="str">
            <v>Baja</v>
          </cell>
          <cell r="AD11" t="str">
            <v>Mayor</v>
          </cell>
        </row>
        <row r="12">
          <cell r="R12">
            <v>3</v>
          </cell>
          <cell r="AB12" t="str">
            <v>Muy Baja</v>
          </cell>
          <cell r="AD12" t="str">
            <v>Mayor</v>
          </cell>
        </row>
        <row r="13">
          <cell r="R13">
            <v>4</v>
          </cell>
          <cell r="AB13" t="str">
            <v>Muy Baja</v>
          </cell>
          <cell r="AD13" t="str">
            <v>Mayor</v>
          </cell>
        </row>
        <row r="14">
          <cell r="R14">
            <v>5</v>
          </cell>
          <cell r="AB14" t="str">
            <v>Muy Baja</v>
          </cell>
          <cell r="AD14" t="str">
            <v>Mayor</v>
          </cell>
        </row>
        <row r="15">
          <cell r="A15">
            <v>2</v>
          </cell>
          <cell r="K15" t="str">
            <v>Media</v>
          </cell>
          <cell r="O15" t="str">
            <v>Mayor</v>
          </cell>
          <cell r="R15">
            <v>1</v>
          </cell>
          <cell r="AB15" t="str">
            <v>Baja</v>
          </cell>
          <cell r="AD15" t="str">
            <v>Mayor</v>
          </cell>
        </row>
        <row r="16">
          <cell r="R16">
            <v>2</v>
          </cell>
          <cell r="AB16" t="str">
            <v>Baja</v>
          </cell>
          <cell r="AD16" t="str">
            <v>Mayor</v>
          </cell>
        </row>
        <row r="17">
          <cell r="R17">
            <v>3</v>
          </cell>
        </row>
        <row r="19">
          <cell r="K19" t="str">
            <v/>
          </cell>
          <cell r="O19" t="str">
            <v/>
          </cell>
          <cell r="R19">
            <v>1</v>
          </cell>
          <cell r="AB19" t="str">
            <v/>
          </cell>
          <cell r="AD19" t="str">
            <v/>
          </cell>
        </row>
        <row r="20">
          <cell r="R20">
            <v>2</v>
          </cell>
          <cell r="AB20" t="str">
            <v/>
          </cell>
          <cell r="AD20" t="str">
            <v/>
          </cell>
        </row>
        <row r="21">
          <cell r="R21">
            <v>3</v>
          </cell>
          <cell r="AB21" t="str">
            <v/>
          </cell>
          <cell r="AD21" t="str">
            <v/>
          </cell>
        </row>
        <row r="22">
          <cell r="R22">
            <v>4</v>
          </cell>
          <cell r="AB22" t="str">
            <v/>
          </cell>
          <cell r="AD22" t="str">
            <v/>
          </cell>
        </row>
        <row r="23">
          <cell r="R23">
            <v>5</v>
          </cell>
          <cell r="AB23" t="str">
            <v/>
          </cell>
          <cell r="AD23" t="str">
            <v/>
          </cell>
        </row>
        <row r="24">
          <cell r="R24">
            <v>6</v>
          </cell>
          <cell r="AB24" t="str">
            <v/>
          </cell>
          <cell r="AD24" t="str">
            <v/>
          </cell>
        </row>
        <row r="25">
          <cell r="A25">
            <v>6</v>
          </cell>
          <cell r="K25" t="str">
            <v/>
          </cell>
          <cell r="O25" t="str">
            <v/>
          </cell>
          <cell r="R25">
            <v>1</v>
          </cell>
          <cell r="AB25" t="str">
            <v/>
          </cell>
          <cell r="AD25" t="str">
            <v/>
          </cell>
        </row>
        <row r="26">
          <cell r="R26">
            <v>2</v>
          </cell>
          <cell r="AB26" t="str">
            <v/>
          </cell>
          <cell r="AD26" t="str">
            <v/>
          </cell>
        </row>
        <row r="27">
          <cell r="R27">
            <v>3</v>
          </cell>
          <cell r="AB27" t="str">
            <v/>
          </cell>
          <cell r="AD27" t="str">
            <v/>
          </cell>
        </row>
        <row r="28">
          <cell r="R28">
            <v>4</v>
          </cell>
          <cell r="AB28" t="str">
            <v/>
          </cell>
          <cell r="AD28" t="str">
            <v/>
          </cell>
        </row>
        <row r="29">
          <cell r="R29">
            <v>5</v>
          </cell>
          <cell r="AB29" t="str">
            <v/>
          </cell>
          <cell r="AD29" t="str">
            <v/>
          </cell>
        </row>
        <row r="30">
          <cell r="R30">
            <v>6</v>
          </cell>
          <cell r="AB30" t="str">
            <v/>
          </cell>
          <cell r="AD30" t="str">
            <v/>
          </cell>
        </row>
        <row r="31">
          <cell r="A31">
            <v>7</v>
          </cell>
          <cell r="K31" t="str">
            <v/>
          </cell>
          <cell r="O31" t="str">
            <v/>
          </cell>
          <cell r="R31">
            <v>1</v>
          </cell>
          <cell r="AB31" t="str">
            <v/>
          </cell>
          <cell r="AD31" t="str">
            <v/>
          </cell>
        </row>
        <row r="32">
          <cell r="R32">
            <v>2</v>
          </cell>
          <cell r="AB32" t="str">
            <v/>
          </cell>
          <cell r="AD32" t="str">
            <v/>
          </cell>
        </row>
        <row r="33">
          <cell r="R33">
            <v>3</v>
          </cell>
          <cell r="AB33" t="str">
            <v/>
          </cell>
          <cell r="AD33" t="str">
            <v/>
          </cell>
        </row>
        <row r="34">
          <cell r="R34">
            <v>4</v>
          </cell>
          <cell r="AB34" t="str">
            <v/>
          </cell>
          <cell r="AD34" t="str">
            <v/>
          </cell>
        </row>
        <row r="35">
          <cell r="R35">
            <v>5</v>
          </cell>
          <cell r="AB35" t="str">
            <v/>
          </cell>
          <cell r="AD35" t="str">
            <v/>
          </cell>
        </row>
        <row r="36">
          <cell r="R36">
            <v>6</v>
          </cell>
          <cell r="AB36" t="str">
            <v/>
          </cell>
          <cell r="AD36" t="str">
            <v/>
          </cell>
        </row>
        <row r="37">
          <cell r="A37">
            <v>8</v>
          </cell>
          <cell r="K37" t="str">
            <v/>
          </cell>
          <cell r="O37" t="str">
            <v/>
          </cell>
          <cell r="R37">
            <v>1</v>
          </cell>
          <cell r="AB37" t="str">
            <v/>
          </cell>
          <cell r="AD37" t="str">
            <v/>
          </cell>
        </row>
        <row r="38">
          <cell r="R38">
            <v>2</v>
          </cell>
          <cell r="AB38" t="str">
            <v/>
          </cell>
          <cell r="AD38" t="str">
            <v/>
          </cell>
        </row>
        <row r="39">
          <cell r="R39">
            <v>3</v>
          </cell>
          <cell r="AB39" t="str">
            <v/>
          </cell>
          <cell r="AD39" t="str">
            <v/>
          </cell>
        </row>
        <row r="40">
          <cell r="R40">
            <v>4</v>
          </cell>
          <cell r="AB40" t="str">
            <v/>
          </cell>
          <cell r="AD40" t="str">
            <v/>
          </cell>
        </row>
        <row r="41">
          <cell r="R41">
            <v>5</v>
          </cell>
          <cell r="AB41" t="str">
            <v/>
          </cell>
          <cell r="AD41" t="str">
            <v/>
          </cell>
        </row>
        <row r="42">
          <cell r="R42">
            <v>6</v>
          </cell>
          <cell r="AB42" t="str">
            <v/>
          </cell>
          <cell r="AD42" t="str">
            <v/>
          </cell>
        </row>
        <row r="43">
          <cell r="A43">
            <v>9</v>
          </cell>
          <cell r="K43" t="str">
            <v/>
          </cell>
          <cell r="O43" t="str">
            <v/>
          </cell>
          <cell r="R43">
            <v>1</v>
          </cell>
          <cell r="AB43" t="str">
            <v/>
          </cell>
          <cell r="AD43" t="str">
            <v/>
          </cell>
        </row>
        <row r="44">
          <cell r="R44">
            <v>2</v>
          </cell>
          <cell r="AB44" t="str">
            <v/>
          </cell>
          <cell r="AD44" t="str">
            <v/>
          </cell>
        </row>
        <row r="45">
          <cell r="R45">
            <v>3</v>
          </cell>
          <cell r="AB45" t="str">
            <v/>
          </cell>
          <cell r="AD45" t="str">
            <v/>
          </cell>
        </row>
        <row r="46">
          <cell r="R46">
            <v>4</v>
          </cell>
          <cell r="AB46" t="str">
            <v/>
          </cell>
          <cell r="AD46" t="str">
            <v/>
          </cell>
        </row>
        <row r="47">
          <cell r="R47">
            <v>5</v>
          </cell>
          <cell r="AB47" t="str">
            <v/>
          </cell>
          <cell r="AD47" t="str">
            <v/>
          </cell>
        </row>
        <row r="48">
          <cell r="R48">
            <v>6</v>
          </cell>
          <cell r="AB48" t="str">
            <v/>
          </cell>
          <cell r="AD48" t="str">
            <v/>
          </cell>
        </row>
        <row r="49">
          <cell r="A49">
            <v>10</v>
          </cell>
          <cell r="K49" t="str">
            <v/>
          </cell>
          <cell r="O49" t="str">
            <v/>
          </cell>
          <cell r="R49">
            <v>1</v>
          </cell>
          <cell r="AB49" t="str">
            <v/>
          </cell>
          <cell r="AD49" t="str">
            <v/>
          </cell>
        </row>
        <row r="50">
          <cell r="R50">
            <v>2</v>
          </cell>
          <cell r="AB50" t="str">
            <v/>
          </cell>
          <cell r="AD50" t="str">
            <v/>
          </cell>
        </row>
        <row r="51">
          <cell r="R51">
            <v>3</v>
          </cell>
          <cell r="AB51" t="str">
            <v/>
          </cell>
          <cell r="AD51" t="str">
            <v/>
          </cell>
        </row>
        <row r="52">
          <cell r="R52">
            <v>4</v>
          </cell>
          <cell r="AB52" t="str">
            <v/>
          </cell>
          <cell r="AD52" t="str">
            <v/>
          </cell>
        </row>
        <row r="53">
          <cell r="R53">
            <v>5</v>
          </cell>
          <cell r="AB53" t="str">
            <v/>
          </cell>
          <cell r="AD53" t="str">
            <v/>
          </cell>
        </row>
        <row r="54">
          <cell r="R54">
            <v>6</v>
          </cell>
          <cell r="AB54" t="str">
            <v/>
          </cell>
          <cell r="AD54" t="str">
            <v/>
          </cell>
        </row>
      </sheetData>
      <sheetData sheetId="5" refreshError="1"/>
      <sheetData sheetId="6" refreshError="1"/>
      <sheetData sheetId="7" refreshError="1"/>
      <sheetData sheetId="8" refreshError="1">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9" refreshError="1"/>
      <sheetData sheetId="10" refreshError="1"/>
      <sheetData sheetId="11"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4AFBB-B846-4052-9F28-D7A7CE8C8F02}">
  <dimension ref="B2:D23"/>
  <sheetViews>
    <sheetView workbookViewId="0">
      <selection activeCell="D21" sqref="D21"/>
    </sheetView>
  </sheetViews>
  <sheetFormatPr baseColWidth="10" defaultRowHeight="14.4" x14ac:dyDescent="0.3"/>
  <cols>
    <col min="2" max="2" width="25.44140625" bestFit="1" customWidth="1"/>
    <col min="4" max="4" width="25.6640625" customWidth="1"/>
  </cols>
  <sheetData>
    <row r="2" spans="2:4" x14ac:dyDescent="0.3">
      <c r="B2" s="151" t="s">
        <v>215</v>
      </c>
      <c r="D2" s="152" t="s">
        <v>217</v>
      </c>
    </row>
    <row r="3" spans="2:4" x14ac:dyDescent="0.3">
      <c r="B3" t="s">
        <v>262</v>
      </c>
      <c r="D3" t="s">
        <v>266</v>
      </c>
    </row>
    <row r="4" spans="2:4" x14ac:dyDescent="0.3">
      <c r="B4" t="s">
        <v>219</v>
      </c>
      <c r="D4" t="s">
        <v>310</v>
      </c>
    </row>
    <row r="5" spans="2:4" x14ac:dyDescent="0.3">
      <c r="B5" t="s">
        <v>263</v>
      </c>
      <c r="D5" t="s">
        <v>267</v>
      </c>
    </row>
    <row r="6" spans="2:4" x14ac:dyDescent="0.3">
      <c r="B6" t="s">
        <v>220</v>
      </c>
      <c r="D6" t="s">
        <v>268</v>
      </c>
    </row>
    <row r="7" spans="2:4" x14ac:dyDescent="0.3">
      <c r="B7" t="s">
        <v>264</v>
      </c>
      <c r="D7" t="s">
        <v>269</v>
      </c>
    </row>
    <row r="8" spans="2:4" x14ac:dyDescent="0.3">
      <c r="B8" t="s">
        <v>221</v>
      </c>
      <c r="D8" t="s">
        <v>221</v>
      </c>
    </row>
    <row r="9" spans="2:4" x14ac:dyDescent="0.3">
      <c r="B9" t="s">
        <v>265</v>
      </c>
      <c r="D9" t="s">
        <v>270</v>
      </c>
    </row>
    <row r="10" spans="2:4" x14ac:dyDescent="0.3">
      <c r="D10" t="s">
        <v>271</v>
      </c>
    </row>
    <row r="13" spans="2:4" x14ac:dyDescent="0.3">
      <c r="B13" s="152" t="s">
        <v>218</v>
      </c>
    </row>
    <row r="14" spans="2:4" x14ac:dyDescent="0.3">
      <c r="B14" t="s">
        <v>272</v>
      </c>
    </row>
    <row r="15" spans="2:4" x14ac:dyDescent="0.3">
      <c r="B15" t="s">
        <v>273</v>
      </c>
    </row>
    <row r="16" spans="2:4" x14ac:dyDescent="0.3">
      <c r="B16" t="s">
        <v>274</v>
      </c>
    </row>
    <row r="17" spans="2:2" x14ac:dyDescent="0.3">
      <c r="B17" t="s">
        <v>275</v>
      </c>
    </row>
    <row r="18" spans="2:2" x14ac:dyDescent="0.3">
      <c r="B18" t="s">
        <v>276</v>
      </c>
    </row>
    <row r="19" spans="2:2" x14ac:dyDescent="0.3">
      <c r="B19" t="s">
        <v>221</v>
      </c>
    </row>
    <row r="20" spans="2:2" x14ac:dyDescent="0.3">
      <c r="B20" t="s">
        <v>277</v>
      </c>
    </row>
    <row r="21" spans="2:2" x14ac:dyDescent="0.3">
      <c r="B21" t="s">
        <v>278</v>
      </c>
    </row>
    <row r="22" spans="2:2" x14ac:dyDescent="0.3">
      <c r="B22" t="s">
        <v>279</v>
      </c>
    </row>
    <row r="23" spans="2:2" x14ac:dyDescent="0.3">
      <c r="B23" t="s">
        <v>280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14"/>
    <col min="2" max="2" width="40.44140625" style="14" customWidth="1"/>
    <col min="3" max="3" width="74.88671875" style="14" customWidth="1"/>
    <col min="4" max="4" width="135" style="14" bestFit="1" customWidth="1"/>
    <col min="5" max="5" width="137.88671875" style="14" customWidth="1"/>
    <col min="6" max="16384" width="11.44140625" style="14"/>
  </cols>
  <sheetData>
    <row r="1" spans="1:21" ht="32.4" x14ac:dyDescent="0.3">
      <c r="A1" s="75"/>
      <c r="B1" s="623" t="s">
        <v>62</v>
      </c>
      <c r="C1" s="623"/>
      <c r="D1" s="623"/>
      <c r="E1" s="75"/>
      <c r="F1" s="75"/>
      <c r="G1" s="75"/>
      <c r="H1" s="75"/>
      <c r="I1" s="75"/>
      <c r="J1" s="75"/>
      <c r="K1" s="75"/>
      <c r="L1" s="75"/>
      <c r="M1" s="75"/>
      <c r="N1" s="75"/>
      <c r="O1" s="75"/>
      <c r="P1" s="75"/>
      <c r="Q1" s="75"/>
      <c r="R1" s="75"/>
      <c r="S1" s="75"/>
      <c r="T1" s="75"/>
      <c r="U1" s="75"/>
    </row>
    <row r="2" spans="1:21" x14ac:dyDescent="0.3">
      <c r="A2" s="75"/>
      <c r="B2" s="75"/>
      <c r="C2" s="75"/>
      <c r="D2" s="75"/>
      <c r="E2" s="75"/>
      <c r="F2" s="75"/>
      <c r="G2" s="75"/>
      <c r="H2" s="75"/>
      <c r="I2" s="75"/>
      <c r="J2" s="75"/>
      <c r="K2" s="75"/>
      <c r="L2" s="75"/>
      <c r="M2" s="75"/>
      <c r="N2" s="75"/>
      <c r="O2" s="75"/>
      <c r="P2" s="75"/>
      <c r="Q2" s="75"/>
      <c r="R2" s="75"/>
      <c r="S2" s="75"/>
      <c r="T2" s="75"/>
      <c r="U2" s="75"/>
    </row>
    <row r="3" spans="1:21" ht="30" x14ac:dyDescent="0.3">
      <c r="A3" s="75"/>
      <c r="B3" s="74"/>
      <c r="C3" s="92" t="s">
        <v>56</v>
      </c>
      <c r="D3" s="92" t="s">
        <v>57</v>
      </c>
      <c r="E3" s="75"/>
      <c r="F3" s="75"/>
      <c r="G3" s="75"/>
      <c r="H3" s="75"/>
      <c r="I3" s="75"/>
      <c r="J3" s="75"/>
      <c r="K3" s="75"/>
      <c r="L3" s="75"/>
      <c r="M3" s="75"/>
      <c r="N3" s="75"/>
      <c r="O3" s="75"/>
      <c r="P3" s="75"/>
      <c r="Q3" s="75"/>
      <c r="R3" s="75"/>
      <c r="S3" s="75"/>
      <c r="T3" s="75"/>
      <c r="U3" s="75"/>
    </row>
    <row r="4" spans="1:21" ht="32.4" x14ac:dyDescent="0.3">
      <c r="A4" s="75" t="s">
        <v>82</v>
      </c>
      <c r="B4" s="93" t="s">
        <v>96</v>
      </c>
      <c r="C4" s="94" t="s">
        <v>203</v>
      </c>
      <c r="D4" s="95" t="s">
        <v>92</v>
      </c>
      <c r="E4" s="75"/>
      <c r="F4" s="75"/>
      <c r="G4" s="75"/>
      <c r="H4" s="75"/>
      <c r="I4" s="75"/>
      <c r="J4" s="75"/>
      <c r="K4" s="75"/>
      <c r="L4" s="75"/>
      <c r="M4" s="75"/>
      <c r="N4" s="75"/>
      <c r="O4" s="75"/>
      <c r="P4" s="75"/>
      <c r="Q4" s="75"/>
      <c r="R4" s="75"/>
      <c r="S4" s="75"/>
      <c r="T4" s="75"/>
      <c r="U4" s="75"/>
    </row>
    <row r="5" spans="1:21" ht="64.8" x14ac:dyDescent="0.3">
      <c r="A5" s="75" t="s">
        <v>83</v>
      </c>
      <c r="B5" s="96" t="s">
        <v>58</v>
      </c>
      <c r="C5" s="97" t="s">
        <v>204</v>
      </c>
      <c r="D5" s="98" t="s">
        <v>93</v>
      </c>
      <c r="E5" s="75"/>
      <c r="F5" s="75"/>
      <c r="G5" s="75"/>
      <c r="H5" s="75"/>
      <c r="I5" s="75"/>
      <c r="J5" s="75"/>
      <c r="K5" s="75"/>
      <c r="L5" s="75"/>
      <c r="M5" s="75"/>
      <c r="N5" s="75"/>
      <c r="O5" s="75"/>
      <c r="P5" s="75"/>
      <c r="Q5" s="75"/>
      <c r="R5" s="75"/>
      <c r="S5" s="75"/>
      <c r="T5" s="75"/>
      <c r="U5" s="75"/>
    </row>
    <row r="6" spans="1:21" ht="64.8" x14ac:dyDescent="0.3">
      <c r="A6" s="75" t="s">
        <v>80</v>
      </c>
      <c r="B6" s="99" t="s">
        <v>59</v>
      </c>
      <c r="C6" s="97" t="s">
        <v>208</v>
      </c>
      <c r="D6" s="98" t="s">
        <v>95</v>
      </c>
      <c r="E6" s="75"/>
      <c r="F6" s="75"/>
      <c r="G6" s="75"/>
      <c r="H6" s="75"/>
      <c r="I6" s="75"/>
      <c r="J6" s="75"/>
      <c r="K6" s="75"/>
      <c r="L6" s="75"/>
      <c r="M6" s="75"/>
      <c r="N6" s="75"/>
      <c r="O6" s="75"/>
      <c r="P6" s="75"/>
      <c r="Q6" s="75"/>
      <c r="R6" s="75"/>
      <c r="S6" s="75"/>
      <c r="T6" s="75"/>
      <c r="U6" s="75"/>
    </row>
    <row r="7" spans="1:21" ht="97.2" x14ac:dyDescent="0.3">
      <c r="A7" s="75" t="s">
        <v>7</v>
      </c>
      <c r="B7" s="100" t="s">
        <v>60</v>
      </c>
      <c r="C7" s="97" t="s">
        <v>209</v>
      </c>
      <c r="D7" s="98" t="s">
        <v>94</v>
      </c>
      <c r="E7" s="75"/>
      <c r="F7" s="75"/>
      <c r="G7" s="75"/>
      <c r="H7" s="75"/>
      <c r="I7" s="75"/>
      <c r="J7" s="75"/>
      <c r="K7" s="75"/>
      <c r="L7" s="75"/>
      <c r="M7" s="75"/>
      <c r="N7" s="75"/>
      <c r="O7" s="75"/>
      <c r="P7" s="75"/>
      <c r="Q7" s="75"/>
      <c r="R7" s="75"/>
      <c r="S7" s="75"/>
      <c r="T7" s="75"/>
      <c r="U7" s="75"/>
    </row>
    <row r="8" spans="1:21" ht="64.8" x14ac:dyDescent="0.3">
      <c r="A8" s="75" t="s">
        <v>84</v>
      </c>
      <c r="B8" s="101" t="s">
        <v>61</v>
      </c>
      <c r="C8" s="97" t="s">
        <v>205</v>
      </c>
      <c r="D8" s="98" t="s">
        <v>113</v>
      </c>
      <c r="E8" s="75"/>
      <c r="F8" s="75"/>
      <c r="G8" s="75"/>
      <c r="H8" s="75"/>
      <c r="I8" s="75"/>
      <c r="J8" s="75"/>
      <c r="K8" s="75"/>
      <c r="L8" s="75"/>
      <c r="M8" s="75"/>
      <c r="N8" s="75"/>
      <c r="O8" s="75"/>
      <c r="P8" s="75"/>
      <c r="Q8" s="75"/>
      <c r="R8" s="75"/>
      <c r="S8" s="75"/>
      <c r="T8" s="75"/>
      <c r="U8" s="75"/>
    </row>
    <row r="9" spans="1:21" s="15" customFormat="1" ht="20.399999999999999" x14ac:dyDescent="0.3">
      <c r="A9" s="73"/>
      <c r="B9" s="73"/>
      <c r="C9" s="102"/>
      <c r="D9" s="102"/>
      <c r="E9" s="73"/>
      <c r="F9" s="73"/>
      <c r="G9" s="73"/>
      <c r="H9" s="73"/>
      <c r="I9" s="73"/>
      <c r="J9" s="73"/>
      <c r="K9" s="73"/>
      <c r="L9" s="73"/>
      <c r="M9" s="73"/>
      <c r="N9" s="73"/>
      <c r="O9" s="73"/>
      <c r="P9" s="73"/>
      <c r="Q9" s="73"/>
      <c r="R9" s="73"/>
      <c r="S9" s="73"/>
      <c r="T9" s="73"/>
      <c r="U9" s="73"/>
    </row>
    <row r="10" spans="1:21" s="15" customFormat="1" x14ac:dyDescent="0.3">
      <c r="A10" s="73"/>
      <c r="B10" s="103"/>
      <c r="C10" s="103"/>
      <c r="D10" s="103"/>
      <c r="E10" s="73"/>
      <c r="F10" s="73"/>
      <c r="G10" s="73"/>
      <c r="H10" s="73"/>
      <c r="I10" s="73"/>
      <c r="J10" s="73"/>
      <c r="K10" s="73"/>
      <c r="L10" s="73"/>
      <c r="M10" s="73"/>
      <c r="N10" s="73"/>
      <c r="O10" s="73"/>
      <c r="P10" s="73"/>
      <c r="Q10" s="73"/>
      <c r="R10" s="73"/>
      <c r="S10" s="73"/>
      <c r="T10" s="73"/>
      <c r="U10" s="73"/>
    </row>
    <row r="11" spans="1:21" s="15" customFormat="1" x14ac:dyDescent="0.3">
      <c r="A11" s="73"/>
      <c r="B11" s="73" t="s">
        <v>90</v>
      </c>
      <c r="C11" s="73" t="s">
        <v>207</v>
      </c>
      <c r="D11" s="73" t="s">
        <v>142</v>
      </c>
      <c r="E11" s="73"/>
      <c r="F11" s="73"/>
      <c r="G11" s="73"/>
      <c r="H11" s="73"/>
      <c r="I11" s="73"/>
      <c r="J11" s="73"/>
      <c r="K11" s="73"/>
      <c r="L11" s="73"/>
      <c r="M11" s="73"/>
      <c r="N11" s="73"/>
      <c r="O11" s="73"/>
      <c r="P11" s="73"/>
      <c r="Q11" s="73"/>
      <c r="R11" s="73"/>
      <c r="S11" s="73"/>
      <c r="T11" s="73"/>
      <c r="U11" s="73"/>
    </row>
    <row r="12" spans="1:21" s="15" customFormat="1" x14ac:dyDescent="0.3">
      <c r="A12" s="73"/>
      <c r="B12" s="73" t="s">
        <v>88</v>
      </c>
      <c r="C12" s="73" t="s">
        <v>206</v>
      </c>
      <c r="D12" s="73" t="s">
        <v>143</v>
      </c>
      <c r="E12" s="73"/>
      <c r="F12" s="73"/>
      <c r="G12" s="73"/>
      <c r="H12" s="73"/>
      <c r="I12" s="73"/>
      <c r="J12" s="73"/>
      <c r="K12" s="73"/>
      <c r="L12" s="73"/>
      <c r="M12" s="73"/>
      <c r="N12" s="73"/>
      <c r="O12" s="73"/>
      <c r="P12" s="73"/>
      <c r="Q12" s="73"/>
      <c r="R12" s="73"/>
      <c r="S12" s="73"/>
      <c r="T12" s="73"/>
      <c r="U12" s="73"/>
    </row>
    <row r="13" spans="1:21" s="15" customFormat="1" x14ac:dyDescent="0.3">
      <c r="A13" s="73"/>
      <c r="B13" s="73"/>
      <c r="C13" s="73" t="s">
        <v>210</v>
      </c>
      <c r="D13" s="73" t="s">
        <v>144</v>
      </c>
      <c r="E13" s="73"/>
      <c r="F13" s="73"/>
      <c r="G13" s="73"/>
      <c r="H13" s="73"/>
      <c r="I13" s="73"/>
      <c r="J13" s="73"/>
      <c r="K13" s="73"/>
      <c r="L13" s="73"/>
      <c r="M13" s="73"/>
      <c r="N13" s="73"/>
      <c r="O13" s="73"/>
      <c r="P13" s="73"/>
      <c r="Q13" s="73"/>
      <c r="R13" s="73"/>
      <c r="S13" s="73"/>
      <c r="T13" s="73"/>
      <c r="U13" s="73"/>
    </row>
    <row r="14" spans="1:21" s="15" customFormat="1" x14ac:dyDescent="0.3">
      <c r="A14" s="73"/>
      <c r="B14" s="73"/>
      <c r="C14" s="73" t="s">
        <v>212</v>
      </c>
      <c r="D14" s="73" t="s">
        <v>145</v>
      </c>
      <c r="E14" s="73"/>
      <c r="F14" s="73"/>
      <c r="G14" s="73"/>
      <c r="H14" s="73"/>
      <c r="I14" s="73"/>
      <c r="J14" s="73"/>
      <c r="K14" s="73"/>
      <c r="L14" s="73"/>
      <c r="M14" s="73"/>
      <c r="N14" s="73"/>
      <c r="O14" s="73"/>
      <c r="P14" s="73"/>
      <c r="Q14" s="73"/>
      <c r="R14" s="73"/>
      <c r="S14" s="73"/>
      <c r="T14" s="73"/>
      <c r="U14" s="73"/>
    </row>
    <row r="15" spans="1:21" s="15" customFormat="1" x14ac:dyDescent="0.3">
      <c r="A15" s="73"/>
      <c r="B15" s="73"/>
      <c r="C15" s="73" t="s">
        <v>211</v>
      </c>
      <c r="D15" s="73" t="s">
        <v>146</v>
      </c>
      <c r="E15" s="73"/>
      <c r="F15" s="73"/>
      <c r="G15" s="73"/>
      <c r="H15" s="73"/>
      <c r="I15" s="73"/>
      <c r="J15" s="73"/>
      <c r="K15" s="73"/>
      <c r="L15" s="73"/>
      <c r="M15" s="73"/>
      <c r="N15" s="73"/>
      <c r="O15" s="73"/>
      <c r="P15" s="73"/>
      <c r="Q15" s="73"/>
      <c r="R15" s="73"/>
      <c r="S15" s="73"/>
      <c r="T15" s="73"/>
      <c r="U15" s="73"/>
    </row>
    <row r="16" spans="1:21" s="15" customFormat="1" x14ac:dyDescent="0.3">
      <c r="A16" s="73"/>
      <c r="B16" s="73"/>
      <c r="C16" s="73"/>
      <c r="D16" s="73"/>
      <c r="E16" s="73"/>
      <c r="F16" s="73"/>
      <c r="G16" s="73"/>
      <c r="H16" s="73"/>
      <c r="I16" s="73"/>
      <c r="J16" s="73"/>
      <c r="K16" s="73"/>
      <c r="L16" s="73"/>
      <c r="M16" s="73"/>
      <c r="N16" s="73"/>
      <c r="O16" s="73"/>
    </row>
    <row r="17" spans="1:15" s="15" customFormat="1" x14ac:dyDescent="0.3">
      <c r="A17" s="73"/>
      <c r="B17" s="73"/>
      <c r="C17" s="73"/>
      <c r="D17" s="73"/>
      <c r="E17" s="73"/>
      <c r="F17" s="73"/>
      <c r="G17" s="73"/>
      <c r="H17" s="73"/>
      <c r="I17" s="73"/>
      <c r="J17" s="73"/>
      <c r="K17" s="73"/>
      <c r="L17" s="73"/>
      <c r="M17" s="73"/>
      <c r="N17" s="73"/>
      <c r="O17" s="73"/>
    </row>
    <row r="18" spans="1:15" s="15" customFormat="1" x14ac:dyDescent="0.3">
      <c r="A18" s="73"/>
      <c r="B18" s="73"/>
      <c r="C18" s="73"/>
      <c r="D18" s="73"/>
      <c r="E18" s="73"/>
      <c r="F18" s="73"/>
      <c r="G18" s="73"/>
      <c r="H18" s="73"/>
      <c r="I18" s="73"/>
      <c r="J18" s="73"/>
      <c r="K18" s="73"/>
      <c r="L18" s="73"/>
      <c r="M18" s="73"/>
      <c r="N18" s="73"/>
      <c r="O18" s="73"/>
    </row>
    <row r="19" spans="1:15" s="15" customFormat="1" x14ac:dyDescent="0.3">
      <c r="A19" s="73"/>
      <c r="B19" s="73"/>
      <c r="C19" s="73"/>
      <c r="D19" s="73"/>
      <c r="E19" s="73"/>
      <c r="F19" s="73"/>
      <c r="G19" s="73"/>
      <c r="H19" s="73"/>
      <c r="I19" s="73"/>
      <c r="J19" s="73"/>
      <c r="K19" s="73"/>
      <c r="L19" s="73"/>
      <c r="M19" s="73"/>
      <c r="N19" s="73"/>
      <c r="O19" s="73"/>
    </row>
    <row r="20" spans="1:15" s="15" customFormat="1" x14ac:dyDescent="0.3">
      <c r="A20" s="73"/>
      <c r="B20" s="73"/>
      <c r="C20" s="73"/>
      <c r="D20" s="73"/>
      <c r="E20" s="73"/>
      <c r="F20" s="73"/>
      <c r="G20" s="73"/>
      <c r="H20" s="73"/>
      <c r="I20" s="73"/>
      <c r="J20" s="73"/>
      <c r="K20" s="73"/>
      <c r="L20" s="73"/>
      <c r="M20" s="73"/>
      <c r="N20" s="73"/>
      <c r="O20" s="73"/>
    </row>
    <row r="21" spans="1:15" s="15" customFormat="1" x14ac:dyDescent="0.3">
      <c r="A21" s="73"/>
      <c r="B21" s="73"/>
      <c r="C21" s="73"/>
      <c r="D21" s="73"/>
      <c r="E21" s="73"/>
      <c r="F21" s="73"/>
      <c r="G21" s="73"/>
      <c r="H21" s="73"/>
      <c r="I21" s="73"/>
      <c r="J21" s="73"/>
      <c r="K21" s="73"/>
      <c r="L21" s="73"/>
      <c r="M21" s="73"/>
      <c r="N21" s="73"/>
      <c r="O21" s="73"/>
    </row>
    <row r="22" spans="1:15" s="15" customFormat="1" ht="20.399999999999999" x14ac:dyDescent="0.3">
      <c r="A22" s="73"/>
      <c r="B22" s="73"/>
      <c r="C22" s="102"/>
      <c r="D22" s="102"/>
      <c r="E22" s="73"/>
      <c r="F22" s="73"/>
      <c r="G22" s="73"/>
      <c r="H22" s="73"/>
      <c r="I22" s="73"/>
      <c r="J22" s="73"/>
      <c r="K22" s="73"/>
      <c r="L22" s="73"/>
      <c r="M22" s="73"/>
      <c r="N22" s="73"/>
      <c r="O22" s="73"/>
    </row>
    <row r="23" spans="1:15" s="15" customFormat="1" ht="20.399999999999999" x14ac:dyDescent="0.3">
      <c r="A23" s="73"/>
      <c r="B23" s="73"/>
      <c r="C23" s="102"/>
      <c r="D23" s="102"/>
      <c r="E23" s="73"/>
      <c r="F23" s="73"/>
      <c r="G23" s="73"/>
      <c r="H23" s="73"/>
      <c r="I23" s="73"/>
      <c r="J23" s="73"/>
      <c r="K23" s="73"/>
      <c r="L23" s="73"/>
      <c r="M23" s="73"/>
      <c r="N23" s="73"/>
      <c r="O23" s="73"/>
    </row>
    <row r="24" spans="1:15" s="15" customFormat="1" ht="20.399999999999999" x14ac:dyDescent="0.3">
      <c r="A24" s="73"/>
      <c r="B24" s="73"/>
      <c r="C24" s="102"/>
      <c r="D24" s="102"/>
      <c r="E24" s="73"/>
      <c r="F24" s="73"/>
      <c r="G24" s="73"/>
      <c r="H24" s="73"/>
      <c r="I24" s="73"/>
      <c r="J24" s="73"/>
      <c r="K24" s="73"/>
      <c r="L24" s="73"/>
      <c r="M24" s="73"/>
      <c r="N24" s="73"/>
      <c r="O24" s="73"/>
    </row>
    <row r="25" spans="1:15" s="15" customFormat="1" ht="20.399999999999999" x14ac:dyDescent="0.3">
      <c r="A25" s="73"/>
      <c r="B25" s="73"/>
      <c r="C25" s="102"/>
      <c r="D25" s="102"/>
      <c r="E25" s="73"/>
      <c r="F25" s="73"/>
      <c r="G25" s="73"/>
      <c r="H25" s="73"/>
      <c r="I25" s="73"/>
      <c r="J25" s="73"/>
      <c r="K25" s="73"/>
      <c r="L25" s="73"/>
      <c r="M25" s="73"/>
      <c r="N25" s="73"/>
      <c r="O25" s="73"/>
    </row>
    <row r="26" spans="1:15" s="15" customFormat="1" ht="20.399999999999999" x14ac:dyDescent="0.3">
      <c r="A26" s="73"/>
      <c r="B26" s="73"/>
      <c r="C26" s="102"/>
      <c r="D26" s="102"/>
      <c r="E26" s="73"/>
      <c r="F26" s="73"/>
      <c r="G26" s="73"/>
      <c r="H26" s="73"/>
      <c r="I26" s="73"/>
      <c r="J26" s="73"/>
      <c r="K26" s="73"/>
      <c r="L26" s="73"/>
      <c r="M26" s="73"/>
      <c r="N26" s="73"/>
      <c r="O26" s="73"/>
    </row>
    <row r="27" spans="1:15" s="15" customFormat="1" ht="20.399999999999999" x14ac:dyDescent="0.3">
      <c r="A27" s="73"/>
      <c r="B27" s="73"/>
      <c r="C27" s="102"/>
      <c r="D27" s="102"/>
      <c r="E27" s="73"/>
      <c r="F27" s="73"/>
      <c r="G27" s="73"/>
      <c r="H27" s="73"/>
      <c r="I27" s="73"/>
      <c r="J27" s="73"/>
      <c r="K27" s="73"/>
      <c r="L27" s="73"/>
      <c r="M27" s="73"/>
      <c r="N27" s="73"/>
      <c r="O27" s="73"/>
    </row>
    <row r="28" spans="1:15" s="15" customFormat="1" ht="20.399999999999999" x14ac:dyDescent="0.3">
      <c r="A28" s="73"/>
      <c r="B28" s="73"/>
      <c r="C28" s="102"/>
      <c r="D28" s="102"/>
      <c r="E28" s="73"/>
      <c r="F28" s="73"/>
      <c r="G28" s="73"/>
      <c r="H28" s="73"/>
      <c r="I28" s="73"/>
      <c r="J28" s="73"/>
      <c r="K28" s="73"/>
      <c r="L28" s="73"/>
      <c r="M28" s="73"/>
      <c r="N28" s="73"/>
      <c r="O28" s="73"/>
    </row>
    <row r="29" spans="1:15" s="15" customFormat="1" ht="20.399999999999999" x14ac:dyDescent="0.3">
      <c r="A29" s="73"/>
      <c r="B29" s="73"/>
      <c r="C29" s="102"/>
      <c r="D29" s="102"/>
      <c r="E29" s="73"/>
      <c r="F29" s="73"/>
      <c r="G29" s="73"/>
      <c r="H29" s="73"/>
      <c r="I29" s="73"/>
      <c r="J29" s="73"/>
      <c r="K29" s="73"/>
      <c r="L29" s="73"/>
      <c r="M29" s="73"/>
      <c r="N29" s="73"/>
      <c r="O29" s="73"/>
    </row>
    <row r="30" spans="1:15" s="15" customFormat="1" ht="20.399999999999999" x14ac:dyDescent="0.3">
      <c r="A30" s="73"/>
      <c r="B30" s="73"/>
      <c r="C30" s="102"/>
      <c r="D30" s="102"/>
      <c r="E30" s="73"/>
      <c r="F30" s="73"/>
      <c r="G30" s="73"/>
      <c r="H30" s="73"/>
      <c r="I30" s="73"/>
      <c r="J30" s="73"/>
      <c r="K30" s="73"/>
      <c r="L30" s="73"/>
      <c r="M30" s="73"/>
      <c r="N30" s="73"/>
      <c r="O30" s="73"/>
    </row>
    <row r="31" spans="1:15" s="15" customFormat="1" ht="20.399999999999999" x14ac:dyDescent="0.3">
      <c r="A31" s="73"/>
      <c r="B31" s="73"/>
      <c r="C31" s="102"/>
      <c r="D31" s="102"/>
      <c r="E31" s="73"/>
      <c r="F31" s="73"/>
      <c r="G31" s="73"/>
      <c r="H31" s="73"/>
      <c r="I31" s="73"/>
      <c r="J31" s="73"/>
      <c r="K31" s="73"/>
      <c r="L31" s="73"/>
      <c r="M31" s="73"/>
      <c r="N31" s="73"/>
      <c r="O31" s="73"/>
    </row>
    <row r="32" spans="1:15" s="15" customFormat="1" ht="20.399999999999999" x14ac:dyDescent="0.3">
      <c r="A32" s="73"/>
      <c r="B32" s="73"/>
      <c r="C32" s="102"/>
      <c r="D32" s="102"/>
      <c r="E32" s="73"/>
      <c r="F32" s="73"/>
      <c r="G32" s="73"/>
      <c r="H32" s="73"/>
      <c r="I32" s="73"/>
      <c r="J32" s="73"/>
      <c r="K32" s="73"/>
      <c r="L32" s="73"/>
      <c r="M32" s="73"/>
      <c r="N32" s="73"/>
      <c r="O32" s="73"/>
    </row>
    <row r="33" spans="1:15" s="15" customFormat="1" ht="20.399999999999999" x14ac:dyDescent="0.3">
      <c r="A33" s="73"/>
      <c r="B33" s="73"/>
      <c r="C33" s="102"/>
      <c r="D33" s="102"/>
      <c r="E33" s="73"/>
      <c r="F33" s="73"/>
      <c r="G33" s="73"/>
      <c r="H33" s="73"/>
      <c r="I33" s="73"/>
      <c r="J33" s="73"/>
      <c r="K33" s="73"/>
      <c r="L33" s="73"/>
      <c r="M33" s="73"/>
      <c r="N33" s="73"/>
      <c r="O33" s="73"/>
    </row>
    <row r="34" spans="1:15" s="15" customFormat="1" ht="20.399999999999999" x14ac:dyDescent="0.3">
      <c r="A34" s="73"/>
      <c r="B34" s="73"/>
      <c r="C34" s="102"/>
      <c r="D34" s="102"/>
      <c r="E34" s="73"/>
      <c r="F34" s="73"/>
      <c r="G34" s="73"/>
      <c r="H34" s="73"/>
      <c r="I34" s="73"/>
      <c r="J34" s="73"/>
      <c r="K34" s="73"/>
      <c r="L34" s="73"/>
      <c r="M34" s="73"/>
      <c r="N34" s="73"/>
      <c r="O34" s="73"/>
    </row>
    <row r="35" spans="1:15" s="15" customFormat="1" ht="20.399999999999999" x14ac:dyDescent="0.3">
      <c r="A35" s="73"/>
      <c r="B35" s="73"/>
      <c r="C35" s="102"/>
      <c r="D35" s="102"/>
      <c r="E35" s="73"/>
      <c r="F35" s="73"/>
      <c r="G35" s="73"/>
      <c r="H35" s="73"/>
      <c r="I35" s="73"/>
      <c r="J35" s="73"/>
      <c r="K35" s="73"/>
      <c r="L35" s="73"/>
      <c r="M35" s="73"/>
      <c r="N35" s="73"/>
      <c r="O35" s="73"/>
    </row>
    <row r="36" spans="1:15" s="15" customFormat="1" ht="20.399999999999999" x14ac:dyDescent="0.3">
      <c r="A36" s="73"/>
      <c r="B36" s="73"/>
      <c r="C36" s="102"/>
      <c r="D36" s="102"/>
      <c r="E36" s="73"/>
      <c r="F36" s="73"/>
      <c r="G36" s="73"/>
      <c r="H36" s="73"/>
      <c r="I36" s="73"/>
      <c r="J36" s="73"/>
      <c r="K36" s="73"/>
      <c r="L36" s="73"/>
      <c r="M36" s="73"/>
      <c r="N36" s="73"/>
      <c r="O36" s="73"/>
    </row>
    <row r="37" spans="1:15" s="15" customFormat="1" ht="20.399999999999999" x14ac:dyDescent="0.3">
      <c r="A37" s="73"/>
      <c r="B37" s="73"/>
      <c r="C37" s="102"/>
      <c r="D37" s="102"/>
      <c r="E37" s="73"/>
      <c r="F37" s="73"/>
      <c r="G37" s="73"/>
      <c r="H37" s="73"/>
      <c r="I37" s="73"/>
      <c r="J37" s="73"/>
      <c r="K37" s="73"/>
      <c r="L37" s="73"/>
      <c r="M37" s="73"/>
      <c r="N37" s="73"/>
      <c r="O37" s="73"/>
    </row>
    <row r="38" spans="1:15" s="15" customFormat="1" ht="20.399999999999999" x14ac:dyDescent="0.3">
      <c r="A38" s="73"/>
      <c r="B38" s="73"/>
      <c r="C38" s="102"/>
      <c r="D38" s="102"/>
      <c r="E38" s="73"/>
      <c r="F38" s="73"/>
      <c r="G38" s="73"/>
      <c r="H38" s="73"/>
      <c r="I38" s="73"/>
      <c r="J38" s="73"/>
      <c r="K38" s="73"/>
      <c r="L38" s="73"/>
      <c r="M38" s="73"/>
      <c r="N38" s="73"/>
      <c r="O38" s="73"/>
    </row>
    <row r="39" spans="1:15" s="15" customFormat="1" ht="20.399999999999999" x14ac:dyDescent="0.3">
      <c r="A39" s="73"/>
      <c r="B39" s="73"/>
      <c r="C39" s="102"/>
      <c r="D39" s="102"/>
      <c r="E39" s="73"/>
      <c r="F39" s="73"/>
      <c r="G39" s="73"/>
      <c r="H39" s="73"/>
      <c r="I39" s="73"/>
      <c r="J39" s="73"/>
      <c r="K39" s="73"/>
      <c r="L39" s="73"/>
      <c r="M39" s="73"/>
      <c r="N39" s="73"/>
      <c r="O39" s="73"/>
    </row>
    <row r="40" spans="1:15" s="15" customFormat="1" ht="20.399999999999999" x14ac:dyDescent="0.3">
      <c r="A40" s="73"/>
      <c r="B40" s="73"/>
      <c r="C40" s="102"/>
      <c r="D40" s="102"/>
      <c r="E40" s="73"/>
      <c r="F40" s="73"/>
      <c r="G40" s="73"/>
      <c r="H40" s="73"/>
      <c r="I40" s="73"/>
      <c r="J40" s="73"/>
      <c r="K40" s="73"/>
      <c r="L40" s="73"/>
      <c r="M40" s="73"/>
      <c r="N40" s="73"/>
      <c r="O40" s="73"/>
    </row>
    <row r="41" spans="1:15" s="15" customFormat="1" ht="20.399999999999999" x14ac:dyDescent="0.3">
      <c r="A41" s="73"/>
      <c r="B41" s="73"/>
      <c r="C41" s="102"/>
      <c r="D41" s="102"/>
      <c r="E41" s="73"/>
      <c r="F41" s="73"/>
      <c r="G41" s="73"/>
      <c r="H41" s="73"/>
      <c r="I41" s="73"/>
      <c r="J41" s="73"/>
      <c r="K41" s="73"/>
      <c r="L41" s="73"/>
      <c r="M41" s="73"/>
      <c r="N41" s="73"/>
      <c r="O41" s="73"/>
    </row>
    <row r="42" spans="1:15" s="15" customFormat="1" ht="20.399999999999999" x14ac:dyDescent="0.3">
      <c r="A42" s="73"/>
      <c r="B42" s="73"/>
      <c r="C42" s="102"/>
      <c r="D42" s="102"/>
      <c r="E42" s="73"/>
      <c r="F42" s="73"/>
      <c r="G42" s="73"/>
      <c r="H42" s="73"/>
      <c r="I42" s="73"/>
      <c r="J42" s="73"/>
      <c r="K42" s="73"/>
      <c r="L42" s="73"/>
      <c r="M42" s="73"/>
      <c r="N42" s="73"/>
      <c r="O42" s="73"/>
    </row>
    <row r="43" spans="1:15" s="15" customFormat="1" ht="20.399999999999999" x14ac:dyDescent="0.3">
      <c r="A43" s="73"/>
      <c r="B43" s="73"/>
      <c r="C43" s="102"/>
      <c r="D43" s="102"/>
      <c r="E43" s="73"/>
      <c r="F43" s="73"/>
      <c r="G43" s="73"/>
      <c r="H43" s="73"/>
      <c r="I43" s="73"/>
      <c r="J43" s="73"/>
      <c r="K43" s="73"/>
      <c r="L43" s="73"/>
      <c r="M43" s="73"/>
      <c r="N43" s="73"/>
      <c r="O43" s="73"/>
    </row>
    <row r="44" spans="1:15" s="15" customFormat="1" ht="20.399999999999999" x14ac:dyDescent="0.3">
      <c r="A44" s="73"/>
      <c r="B44" s="73"/>
      <c r="C44" s="102"/>
      <c r="D44" s="102"/>
      <c r="E44" s="73"/>
      <c r="F44" s="73"/>
      <c r="G44" s="73"/>
      <c r="H44" s="73"/>
      <c r="I44" s="73"/>
      <c r="J44" s="73"/>
      <c r="K44" s="73"/>
      <c r="L44" s="73"/>
      <c r="M44" s="73"/>
      <c r="N44" s="73"/>
      <c r="O44" s="73"/>
    </row>
    <row r="45" spans="1:15" s="15" customFormat="1" ht="20.399999999999999" x14ac:dyDescent="0.3">
      <c r="A45" s="73"/>
      <c r="B45" s="73"/>
      <c r="C45" s="102"/>
      <c r="D45" s="102"/>
      <c r="E45" s="73"/>
      <c r="F45" s="73"/>
      <c r="G45" s="73"/>
      <c r="H45" s="73"/>
      <c r="I45" s="73"/>
      <c r="J45" s="73"/>
      <c r="K45" s="73"/>
      <c r="L45" s="73"/>
      <c r="M45" s="73"/>
      <c r="N45" s="73"/>
      <c r="O45" s="73"/>
    </row>
    <row r="46" spans="1:15" s="15" customFormat="1" ht="20.399999999999999" x14ac:dyDescent="0.3">
      <c r="A46" s="73"/>
      <c r="B46" s="73"/>
      <c r="C46" s="102"/>
      <c r="D46" s="102"/>
      <c r="E46" s="73"/>
      <c r="F46" s="73"/>
      <c r="G46" s="73"/>
      <c r="H46" s="73"/>
      <c r="I46" s="73"/>
      <c r="J46" s="73"/>
      <c r="K46" s="73"/>
      <c r="L46" s="73"/>
      <c r="M46" s="73"/>
      <c r="N46" s="73"/>
      <c r="O46" s="73"/>
    </row>
    <row r="47" spans="1:15" s="15" customFormat="1" ht="20.399999999999999" x14ac:dyDescent="0.3">
      <c r="A47" s="73"/>
      <c r="B47" s="73"/>
      <c r="C47" s="102"/>
      <c r="D47" s="102"/>
      <c r="E47" s="73"/>
      <c r="F47" s="73"/>
      <c r="G47" s="73"/>
      <c r="H47" s="73"/>
      <c r="I47" s="73"/>
      <c r="J47" s="73"/>
      <c r="K47" s="73"/>
      <c r="L47" s="73"/>
      <c r="M47" s="73"/>
      <c r="N47" s="73"/>
      <c r="O47" s="73"/>
    </row>
    <row r="48" spans="1:15" s="15" customFormat="1" ht="20.399999999999999" x14ac:dyDescent="0.3">
      <c r="A48" s="73"/>
      <c r="B48" s="73"/>
      <c r="C48" s="102"/>
      <c r="D48" s="102"/>
      <c r="E48" s="73"/>
      <c r="F48" s="73"/>
      <c r="G48" s="73"/>
      <c r="H48" s="73"/>
      <c r="I48" s="73"/>
      <c r="J48" s="73"/>
      <c r="K48" s="73"/>
      <c r="L48" s="73"/>
      <c r="M48" s="73"/>
      <c r="N48" s="73"/>
      <c r="O48" s="73"/>
    </row>
    <row r="49" spans="1:15" s="15" customFormat="1" ht="20.399999999999999" x14ac:dyDescent="0.3">
      <c r="A49" s="73"/>
      <c r="B49" s="73"/>
      <c r="C49" s="102"/>
      <c r="D49" s="102"/>
      <c r="E49" s="73"/>
      <c r="F49" s="73"/>
      <c r="G49" s="73"/>
      <c r="H49" s="73"/>
      <c r="I49" s="73"/>
      <c r="J49" s="73"/>
      <c r="K49" s="73"/>
      <c r="L49" s="73"/>
      <c r="M49" s="73"/>
      <c r="N49" s="73"/>
      <c r="O49" s="73"/>
    </row>
    <row r="50" spans="1:15" s="15" customFormat="1" ht="20.399999999999999" x14ac:dyDescent="0.3">
      <c r="A50" s="73"/>
      <c r="B50" s="73"/>
      <c r="C50" s="102"/>
      <c r="D50" s="102"/>
      <c r="E50" s="73"/>
      <c r="F50" s="73"/>
      <c r="G50" s="73"/>
      <c r="H50" s="73"/>
      <c r="I50" s="73"/>
      <c r="J50" s="73"/>
      <c r="K50" s="73"/>
      <c r="L50" s="73"/>
      <c r="M50" s="73"/>
      <c r="N50" s="73"/>
      <c r="O50" s="73"/>
    </row>
    <row r="51" spans="1:15" s="15" customFormat="1" ht="20.399999999999999" x14ac:dyDescent="0.3">
      <c r="A51" s="73"/>
      <c r="B51" s="73"/>
      <c r="C51" s="102"/>
      <c r="D51" s="102"/>
      <c r="E51" s="73"/>
      <c r="F51" s="73"/>
      <c r="G51" s="73"/>
      <c r="H51" s="73"/>
      <c r="I51" s="73"/>
      <c r="J51" s="73"/>
      <c r="K51" s="73"/>
      <c r="L51" s="73"/>
      <c r="M51" s="73"/>
      <c r="N51" s="73"/>
      <c r="O51" s="73"/>
    </row>
    <row r="52" spans="1:15" s="15" customFormat="1" ht="20.399999999999999" x14ac:dyDescent="0.3">
      <c r="A52" s="73"/>
      <c r="C52" s="104"/>
      <c r="D52" s="104"/>
    </row>
    <row r="53" spans="1:15" s="15" customFormat="1" ht="20.399999999999999" x14ac:dyDescent="0.3">
      <c r="A53" s="73"/>
      <c r="C53" s="104"/>
      <c r="D53" s="104"/>
    </row>
    <row r="54" spans="1:15" s="15" customFormat="1" ht="20.399999999999999" x14ac:dyDescent="0.3">
      <c r="A54" s="73"/>
      <c r="C54" s="104"/>
      <c r="D54" s="104"/>
    </row>
    <row r="55" spans="1:15" s="15" customFormat="1" ht="20.399999999999999" x14ac:dyDescent="0.3">
      <c r="A55" s="73"/>
      <c r="C55" s="104"/>
      <c r="D55" s="104"/>
    </row>
    <row r="56" spans="1:15" s="15" customFormat="1" ht="20.399999999999999" x14ac:dyDescent="0.3">
      <c r="A56" s="73"/>
      <c r="C56" s="104"/>
      <c r="D56" s="104"/>
    </row>
    <row r="57" spans="1:15" s="15" customFormat="1" ht="20.399999999999999" x14ac:dyDescent="0.3">
      <c r="A57" s="73"/>
      <c r="C57" s="104"/>
      <c r="D57" s="104"/>
    </row>
    <row r="58" spans="1:15" s="15" customFormat="1" ht="20.399999999999999" x14ac:dyDescent="0.3">
      <c r="A58" s="73"/>
      <c r="C58" s="104"/>
      <c r="D58" s="104"/>
    </row>
    <row r="59" spans="1:15" s="15" customFormat="1" ht="20.399999999999999" x14ac:dyDescent="0.3">
      <c r="A59" s="73"/>
      <c r="C59" s="104"/>
      <c r="D59" s="104"/>
    </row>
    <row r="60" spans="1:15" s="15" customFormat="1" ht="20.399999999999999" x14ac:dyDescent="0.3">
      <c r="A60" s="73"/>
      <c r="C60" s="104"/>
      <c r="D60" s="104"/>
    </row>
    <row r="61" spans="1:15" s="15" customFormat="1" ht="20.399999999999999" x14ac:dyDescent="0.3">
      <c r="A61" s="73"/>
      <c r="C61" s="104"/>
      <c r="D61" s="104"/>
    </row>
    <row r="62" spans="1:15" s="15" customFormat="1" ht="20.399999999999999" x14ac:dyDescent="0.3">
      <c r="A62" s="73"/>
      <c r="C62" s="104"/>
      <c r="D62" s="104"/>
    </row>
    <row r="63" spans="1:15" s="15" customFormat="1" ht="20.399999999999999" x14ac:dyDescent="0.3">
      <c r="A63" s="73"/>
      <c r="C63" s="104"/>
      <c r="D63" s="104"/>
    </row>
    <row r="64" spans="1:15" s="15" customFormat="1" ht="20.399999999999999" x14ac:dyDescent="0.3">
      <c r="A64" s="73"/>
      <c r="C64" s="104"/>
      <c r="D64" s="104"/>
    </row>
    <row r="65" spans="1:4" s="15" customFormat="1" ht="20.399999999999999" x14ac:dyDescent="0.3">
      <c r="A65" s="73"/>
      <c r="C65" s="104"/>
      <c r="D65" s="104"/>
    </row>
    <row r="66" spans="1:4" s="15" customFormat="1" ht="20.399999999999999" x14ac:dyDescent="0.3">
      <c r="A66" s="73"/>
      <c r="C66" s="104"/>
      <c r="D66" s="104"/>
    </row>
    <row r="67" spans="1:4" s="15" customFormat="1" ht="20.399999999999999" x14ac:dyDescent="0.3">
      <c r="A67" s="73"/>
      <c r="C67" s="104"/>
      <c r="D67" s="104"/>
    </row>
    <row r="68" spans="1:4" s="15" customFormat="1" ht="20.399999999999999" x14ac:dyDescent="0.3">
      <c r="A68" s="73"/>
      <c r="C68" s="104"/>
      <c r="D68" s="104"/>
    </row>
    <row r="69" spans="1:4" s="15" customFormat="1" ht="20.399999999999999" x14ac:dyDescent="0.3">
      <c r="A69" s="73"/>
      <c r="C69" s="104"/>
      <c r="D69" s="104"/>
    </row>
    <row r="70" spans="1:4" s="15" customFormat="1" ht="20.399999999999999" x14ac:dyDescent="0.3">
      <c r="A70" s="73"/>
      <c r="C70" s="104"/>
      <c r="D70" s="104"/>
    </row>
    <row r="71" spans="1:4" s="15" customFormat="1" ht="20.399999999999999" x14ac:dyDescent="0.3">
      <c r="A71" s="73"/>
      <c r="C71" s="104"/>
      <c r="D71" s="104"/>
    </row>
    <row r="72" spans="1:4" s="15" customFormat="1" ht="20.399999999999999" x14ac:dyDescent="0.3">
      <c r="A72" s="73"/>
      <c r="C72" s="104"/>
      <c r="D72" s="104"/>
    </row>
    <row r="73" spans="1:4" s="15" customFormat="1" ht="20.399999999999999" x14ac:dyDescent="0.3">
      <c r="A73" s="73"/>
      <c r="C73" s="104"/>
      <c r="D73" s="104"/>
    </row>
    <row r="74" spans="1:4" s="15" customFormat="1" ht="20.399999999999999" x14ac:dyDescent="0.3">
      <c r="A74" s="73"/>
      <c r="C74" s="104"/>
      <c r="D74" s="104"/>
    </row>
    <row r="75" spans="1:4" s="15" customFormat="1" ht="20.399999999999999" x14ac:dyDescent="0.3">
      <c r="A75" s="73"/>
      <c r="C75" s="104"/>
      <c r="D75" s="104"/>
    </row>
    <row r="76" spans="1:4" s="15" customFormat="1" ht="20.399999999999999" x14ac:dyDescent="0.3">
      <c r="A76" s="73"/>
      <c r="C76" s="104"/>
      <c r="D76" s="104"/>
    </row>
    <row r="77" spans="1:4" s="15" customFormat="1" ht="20.399999999999999" x14ac:dyDescent="0.3">
      <c r="A77" s="73"/>
      <c r="C77" s="104"/>
      <c r="D77" s="104"/>
    </row>
    <row r="78" spans="1:4" s="15" customFormat="1" ht="20.399999999999999" x14ac:dyDescent="0.3">
      <c r="A78" s="73"/>
      <c r="C78" s="104"/>
      <c r="D78" s="104"/>
    </row>
    <row r="79" spans="1:4" s="15" customFormat="1" ht="20.399999999999999" x14ac:dyDescent="0.3">
      <c r="A79" s="73"/>
      <c r="C79" s="104"/>
      <c r="D79" s="104"/>
    </row>
    <row r="80" spans="1:4" s="15" customFormat="1" ht="20.399999999999999" x14ac:dyDescent="0.3">
      <c r="A80" s="73"/>
      <c r="C80" s="104"/>
      <c r="D80" s="104"/>
    </row>
    <row r="81" spans="1:4" s="15" customFormat="1" ht="20.399999999999999" x14ac:dyDescent="0.3">
      <c r="A81" s="73"/>
      <c r="C81" s="104"/>
      <c r="D81" s="104"/>
    </row>
    <row r="82" spans="1:4" s="15" customFormat="1" ht="20.399999999999999" x14ac:dyDescent="0.3">
      <c r="A82" s="73"/>
      <c r="C82" s="104"/>
      <c r="D82" s="104"/>
    </row>
    <row r="83" spans="1:4" s="15" customFormat="1" ht="20.399999999999999" x14ac:dyDescent="0.3">
      <c r="A83" s="73"/>
      <c r="C83" s="104"/>
      <c r="D83" s="104"/>
    </row>
    <row r="84" spans="1:4" s="15" customFormat="1" ht="20.399999999999999" x14ac:dyDescent="0.3">
      <c r="A84" s="73"/>
      <c r="C84" s="104"/>
      <c r="D84" s="104"/>
    </row>
    <row r="85" spans="1:4" s="15" customFormat="1" ht="20.399999999999999" x14ac:dyDescent="0.3">
      <c r="A85" s="73"/>
      <c r="C85" s="104"/>
      <c r="D85" s="104"/>
    </row>
    <row r="86" spans="1:4" s="15" customFormat="1" ht="20.399999999999999" x14ac:dyDescent="0.3">
      <c r="A86" s="73"/>
      <c r="C86" s="104"/>
      <c r="D86" s="104"/>
    </row>
    <row r="87" spans="1:4" s="15" customFormat="1" ht="20.399999999999999" x14ac:dyDescent="0.3">
      <c r="A87" s="73"/>
      <c r="C87" s="104"/>
      <c r="D87" s="104"/>
    </row>
    <row r="88" spans="1:4" s="15" customFormat="1" ht="20.399999999999999" x14ac:dyDescent="0.3">
      <c r="A88" s="73"/>
      <c r="C88" s="104"/>
      <c r="D88" s="104"/>
    </row>
    <row r="89" spans="1:4" s="15" customFormat="1" ht="20.399999999999999" x14ac:dyDescent="0.3">
      <c r="A89" s="73"/>
      <c r="C89" s="104"/>
      <c r="D89" s="104"/>
    </row>
    <row r="90" spans="1:4" s="15" customFormat="1" ht="20.399999999999999" x14ac:dyDescent="0.3">
      <c r="A90" s="73"/>
      <c r="C90" s="104"/>
      <c r="D90" s="104"/>
    </row>
    <row r="91" spans="1:4" s="15" customFormat="1" ht="20.399999999999999" x14ac:dyDescent="0.3">
      <c r="A91" s="73"/>
      <c r="C91" s="104"/>
      <c r="D91" s="104"/>
    </row>
    <row r="92" spans="1:4" s="15" customFormat="1" ht="20.399999999999999" x14ac:dyDescent="0.3">
      <c r="A92" s="73"/>
      <c r="C92" s="104"/>
      <c r="D92" s="104"/>
    </row>
    <row r="93" spans="1:4" s="15" customFormat="1" ht="20.399999999999999" x14ac:dyDescent="0.3">
      <c r="A93" s="73"/>
      <c r="C93" s="104"/>
      <c r="D93" s="104"/>
    </row>
    <row r="94" spans="1:4" s="15" customFormat="1" ht="20.399999999999999" x14ac:dyDescent="0.3">
      <c r="A94" s="73"/>
      <c r="C94" s="104"/>
      <c r="D94" s="104"/>
    </row>
    <row r="95" spans="1:4" s="15" customFormat="1" ht="20.399999999999999" x14ac:dyDescent="0.3">
      <c r="A95" s="73"/>
      <c r="C95" s="104"/>
      <c r="D95" s="104"/>
    </row>
    <row r="96" spans="1:4" s="15" customFormat="1" ht="20.399999999999999" x14ac:dyDescent="0.3">
      <c r="A96" s="73"/>
      <c r="C96" s="104"/>
      <c r="D96" s="104"/>
    </row>
    <row r="97" spans="1:4" s="15" customFormat="1" ht="20.399999999999999" x14ac:dyDescent="0.3">
      <c r="A97" s="73"/>
      <c r="C97" s="104"/>
      <c r="D97" s="104"/>
    </row>
    <row r="98" spans="1:4" s="15" customFormat="1" ht="20.399999999999999" x14ac:dyDescent="0.3">
      <c r="A98" s="73"/>
      <c r="C98" s="104"/>
      <c r="D98" s="104"/>
    </row>
    <row r="99" spans="1:4" s="15" customFormat="1" ht="20.399999999999999" x14ac:dyDescent="0.3">
      <c r="A99" s="73"/>
      <c r="C99" s="104"/>
      <c r="D99" s="104"/>
    </row>
    <row r="100" spans="1:4" s="15" customFormat="1" ht="20.399999999999999" x14ac:dyDescent="0.3">
      <c r="A100" s="73"/>
      <c r="C100" s="104"/>
      <c r="D100" s="104"/>
    </row>
    <row r="101" spans="1:4" s="15" customFormat="1" ht="20.399999999999999" x14ac:dyDescent="0.3">
      <c r="A101" s="73"/>
      <c r="C101" s="104"/>
      <c r="D101" s="104"/>
    </row>
    <row r="102" spans="1:4" s="15" customFormat="1" ht="20.399999999999999" x14ac:dyDescent="0.3">
      <c r="A102" s="73"/>
      <c r="C102" s="104"/>
      <c r="D102" s="104"/>
    </row>
    <row r="103" spans="1:4" s="15" customFormat="1" ht="20.399999999999999" x14ac:dyDescent="0.3">
      <c r="A103" s="73"/>
      <c r="C103" s="104"/>
      <c r="D103" s="104"/>
    </row>
    <row r="104" spans="1:4" s="15" customFormat="1" ht="20.399999999999999" x14ac:dyDescent="0.3">
      <c r="A104" s="73"/>
      <c r="C104" s="104"/>
      <c r="D104" s="104"/>
    </row>
    <row r="105" spans="1:4" s="15" customFormat="1" ht="20.399999999999999" x14ac:dyDescent="0.3">
      <c r="A105" s="73"/>
      <c r="C105" s="104"/>
      <c r="D105" s="104"/>
    </row>
    <row r="106" spans="1:4" s="15" customFormat="1" ht="20.399999999999999" x14ac:dyDescent="0.3">
      <c r="A106" s="73"/>
      <c r="C106" s="104"/>
      <c r="D106" s="104"/>
    </row>
    <row r="107" spans="1:4" s="15" customFormat="1" ht="20.399999999999999" x14ac:dyDescent="0.3">
      <c r="A107" s="73"/>
      <c r="C107" s="104"/>
      <c r="D107" s="104"/>
    </row>
    <row r="108" spans="1:4" s="15" customFormat="1" ht="20.399999999999999" x14ac:dyDescent="0.3">
      <c r="A108" s="73"/>
      <c r="C108" s="104"/>
      <c r="D108" s="104"/>
    </row>
    <row r="109" spans="1:4" s="15" customFormat="1" ht="20.399999999999999" x14ac:dyDescent="0.3">
      <c r="A109" s="73"/>
      <c r="C109" s="104"/>
      <c r="D109" s="104"/>
    </row>
    <row r="110" spans="1:4" s="15" customFormat="1" ht="20.399999999999999" x14ac:dyDescent="0.3">
      <c r="A110" s="73"/>
      <c r="C110" s="104"/>
      <c r="D110" s="104"/>
    </row>
    <row r="111" spans="1:4" s="15" customFormat="1" ht="20.399999999999999" x14ac:dyDescent="0.3">
      <c r="A111" s="73"/>
      <c r="C111" s="104"/>
      <c r="D111" s="104"/>
    </row>
    <row r="112" spans="1:4" s="15" customFormat="1" ht="20.399999999999999" x14ac:dyDescent="0.3">
      <c r="A112" s="73"/>
      <c r="C112" s="104"/>
      <c r="D112" s="104"/>
    </row>
    <row r="113" spans="1:4" s="15" customFormat="1" ht="20.399999999999999" x14ac:dyDescent="0.3">
      <c r="A113" s="73"/>
      <c r="C113" s="104"/>
      <c r="D113" s="104"/>
    </row>
    <row r="114" spans="1:4" s="15" customFormat="1" ht="20.399999999999999" x14ac:dyDescent="0.3">
      <c r="A114" s="73"/>
      <c r="C114" s="104"/>
      <c r="D114" s="104"/>
    </row>
    <row r="115" spans="1:4" s="15" customFormat="1" ht="20.399999999999999" x14ac:dyDescent="0.3">
      <c r="A115" s="73"/>
      <c r="C115" s="104"/>
      <c r="D115" s="104"/>
    </row>
    <row r="116" spans="1:4" s="15" customFormat="1" ht="20.399999999999999" x14ac:dyDescent="0.3">
      <c r="A116" s="73"/>
      <c r="C116" s="104"/>
      <c r="D116" s="104"/>
    </row>
    <row r="117" spans="1:4" s="15" customFormat="1" ht="20.399999999999999" x14ac:dyDescent="0.3">
      <c r="A117" s="73"/>
      <c r="C117" s="104"/>
      <c r="D117" s="104"/>
    </row>
    <row r="118" spans="1:4" s="15" customFormat="1" ht="20.399999999999999" x14ac:dyDescent="0.3">
      <c r="A118" s="73"/>
      <c r="C118" s="104"/>
      <c r="D118" s="104"/>
    </row>
    <row r="119" spans="1:4" s="15" customFormat="1" ht="20.399999999999999" x14ac:dyDescent="0.3">
      <c r="A119" s="73"/>
      <c r="C119" s="104"/>
      <c r="D119" s="104"/>
    </row>
    <row r="120" spans="1:4" s="15" customFormat="1" ht="20.399999999999999" x14ac:dyDescent="0.3">
      <c r="A120" s="73"/>
      <c r="C120" s="104"/>
      <c r="D120" s="104"/>
    </row>
    <row r="121" spans="1:4" s="15" customFormat="1" ht="20.399999999999999" x14ac:dyDescent="0.3">
      <c r="A121" s="73"/>
      <c r="C121" s="104"/>
      <c r="D121" s="104"/>
    </row>
    <row r="122" spans="1:4" s="15" customFormat="1" ht="20.399999999999999" x14ac:dyDescent="0.3">
      <c r="A122" s="73"/>
      <c r="C122" s="104"/>
      <c r="D122" s="104"/>
    </row>
    <row r="123" spans="1:4" s="15" customFormat="1" ht="20.399999999999999" x14ac:dyDescent="0.3">
      <c r="A123" s="73"/>
      <c r="C123" s="104"/>
      <c r="D123" s="104"/>
    </row>
    <row r="124" spans="1:4" s="15" customFormat="1" ht="20.399999999999999" x14ac:dyDescent="0.3">
      <c r="A124" s="73"/>
      <c r="C124" s="104"/>
      <c r="D124" s="104"/>
    </row>
    <row r="125" spans="1:4" s="15" customFormat="1" ht="20.399999999999999" x14ac:dyDescent="0.3">
      <c r="A125" s="73"/>
      <c r="C125" s="104"/>
      <c r="D125" s="104"/>
    </row>
    <row r="126" spans="1:4" s="15" customFormat="1" ht="20.399999999999999" x14ac:dyDescent="0.3">
      <c r="A126" s="73"/>
      <c r="C126" s="104"/>
      <c r="D126" s="104"/>
    </row>
    <row r="127" spans="1:4" s="15" customFormat="1" ht="20.399999999999999" x14ac:dyDescent="0.3">
      <c r="A127" s="73"/>
      <c r="C127" s="104"/>
      <c r="D127" s="104"/>
    </row>
    <row r="128" spans="1:4" s="15" customFormat="1" ht="20.399999999999999" x14ac:dyDescent="0.3">
      <c r="A128" s="73"/>
      <c r="C128" s="104"/>
      <c r="D128" s="104"/>
    </row>
    <row r="129" spans="1:4" s="15" customFormat="1" ht="20.399999999999999" x14ac:dyDescent="0.3">
      <c r="A129" s="73"/>
      <c r="C129" s="104"/>
      <c r="D129" s="104"/>
    </row>
    <row r="130" spans="1:4" s="15" customFormat="1" ht="20.399999999999999" x14ac:dyDescent="0.3">
      <c r="A130" s="73"/>
      <c r="C130" s="104"/>
      <c r="D130" s="104"/>
    </row>
    <row r="131" spans="1:4" s="15" customFormat="1" ht="20.399999999999999" x14ac:dyDescent="0.3">
      <c r="A131" s="73"/>
      <c r="C131" s="104"/>
      <c r="D131" s="104"/>
    </row>
    <row r="132" spans="1:4" s="15" customFormat="1" ht="20.399999999999999" x14ac:dyDescent="0.3">
      <c r="A132" s="73"/>
      <c r="C132" s="104"/>
      <c r="D132" s="104"/>
    </row>
    <row r="133" spans="1:4" s="15" customFormat="1" ht="20.399999999999999" x14ac:dyDescent="0.3">
      <c r="A133" s="73"/>
      <c r="C133" s="104"/>
      <c r="D133" s="104"/>
    </row>
    <row r="134" spans="1:4" s="15" customFormat="1" ht="20.399999999999999" x14ac:dyDescent="0.3">
      <c r="A134" s="73"/>
      <c r="C134" s="104"/>
      <c r="D134" s="104"/>
    </row>
    <row r="135" spans="1:4" s="15" customFormat="1" ht="20.399999999999999" x14ac:dyDescent="0.3">
      <c r="A135" s="73"/>
      <c r="C135" s="104"/>
      <c r="D135" s="104"/>
    </row>
    <row r="136" spans="1:4" s="15" customFormat="1" ht="20.399999999999999" x14ac:dyDescent="0.3">
      <c r="A136" s="73"/>
      <c r="C136" s="104"/>
      <c r="D136" s="104"/>
    </row>
    <row r="137" spans="1:4" s="15" customFormat="1" ht="20.399999999999999" x14ac:dyDescent="0.3">
      <c r="A137" s="73"/>
      <c r="C137" s="104"/>
      <c r="D137" s="104"/>
    </row>
    <row r="138" spans="1:4" s="15" customFormat="1" ht="20.399999999999999" x14ac:dyDescent="0.3">
      <c r="A138" s="73"/>
      <c r="C138" s="104"/>
      <c r="D138" s="104"/>
    </row>
    <row r="139" spans="1:4" s="15" customFormat="1" ht="20.399999999999999" x14ac:dyDescent="0.3">
      <c r="A139" s="73"/>
      <c r="C139" s="104"/>
      <c r="D139" s="104"/>
    </row>
    <row r="140" spans="1:4" s="15" customFormat="1" ht="20.399999999999999" x14ac:dyDescent="0.3">
      <c r="A140" s="73"/>
      <c r="C140" s="104"/>
      <c r="D140" s="104"/>
    </row>
    <row r="141" spans="1:4" s="15" customFormat="1" ht="20.399999999999999" x14ac:dyDescent="0.3">
      <c r="A141" s="73"/>
      <c r="C141" s="104"/>
      <c r="D141" s="104"/>
    </row>
    <row r="142" spans="1:4" s="15" customFormat="1" ht="20.399999999999999" x14ac:dyDescent="0.3">
      <c r="A142" s="73"/>
      <c r="C142" s="104"/>
      <c r="D142" s="104"/>
    </row>
    <row r="143" spans="1:4" s="15" customFormat="1" ht="20.399999999999999" x14ac:dyDescent="0.3">
      <c r="A143" s="73"/>
      <c r="C143" s="104"/>
      <c r="D143" s="104"/>
    </row>
    <row r="144" spans="1:4" s="15" customFormat="1" ht="20.399999999999999" x14ac:dyDescent="0.3">
      <c r="A144" s="73"/>
      <c r="C144" s="104"/>
      <c r="D144" s="104"/>
    </row>
    <row r="145" spans="1:4" s="15" customFormat="1" ht="20.399999999999999" x14ac:dyDescent="0.3">
      <c r="A145" s="73"/>
      <c r="C145" s="104"/>
      <c r="D145" s="104"/>
    </row>
    <row r="146" spans="1:4" s="15" customFormat="1" ht="20.399999999999999" x14ac:dyDescent="0.3">
      <c r="A146" s="73"/>
      <c r="C146" s="104"/>
      <c r="D146" s="104"/>
    </row>
    <row r="147" spans="1:4" s="15" customFormat="1" ht="20.399999999999999" x14ac:dyDescent="0.3">
      <c r="A147" s="73"/>
      <c r="C147" s="104"/>
      <c r="D147" s="104"/>
    </row>
    <row r="148" spans="1:4" s="15" customFormat="1" ht="20.399999999999999" x14ac:dyDescent="0.3">
      <c r="A148" s="73"/>
      <c r="C148" s="104"/>
      <c r="D148" s="104"/>
    </row>
    <row r="149" spans="1:4" s="15" customFormat="1" ht="20.399999999999999" x14ac:dyDescent="0.3">
      <c r="A149" s="73"/>
      <c r="C149" s="104"/>
      <c r="D149" s="104"/>
    </row>
    <row r="150" spans="1:4" s="15" customFormat="1" ht="20.399999999999999" x14ac:dyDescent="0.3">
      <c r="A150" s="73"/>
      <c r="C150" s="104"/>
      <c r="D150" s="104"/>
    </row>
    <row r="151" spans="1:4" s="15" customFormat="1" ht="20.399999999999999" x14ac:dyDescent="0.3">
      <c r="A151" s="73"/>
      <c r="C151" s="104"/>
      <c r="D151" s="104"/>
    </row>
    <row r="152" spans="1:4" s="15" customFormat="1" ht="20.399999999999999" x14ac:dyDescent="0.3">
      <c r="A152" s="73"/>
      <c r="C152" s="104"/>
      <c r="D152" s="104"/>
    </row>
    <row r="153" spans="1:4" s="15" customFormat="1" ht="20.399999999999999" x14ac:dyDescent="0.3">
      <c r="A153" s="73"/>
      <c r="C153" s="104"/>
      <c r="D153" s="104"/>
    </row>
    <row r="154" spans="1:4" s="15" customFormat="1" ht="20.399999999999999" x14ac:dyDescent="0.3">
      <c r="A154" s="73"/>
      <c r="C154" s="104"/>
      <c r="D154" s="104"/>
    </row>
    <row r="155" spans="1:4" s="15" customFormat="1" ht="20.399999999999999" x14ac:dyDescent="0.3">
      <c r="A155" s="73"/>
      <c r="C155" s="104"/>
      <c r="D155" s="104"/>
    </row>
    <row r="156" spans="1:4" s="15" customFormat="1" ht="20.399999999999999" x14ac:dyDescent="0.3">
      <c r="A156" s="73"/>
      <c r="C156" s="104"/>
      <c r="D156" s="104"/>
    </row>
    <row r="157" spans="1:4" s="15" customFormat="1" ht="20.399999999999999" x14ac:dyDescent="0.3">
      <c r="A157" s="73"/>
      <c r="C157" s="104"/>
      <c r="D157" s="104"/>
    </row>
    <row r="158" spans="1:4" s="15" customFormat="1" ht="20.399999999999999" x14ac:dyDescent="0.3">
      <c r="A158" s="73"/>
      <c r="C158" s="104"/>
      <c r="D158" s="104"/>
    </row>
    <row r="159" spans="1:4" s="15" customFormat="1" ht="20.399999999999999" x14ac:dyDescent="0.3">
      <c r="A159" s="73"/>
      <c r="C159" s="104"/>
      <c r="D159" s="104"/>
    </row>
    <row r="160" spans="1:4" s="15" customFormat="1" ht="20.399999999999999" x14ac:dyDescent="0.3">
      <c r="A160" s="73"/>
      <c r="C160" s="104"/>
      <c r="D160" s="104"/>
    </row>
    <row r="161" spans="1:4" s="15" customFormat="1" ht="20.399999999999999" x14ac:dyDescent="0.3">
      <c r="A161" s="73"/>
      <c r="C161" s="104"/>
      <c r="D161" s="104"/>
    </row>
    <row r="162" spans="1:4" s="15" customFormat="1" ht="20.399999999999999" x14ac:dyDescent="0.3">
      <c r="A162" s="73"/>
      <c r="C162" s="104"/>
      <c r="D162" s="104"/>
    </row>
    <row r="163" spans="1:4" s="15" customFormat="1" ht="20.399999999999999" x14ac:dyDescent="0.3">
      <c r="A163" s="73"/>
      <c r="C163" s="104"/>
      <c r="D163" s="104"/>
    </row>
    <row r="164" spans="1:4" s="15" customFormat="1" ht="20.399999999999999" x14ac:dyDescent="0.3">
      <c r="A164" s="73"/>
      <c r="C164" s="104"/>
      <c r="D164" s="104"/>
    </row>
    <row r="165" spans="1:4" s="15" customFormat="1" ht="20.399999999999999" x14ac:dyDescent="0.3">
      <c r="A165" s="73"/>
      <c r="C165" s="104"/>
      <c r="D165" s="104"/>
    </row>
    <row r="166" spans="1:4" s="15" customFormat="1" ht="20.399999999999999" x14ac:dyDescent="0.3">
      <c r="A166" s="73"/>
      <c r="C166" s="104"/>
      <c r="D166" s="104"/>
    </row>
    <row r="167" spans="1:4" s="15" customFormat="1" ht="20.399999999999999" x14ac:dyDescent="0.3">
      <c r="A167" s="73"/>
      <c r="C167" s="104"/>
      <c r="D167" s="104"/>
    </row>
    <row r="168" spans="1:4" s="15" customFormat="1" ht="20.399999999999999" x14ac:dyDescent="0.3">
      <c r="A168" s="73"/>
      <c r="C168" s="104"/>
      <c r="D168" s="104"/>
    </row>
    <row r="169" spans="1:4" s="15" customFormat="1" ht="20.399999999999999" x14ac:dyDescent="0.3">
      <c r="A169" s="73"/>
      <c r="C169" s="104"/>
      <c r="D169" s="104"/>
    </row>
    <row r="170" spans="1:4" s="15" customFormat="1" ht="20.399999999999999" x14ac:dyDescent="0.3">
      <c r="A170" s="73"/>
      <c r="C170" s="104"/>
      <c r="D170" s="104"/>
    </row>
    <row r="171" spans="1:4" s="15" customFormat="1" ht="20.399999999999999" x14ac:dyDescent="0.3">
      <c r="A171" s="73"/>
      <c r="C171" s="104"/>
      <c r="D171" s="104"/>
    </row>
    <row r="172" spans="1:4" s="15" customFormat="1" ht="20.399999999999999" x14ac:dyDescent="0.3">
      <c r="A172" s="73"/>
      <c r="C172" s="104"/>
      <c r="D172" s="104"/>
    </row>
    <row r="173" spans="1:4" s="15" customFormat="1" ht="20.399999999999999" x14ac:dyDescent="0.3">
      <c r="A173" s="73"/>
      <c r="C173" s="104"/>
      <c r="D173" s="104"/>
    </row>
    <row r="174" spans="1:4" s="15" customFormat="1" ht="20.399999999999999" x14ac:dyDescent="0.3">
      <c r="A174" s="73"/>
      <c r="C174" s="104"/>
      <c r="D174" s="104"/>
    </row>
    <row r="175" spans="1:4" s="15" customFormat="1" ht="20.399999999999999" x14ac:dyDescent="0.3">
      <c r="A175" s="73"/>
      <c r="C175" s="104"/>
      <c r="D175" s="104"/>
    </row>
    <row r="176" spans="1:4" s="15" customFormat="1" ht="20.399999999999999" x14ac:dyDescent="0.3">
      <c r="A176" s="73"/>
      <c r="C176" s="104"/>
      <c r="D176" s="104"/>
    </row>
    <row r="177" spans="1:4" s="15" customFormat="1" ht="20.399999999999999" x14ac:dyDescent="0.3">
      <c r="A177" s="73"/>
      <c r="C177" s="104"/>
      <c r="D177" s="104"/>
    </row>
    <row r="178" spans="1:4" s="15" customFormat="1" ht="20.399999999999999" x14ac:dyDescent="0.3">
      <c r="A178" s="73"/>
      <c r="C178" s="104"/>
      <c r="D178" s="104"/>
    </row>
    <row r="179" spans="1:4" s="15" customFormat="1" ht="20.399999999999999" x14ac:dyDescent="0.3">
      <c r="A179" s="73"/>
      <c r="C179" s="104"/>
      <c r="D179" s="104"/>
    </row>
    <row r="180" spans="1:4" s="15" customFormat="1" ht="20.399999999999999" x14ac:dyDescent="0.3">
      <c r="A180" s="73"/>
      <c r="C180" s="104"/>
      <c r="D180" s="104"/>
    </row>
    <row r="181" spans="1:4" s="15" customFormat="1" ht="20.399999999999999" x14ac:dyDescent="0.3">
      <c r="A181" s="73"/>
      <c r="C181" s="104"/>
      <c r="D181" s="104"/>
    </row>
    <row r="182" spans="1:4" s="15" customFormat="1" ht="20.399999999999999" x14ac:dyDescent="0.3">
      <c r="A182" s="73"/>
      <c r="C182" s="104"/>
      <c r="D182" s="104"/>
    </row>
    <row r="183" spans="1:4" s="15" customFormat="1" ht="20.399999999999999" x14ac:dyDescent="0.3">
      <c r="A183" s="73"/>
      <c r="C183" s="104"/>
      <c r="D183" s="104"/>
    </row>
    <row r="184" spans="1:4" s="15" customFormat="1" ht="20.399999999999999" x14ac:dyDescent="0.3">
      <c r="A184" s="73"/>
      <c r="C184" s="104"/>
      <c r="D184" s="104"/>
    </row>
    <row r="185" spans="1:4" s="15" customFormat="1" ht="20.399999999999999" x14ac:dyDescent="0.3">
      <c r="A185" s="73"/>
      <c r="C185" s="104"/>
      <c r="D185" s="104"/>
    </row>
    <row r="186" spans="1:4" s="15" customFormat="1" ht="20.399999999999999" x14ac:dyDescent="0.3">
      <c r="A186" s="73"/>
      <c r="C186" s="104"/>
      <c r="D186" s="104"/>
    </row>
    <row r="187" spans="1:4" s="15" customFormat="1" ht="20.399999999999999" x14ac:dyDescent="0.3">
      <c r="A187" s="73"/>
      <c r="C187" s="104"/>
      <c r="D187" s="104"/>
    </row>
    <row r="188" spans="1:4" s="15" customFormat="1" ht="20.399999999999999" x14ac:dyDescent="0.3">
      <c r="A188" s="73"/>
      <c r="C188" s="104"/>
      <c r="D188" s="104"/>
    </row>
    <row r="189" spans="1:4" s="15" customFormat="1" ht="20.399999999999999" x14ac:dyDescent="0.3">
      <c r="A189" s="73"/>
      <c r="C189" s="104"/>
      <c r="D189" s="104"/>
    </row>
    <row r="190" spans="1:4" s="15" customFormat="1" ht="20.399999999999999" x14ac:dyDescent="0.3">
      <c r="A190" s="73"/>
      <c r="C190" s="104"/>
      <c r="D190" s="104"/>
    </row>
    <row r="191" spans="1:4" s="15" customFormat="1" ht="20.399999999999999" x14ac:dyDescent="0.3">
      <c r="A191" s="73"/>
      <c r="C191" s="104"/>
      <c r="D191" s="104"/>
    </row>
    <row r="192" spans="1:4" s="15" customFormat="1" ht="20.399999999999999" x14ac:dyDescent="0.3">
      <c r="A192" s="73"/>
      <c r="C192" s="104"/>
      <c r="D192" s="104"/>
    </row>
    <row r="193" spans="1:4" s="15" customFormat="1" ht="20.399999999999999" x14ac:dyDescent="0.3">
      <c r="A193" s="73"/>
      <c r="C193" s="104"/>
      <c r="D193" s="104"/>
    </row>
    <row r="194" spans="1:4" s="15" customFormat="1" ht="20.399999999999999" x14ac:dyDescent="0.3">
      <c r="A194" s="73"/>
      <c r="C194" s="104"/>
      <c r="D194" s="104"/>
    </row>
    <row r="195" spans="1:4" s="15" customFormat="1" ht="20.399999999999999" x14ac:dyDescent="0.3">
      <c r="A195" s="73"/>
      <c r="C195" s="104"/>
      <c r="D195" s="104"/>
    </row>
    <row r="196" spans="1:4" s="15" customFormat="1" ht="20.399999999999999" x14ac:dyDescent="0.3">
      <c r="A196" s="73"/>
      <c r="C196" s="104"/>
      <c r="D196" s="104"/>
    </row>
    <row r="197" spans="1:4" s="15" customFormat="1" ht="20.399999999999999" x14ac:dyDescent="0.3">
      <c r="A197" s="73"/>
      <c r="C197" s="104"/>
      <c r="D197" s="104"/>
    </row>
    <row r="198" spans="1:4" s="15" customFormat="1" ht="20.399999999999999" x14ac:dyDescent="0.3">
      <c r="A198" s="73"/>
      <c r="C198" s="104"/>
      <c r="D198" s="104"/>
    </row>
    <row r="199" spans="1:4" s="15" customFormat="1" ht="20.399999999999999" x14ac:dyDescent="0.3">
      <c r="A199" s="73"/>
      <c r="C199" s="104"/>
      <c r="D199" s="104"/>
    </row>
    <row r="200" spans="1:4" s="15" customFormat="1" ht="20.399999999999999" x14ac:dyDescent="0.3">
      <c r="A200" s="73"/>
      <c r="C200" s="104"/>
      <c r="D200" s="104"/>
    </row>
    <row r="201" spans="1:4" s="15" customFormat="1" ht="20.399999999999999" x14ac:dyDescent="0.3">
      <c r="A201" s="73"/>
      <c r="C201" s="104"/>
      <c r="D201" s="104"/>
    </row>
    <row r="202" spans="1:4" s="15" customFormat="1" ht="20.399999999999999" x14ac:dyDescent="0.3">
      <c r="A202" s="73"/>
      <c r="C202" s="104"/>
      <c r="D202" s="104"/>
    </row>
    <row r="203" spans="1:4" s="15" customFormat="1" ht="20.399999999999999" x14ac:dyDescent="0.3">
      <c r="A203" s="73"/>
      <c r="C203" s="104"/>
      <c r="D203" s="104"/>
    </row>
    <row r="204" spans="1:4" s="15" customFormat="1" ht="20.399999999999999" x14ac:dyDescent="0.3">
      <c r="A204" s="73"/>
      <c r="C204" s="104"/>
      <c r="D204" s="104"/>
    </row>
    <row r="205" spans="1:4" s="15" customFormat="1" ht="20.399999999999999" x14ac:dyDescent="0.3">
      <c r="A205" s="73"/>
      <c r="C205" s="104"/>
      <c r="D205" s="104"/>
    </row>
    <row r="206" spans="1:4" s="15" customFormat="1" ht="20.399999999999999" x14ac:dyDescent="0.3">
      <c r="A206" s="73"/>
      <c r="C206" s="104"/>
      <c r="D206" s="104"/>
    </row>
    <row r="207" spans="1:4" s="15" customFormat="1" ht="20.399999999999999" x14ac:dyDescent="0.3">
      <c r="A207" s="73"/>
      <c r="C207" s="104"/>
      <c r="D207" s="104"/>
    </row>
    <row r="208" spans="1:4" s="15" customFormat="1" x14ac:dyDescent="0.3">
      <c r="A208" s="73"/>
    </row>
    <row r="209" spans="1:8" s="15" customFormat="1" ht="20.399999999999999" x14ac:dyDescent="0.3">
      <c r="A209" s="73"/>
      <c r="B209" s="105" t="s">
        <v>87</v>
      </c>
      <c r="C209" s="105" t="s">
        <v>139</v>
      </c>
      <c r="D209" s="106" t="s">
        <v>87</v>
      </c>
      <c r="E209" s="106" t="s">
        <v>139</v>
      </c>
    </row>
    <row r="210" spans="1:8" s="15" customFormat="1" ht="42" x14ac:dyDescent="0.4">
      <c r="A210" s="73"/>
      <c r="B210" s="107" t="s">
        <v>89</v>
      </c>
      <c r="C210" s="107" t="s">
        <v>203</v>
      </c>
      <c r="D210" s="15" t="s">
        <v>89</v>
      </c>
      <c r="F210" s="15" t="str">
        <f>IF(NOT(ISBLANK(D210)),D210,IF(NOT(ISBLANK(E210)),"     "&amp;E210,FALSE))</f>
        <v>Afectación Económica o presupuestal</v>
      </c>
      <c r="G210" s="15" t="s">
        <v>89</v>
      </c>
      <c r="H210" s="15" t="str">
        <f>IF(NOT(ISERROR(MATCH(G210,_xlfn.ANCHORARRAY(B221),0))),F223&amp;"Por favor no seleccionar los criterios de impacto",G210)</f>
        <v>❌Por favor no seleccionar los criterios de impacto</v>
      </c>
    </row>
    <row r="211" spans="1:8" s="15" customFormat="1" ht="42" x14ac:dyDescent="0.4">
      <c r="A211" s="73"/>
      <c r="B211" s="107" t="s">
        <v>89</v>
      </c>
      <c r="C211" s="107" t="s">
        <v>204</v>
      </c>
      <c r="E211" s="15" t="s">
        <v>203</v>
      </c>
      <c r="F211" s="15" t="str">
        <f t="shared" ref="F211:F221" si="0">IF(NOT(ISBLANK(D211)),D211,IF(NOT(ISBLANK(E211)),"     "&amp;E211,FALSE))</f>
        <v xml:space="preserve">     Afectación menor a 200 SMLMV</v>
      </c>
    </row>
    <row r="212" spans="1:8" s="15" customFormat="1" ht="42" x14ac:dyDescent="0.4">
      <c r="A212" s="73"/>
      <c r="B212" s="107" t="s">
        <v>89</v>
      </c>
      <c r="C212" s="107" t="s">
        <v>208</v>
      </c>
      <c r="E212" s="15" t="s">
        <v>204</v>
      </c>
      <c r="F212" s="15" t="str">
        <f t="shared" si="0"/>
        <v xml:space="preserve">     Entre 200 y 1000 SMLMV</v>
      </c>
    </row>
    <row r="213" spans="1:8" s="15" customFormat="1" ht="42" x14ac:dyDescent="0.4">
      <c r="A213" s="73"/>
      <c r="B213" s="107" t="s">
        <v>89</v>
      </c>
      <c r="C213" s="107" t="s">
        <v>209</v>
      </c>
      <c r="E213" s="15" t="s">
        <v>208</v>
      </c>
      <c r="F213" s="15" t="str">
        <f t="shared" si="0"/>
        <v xml:space="preserve">     Entre 1000 y 5000 SMLMV </v>
      </c>
    </row>
    <row r="214" spans="1:8" s="15" customFormat="1" ht="42" x14ac:dyDescent="0.4">
      <c r="A214" s="73"/>
      <c r="B214" s="107" t="s">
        <v>89</v>
      </c>
      <c r="C214" s="107" t="s">
        <v>205</v>
      </c>
      <c r="E214" s="15" t="s">
        <v>209</v>
      </c>
      <c r="F214" s="15" t="str">
        <f t="shared" si="0"/>
        <v xml:space="preserve">     Entre 5000 y 10000 SMLMV</v>
      </c>
    </row>
    <row r="215" spans="1:8" s="15" customFormat="1" ht="21" x14ac:dyDescent="0.4">
      <c r="A215" s="73"/>
      <c r="B215" s="107" t="s">
        <v>57</v>
      </c>
      <c r="C215" s="107" t="s">
        <v>92</v>
      </c>
      <c r="E215" s="15" t="s">
        <v>205</v>
      </c>
      <c r="F215" s="15" t="str">
        <f t="shared" si="0"/>
        <v xml:space="preserve">     Mayor a 10000 SMLMV</v>
      </c>
    </row>
    <row r="216" spans="1:8" s="15" customFormat="1" ht="63" x14ac:dyDescent="0.4">
      <c r="A216" s="73"/>
      <c r="B216" s="107" t="s">
        <v>57</v>
      </c>
      <c r="C216" s="107" t="s">
        <v>93</v>
      </c>
      <c r="D216" s="15" t="s">
        <v>57</v>
      </c>
      <c r="F216" s="15" t="str">
        <f t="shared" si="0"/>
        <v>Pérdida Reputacional</v>
      </c>
    </row>
    <row r="217" spans="1:8" s="15" customFormat="1" ht="42" x14ac:dyDescent="0.4">
      <c r="A217" s="73"/>
      <c r="B217" s="107" t="s">
        <v>57</v>
      </c>
      <c r="C217" s="107" t="s">
        <v>95</v>
      </c>
      <c r="E217" s="15" t="s">
        <v>92</v>
      </c>
      <c r="F217" s="15" t="str">
        <f>IF(NOT(ISBLANK(D217)),D217,IF(NOT(ISBLANK(E217)),"     "&amp;E217,FALSE))</f>
        <v xml:space="preserve">     El riesgo afecta la imagen de alguna área de la organización</v>
      </c>
    </row>
    <row r="218" spans="1:8" s="15" customFormat="1" ht="63" x14ac:dyDescent="0.4">
      <c r="A218" s="73"/>
      <c r="B218" s="107" t="s">
        <v>57</v>
      </c>
      <c r="C218" s="107" t="s">
        <v>94</v>
      </c>
      <c r="E218" s="15" t="s">
        <v>93</v>
      </c>
      <c r="F218" s="15" t="str">
        <f t="shared" si="0"/>
        <v xml:space="preserve">     El riesgo afecta la imagen de la entidad internamente, de conocimiento general, nivel interno, de junta dircetiva y accionistas y/o de provedores</v>
      </c>
    </row>
    <row r="219" spans="1:8" s="15" customFormat="1" ht="42" x14ac:dyDescent="0.4">
      <c r="A219" s="73"/>
      <c r="B219" s="107" t="s">
        <v>57</v>
      </c>
      <c r="C219" s="107" t="s">
        <v>113</v>
      </c>
      <c r="E219" s="15" t="s">
        <v>95</v>
      </c>
      <c r="F219" s="15" t="str">
        <f t="shared" si="0"/>
        <v xml:space="preserve">     El riesgo afecta la imagen de la entidad con algunos usuarios de relevancia frente al logro de los objetivos</v>
      </c>
    </row>
    <row r="220" spans="1:8" s="15" customFormat="1" x14ac:dyDescent="0.3">
      <c r="A220" s="73"/>
      <c r="E220" s="15" t="s">
        <v>94</v>
      </c>
      <c r="F220" s="15" t="str">
        <f t="shared" si="0"/>
        <v xml:space="preserve">     El riesgo afecta la imagen de de la entidad con efecto publicitario sostenido a nivel de sector administrativo, nivel departamental o municipal</v>
      </c>
    </row>
    <row r="221" spans="1:8" s="15" customFormat="1" x14ac:dyDescent="0.3">
      <c r="A221" s="73"/>
      <c r="B221" s="15" t="str" cm="1">
        <f t="array" ref="B221:B223">_xlfn.UNIQUE(Tabla1[[#All],[Criterios]])</f>
        <v>Criterios</v>
      </c>
      <c r="E221" s="15" t="s">
        <v>113</v>
      </c>
      <c r="F221" s="15" t="str">
        <f t="shared" si="0"/>
        <v xml:space="preserve">     El riesgo afecta la imagen de la entidad a nivel nacional, con efecto publicitarios sostenible a nivel país</v>
      </c>
    </row>
    <row r="222" spans="1:8" s="15" customFormat="1" x14ac:dyDescent="0.3">
      <c r="A222" s="73"/>
      <c r="B222" s="15" t="str">
        <v>Afectación Económica o presupuestal</v>
      </c>
    </row>
    <row r="223" spans="1:8" s="15" customFormat="1" x14ac:dyDescent="0.3">
      <c r="B223" s="15" t="str">
        <v>Pérdida Reputacional</v>
      </c>
      <c r="F223" s="108" t="s">
        <v>140</v>
      </c>
    </row>
    <row r="224" spans="1:8" s="15" customFormat="1" x14ac:dyDescent="0.3">
      <c r="F224" s="108" t="s">
        <v>141</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58"/>
    <col min="3" max="3" width="17" style="58" customWidth="1"/>
    <col min="4" max="4" width="14.33203125" style="58"/>
    <col min="5" max="5" width="46" style="58" customWidth="1"/>
    <col min="6" max="16384" width="14.33203125" style="58"/>
  </cols>
  <sheetData>
    <row r="1" spans="2:6" ht="24" customHeight="1" thickBot="1" x14ac:dyDescent="0.35">
      <c r="B1" s="624" t="s">
        <v>77</v>
      </c>
      <c r="C1" s="625"/>
      <c r="D1" s="625"/>
      <c r="E1" s="625"/>
      <c r="F1" s="626"/>
    </row>
    <row r="2" spans="2:6" ht="16.2" thickBot="1" x14ac:dyDescent="0.35">
      <c r="B2" s="59"/>
      <c r="C2" s="59"/>
      <c r="D2" s="59"/>
      <c r="E2" s="59"/>
      <c r="F2" s="59"/>
    </row>
    <row r="3" spans="2:6" ht="16.2" thickBot="1" x14ac:dyDescent="0.35">
      <c r="B3" s="628" t="s">
        <v>63</v>
      </c>
      <c r="C3" s="629"/>
      <c r="D3" s="629"/>
      <c r="E3" s="71" t="s">
        <v>64</v>
      </c>
      <c r="F3" s="72" t="s">
        <v>65</v>
      </c>
    </row>
    <row r="4" spans="2:6" ht="31.2" x14ac:dyDescent="0.3">
      <c r="B4" s="630" t="s">
        <v>66</v>
      </c>
      <c r="C4" s="632" t="s">
        <v>13</v>
      </c>
      <c r="D4" s="60" t="s">
        <v>14</v>
      </c>
      <c r="E4" s="61" t="s">
        <v>67</v>
      </c>
      <c r="F4" s="62">
        <v>0.25</v>
      </c>
    </row>
    <row r="5" spans="2:6" ht="46.8" x14ac:dyDescent="0.3">
      <c r="B5" s="631"/>
      <c r="C5" s="633"/>
      <c r="D5" s="63" t="s">
        <v>15</v>
      </c>
      <c r="E5" s="64" t="s">
        <v>68</v>
      </c>
      <c r="F5" s="65">
        <v>0.15</v>
      </c>
    </row>
    <row r="6" spans="2:6" ht="46.8" x14ac:dyDescent="0.3">
      <c r="B6" s="631"/>
      <c r="C6" s="633"/>
      <c r="D6" s="63" t="s">
        <v>16</v>
      </c>
      <c r="E6" s="64" t="s">
        <v>69</v>
      </c>
      <c r="F6" s="65">
        <v>0.1</v>
      </c>
    </row>
    <row r="7" spans="2:6" ht="62.4" x14ac:dyDescent="0.3">
      <c r="B7" s="631"/>
      <c r="C7" s="633" t="s">
        <v>17</v>
      </c>
      <c r="D7" s="63" t="s">
        <v>10</v>
      </c>
      <c r="E7" s="64" t="s">
        <v>70</v>
      </c>
      <c r="F7" s="65">
        <v>0.25</v>
      </c>
    </row>
    <row r="8" spans="2:6" ht="31.2" x14ac:dyDescent="0.3">
      <c r="B8" s="631"/>
      <c r="C8" s="633"/>
      <c r="D8" s="63" t="s">
        <v>9</v>
      </c>
      <c r="E8" s="64" t="s">
        <v>71</v>
      </c>
      <c r="F8" s="65">
        <v>0.15</v>
      </c>
    </row>
    <row r="9" spans="2:6" ht="46.8" x14ac:dyDescent="0.3">
      <c r="B9" s="631" t="s">
        <v>150</v>
      </c>
      <c r="C9" s="633" t="s">
        <v>18</v>
      </c>
      <c r="D9" s="63" t="s">
        <v>19</v>
      </c>
      <c r="E9" s="64" t="s">
        <v>72</v>
      </c>
      <c r="F9" s="66" t="s">
        <v>73</v>
      </c>
    </row>
    <row r="10" spans="2:6" ht="46.8" x14ac:dyDescent="0.3">
      <c r="B10" s="631"/>
      <c r="C10" s="633"/>
      <c r="D10" s="63" t="s">
        <v>20</v>
      </c>
      <c r="E10" s="64" t="s">
        <v>74</v>
      </c>
      <c r="F10" s="66" t="s">
        <v>73</v>
      </c>
    </row>
    <row r="11" spans="2:6" ht="46.8" x14ac:dyDescent="0.3">
      <c r="B11" s="631"/>
      <c r="C11" s="633" t="s">
        <v>21</v>
      </c>
      <c r="D11" s="63" t="s">
        <v>22</v>
      </c>
      <c r="E11" s="64" t="s">
        <v>75</v>
      </c>
      <c r="F11" s="66" t="s">
        <v>73</v>
      </c>
    </row>
    <row r="12" spans="2:6" ht="46.8" x14ac:dyDescent="0.3">
      <c r="B12" s="631"/>
      <c r="C12" s="633"/>
      <c r="D12" s="63" t="s">
        <v>23</v>
      </c>
      <c r="E12" s="64" t="s">
        <v>76</v>
      </c>
      <c r="F12" s="66" t="s">
        <v>73</v>
      </c>
    </row>
    <row r="13" spans="2:6" ht="31.2" x14ac:dyDescent="0.3">
      <c r="B13" s="631"/>
      <c r="C13" s="633" t="s">
        <v>24</v>
      </c>
      <c r="D13" s="63" t="s">
        <v>114</v>
      </c>
      <c r="E13" s="64" t="s">
        <v>117</v>
      </c>
      <c r="F13" s="66" t="s">
        <v>73</v>
      </c>
    </row>
    <row r="14" spans="2:6" ht="16.2" thickBot="1" x14ac:dyDescent="0.35">
      <c r="B14" s="634"/>
      <c r="C14" s="635"/>
      <c r="D14" s="67" t="s">
        <v>115</v>
      </c>
      <c r="E14" s="68" t="s">
        <v>116</v>
      </c>
      <c r="F14" s="69" t="s">
        <v>73</v>
      </c>
    </row>
    <row r="15" spans="2:6" ht="49.5" customHeight="1" x14ac:dyDescent="0.3">
      <c r="B15" s="627" t="s">
        <v>147</v>
      </c>
      <c r="C15" s="627"/>
      <c r="D15" s="627"/>
      <c r="E15" s="627"/>
      <c r="F15" s="627"/>
    </row>
    <row r="16" spans="2:6" ht="27" customHeight="1" x14ac:dyDescent="0.3">
      <c r="B16" s="7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1" customWidth="1"/>
    <col min="2" max="16384" width="11.441406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40</v>
      </c>
    </row>
    <row r="21" spans="1:1" x14ac:dyDescent="0.3">
      <c r="A21" s="2"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7" sqref="B7:H7"/>
    </sheetView>
  </sheetViews>
  <sheetFormatPr baseColWidth="10" defaultColWidth="11.44140625" defaultRowHeight="14.4" x14ac:dyDescent="0.3"/>
  <cols>
    <col min="1" max="1" width="2.88671875" style="53" customWidth="1"/>
    <col min="2" max="3" width="24.6640625" style="53" customWidth="1"/>
    <col min="4" max="4" width="16" style="53" customWidth="1"/>
    <col min="5" max="5" width="24.6640625" style="53" customWidth="1"/>
    <col min="6" max="6" width="27.6640625" style="53" customWidth="1"/>
    <col min="7" max="8" width="24.6640625" style="53" customWidth="1"/>
    <col min="9" max="16384" width="11.44140625" style="53"/>
  </cols>
  <sheetData>
    <row r="1" spans="2:8" ht="15" thickBot="1" x14ac:dyDescent="0.35"/>
    <row r="2" spans="2:8" ht="18" x14ac:dyDescent="0.3">
      <c r="B2" s="248" t="s">
        <v>154</v>
      </c>
      <c r="C2" s="249"/>
      <c r="D2" s="249"/>
      <c r="E2" s="249"/>
      <c r="F2" s="249"/>
      <c r="G2" s="249"/>
      <c r="H2" s="250"/>
    </row>
    <row r="3" spans="2:8" x14ac:dyDescent="0.3">
      <c r="B3" s="54"/>
      <c r="C3" s="55"/>
      <c r="D3" s="55"/>
      <c r="E3" s="55"/>
      <c r="F3" s="55"/>
      <c r="G3" s="55"/>
      <c r="H3" s="56"/>
    </row>
    <row r="4" spans="2:8" ht="63" customHeight="1" x14ac:dyDescent="0.3">
      <c r="B4" s="251" t="s">
        <v>197</v>
      </c>
      <c r="C4" s="252"/>
      <c r="D4" s="252"/>
      <c r="E4" s="252"/>
      <c r="F4" s="252"/>
      <c r="G4" s="252"/>
      <c r="H4" s="253"/>
    </row>
    <row r="5" spans="2:8" ht="63" customHeight="1" x14ac:dyDescent="0.3">
      <c r="B5" s="254"/>
      <c r="C5" s="255"/>
      <c r="D5" s="255"/>
      <c r="E5" s="255"/>
      <c r="F5" s="255"/>
      <c r="G5" s="255"/>
      <c r="H5" s="256"/>
    </row>
    <row r="6" spans="2:8" x14ac:dyDescent="0.3">
      <c r="B6" s="257" t="s">
        <v>152</v>
      </c>
      <c r="C6" s="258"/>
      <c r="D6" s="258"/>
      <c r="E6" s="258"/>
      <c r="F6" s="258"/>
      <c r="G6" s="258"/>
      <c r="H6" s="259"/>
    </row>
    <row r="7" spans="2:8" ht="95.25" customHeight="1" x14ac:dyDescent="0.3">
      <c r="B7" s="267" t="s">
        <v>157</v>
      </c>
      <c r="C7" s="268"/>
      <c r="D7" s="268"/>
      <c r="E7" s="268"/>
      <c r="F7" s="268"/>
      <c r="G7" s="268"/>
      <c r="H7" s="269"/>
    </row>
    <row r="8" spans="2:8" x14ac:dyDescent="0.3">
      <c r="B8" s="88"/>
      <c r="C8" s="89"/>
      <c r="D8" s="89"/>
      <c r="E8" s="89"/>
      <c r="F8" s="89"/>
      <c r="G8" s="89"/>
      <c r="H8" s="90"/>
    </row>
    <row r="9" spans="2:8" ht="16.5" customHeight="1" x14ac:dyDescent="0.3">
      <c r="B9" s="260" t="s">
        <v>190</v>
      </c>
      <c r="C9" s="261"/>
      <c r="D9" s="261"/>
      <c r="E9" s="261"/>
      <c r="F9" s="261"/>
      <c r="G9" s="261"/>
      <c r="H9" s="262"/>
    </row>
    <row r="10" spans="2:8" ht="44.25" customHeight="1" x14ac:dyDescent="0.3">
      <c r="B10" s="260"/>
      <c r="C10" s="261"/>
      <c r="D10" s="261"/>
      <c r="E10" s="261"/>
      <c r="F10" s="261"/>
      <c r="G10" s="261"/>
      <c r="H10" s="262"/>
    </row>
    <row r="11" spans="2:8" ht="15" thickBot="1" x14ac:dyDescent="0.35">
      <c r="B11" s="77"/>
      <c r="C11" s="80"/>
      <c r="D11" s="85"/>
      <c r="E11" s="86"/>
      <c r="F11" s="86"/>
      <c r="G11" s="87"/>
      <c r="H11" s="81"/>
    </row>
    <row r="12" spans="2:8" ht="15" thickTop="1" x14ac:dyDescent="0.3">
      <c r="B12" s="77"/>
      <c r="C12" s="263" t="s">
        <v>153</v>
      </c>
      <c r="D12" s="264"/>
      <c r="E12" s="265" t="s">
        <v>191</v>
      </c>
      <c r="F12" s="266"/>
      <c r="G12" s="80"/>
      <c r="H12" s="81"/>
    </row>
    <row r="13" spans="2:8" ht="35.25" customHeight="1" x14ac:dyDescent="0.3">
      <c r="B13" s="77"/>
      <c r="C13" s="235" t="s">
        <v>184</v>
      </c>
      <c r="D13" s="236"/>
      <c r="E13" s="237" t="s">
        <v>189</v>
      </c>
      <c r="F13" s="238"/>
      <c r="G13" s="80"/>
      <c r="H13" s="81"/>
    </row>
    <row r="14" spans="2:8" ht="17.25" customHeight="1" x14ac:dyDescent="0.3">
      <c r="B14" s="77"/>
      <c r="C14" s="235" t="s">
        <v>185</v>
      </c>
      <c r="D14" s="236"/>
      <c r="E14" s="237" t="s">
        <v>187</v>
      </c>
      <c r="F14" s="238"/>
      <c r="G14" s="80"/>
      <c r="H14" s="81"/>
    </row>
    <row r="15" spans="2:8" ht="19.5" customHeight="1" x14ac:dyDescent="0.3">
      <c r="B15" s="77"/>
      <c r="C15" s="235" t="s">
        <v>186</v>
      </c>
      <c r="D15" s="236"/>
      <c r="E15" s="237" t="s">
        <v>188</v>
      </c>
      <c r="F15" s="238"/>
      <c r="G15" s="80"/>
      <c r="H15" s="81"/>
    </row>
    <row r="16" spans="2:8" ht="69.75" customHeight="1" x14ac:dyDescent="0.3">
      <c r="B16" s="77"/>
      <c r="C16" s="235" t="s">
        <v>155</v>
      </c>
      <c r="D16" s="236"/>
      <c r="E16" s="237" t="s">
        <v>156</v>
      </c>
      <c r="F16" s="238"/>
      <c r="G16" s="80"/>
      <c r="H16" s="81"/>
    </row>
    <row r="17" spans="2:8" ht="34.5" customHeight="1" x14ac:dyDescent="0.3">
      <c r="B17" s="77"/>
      <c r="C17" s="239" t="s">
        <v>2</v>
      </c>
      <c r="D17" s="240"/>
      <c r="E17" s="231" t="s">
        <v>198</v>
      </c>
      <c r="F17" s="232"/>
      <c r="G17" s="80"/>
      <c r="H17" s="81"/>
    </row>
    <row r="18" spans="2:8" ht="27.75" customHeight="1" x14ac:dyDescent="0.3">
      <c r="B18" s="77"/>
      <c r="C18" s="239" t="s">
        <v>3</v>
      </c>
      <c r="D18" s="240"/>
      <c r="E18" s="231" t="s">
        <v>199</v>
      </c>
      <c r="F18" s="232"/>
      <c r="G18" s="80"/>
      <c r="H18" s="81"/>
    </row>
    <row r="19" spans="2:8" ht="28.5" customHeight="1" x14ac:dyDescent="0.3">
      <c r="B19" s="77"/>
      <c r="C19" s="239" t="s">
        <v>42</v>
      </c>
      <c r="D19" s="240"/>
      <c r="E19" s="231" t="s">
        <v>200</v>
      </c>
      <c r="F19" s="232"/>
      <c r="G19" s="80"/>
      <c r="H19" s="81"/>
    </row>
    <row r="20" spans="2:8" ht="72.75" customHeight="1" x14ac:dyDescent="0.3">
      <c r="B20" s="77"/>
      <c r="C20" s="239" t="s">
        <v>1</v>
      </c>
      <c r="D20" s="240"/>
      <c r="E20" s="231" t="s">
        <v>201</v>
      </c>
      <c r="F20" s="232"/>
      <c r="G20" s="80"/>
      <c r="H20" s="81"/>
    </row>
    <row r="21" spans="2:8" ht="64.5" customHeight="1" x14ac:dyDescent="0.3">
      <c r="B21" s="77"/>
      <c r="C21" s="239" t="s">
        <v>50</v>
      </c>
      <c r="D21" s="240"/>
      <c r="E21" s="231" t="s">
        <v>159</v>
      </c>
      <c r="F21" s="232"/>
      <c r="G21" s="80"/>
      <c r="H21" s="81"/>
    </row>
    <row r="22" spans="2:8" ht="71.25" customHeight="1" x14ac:dyDescent="0.3">
      <c r="B22" s="77"/>
      <c r="C22" s="239" t="s">
        <v>158</v>
      </c>
      <c r="D22" s="240"/>
      <c r="E22" s="231" t="s">
        <v>160</v>
      </c>
      <c r="F22" s="232"/>
      <c r="G22" s="80"/>
      <c r="H22" s="81"/>
    </row>
    <row r="23" spans="2:8" ht="55.5" customHeight="1" x14ac:dyDescent="0.3">
      <c r="B23" s="77"/>
      <c r="C23" s="233" t="s">
        <v>161</v>
      </c>
      <c r="D23" s="234"/>
      <c r="E23" s="231" t="s">
        <v>162</v>
      </c>
      <c r="F23" s="232"/>
      <c r="G23" s="80"/>
      <c r="H23" s="81"/>
    </row>
    <row r="24" spans="2:8" ht="42" customHeight="1" x14ac:dyDescent="0.3">
      <c r="B24" s="77"/>
      <c r="C24" s="233" t="s">
        <v>48</v>
      </c>
      <c r="D24" s="234"/>
      <c r="E24" s="231" t="s">
        <v>163</v>
      </c>
      <c r="F24" s="232"/>
      <c r="G24" s="80"/>
      <c r="H24" s="81"/>
    </row>
    <row r="25" spans="2:8" ht="59.25" customHeight="1" x14ac:dyDescent="0.3">
      <c r="B25" s="77"/>
      <c r="C25" s="233" t="s">
        <v>151</v>
      </c>
      <c r="D25" s="234"/>
      <c r="E25" s="231" t="s">
        <v>164</v>
      </c>
      <c r="F25" s="232"/>
      <c r="G25" s="80"/>
      <c r="H25" s="81"/>
    </row>
    <row r="26" spans="2:8" ht="23.25" customHeight="1" x14ac:dyDescent="0.3">
      <c r="B26" s="77"/>
      <c r="C26" s="233" t="s">
        <v>12</v>
      </c>
      <c r="D26" s="234"/>
      <c r="E26" s="231" t="s">
        <v>165</v>
      </c>
      <c r="F26" s="232"/>
      <c r="G26" s="80"/>
      <c r="H26" s="81"/>
    </row>
    <row r="27" spans="2:8" ht="30.75" customHeight="1" x14ac:dyDescent="0.3">
      <c r="B27" s="77"/>
      <c r="C27" s="233" t="s">
        <v>169</v>
      </c>
      <c r="D27" s="234"/>
      <c r="E27" s="231" t="s">
        <v>166</v>
      </c>
      <c r="F27" s="232"/>
      <c r="G27" s="80"/>
      <c r="H27" s="81"/>
    </row>
    <row r="28" spans="2:8" ht="35.25" customHeight="1" x14ac:dyDescent="0.3">
      <c r="B28" s="77"/>
      <c r="C28" s="233" t="s">
        <v>170</v>
      </c>
      <c r="D28" s="234"/>
      <c r="E28" s="231" t="s">
        <v>167</v>
      </c>
      <c r="F28" s="232"/>
      <c r="G28" s="80"/>
      <c r="H28" s="81"/>
    </row>
    <row r="29" spans="2:8" ht="33" customHeight="1" x14ac:dyDescent="0.3">
      <c r="B29" s="77"/>
      <c r="C29" s="233" t="s">
        <v>170</v>
      </c>
      <c r="D29" s="234"/>
      <c r="E29" s="231" t="s">
        <v>167</v>
      </c>
      <c r="F29" s="232"/>
      <c r="G29" s="80"/>
      <c r="H29" s="81"/>
    </row>
    <row r="30" spans="2:8" ht="30" customHeight="1" x14ac:dyDescent="0.3">
      <c r="B30" s="77"/>
      <c r="C30" s="233" t="s">
        <v>171</v>
      </c>
      <c r="D30" s="234"/>
      <c r="E30" s="231" t="s">
        <v>168</v>
      </c>
      <c r="F30" s="232"/>
      <c r="G30" s="80"/>
      <c r="H30" s="81"/>
    </row>
    <row r="31" spans="2:8" ht="35.25" customHeight="1" x14ac:dyDescent="0.3">
      <c r="B31" s="77"/>
      <c r="C31" s="233" t="s">
        <v>172</v>
      </c>
      <c r="D31" s="234"/>
      <c r="E31" s="231" t="s">
        <v>173</v>
      </c>
      <c r="F31" s="232"/>
      <c r="G31" s="80"/>
      <c r="H31" s="81"/>
    </row>
    <row r="32" spans="2:8" ht="31.5" customHeight="1" x14ac:dyDescent="0.3">
      <c r="B32" s="77"/>
      <c r="C32" s="233" t="s">
        <v>174</v>
      </c>
      <c r="D32" s="234"/>
      <c r="E32" s="231" t="s">
        <v>175</v>
      </c>
      <c r="F32" s="232"/>
      <c r="G32" s="80"/>
      <c r="H32" s="81"/>
    </row>
    <row r="33" spans="2:8" ht="35.25" customHeight="1" x14ac:dyDescent="0.3">
      <c r="B33" s="77"/>
      <c r="C33" s="233" t="s">
        <v>176</v>
      </c>
      <c r="D33" s="234"/>
      <c r="E33" s="231" t="s">
        <v>177</v>
      </c>
      <c r="F33" s="232"/>
      <c r="G33" s="80"/>
      <c r="H33" s="81"/>
    </row>
    <row r="34" spans="2:8" ht="59.25" customHeight="1" x14ac:dyDescent="0.3">
      <c r="B34" s="77"/>
      <c r="C34" s="233" t="s">
        <v>178</v>
      </c>
      <c r="D34" s="234"/>
      <c r="E34" s="231" t="s">
        <v>179</v>
      </c>
      <c r="F34" s="232"/>
      <c r="G34" s="80"/>
      <c r="H34" s="81"/>
    </row>
    <row r="35" spans="2:8" ht="29.25" customHeight="1" x14ac:dyDescent="0.3">
      <c r="B35" s="77"/>
      <c r="C35" s="233" t="s">
        <v>29</v>
      </c>
      <c r="D35" s="234"/>
      <c r="E35" s="231" t="s">
        <v>180</v>
      </c>
      <c r="F35" s="232"/>
      <c r="G35" s="80"/>
      <c r="H35" s="81"/>
    </row>
    <row r="36" spans="2:8" ht="82.5" customHeight="1" x14ac:dyDescent="0.3">
      <c r="B36" s="77"/>
      <c r="C36" s="233" t="s">
        <v>182</v>
      </c>
      <c r="D36" s="234"/>
      <c r="E36" s="231" t="s">
        <v>181</v>
      </c>
      <c r="F36" s="232"/>
      <c r="G36" s="80"/>
      <c r="H36" s="81"/>
    </row>
    <row r="37" spans="2:8" ht="46.5" customHeight="1" x14ac:dyDescent="0.3">
      <c r="B37" s="77"/>
      <c r="C37" s="233" t="s">
        <v>39</v>
      </c>
      <c r="D37" s="234"/>
      <c r="E37" s="231" t="s">
        <v>183</v>
      </c>
      <c r="F37" s="232"/>
      <c r="G37" s="80"/>
      <c r="H37" s="81"/>
    </row>
    <row r="38" spans="2:8" ht="6.75" customHeight="1" thickBot="1" x14ac:dyDescent="0.35">
      <c r="B38" s="77"/>
      <c r="C38" s="244"/>
      <c r="D38" s="245"/>
      <c r="E38" s="246"/>
      <c r="F38" s="247"/>
      <c r="G38" s="80"/>
      <c r="H38" s="81"/>
    </row>
    <row r="39" spans="2:8" ht="15" thickTop="1" x14ac:dyDescent="0.3">
      <c r="B39" s="77"/>
      <c r="C39" s="78"/>
      <c r="D39" s="78"/>
      <c r="E39" s="79"/>
      <c r="F39" s="79"/>
      <c r="G39" s="80"/>
      <c r="H39" s="81"/>
    </row>
    <row r="40" spans="2:8" ht="21" customHeight="1" x14ac:dyDescent="0.3">
      <c r="B40" s="241" t="s">
        <v>192</v>
      </c>
      <c r="C40" s="242"/>
      <c r="D40" s="242"/>
      <c r="E40" s="242"/>
      <c r="F40" s="242"/>
      <c r="G40" s="242"/>
      <c r="H40" s="243"/>
    </row>
    <row r="41" spans="2:8" ht="20.25" customHeight="1" x14ac:dyDescent="0.3">
      <c r="B41" s="241" t="s">
        <v>193</v>
      </c>
      <c r="C41" s="242"/>
      <c r="D41" s="242"/>
      <c r="E41" s="242"/>
      <c r="F41" s="242"/>
      <c r="G41" s="242"/>
      <c r="H41" s="243"/>
    </row>
    <row r="42" spans="2:8" ht="20.25" customHeight="1" x14ac:dyDescent="0.3">
      <c r="B42" s="241" t="s">
        <v>194</v>
      </c>
      <c r="C42" s="242"/>
      <c r="D42" s="242"/>
      <c r="E42" s="242"/>
      <c r="F42" s="242"/>
      <c r="G42" s="242"/>
      <c r="H42" s="243"/>
    </row>
    <row r="43" spans="2:8" ht="20.25" customHeight="1" x14ac:dyDescent="0.3">
      <c r="B43" s="241" t="s">
        <v>195</v>
      </c>
      <c r="C43" s="242"/>
      <c r="D43" s="242"/>
      <c r="E43" s="242"/>
      <c r="F43" s="242"/>
      <c r="G43" s="242"/>
      <c r="H43" s="243"/>
    </row>
    <row r="44" spans="2:8" x14ac:dyDescent="0.3">
      <c r="B44" s="241" t="s">
        <v>196</v>
      </c>
      <c r="C44" s="242"/>
      <c r="D44" s="242"/>
      <c r="E44" s="242"/>
      <c r="F44" s="242"/>
      <c r="G44" s="242"/>
      <c r="H44" s="243"/>
    </row>
    <row r="45" spans="2:8" ht="15" thickBot="1" x14ac:dyDescent="0.35">
      <c r="B45" s="82"/>
      <c r="C45" s="83"/>
      <c r="D45" s="83"/>
      <c r="E45" s="83"/>
      <c r="F45" s="83"/>
      <c r="G45" s="83"/>
      <c r="H45" s="8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DC84-7F86-43CC-9292-52BCED5C3FAF}">
  <sheetPr>
    <tabColor rgb="FFFFC000"/>
  </sheetPr>
  <dimension ref="A1:J53"/>
  <sheetViews>
    <sheetView zoomScale="85" zoomScaleNormal="85" workbookViewId="0">
      <selection activeCell="A6" sqref="A6:F7"/>
    </sheetView>
  </sheetViews>
  <sheetFormatPr baseColWidth="10" defaultColWidth="11.44140625" defaultRowHeight="13.8" x14ac:dyDescent="0.25"/>
  <cols>
    <col min="1" max="1" width="29.44140625" style="111" customWidth="1"/>
    <col min="2" max="2" width="29.109375" style="111" customWidth="1"/>
    <col min="3" max="3" width="29.33203125" style="111" customWidth="1"/>
    <col min="4" max="4" width="38.33203125" style="111" customWidth="1"/>
    <col min="5" max="5" width="32.5546875" style="111" customWidth="1"/>
    <col min="6" max="6" width="32" style="111" customWidth="1"/>
    <col min="7" max="16384" width="11.44140625" style="111"/>
  </cols>
  <sheetData>
    <row r="1" spans="1:10" ht="15" customHeight="1" x14ac:dyDescent="0.25">
      <c r="A1" s="274" t="e" vm="1">
        <v>#VALUE!</v>
      </c>
      <c r="B1" s="276" t="s">
        <v>261</v>
      </c>
      <c r="C1" s="276"/>
      <c r="D1" s="276"/>
      <c r="E1" s="109" t="s">
        <v>256</v>
      </c>
      <c r="F1" s="278"/>
      <c r="G1" s="110"/>
      <c r="J1" s="280"/>
    </row>
    <row r="2" spans="1:10" ht="15" customHeight="1" x14ac:dyDescent="0.25">
      <c r="A2" s="275"/>
      <c r="B2" s="277"/>
      <c r="C2" s="277"/>
      <c r="D2" s="277"/>
      <c r="E2" s="113" t="s">
        <v>257</v>
      </c>
      <c r="F2" s="279"/>
      <c r="G2" s="110"/>
      <c r="J2" s="280"/>
    </row>
    <row r="3" spans="1:10" ht="15" customHeight="1" x14ac:dyDescent="0.25">
      <c r="A3" s="275"/>
      <c r="B3" s="277" t="s">
        <v>213</v>
      </c>
      <c r="C3" s="277"/>
      <c r="D3" s="277"/>
      <c r="E3" s="113" t="s">
        <v>258</v>
      </c>
      <c r="F3" s="279"/>
      <c r="G3" s="110"/>
      <c r="J3" s="280"/>
    </row>
    <row r="4" spans="1:10" ht="15.75" customHeight="1" x14ac:dyDescent="0.25">
      <c r="A4" s="275"/>
      <c r="B4" s="277"/>
      <c r="C4" s="277"/>
      <c r="D4" s="277"/>
      <c r="E4" s="113" t="s">
        <v>259</v>
      </c>
      <c r="F4" s="279"/>
      <c r="G4" s="110"/>
      <c r="J4" s="280"/>
    </row>
    <row r="5" spans="1:10" ht="15.75" customHeight="1" x14ac:dyDescent="0.25">
      <c r="A5" s="281"/>
      <c r="B5" s="282"/>
      <c r="C5" s="282"/>
      <c r="D5" s="282"/>
      <c r="E5" s="282"/>
      <c r="F5" s="283"/>
      <c r="G5" s="110"/>
      <c r="J5" s="112"/>
    </row>
    <row r="6" spans="1:10" ht="15" customHeight="1" x14ac:dyDescent="0.25">
      <c r="A6" s="284" t="s">
        <v>214</v>
      </c>
      <c r="B6" s="285"/>
      <c r="C6" s="285"/>
      <c r="D6" s="285"/>
      <c r="E6" s="285"/>
      <c r="F6" s="286"/>
    </row>
    <row r="7" spans="1:10" ht="15.75" customHeight="1" x14ac:dyDescent="0.25">
      <c r="A7" s="284"/>
      <c r="B7" s="285"/>
      <c r="C7" s="285"/>
      <c r="D7" s="285"/>
      <c r="E7" s="285"/>
      <c r="F7" s="286"/>
    </row>
    <row r="8" spans="1:10" ht="27" customHeight="1" x14ac:dyDescent="0.25">
      <c r="A8" s="287" t="s">
        <v>261</v>
      </c>
      <c r="B8" s="288"/>
      <c r="C8" s="288"/>
      <c r="D8" s="288"/>
      <c r="E8" s="288"/>
      <c r="F8" s="289"/>
    </row>
    <row r="9" spans="1:10" ht="77.25" customHeight="1" thickBot="1" x14ac:dyDescent="0.3">
      <c r="A9" s="270" t="s">
        <v>295</v>
      </c>
      <c r="B9" s="271"/>
      <c r="C9" s="271"/>
      <c r="D9" s="271"/>
      <c r="E9" s="271"/>
      <c r="F9" s="272"/>
    </row>
    <row r="10" spans="1:10" ht="18.75" customHeight="1" thickBot="1" x14ac:dyDescent="0.3">
      <c r="A10" s="273"/>
      <c r="B10" s="273"/>
      <c r="C10" s="273"/>
      <c r="D10" s="273"/>
      <c r="E10" s="273"/>
      <c r="F10" s="273"/>
    </row>
    <row r="11" spans="1:10" ht="22.5" customHeight="1" thickBot="1" x14ac:dyDescent="0.3">
      <c r="A11" s="114" t="s">
        <v>215</v>
      </c>
      <c r="B11" s="115" t="s">
        <v>216</v>
      </c>
      <c r="C11" s="115" t="s">
        <v>217</v>
      </c>
      <c r="D11" s="115" t="s">
        <v>216</v>
      </c>
      <c r="E11" s="115" t="s">
        <v>218</v>
      </c>
      <c r="F11" s="116" t="s">
        <v>216</v>
      </c>
    </row>
    <row r="12" spans="1:10" ht="75" customHeight="1" x14ac:dyDescent="0.25">
      <c r="A12" s="117" t="s">
        <v>262</v>
      </c>
      <c r="B12" s="154" t="s">
        <v>281</v>
      </c>
      <c r="C12" s="117" t="s">
        <v>310</v>
      </c>
      <c r="D12" s="156" t="s">
        <v>296</v>
      </c>
      <c r="E12" s="117" t="s">
        <v>273</v>
      </c>
      <c r="F12" s="160" t="s">
        <v>311</v>
      </c>
    </row>
    <row r="13" spans="1:10" ht="69" customHeight="1" x14ac:dyDescent="0.25">
      <c r="A13" s="117" t="s">
        <v>263</v>
      </c>
      <c r="B13" s="153" t="s">
        <v>282</v>
      </c>
      <c r="C13" s="117" t="s">
        <v>310</v>
      </c>
      <c r="D13" s="156" t="s">
        <v>297</v>
      </c>
      <c r="E13" s="117" t="s">
        <v>273</v>
      </c>
      <c r="F13" s="161" t="s">
        <v>312</v>
      </c>
    </row>
    <row r="14" spans="1:10" ht="103.8" customHeight="1" x14ac:dyDescent="0.25">
      <c r="A14" s="117" t="s">
        <v>263</v>
      </c>
      <c r="B14" s="154" t="s">
        <v>283</v>
      </c>
      <c r="C14" s="117" t="s">
        <v>310</v>
      </c>
      <c r="D14" s="156" t="s">
        <v>298</v>
      </c>
      <c r="E14" s="117" t="s">
        <v>275</v>
      </c>
      <c r="F14" s="162" t="s">
        <v>313</v>
      </c>
    </row>
    <row r="15" spans="1:10" ht="73.5" customHeight="1" x14ac:dyDescent="0.25">
      <c r="A15" s="117" t="s">
        <v>264</v>
      </c>
      <c r="B15" s="153" t="s">
        <v>284</v>
      </c>
      <c r="C15" s="117" t="s">
        <v>310</v>
      </c>
      <c r="D15" s="157" t="s">
        <v>299</v>
      </c>
      <c r="E15" s="117" t="s">
        <v>276</v>
      </c>
      <c r="F15" s="162" t="s">
        <v>314</v>
      </c>
    </row>
    <row r="16" spans="1:10" ht="59.25" customHeight="1" x14ac:dyDescent="0.25">
      <c r="A16" s="117" t="s">
        <v>219</v>
      </c>
      <c r="B16" s="154" t="s">
        <v>285</v>
      </c>
      <c r="C16" s="117" t="s">
        <v>266</v>
      </c>
      <c r="D16" s="158" t="s">
        <v>300</v>
      </c>
      <c r="E16" s="117" t="s">
        <v>274</v>
      </c>
      <c r="F16" s="162" t="s">
        <v>315</v>
      </c>
    </row>
    <row r="17" spans="1:6" ht="69.75" customHeight="1" x14ac:dyDescent="0.25">
      <c r="A17" s="117" t="s">
        <v>265</v>
      </c>
      <c r="B17" s="154" t="s">
        <v>286</v>
      </c>
      <c r="C17" s="117" t="s">
        <v>221</v>
      </c>
      <c r="D17" s="156" t="s">
        <v>301</v>
      </c>
      <c r="E17" s="117"/>
      <c r="F17" s="118"/>
    </row>
    <row r="18" spans="1:6" ht="66.75" customHeight="1" x14ac:dyDescent="0.25">
      <c r="A18" s="117" t="s">
        <v>265</v>
      </c>
      <c r="B18" s="153" t="s">
        <v>287</v>
      </c>
      <c r="C18" s="117" t="s">
        <v>267</v>
      </c>
      <c r="D18" s="156" t="s">
        <v>302</v>
      </c>
      <c r="E18" s="117"/>
      <c r="F18" s="118"/>
    </row>
    <row r="19" spans="1:6" ht="87.6" customHeight="1" x14ac:dyDescent="0.25">
      <c r="A19" s="117" t="s">
        <v>265</v>
      </c>
      <c r="B19" s="153" t="s">
        <v>288</v>
      </c>
      <c r="C19" s="117" t="s">
        <v>268</v>
      </c>
      <c r="D19" s="158" t="s">
        <v>303</v>
      </c>
      <c r="E19" s="117"/>
      <c r="F19" s="118"/>
    </row>
    <row r="20" spans="1:6" ht="85.8" customHeight="1" x14ac:dyDescent="0.25">
      <c r="A20" s="117" t="s">
        <v>221</v>
      </c>
      <c r="B20" s="154" t="s">
        <v>289</v>
      </c>
      <c r="C20" s="117" t="s">
        <v>268</v>
      </c>
      <c r="D20" s="158" t="s">
        <v>304</v>
      </c>
      <c r="E20" s="117"/>
      <c r="F20" s="118"/>
    </row>
    <row r="21" spans="1:6" ht="96" customHeight="1" x14ac:dyDescent="0.25">
      <c r="A21" s="117" t="s">
        <v>220</v>
      </c>
      <c r="B21" s="154" t="s">
        <v>290</v>
      </c>
      <c r="C21" s="117" t="s">
        <v>268</v>
      </c>
      <c r="D21" s="159" t="s">
        <v>305</v>
      </c>
      <c r="E21" s="117"/>
      <c r="F21" s="118"/>
    </row>
    <row r="22" spans="1:6" ht="69" customHeight="1" x14ac:dyDescent="0.25">
      <c r="A22" s="117" t="s">
        <v>220</v>
      </c>
      <c r="B22" s="153" t="s">
        <v>291</v>
      </c>
      <c r="C22" s="117" t="s">
        <v>270</v>
      </c>
      <c r="D22" s="156" t="s">
        <v>306</v>
      </c>
      <c r="E22" s="117"/>
      <c r="F22" s="118"/>
    </row>
    <row r="23" spans="1:6" ht="61.5" customHeight="1" x14ac:dyDescent="0.25">
      <c r="A23" s="117" t="s">
        <v>262</v>
      </c>
      <c r="B23" s="155" t="s">
        <v>292</v>
      </c>
      <c r="C23" s="117" t="s">
        <v>269</v>
      </c>
      <c r="D23" s="157" t="s">
        <v>307</v>
      </c>
      <c r="E23" s="117"/>
      <c r="F23" s="118"/>
    </row>
    <row r="24" spans="1:6" ht="69.599999999999994" customHeight="1" x14ac:dyDescent="0.25">
      <c r="A24" s="117" t="s">
        <v>221</v>
      </c>
      <c r="B24" s="154" t="s">
        <v>293</v>
      </c>
      <c r="C24" s="117" t="s">
        <v>267</v>
      </c>
      <c r="D24" s="156" t="s">
        <v>308</v>
      </c>
      <c r="E24" s="117"/>
      <c r="F24" s="118"/>
    </row>
    <row r="25" spans="1:6" ht="96.6" customHeight="1" x14ac:dyDescent="0.25">
      <c r="A25" s="117" t="s">
        <v>220</v>
      </c>
      <c r="B25" s="153" t="s">
        <v>294</v>
      </c>
      <c r="C25" s="117" t="s">
        <v>310</v>
      </c>
      <c r="D25" s="156" t="s">
        <v>309</v>
      </c>
      <c r="E25" s="117"/>
      <c r="F25" s="118"/>
    </row>
    <row r="26" spans="1:6" ht="56.25" customHeight="1" x14ac:dyDescent="0.25">
      <c r="A26" s="117"/>
      <c r="B26" s="118"/>
      <c r="C26" s="117"/>
      <c r="D26" s="119"/>
      <c r="E26" s="117"/>
      <c r="F26" s="118"/>
    </row>
    <row r="27" spans="1:6" ht="65.25" customHeight="1" x14ac:dyDescent="0.25">
      <c r="A27" s="120"/>
      <c r="B27" s="121"/>
      <c r="C27" s="120"/>
      <c r="D27" s="122"/>
      <c r="E27" s="120"/>
      <c r="F27" s="122"/>
    </row>
    <row r="28" spans="1:6" ht="62.25" customHeight="1" x14ac:dyDescent="0.25">
      <c r="A28" s="120"/>
      <c r="B28" s="121"/>
      <c r="C28" s="120"/>
      <c r="D28" s="122"/>
      <c r="E28" s="120"/>
      <c r="F28" s="122"/>
    </row>
    <row r="29" spans="1:6" ht="63" customHeight="1" x14ac:dyDescent="0.25">
      <c r="A29" s="120"/>
      <c r="B29" s="121"/>
      <c r="C29" s="120"/>
      <c r="D29" s="122"/>
      <c r="E29" s="120"/>
      <c r="F29" s="121"/>
    </row>
    <row r="30" spans="1:6" ht="51.75" customHeight="1" x14ac:dyDescent="0.25">
      <c r="A30" s="120"/>
      <c r="B30" s="121"/>
      <c r="C30" s="120"/>
      <c r="D30" s="122"/>
      <c r="E30" s="120"/>
      <c r="F30" s="121"/>
    </row>
    <row r="31" spans="1:6" ht="52.5" customHeight="1" x14ac:dyDescent="0.25">
      <c r="A31" s="120"/>
      <c r="B31" s="122"/>
      <c r="C31" s="120"/>
      <c r="D31" s="122"/>
      <c r="E31" s="120"/>
      <c r="F31" s="122"/>
    </row>
    <row r="32" spans="1:6" ht="63.75" customHeight="1" x14ac:dyDescent="0.25">
      <c r="A32" s="120"/>
      <c r="B32" s="122"/>
      <c r="C32" s="120"/>
      <c r="D32" s="122"/>
      <c r="E32" s="120"/>
      <c r="F32" s="122"/>
    </row>
    <row r="33" spans="1:6" ht="66" customHeight="1" x14ac:dyDescent="0.25">
      <c r="A33" s="120"/>
      <c r="B33" s="123"/>
      <c r="C33" s="120"/>
      <c r="D33" s="124"/>
      <c r="E33" s="120"/>
      <c r="F33" s="123"/>
    </row>
    <row r="34" spans="1:6" ht="55.5" customHeight="1" x14ac:dyDescent="0.25">
      <c r="A34" s="120"/>
      <c r="B34" s="123"/>
      <c r="C34" s="120"/>
      <c r="D34" s="124"/>
      <c r="E34" s="120"/>
      <c r="F34" s="125"/>
    </row>
    <row r="35" spans="1:6" ht="51.75" customHeight="1" x14ac:dyDescent="0.25">
      <c r="A35" s="120"/>
      <c r="B35" s="125"/>
      <c r="C35" s="120"/>
      <c r="D35" s="126"/>
      <c r="E35" s="120"/>
      <c r="F35" s="125"/>
    </row>
    <row r="36" spans="1:6" ht="55.5" customHeight="1" x14ac:dyDescent="0.25">
      <c r="A36" s="120"/>
      <c r="B36" s="125"/>
      <c r="C36" s="120"/>
      <c r="D36" s="125"/>
      <c r="E36" s="120"/>
      <c r="F36" s="125"/>
    </row>
    <row r="37" spans="1:6" ht="55.5" customHeight="1" x14ac:dyDescent="0.25">
      <c r="A37" s="120"/>
      <c r="B37" s="125"/>
      <c r="C37" s="120"/>
      <c r="D37" s="125"/>
      <c r="E37" s="120"/>
      <c r="F37" s="125"/>
    </row>
    <row r="38" spans="1:6" ht="54.75" customHeight="1" x14ac:dyDescent="0.25">
      <c r="A38" s="120"/>
      <c r="B38" s="125"/>
      <c r="C38" s="120"/>
      <c r="D38" s="125"/>
      <c r="E38" s="120"/>
      <c r="F38" s="125"/>
    </row>
    <row r="39" spans="1:6" ht="56.25" customHeight="1" x14ac:dyDescent="0.25">
      <c r="A39" s="120"/>
      <c r="B39" s="125"/>
      <c r="C39" s="120"/>
      <c r="D39" s="125"/>
      <c r="E39" s="120"/>
      <c r="F39" s="125"/>
    </row>
    <row r="40" spans="1:6" ht="54.75" customHeight="1" x14ac:dyDescent="0.25">
      <c r="A40" s="120"/>
      <c r="B40" s="123"/>
      <c r="C40" s="120"/>
      <c r="D40" s="124"/>
      <c r="E40" s="120"/>
      <c r="F40" s="123"/>
    </row>
    <row r="41" spans="1:6" ht="55.5" customHeight="1" x14ac:dyDescent="0.25">
      <c r="A41" s="120"/>
      <c r="B41" s="123"/>
      <c r="C41" s="120"/>
      <c r="D41" s="124"/>
      <c r="E41" s="120"/>
      <c r="F41" s="125"/>
    </row>
    <row r="42" spans="1:6" ht="54.75" customHeight="1" x14ac:dyDescent="0.25">
      <c r="A42" s="120"/>
      <c r="B42" s="125"/>
      <c r="C42" s="120"/>
      <c r="D42" s="126"/>
      <c r="E42" s="120"/>
      <c r="F42" s="125"/>
    </row>
    <row r="43" spans="1:6" ht="55.5" customHeight="1" x14ac:dyDescent="0.25">
      <c r="A43" s="120"/>
      <c r="B43" s="125"/>
      <c r="C43" s="120"/>
      <c r="D43" s="125"/>
      <c r="E43" s="120"/>
      <c r="F43" s="125"/>
    </row>
    <row r="44" spans="1:6" ht="56.25" customHeight="1" x14ac:dyDescent="0.25">
      <c r="A44" s="120"/>
      <c r="B44" s="125"/>
      <c r="C44" s="120"/>
      <c r="D44" s="125"/>
      <c r="E44" s="120"/>
      <c r="F44" s="125"/>
    </row>
    <row r="45" spans="1:6" ht="59.25" customHeight="1" x14ac:dyDescent="0.25">
      <c r="A45" s="120"/>
      <c r="B45" s="125"/>
      <c r="C45" s="120"/>
      <c r="D45" s="125"/>
      <c r="E45" s="120"/>
      <c r="F45" s="125"/>
    </row>
    <row r="46" spans="1:6" ht="55.5" customHeight="1" x14ac:dyDescent="0.25">
      <c r="A46" s="120"/>
      <c r="B46" s="125"/>
      <c r="C46" s="120"/>
      <c r="D46" s="125"/>
      <c r="E46" s="120"/>
      <c r="F46" s="125"/>
    </row>
    <row r="47" spans="1:6" ht="55.5" customHeight="1" x14ac:dyDescent="0.25">
      <c r="A47" s="120"/>
      <c r="B47" s="123"/>
      <c r="C47" s="120"/>
      <c r="D47" s="124"/>
      <c r="E47" s="120"/>
      <c r="F47" s="123"/>
    </row>
    <row r="48" spans="1:6" ht="56.25" customHeight="1" x14ac:dyDescent="0.25">
      <c r="A48" s="120"/>
      <c r="B48" s="123"/>
      <c r="C48" s="120"/>
      <c r="D48" s="124"/>
      <c r="E48" s="120"/>
      <c r="F48" s="125"/>
    </row>
    <row r="49" spans="1:6" ht="54" customHeight="1" x14ac:dyDescent="0.25">
      <c r="A49" s="120"/>
      <c r="B49" s="125"/>
      <c r="C49" s="120"/>
      <c r="D49" s="126"/>
      <c r="E49" s="120"/>
      <c r="F49" s="125"/>
    </row>
    <row r="50" spans="1:6" ht="56.25" customHeight="1" x14ac:dyDescent="0.25">
      <c r="A50" s="120"/>
      <c r="B50" s="125"/>
      <c r="C50" s="120"/>
      <c r="D50" s="125"/>
      <c r="E50" s="120"/>
      <c r="F50" s="125"/>
    </row>
    <row r="51" spans="1:6" ht="59.25" customHeight="1" x14ac:dyDescent="0.25">
      <c r="A51" s="120"/>
      <c r="B51" s="125"/>
      <c r="C51" s="120"/>
      <c r="D51" s="125"/>
      <c r="E51" s="120"/>
      <c r="F51" s="125"/>
    </row>
    <row r="52" spans="1:6" ht="54.75" customHeight="1" x14ac:dyDescent="0.25">
      <c r="A52" s="120"/>
      <c r="B52" s="125"/>
      <c r="C52" s="120"/>
      <c r="D52" s="125"/>
      <c r="E52" s="120"/>
      <c r="F52" s="125"/>
    </row>
    <row r="53" spans="1:6" ht="55.5" customHeight="1" x14ac:dyDescent="0.25">
      <c r="A53" s="120"/>
      <c r="B53" s="125"/>
      <c r="C53" s="120"/>
      <c r="D53" s="125"/>
      <c r="E53" s="120"/>
      <c r="F53" s="125"/>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E33D8A6-84ED-4B50-BC21-74A6421A8A57}">
          <x14:formula1>
            <xm:f>LISTADOS!$B$3:$B$9</xm:f>
          </x14:formula1>
          <xm:sqref>A12:A26</xm:sqref>
        </x14:dataValidation>
        <x14:dataValidation type="list" allowBlank="1" showInputMessage="1" showErrorMessage="1" xr:uid="{806C2808-1C73-456F-86FD-D1874BD666BC}">
          <x14:formula1>
            <xm:f>LISTADOS!$D$3:$D$10</xm:f>
          </x14:formula1>
          <xm:sqref>C12:C26</xm:sqref>
        </x14:dataValidation>
        <x14:dataValidation type="list" allowBlank="1" showInputMessage="1" showErrorMessage="1" xr:uid="{7069867E-2B91-4B7B-BB4A-832726CF2794}">
          <x14:formula1>
            <xm:f>LISTADOS!$B$14:$B$23</xm:f>
          </x14:formula1>
          <xm:sqref>E12:E26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7"/>
  <sheetViews>
    <sheetView topLeftCell="A40" workbookViewId="0">
      <selection activeCell="S47" sqref="S47"/>
    </sheetView>
  </sheetViews>
  <sheetFormatPr baseColWidth="10" defaultColWidth="11.44140625" defaultRowHeight="14.4" x14ac:dyDescent="0.3"/>
  <cols>
    <col min="1" max="1" width="5.109375" style="147" customWidth="1"/>
    <col min="2" max="2" width="39.5546875" style="148" customWidth="1"/>
    <col min="3" max="17" width="6.44140625" style="148" customWidth="1"/>
    <col min="18" max="18" width="8.109375" style="148" customWidth="1"/>
    <col min="19" max="19" width="13" style="149" customWidth="1"/>
    <col min="20" max="20" width="19.6640625" customWidth="1"/>
    <col min="21" max="23" width="11.44140625" hidden="1" customWidth="1"/>
  </cols>
  <sheetData>
    <row r="1" spans="1:24" ht="30.75" customHeight="1" x14ac:dyDescent="0.3">
      <c r="A1" s="308"/>
      <c r="B1" s="309"/>
      <c r="C1" s="277" t="str">
        <f>+Contexto!A8</f>
        <v>PROCESO:  SISTEMA INTEGRADO DE GESTIÓN Y MIPG</v>
      </c>
      <c r="D1" s="277"/>
      <c r="E1" s="277"/>
      <c r="F1" s="277"/>
      <c r="G1" s="277"/>
      <c r="H1" s="277"/>
      <c r="I1" s="277"/>
      <c r="J1" s="277"/>
      <c r="K1" s="277"/>
      <c r="L1" s="277"/>
      <c r="M1" s="277"/>
      <c r="N1" s="277"/>
      <c r="O1" s="277"/>
      <c r="P1" s="277"/>
      <c r="Q1" s="277"/>
      <c r="R1" s="277"/>
      <c r="S1" s="290"/>
      <c r="T1" s="295" t="s">
        <v>256</v>
      </c>
      <c r="U1" s="295"/>
      <c r="V1" s="295"/>
      <c r="W1" s="296"/>
    </row>
    <row r="2" spans="1:24" ht="25.5" customHeight="1" x14ac:dyDescent="0.3">
      <c r="A2" s="310"/>
      <c r="B2" s="311"/>
      <c r="C2" s="277"/>
      <c r="D2" s="277"/>
      <c r="E2" s="277"/>
      <c r="F2" s="277"/>
      <c r="G2" s="277"/>
      <c r="H2" s="277"/>
      <c r="I2" s="277"/>
      <c r="J2" s="277"/>
      <c r="K2" s="277"/>
      <c r="L2" s="277"/>
      <c r="M2" s="277"/>
      <c r="N2" s="277"/>
      <c r="O2" s="277"/>
      <c r="P2" s="277"/>
      <c r="Q2" s="277"/>
      <c r="R2" s="277"/>
      <c r="S2" s="291"/>
      <c r="T2" s="297" t="s">
        <v>257</v>
      </c>
      <c r="U2" s="297"/>
      <c r="V2" s="297"/>
      <c r="W2" s="298"/>
    </row>
    <row r="3" spans="1:24" ht="15" customHeight="1" x14ac:dyDescent="0.3">
      <c r="A3" s="310"/>
      <c r="B3" s="311"/>
      <c r="C3" s="277" t="s">
        <v>222</v>
      </c>
      <c r="D3" s="277"/>
      <c r="E3" s="277"/>
      <c r="F3" s="277"/>
      <c r="G3" s="277"/>
      <c r="H3" s="277"/>
      <c r="I3" s="277"/>
      <c r="J3" s="277"/>
      <c r="K3" s="277"/>
      <c r="L3" s="277"/>
      <c r="M3" s="277"/>
      <c r="N3" s="277"/>
      <c r="O3" s="277"/>
      <c r="P3" s="277"/>
      <c r="Q3" s="277"/>
      <c r="R3" s="277"/>
      <c r="S3" s="291"/>
      <c r="T3" s="297" t="s">
        <v>260</v>
      </c>
      <c r="U3" s="297"/>
      <c r="V3" s="297"/>
      <c r="W3" s="298"/>
    </row>
    <row r="4" spans="1:24" ht="15.75" customHeight="1" x14ac:dyDescent="0.3">
      <c r="A4" s="299"/>
      <c r="B4" s="300"/>
      <c r="C4" s="277"/>
      <c r="D4" s="277"/>
      <c r="E4" s="277"/>
      <c r="F4" s="277"/>
      <c r="G4" s="277"/>
      <c r="H4" s="277"/>
      <c r="I4" s="277"/>
      <c r="J4" s="277"/>
      <c r="K4" s="277"/>
      <c r="L4" s="277"/>
      <c r="M4" s="277"/>
      <c r="N4" s="277"/>
      <c r="O4" s="277"/>
      <c r="P4" s="277"/>
      <c r="Q4" s="277"/>
      <c r="R4" s="277"/>
      <c r="S4" s="292"/>
      <c r="T4" s="297" t="s">
        <v>316</v>
      </c>
      <c r="U4" s="297"/>
      <c r="V4" s="297"/>
      <c r="W4" s="298"/>
    </row>
    <row r="5" spans="1:24" ht="15.75" customHeight="1" x14ac:dyDescent="0.3">
      <c r="A5" s="299"/>
      <c r="B5" s="299"/>
      <c r="C5" s="299"/>
      <c r="D5" s="299"/>
      <c r="E5" s="299"/>
      <c r="F5" s="299"/>
      <c r="G5" s="299"/>
      <c r="H5" s="299"/>
      <c r="I5" s="299"/>
      <c r="J5" s="299"/>
      <c r="K5" s="299"/>
      <c r="L5" s="299"/>
      <c r="M5" s="299"/>
      <c r="N5" s="299"/>
      <c r="O5" s="299"/>
      <c r="P5" s="299"/>
      <c r="Q5" s="299"/>
      <c r="R5" s="299"/>
      <c r="S5" s="299"/>
      <c r="T5" s="300"/>
      <c r="U5" s="121"/>
      <c r="V5" s="121"/>
      <c r="W5" s="127"/>
    </row>
    <row r="6" spans="1:24" s="111" customFormat="1" ht="27" customHeight="1" x14ac:dyDescent="0.25">
      <c r="A6" s="301" t="str">
        <f>+Contexto!A8</f>
        <v>PROCESO:  SISTEMA INTEGRADO DE GESTIÓN Y MIPG</v>
      </c>
      <c r="B6" s="301"/>
      <c r="C6" s="301"/>
      <c r="D6" s="301"/>
      <c r="E6" s="301"/>
      <c r="F6" s="301"/>
      <c r="G6" s="301"/>
      <c r="H6" s="301"/>
      <c r="I6" s="301"/>
      <c r="J6" s="301"/>
      <c r="K6" s="301"/>
      <c r="L6" s="301"/>
      <c r="M6" s="301"/>
      <c r="N6" s="301"/>
      <c r="O6" s="301"/>
      <c r="P6" s="301"/>
      <c r="Q6" s="301"/>
      <c r="R6" s="301"/>
      <c r="S6" s="301"/>
      <c r="T6" s="301"/>
      <c r="W6" s="128"/>
    </row>
    <row r="7" spans="1:24" s="111" customFormat="1" ht="53.4" customHeight="1" thickBot="1" x14ac:dyDescent="0.3">
      <c r="A7" s="302" t="str">
        <f>+Contexto!A9</f>
        <v xml:space="preserve">OBJETIVO:  DESARROLLAR ACCIONES PARA LA IMPLEMENTACIÓN, SOSTENIBILIDAD Y MEJORA CONTINUA DEL SISTEMA INTEGRADO DE GESTIÓN DE LA ADMINISTRACIÓN MUNICIPAL DE IBAGUÉ “SIGAMI”, COMO HERRAMIENTA PARA LA TOMA DE DECISIONES Y EL CUMPLIMIENTO DE LA MISIÓN Y OBJETIVOS INSTITUCIONALES.
</v>
      </c>
      <c r="B7" s="302"/>
      <c r="C7" s="302"/>
      <c r="D7" s="302"/>
      <c r="E7" s="302"/>
      <c r="F7" s="302"/>
      <c r="G7" s="302"/>
      <c r="H7" s="302"/>
      <c r="I7" s="302"/>
      <c r="J7" s="302"/>
      <c r="K7" s="302"/>
      <c r="L7" s="302"/>
      <c r="M7" s="302"/>
      <c r="N7" s="302"/>
      <c r="O7" s="302"/>
      <c r="P7" s="302"/>
      <c r="Q7" s="302"/>
      <c r="R7" s="302"/>
      <c r="S7" s="302"/>
      <c r="T7" s="302"/>
      <c r="U7" s="129"/>
      <c r="V7" s="129"/>
      <c r="W7" s="130"/>
    </row>
    <row r="8" spans="1:24" s="111" customFormat="1" ht="26.25" customHeight="1" thickBot="1" x14ac:dyDescent="0.3">
      <c r="A8" s="131"/>
      <c r="B8" s="131"/>
      <c r="C8" s="131"/>
      <c r="D8" s="131"/>
      <c r="E8" s="131"/>
      <c r="F8" s="131"/>
      <c r="G8" s="131"/>
      <c r="H8" s="131"/>
      <c r="I8" s="131"/>
      <c r="J8" s="131"/>
      <c r="K8" s="131"/>
      <c r="L8" s="131"/>
      <c r="M8" s="131"/>
      <c r="N8" s="131"/>
      <c r="O8" s="131"/>
      <c r="P8" s="131"/>
      <c r="Q8" s="131"/>
      <c r="R8" s="131"/>
      <c r="S8" s="131"/>
      <c r="T8" s="132"/>
      <c r="X8" s="133"/>
    </row>
    <row r="9" spans="1:24" s="111" customFormat="1" ht="39.75" customHeight="1" thickBot="1" x14ac:dyDescent="0.3">
      <c r="A9" s="303"/>
      <c r="B9" s="303"/>
      <c r="C9" s="303" t="b">
        <v>0</v>
      </c>
      <c r="D9" s="303"/>
      <c r="E9" s="303"/>
      <c r="F9" s="303"/>
      <c r="G9" s="303"/>
      <c r="H9" s="303"/>
      <c r="I9" s="303"/>
      <c r="J9" s="303"/>
      <c r="K9" s="303"/>
      <c r="L9" s="303"/>
      <c r="M9" s="303"/>
      <c r="N9" s="303"/>
      <c r="O9" s="303"/>
      <c r="P9" s="303"/>
      <c r="Q9" s="303"/>
      <c r="R9" s="303"/>
      <c r="S9" s="303"/>
      <c r="T9" s="304"/>
    </row>
    <row r="10" spans="1:24" s="139" customFormat="1" ht="32.25" customHeight="1" thickBot="1" x14ac:dyDescent="0.35">
      <c r="A10" s="134" t="s">
        <v>223</v>
      </c>
      <c r="B10" s="135" t="s">
        <v>224</v>
      </c>
      <c r="C10" s="135" t="s">
        <v>225</v>
      </c>
      <c r="D10" s="135" t="s">
        <v>226</v>
      </c>
      <c r="E10" s="135" t="s">
        <v>227</v>
      </c>
      <c r="F10" s="135" t="s">
        <v>228</v>
      </c>
      <c r="G10" s="135" t="s">
        <v>229</v>
      </c>
      <c r="H10" s="135" t="s">
        <v>230</v>
      </c>
      <c r="I10" s="135" t="s">
        <v>231</v>
      </c>
      <c r="J10" s="135" t="s">
        <v>232</v>
      </c>
      <c r="K10" s="135" t="s">
        <v>233</v>
      </c>
      <c r="L10" s="135" t="s">
        <v>234</v>
      </c>
      <c r="M10" s="135" t="s">
        <v>235</v>
      </c>
      <c r="N10" s="135" t="s">
        <v>236</v>
      </c>
      <c r="O10" s="135" t="s">
        <v>237</v>
      </c>
      <c r="P10" s="135" t="s">
        <v>238</v>
      </c>
      <c r="Q10" s="135" t="s">
        <v>239</v>
      </c>
      <c r="R10" s="136" t="s">
        <v>240</v>
      </c>
      <c r="S10" s="137" t="s">
        <v>241</v>
      </c>
      <c r="T10" s="138" t="s">
        <v>242</v>
      </c>
    </row>
    <row r="11" spans="1:24" ht="39.75" customHeight="1" x14ac:dyDescent="0.3">
      <c r="A11" s="140">
        <v>1</v>
      </c>
      <c r="B11" s="153" t="str">
        <f>+Contexto!B12</f>
        <v xml:space="preserve">Constantes cambios normativos externos </v>
      </c>
      <c r="C11" s="141">
        <v>3</v>
      </c>
      <c r="D11" s="141">
        <v>2</v>
      </c>
      <c r="E11" s="141">
        <v>4</v>
      </c>
      <c r="F11" s="141">
        <v>3</v>
      </c>
      <c r="G11" s="141">
        <v>4</v>
      </c>
      <c r="H11" s="141"/>
      <c r="I11" s="141"/>
      <c r="J11" s="141"/>
      <c r="K11" s="141"/>
      <c r="L11" s="141"/>
      <c r="M11" s="141"/>
      <c r="N11" s="141"/>
      <c r="O11" s="141"/>
      <c r="P11" s="141"/>
      <c r="Q11" s="141"/>
      <c r="R11" s="140">
        <f t="shared" ref="R11" si="0">SUM(C11:Q11)</f>
        <v>16</v>
      </c>
      <c r="S11" s="142">
        <f t="shared" ref="S11" si="1">IF(ISERROR(AVERAGE(C11:Q11)),0,AVERAGE(C11:Q11))</f>
        <v>3.2</v>
      </c>
      <c r="T11" s="165" t="b">
        <v>0</v>
      </c>
    </row>
    <row r="12" spans="1:24" ht="45.75" customHeight="1" x14ac:dyDescent="0.3">
      <c r="A12" s="140">
        <v>2</v>
      </c>
      <c r="B12" s="153" t="str">
        <f>+Contexto!B13</f>
        <v xml:space="preserve">Cambios de Gobierno </v>
      </c>
      <c r="C12" s="141">
        <v>4</v>
      </c>
      <c r="D12" s="141">
        <v>4</v>
      </c>
      <c r="E12" s="141">
        <v>2</v>
      </c>
      <c r="F12" s="141">
        <v>4</v>
      </c>
      <c r="G12" s="141">
        <v>3</v>
      </c>
      <c r="H12" s="141"/>
      <c r="I12" s="141"/>
      <c r="J12" s="141"/>
      <c r="K12" s="141"/>
      <c r="L12" s="141"/>
      <c r="M12" s="141"/>
      <c r="N12" s="141"/>
      <c r="O12" s="141"/>
      <c r="P12" s="141"/>
      <c r="Q12" s="141"/>
      <c r="R12" s="140">
        <f t="shared" ref="R12:R45" si="2">SUM(C12:Q12)</f>
        <v>17</v>
      </c>
      <c r="S12" s="142">
        <f t="shared" ref="S12:S45" si="3">IF(ISERROR(AVERAGE(C12:Q12)),0,AVERAGE(C12:Q12))</f>
        <v>3.4</v>
      </c>
      <c r="T12" s="166" t="b">
        <v>1</v>
      </c>
    </row>
    <row r="13" spans="1:24" ht="65.25" customHeight="1" x14ac:dyDescent="0.3">
      <c r="A13" s="140">
        <v>3</v>
      </c>
      <c r="B13" s="153" t="str">
        <f>+Contexto!B14</f>
        <v>Politicas publicas</v>
      </c>
      <c r="C13" s="141">
        <v>3</v>
      </c>
      <c r="D13" s="141">
        <v>2</v>
      </c>
      <c r="E13" s="141">
        <v>3</v>
      </c>
      <c r="F13" s="141">
        <v>2</v>
      </c>
      <c r="G13" s="141">
        <v>2</v>
      </c>
      <c r="H13" s="141"/>
      <c r="I13" s="141"/>
      <c r="J13" s="141"/>
      <c r="K13" s="141"/>
      <c r="L13" s="141"/>
      <c r="M13" s="141"/>
      <c r="N13" s="141"/>
      <c r="O13" s="141"/>
      <c r="P13" s="141"/>
      <c r="Q13" s="141"/>
      <c r="R13" s="140">
        <f t="shared" si="2"/>
        <v>12</v>
      </c>
      <c r="S13" s="142">
        <f t="shared" si="3"/>
        <v>2.4</v>
      </c>
      <c r="T13" s="167" t="b">
        <v>0</v>
      </c>
    </row>
    <row r="14" spans="1:24" ht="39.75" customHeight="1" x14ac:dyDescent="0.3">
      <c r="A14" s="140">
        <v>4</v>
      </c>
      <c r="B14" s="153" t="str">
        <f>+Contexto!B15</f>
        <v>Ausencia de disponibilidad de capital</v>
      </c>
      <c r="C14" s="141">
        <v>5</v>
      </c>
      <c r="D14" s="141">
        <v>5</v>
      </c>
      <c r="E14" s="141">
        <v>3</v>
      </c>
      <c r="F14" s="141">
        <v>4</v>
      </c>
      <c r="G14" s="141">
        <v>4</v>
      </c>
      <c r="H14" s="141"/>
      <c r="I14" s="141"/>
      <c r="J14" s="141"/>
      <c r="K14" s="141"/>
      <c r="L14" s="141"/>
      <c r="M14" s="141"/>
      <c r="N14" s="141"/>
      <c r="O14" s="141"/>
      <c r="P14" s="141"/>
      <c r="Q14" s="141"/>
      <c r="R14" s="140">
        <f t="shared" si="2"/>
        <v>21</v>
      </c>
      <c r="S14" s="142">
        <f t="shared" si="3"/>
        <v>4.2</v>
      </c>
      <c r="T14" s="167" t="b">
        <v>1</v>
      </c>
    </row>
    <row r="15" spans="1:24" ht="39.75" customHeight="1" x14ac:dyDescent="0.3">
      <c r="A15" s="140">
        <v>5</v>
      </c>
      <c r="B15" s="153" t="str">
        <f>+Contexto!B16</f>
        <v xml:space="preserve">Afectacion del Orden Publico </v>
      </c>
      <c r="C15" s="141">
        <v>3</v>
      </c>
      <c r="D15" s="141">
        <v>2</v>
      </c>
      <c r="E15" s="141">
        <v>2</v>
      </c>
      <c r="F15" s="141">
        <v>2</v>
      </c>
      <c r="G15" s="141">
        <v>3</v>
      </c>
      <c r="H15" s="141"/>
      <c r="I15" s="141"/>
      <c r="J15" s="141"/>
      <c r="K15" s="141"/>
      <c r="L15" s="141"/>
      <c r="M15" s="141"/>
      <c r="N15" s="141"/>
      <c r="O15" s="141"/>
      <c r="P15" s="141"/>
      <c r="Q15" s="141"/>
      <c r="R15" s="140">
        <f t="shared" si="2"/>
        <v>12</v>
      </c>
      <c r="S15" s="142">
        <f t="shared" si="3"/>
        <v>2.4</v>
      </c>
      <c r="T15" s="167" t="b">
        <v>0</v>
      </c>
    </row>
    <row r="16" spans="1:24" ht="39.75" customHeight="1" x14ac:dyDescent="0.3">
      <c r="A16" s="140">
        <v>6</v>
      </c>
      <c r="B16" s="153" t="str">
        <f>+Contexto!B17</f>
        <v>Constante evolucion  tecnologica</v>
      </c>
      <c r="C16" s="141">
        <v>1</v>
      </c>
      <c r="D16" s="141">
        <v>4</v>
      </c>
      <c r="E16" s="141">
        <v>4</v>
      </c>
      <c r="F16" s="141">
        <v>4</v>
      </c>
      <c r="G16" s="141">
        <v>4</v>
      </c>
      <c r="H16" s="141"/>
      <c r="I16" s="141"/>
      <c r="J16" s="141"/>
      <c r="K16" s="141"/>
      <c r="L16" s="141"/>
      <c r="M16" s="141"/>
      <c r="N16" s="141"/>
      <c r="O16" s="141"/>
      <c r="P16" s="141"/>
      <c r="Q16" s="141"/>
      <c r="R16" s="140">
        <f t="shared" si="2"/>
        <v>17</v>
      </c>
      <c r="S16" s="142">
        <f t="shared" si="3"/>
        <v>3.4</v>
      </c>
      <c r="T16" s="167" t="b">
        <v>1</v>
      </c>
    </row>
    <row r="17" spans="1:20" ht="39.75" customHeight="1" x14ac:dyDescent="0.3">
      <c r="A17" s="140">
        <v>7</v>
      </c>
      <c r="B17" s="153" t="str">
        <f>+Contexto!B18</f>
        <v>Dificultad en el acceso a sistemas de informacion externos</v>
      </c>
      <c r="C17" s="141">
        <v>3</v>
      </c>
      <c r="D17" s="141">
        <v>5</v>
      </c>
      <c r="E17" s="141">
        <v>3</v>
      </c>
      <c r="F17" s="141">
        <v>4</v>
      </c>
      <c r="G17" s="141">
        <v>4</v>
      </c>
      <c r="H17" s="141"/>
      <c r="I17" s="141"/>
      <c r="J17" s="141"/>
      <c r="K17" s="141"/>
      <c r="L17" s="141"/>
      <c r="M17" s="141"/>
      <c r="N17" s="141"/>
      <c r="O17" s="141"/>
      <c r="P17" s="141"/>
      <c r="Q17" s="141"/>
      <c r="R17" s="140">
        <f t="shared" si="2"/>
        <v>19</v>
      </c>
      <c r="S17" s="142">
        <f t="shared" si="3"/>
        <v>3.8</v>
      </c>
      <c r="T17" s="167" t="b">
        <v>1</v>
      </c>
    </row>
    <row r="18" spans="1:20" ht="46.5" customHeight="1" x14ac:dyDescent="0.3">
      <c r="A18" s="140">
        <v>8</v>
      </c>
      <c r="B18" s="153" t="str">
        <f>+Contexto!B19</f>
        <v>Dificultad en la implementacion de la politica de Gobierno Digital</v>
      </c>
      <c r="C18" s="141">
        <v>3</v>
      </c>
      <c r="D18" s="141">
        <v>3</v>
      </c>
      <c r="E18" s="141">
        <v>2</v>
      </c>
      <c r="F18" s="141">
        <v>2</v>
      </c>
      <c r="G18" s="141">
        <v>3</v>
      </c>
      <c r="H18" s="141"/>
      <c r="I18" s="141"/>
      <c r="J18" s="141"/>
      <c r="K18" s="141"/>
      <c r="L18" s="141"/>
      <c r="M18" s="141"/>
      <c r="N18" s="141"/>
      <c r="O18" s="141"/>
      <c r="P18" s="141"/>
      <c r="Q18" s="141"/>
      <c r="R18" s="140">
        <f t="shared" si="2"/>
        <v>13</v>
      </c>
      <c r="S18" s="142">
        <f t="shared" si="3"/>
        <v>2.6</v>
      </c>
      <c r="T18" s="167" t="b">
        <v>0</v>
      </c>
    </row>
    <row r="19" spans="1:20" ht="47.25" customHeight="1" x14ac:dyDescent="0.3">
      <c r="A19" s="140">
        <v>9</v>
      </c>
      <c r="B19" s="153" t="str">
        <f>+Contexto!B20</f>
        <v xml:space="preserve">Interrupcion de los servicios publicos </v>
      </c>
      <c r="C19" s="141">
        <v>4</v>
      </c>
      <c r="D19" s="141">
        <v>2</v>
      </c>
      <c r="E19" s="141">
        <v>3</v>
      </c>
      <c r="F19" s="141">
        <v>4</v>
      </c>
      <c r="G19" s="141">
        <v>5</v>
      </c>
      <c r="H19" s="141"/>
      <c r="I19" s="141"/>
      <c r="J19" s="141"/>
      <c r="K19" s="141"/>
      <c r="L19" s="141"/>
      <c r="M19" s="141"/>
      <c r="N19" s="141"/>
      <c r="O19" s="141"/>
      <c r="P19" s="141"/>
      <c r="Q19" s="141"/>
      <c r="R19" s="140">
        <f t="shared" si="2"/>
        <v>18</v>
      </c>
      <c r="S19" s="142">
        <f t="shared" si="3"/>
        <v>3.6</v>
      </c>
      <c r="T19" s="167" t="b">
        <v>1</v>
      </c>
    </row>
    <row r="20" spans="1:20" ht="39.75" customHeight="1" x14ac:dyDescent="0.3">
      <c r="A20" s="140">
        <v>10</v>
      </c>
      <c r="B20" s="153" t="str">
        <f>+Contexto!B21</f>
        <v>Malas practicas de la ciudadania que afectan el desarrollo sostenible</v>
      </c>
      <c r="C20" s="141">
        <v>3</v>
      </c>
      <c r="D20" s="141">
        <v>4</v>
      </c>
      <c r="E20" s="141">
        <v>3</v>
      </c>
      <c r="F20" s="141">
        <v>4</v>
      </c>
      <c r="G20" s="141">
        <v>5</v>
      </c>
      <c r="H20" s="141"/>
      <c r="I20" s="141"/>
      <c r="J20" s="141"/>
      <c r="K20" s="141"/>
      <c r="L20" s="141"/>
      <c r="M20" s="141"/>
      <c r="N20" s="141"/>
      <c r="O20" s="141"/>
      <c r="P20" s="141"/>
      <c r="Q20" s="141"/>
      <c r="R20" s="140">
        <f t="shared" si="2"/>
        <v>19</v>
      </c>
      <c r="S20" s="142">
        <f t="shared" si="3"/>
        <v>3.8</v>
      </c>
      <c r="T20" s="167" t="b">
        <v>1</v>
      </c>
    </row>
    <row r="21" spans="1:20" ht="39.75" customHeight="1" x14ac:dyDescent="0.3">
      <c r="A21" s="140">
        <v>11</v>
      </c>
      <c r="B21" s="153" t="str">
        <f>+Contexto!B22</f>
        <v>Epidemias o pandemias</v>
      </c>
      <c r="C21" s="141">
        <v>5</v>
      </c>
      <c r="D21" s="141">
        <v>4</v>
      </c>
      <c r="E21" s="141">
        <v>4</v>
      </c>
      <c r="F21" s="141">
        <v>5</v>
      </c>
      <c r="G21" s="141">
        <v>5</v>
      </c>
      <c r="H21" s="141"/>
      <c r="I21" s="141"/>
      <c r="J21" s="141"/>
      <c r="K21" s="141"/>
      <c r="L21" s="141"/>
      <c r="M21" s="141"/>
      <c r="N21" s="141"/>
      <c r="O21" s="141"/>
      <c r="P21" s="141"/>
      <c r="Q21" s="141"/>
      <c r="R21" s="140">
        <f t="shared" si="2"/>
        <v>23</v>
      </c>
      <c r="S21" s="142">
        <f t="shared" si="3"/>
        <v>4.5999999999999996</v>
      </c>
      <c r="T21" s="167" t="b">
        <v>1</v>
      </c>
    </row>
    <row r="22" spans="1:20" ht="45.75" customHeight="1" x14ac:dyDescent="0.3">
      <c r="A22" s="140">
        <v>12</v>
      </c>
      <c r="B22" s="153" t="str">
        <f>+Contexto!B23</f>
        <v>Declaratoria de emergencias</v>
      </c>
      <c r="C22" s="141">
        <v>3</v>
      </c>
      <c r="D22" s="141">
        <v>3</v>
      </c>
      <c r="E22" s="141">
        <v>4</v>
      </c>
      <c r="F22" s="141">
        <v>5</v>
      </c>
      <c r="G22" s="141">
        <v>4</v>
      </c>
      <c r="H22" s="141"/>
      <c r="I22" s="141"/>
      <c r="J22" s="141"/>
      <c r="K22" s="141"/>
      <c r="L22" s="141"/>
      <c r="M22" s="141"/>
      <c r="N22" s="141"/>
      <c r="O22" s="141"/>
      <c r="P22" s="141"/>
      <c r="Q22" s="141"/>
      <c r="R22" s="140">
        <f t="shared" si="2"/>
        <v>19</v>
      </c>
      <c r="S22" s="142">
        <f t="shared" si="3"/>
        <v>3.8</v>
      </c>
      <c r="T22" s="167" t="b">
        <v>1</v>
      </c>
    </row>
    <row r="23" spans="1:20" ht="49.5" customHeight="1" x14ac:dyDescent="0.3">
      <c r="A23" s="140">
        <v>13</v>
      </c>
      <c r="B23" s="153" t="str">
        <f>+Contexto!B24</f>
        <v>Falta de comuniacion acertiva con el ciudadano.</v>
      </c>
      <c r="C23" s="141">
        <v>4</v>
      </c>
      <c r="D23" s="141">
        <v>4</v>
      </c>
      <c r="E23" s="141">
        <v>3</v>
      </c>
      <c r="F23" s="141">
        <v>4</v>
      </c>
      <c r="G23" s="141">
        <v>4</v>
      </c>
      <c r="H23" s="141"/>
      <c r="I23" s="141"/>
      <c r="J23" s="141"/>
      <c r="K23" s="141"/>
      <c r="L23" s="141"/>
      <c r="M23" s="141"/>
      <c r="N23" s="141"/>
      <c r="O23" s="141"/>
      <c r="P23" s="141"/>
      <c r="Q23" s="141"/>
      <c r="R23" s="140">
        <f t="shared" si="2"/>
        <v>19</v>
      </c>
      <c r="S23" s="142">
        <f t="shared" si="3"/>
        <v>3.8</v>
      </c>
      <c r="T23" s="167" t="b">
        <v>1</v>
      </c>
    </row>
    <row r="24" spans="1:20" ht="39.75" customHeight="1" x14ac:dyDescent="0.3">
      <c r="A24" s="140">
        <v>14</v>
      </c>
      <c r="B24" s="153" t="str">
        <f>+Contexto!B25</f>
        <v>Desastres o catastrofes naturales</v>
      </c>
      <c r="C24" s="141">
        <v>5</v>
      </c>
      <c r="D24" s="141">
        <v>4</v>
      </c>
      <c r="E24" s="141">
        <v>3</v>
      </c>
      <c r="F24" s="141">
        <v>4</v>
      </c>
      <c r="G24" s="141">
        <v>5</v>
      </c>
      <c r="H24" s="141"/>
      <c r="I24" s="141"/>
      <c r="J24" s="141"/>
      <c r="K24" s="141"/>
      <c r="L24" s="141"/>
      <c r="M24" s="141"/>
      <c r="N24" s="141"/>
      <c r="O24" s="141"/>
      <c r="P24" s="141"/>
      <c r="Q24" s="141"/>
      <c r="R24" s="140">
        <f t="shared" si="2"/>
        <v>21</v>
      </c>
      <c r="S24" s="142">
        <f t="shared" si="3"/>
        <v>4.2</v>
      </c>
      <c r="T24" s="167" t="b">
        <v>1</v>
      </c>
    </row>
    <row r="25" spans="1:20" ht="39.75" customHeight="1" x14ac:dyDescent="0.3">
      <c r="A25" s="140">
        <v>15</v>
      </c>
      <c r="B25" s="157" t="str">
        <f>+Contexto!D12</f>
        <v xml:space="preserve">Personal insuficiente para apoyar la totalidad de procesos </v>
      </c>
      <c r="C25" s="141">
        <v>2</v>
      </c>
      <c r="D25" s="141">
        <v>3</v>
      </c>
      <c r="E25" s="141">
        <v>4</v>
      </c>
      <c r="F25" s="141">
        <v>4</v>
      </c>
      <c r="G25" s="141">
        <v>4</v>
      </c>
      <c r="H25" s="141"/>
      <c r="I25" s="141"/>
      <c r="J25" s="141"/>
      <c r="K25" s="141"/>
      <c r="L25" s="141"/>
      <c r="M25" s="141"/>
      <c r="N25" s="141"/>
      <c r="O25" s="141"/>
      <c r="P25" s="141"/>
      <c r="Q25" s="141"/>
      <c r="R25" s="140">
        <f t="shared" si="2"/>
        <v>17</v>
      </c>
      <c r="S25" s="142">
        <f t="shared" si="3"/>
        <v>3.4</v>
      </c>
      <c r="T25" s="167" t="b">
        <v>1</v>
      </c>
    </row>
    <row r="26" spans="1:20" ht="52.8" customHeight="1" x14ac:dyDescent="0.3">
      <c r="A26" s="140">
        <v>16</v>
      </c>
      <c r="B26" s="157" t="str">
        <f>+Contexto!D13</f>
        <v xml:space="preserve">Carencia de las competencias e idoneidad de algunas personas de planta y contratista para desarrollar la actividad </v>
      </c>
      <c r="C26" s="141">
        <v>3</v>
      </c>
      <c r="D26" s="141">
        <v>4</v>
      </c>
      <c r="E26" s="141">
        <v>3</v>
      </c>
      <c r="F26" s="141">
        <v>4</v>
      </c>
      <c r="G26" s="141">
        <v>3</v>
      </c>
      <c r="H26" s="141"/>
      <c r="I26" s="141"/>
      <c r="J26" s="141"/>
      <c r="K26" s="141"/>
      <c r="L26" s="141"/>
      <c r="M26" s="141"/>
      <c r="N26" s="141"/>
      <c r="O26" s="141"/>
      <c r="P26" s="141"/>
      <c r="Q26" s="141"/>
      <c r="R26" s="140">
        <f t="shared" si="2"/>
        <v>17</v>
      </c>
      <c r="S26" s="142">
        <f t="shared" si="3"/>
        <v>3.4</v>
      </c>
      <c r="T26" s="167" t="b">
        <v>1</v>
      </c>
    </row>
    <row r="27" spans="1:20" ht="76.8" customHeight="1" x14ac:dyDescent="0.3">
      <c r="A27" s="140">
        <v>17</v>
      </c>
      <c r="B27" s="157" t="str">
        <f>+Contexto!D14</f>
        <v xml:space="preserve"> Ausencia de seguimiento a la publicación de las versiones de los documentos y formatos validados y aprobados por la Dirección de Fortalecimiento institucional y el comité de gestión y desempeño</v>
      </c>
      <c r="C27" s="141">
        <v>3</v>
      </c>
      <c r="D27" s="141">
        <v>3</v>
      </c>
      <c r="E27" s="141">
        <v>3</v>
      </c>
      <c r="F27" s="141">
        <v>4</v>
      </c>
      <c r="G27" s="141">
        <v>4</v>
      </c>
      <c r="H27" s="141"/>
      <c r="I27" s="141"/>
      <c r="J27" s="141"/>
      <c r="K27" s="141"/>
      <c r="L27" s="141"/>
      <c r="M27" s="141"/>
      <c r="N27" s="141"/>
      <c r="O27" s="141"/>
      <c r="P27" s="141"/>
      <c r="Q27" s="141"/>
      <c r="R27" s="140">
        <f t="shared" si="2"/>
        <v>17</v>
      </c>
      <c r="S27" s="142">
        <f t="shared" si="3"/>
        <v>3.4</v>
      </c>
      <c r="T27" s="167" t="b">
        <v>1</v>
      </c>
    </row>
    <row r="28" spans="1:20" ht="48" customHeight="1" x14ac:dyDescent="0.3">
      <c r="A28" s="140">
        <v>18</v>
      </c>
      <c r="B28" s="157" t="str">
        <f>+Contexto!D15</f>
        <v>Ausencia de sentido de pertenencia y cultura ciudadana por parte de algunos servidores publicos</v>
      </c>
      <c r="C28" s="141">
        <v>3</v>
      </c>
      <c r="D28" s="141">
        <v>3</v>
      </c>
      <c r="E28" s="141">
        <v>4</v>
      </c>
      <c r="F28" s="141">
        <v>4</v>
      </c>
      <c r="G28" s="141">
        <v>5</v>
      </c>
      <c r="H28" s="141"/>
      <c r="I28" s="141"/>
      <c r="J28" s="141"/>
      <c r="K28" s="141"/>
      <c r="L28" s="141"/>
      <c r="M28" s="141"/>
      <c r="N28" s="141"/>
      <c r="O28" s="141"/>
      <c r="P28" s="141"/>
      <c r="Q28" s="141"/>
      <c r="R28" s="140">
        <f t="shared" si="2"/>
        <v>19</v>
      </c>
      <c r="S28" s="142">
        <f t="shared" si="3"/>
        <v>3.8</v>
      </c>
      <c r="T28" s="167" t="b">
        <v>1</v>
      </c>
    </row>
    <row r="29" spans="1:20" ht="48" customHeight="1" x14ac:dyDescent="0.3">
      <c r="A29" s="140">
        <v>19</v>
      </c>
      <c r="B29" s="157" t="str">
        <f>+Contexto!D16</f>
        <v xml:space="preserve">Limitación presupuestal para el desarrollo del proceso </v>
      </c>
      <c r="C29" s="141">
        <v>5</v>
      </c>
      <c r="D29" s="141">
        <v>4</v>
      </c>
      <c r="E29" s="141">
        <v>3</v>
      </c>
      <c r="F29" s="141">
        <v>4</v>
      </c>
      <c r="G29" s="141">
        <v>5</v>
      </c>
      <c r="H29" s="141"/>
      <c r="I29" s="141"/>
      <c r="J29" s="141"/>
      <c r="K29" s="141"/>
      <c r="L29" s="141"/>
      <c r="M29" s="141"/>
      <c r="N29" s="141"/>
      <c r="O29" s="141"/>
      <c r="P29" s="141"/>
      <c r="Q29" s="141"/>
      <c r="R29" s="140">
        <f t="shared" si="2"/>
        <v>21</v>
      </c>
      <c r="S29" s="142">
        <f t="shared" si="3"/>
        <v>4.2</v>
      </c>
      <c r="T29" s="167" t="b">
        <v>1</v>
      </c>
    </row>
    <row r="30" spans="1:20" ht="63" customHeight="1" x14ac:dyDescent="0.3">
      <c r="A30" s="140">
        <v>20</v>
      </c>
      <c r="B30" s="157" t="str">
        <f>+Contexto!D17</f>
        <v>Infraestructura inadecuada e insuficiente, falta de materiales, equipos y herramientas adecuadas para el desarrollo de los procesos</v>
      </c>
      <c r="C30" s="141">
        <v>4</v>
      </c>
      <c r="D30" s="141">
        <v>3</v>
      </c>
      <c r="E30" s="141">
        <v>3</v>
      </c>
      <c r="F30" s="141">
        <v>3</v>
      </c>
      <c r="G30" s="141">
        <v>4</v>
      </c>
      <c r="H30" s="141"/>
      <c r="I30" s="141"/>
      <c r="J30" s="141"/>
      <c r="K30" s="141"/>
      <c r="L30" s="141"/>
      <c r="M30" s="141"/>
      <c r="N30" s="141"/>
      <c r="O30" s="141"/>
      <c r="P30" s="141"/>
      <c r="Q30" s="141"/>
      <c r="R30" s="140">
        <f t="shared" si="2"/>
        <v>17</v>
      </c>
      <c r="S30" s="142">
        <f t="shared" si="3"/>
        <v>3.4</v>
      </c>
      <c r="T30" s="167" t="b">
        <v>1</v>
      </c>
    </row>
    <row r="31" spans="1:20" ht="49.5" customHeight="1" x14ac:dyDescent="0.3">
      <c r="A31" s="140">
        <v>21</v>
      </c>
      <c r="B31" s="157" t="str">
        <f>+Contexto!D18</f>
        <v>Ejecucion de las actividades sin tener en cuenta la caracterizacion del proceso.</v>
      </c>
      <c r="C31" s="141">
        <v>3</v>
      </c>
      <c r="D31" s="141">
        <v>3</v>
      </c>
      <c r="E31" s="141">
        <v>2</v>
      </c>
      <c r="F31" s="141">
        <v>2</v>
      </c>
      <c r="G31" s="141">
        <v>2</v>
      </c>
      <c r="H31" s="141"/>
      <c r="I31" s="141"/>
      <c r="J31" s="141"/>
      <c r="K31" s="141"/>
      <c r="L31" s="141"/>
      <c r="M31" s="141"/>
      <c r="N31" s="141"/>
      <c r="O31" s="141"/>
      <c r="P31" s="141"/>
      <c r="Q31" s="141"/>
      <c r="R31" s="140">
        <f t="shared" si="2"/>
        <v>12</v>
      </c>
      <c r="S31" s="142">
        <f t="shared" si="3"/>
        <v>2.4</v>
      </c>
      <c r="T31" s="167" t="b">
        <v>0</v>
      </c>
    </row>
    <row r="32" spans="1:20" ht="42" customHeight="1" x14ac:dyDescent="0.3">
      <c r="A32" s="140">
        <v>22</v>
      </c>
      <c r="B32" s="157" t="str">
        <f>+Contexto!D19</f>
        <v xml:space="preserve">Insuficiencia de equipos tecnologicos y obsolecencia de los mismos </v>
      </c>
      <c r="C32" s="141">
        <v>4</v>
      </c>
      <c r="D32" s="141">
        <v>4</v>
      </c>
      <c r="E32" s="141">
        <v>2</v>
      </c>
      <c r="F32" s="141">
        <v>4</v>
      </c>
      <c r="G32" s="141">
        <v>5</v>
      </c>
      <c r="H32" s="141"/>
      <c r="I32" s="141"/>
      <c r="J32" s="141"/>
      <c r="K32" s="141"/>
      <c r="L32" s="141"/>
      <c r="M32" s="141"/>
      <c r="N32" s="141"/>
      <c r="O32" s="141"/>
      <c r="P32" s="141"/>
      <c r="Q32" s="141"/>
      <c r="R32" s="140">
        <f t="shared" si="2"/>
        <v>19</v>
      </c>
      <c r="S32" s="142">
        <f t="shared" si="3"/>
        <v>3.8</v>
      </c>
      <c r="T32" s="167" t="b">
        <v>1</v>
      </c>
    </row>
    <row r="33" spans="1:20" ht="48" customHeight="1" x14ac:dyDescent="0.3">
      <c r="A33" s="140">
        <v>23</v>
      </c>
      <c r="B33" s="157" t="str">
        <f>+Contexto!D20</f>
        <v>Sistemas de informacion no integrados</v>
      </c>
      <c r="C33" s="141">
        <v>3</v>
      </c>
      <c r="D33" s="141">
        <v>3</v>
      </c>
      <c r="E33" s="141">
        <v>1</v>
      </c>
      <c r="F33" s="141">
        <v>2</v>
      </c>
      <c r="G33" s="141">
        <v>3</v>
      </c>
      <c r="H33" s="141"/>
      <c r="I33" s="141"/>
      <c r="J33" s="141"/>
      <c r="K33" s="141"/>
      <c r="L33" s="141"/>
      <c r="M33" s="141"/>
      <c r="N33" s="141"/>
      <c r="O33" s="141"/>
      <c r="P33" s="141"/>
      <c r="Q33" s="141"/>
      <c r="R33" s="140">
        <f t="shared" si="2"/>
        <v>12</v>
      </c>
      <c r="S33" s="142">
        <f t="shared" si="3"/>
        <v>2.4</v>
      </c>
      <c r="T33" s="167" t="b">
        <v>0</v>
      </c>
    </row>
    <row r="34" spans="1:20" ht="67.2" customHeight="1" x14ac:dyDescent="0.3">
      <c r="A34" s="140">
        <v>24</v>
      </c>
      <c r="B34" s="157" t="str">
        <f>+Contexto!D21</f>
        <v>Falta de apropiación o desconocimiento por parte de los funcionario de sistemas de información, plataformas y apliaciónes propias de la Administración</v>
      </c>
      <c r="C34" s="141">
        <v>3</v>
      </c>
      <c r="D34" s="141">
        <v>2</v>
      </c>
      <c r="E34" s="141">
        <v>4</v>
      </c>
      <c r="F34" s="141">
        <v>4</v>
      </c>
      <c r="G34" s="141">
        <v>3</v>
      </c>
      <c r="H34" s="141"/>
      <c r="I34" s="141"/>
      <c r="J34" s="141"/>
      <c r="K34" s="141"/>
      <c r="L34" s="141"/>
      <c r="M34" s="141"/>
      <c r="N34" s="141"/>
      <c r="O34" s="141"/>
      <c r="P34" s="141"/>
      <c r="Q34" s="141"/>
      <c r="R34" s="140">
        <f t="shared" si="2"/>
        <v>16</v>
      </c>
      <c r="S34" s="142">
        <f t="shared" si="3"/>
        <v>3.2</v>
      </c>
      <c r="T34" s="167" t="b">
        <v>0</v>
      </c>
    </row>
    <row r="35" spans="1:20" ht="44.25" customHeight="1" x14ac:dyDescent="0.3">
      <c r="A35" s="140">
        <v>25</v>
      </c>
      <c r="B35" s="157" t="str">
        <f>+Contexto!D22</f>
        <v>Dificultad para trabajar en equipo</v>
      </c>
      <c r="C35" s="141">
        <v>2</v>
      </c>
      <c r="D35" s="141">
        <v>4</v>
      </c>
      <c r="E35" s="141">
        <v>3</v>
      </c>
      <c r="F35" s="141">
        <v>2</v>
      </c>
      <c r="G35" s="141">
        <v>3</v>
      </c>
      <c r="H35" s="141"/>
      <c r="I35" s="141"/>
      <c r="J35" s="141"/>
      <c r="K35" s="141"/>
      <c r="L35" s="141"/>
      <c r="M35" s="141"/>
      <c r="N35" s="141"/>
      <c r="O35" s="141"/>
      <c r="P35" s="141"/>
      <c r="Q35" s="141"/>
      <c r="R35" s="140">
        <f t="shared" si="2"/>
        <v>14</v>
      </c>
      <c r="S35" s="142">
        <f t="shared" si="3"/>
        <v>2.8</v>
      </c>
      <c r="T35" s="167" t="b">
        <v>0</v>
      </c>
    </row>
    <row r="36" spans="1:20" ht="49.8" customHeight="1" x14ac:dyDescent="0.3">
      <c r="A36" s="140">
        <v>26</v>
      </c>
      <c r="B36" s="157" t="str">
        <f>+Contexto!D23</f>
        <v>Dificultad en la comunicación entre los diferentes funcionarios y dependencias de la Administración</v>
      </c>
      <c r="C36" s="141">
        <v>4</v>
      </c>
      <c r="D36" s="141">
        <v>3</v>
      </c>
      <c r="E36" s="141">
        <v>4</v>
      </c>
      <c r="F36" s="141">
        <v>4</v>
      </c>
      <c r="G36" s="141">
        <v>3</v>
      </c>
      <c r="H36" s="141"/>
      <c r="I36" s="141"/>
      <c r="J36" s="141"/>
      <c r="K36" s="141"/>
      <c r="L36" s="141"/>
      <c r="M36" s="141"/>
      <c r="N36" s="141"/>
      <c r="O36" s="141"/>
      <c r="P36" s="141"/>
      <c r="Q36" s="141"/>
      <c r="R36" s="140">
        <f t="shared" si="2"/>
        <v>18</v>
      </c>
      <c r="S36" s="142">
        <f t="shared" si="3"/>
        <v>3.6</v>
      </c>
      <c r="T36" s="167" t="b">
        <v>1</v>
      </c>
    </row>
    <row r="37" spans="1:20" ht="51.6" customHeight="1" x14ac:dyDescent="0.3">
      <c r="A37" s="140">
        <v>27</v>
      </c>
      <c r="B37" s="157" t="str">
        <f>+Contexto!D24</f>
        <v>Falta de apropiación por parte de los funcionarios de las diferentes políticas laborales y ambientales</v>
      </c>
      <c r="C37" s="141">
        <v>4</v>
      </c>
      <c r="D37" s="141">
        <v>4</v>
      </c>
      <c r="E37" s="141">
        <v>3</v>
      </c>
      <c r="F37" s="141">
        <v>4</v>
      </c>
      <c r="G37" s="141">
        <v>5</v>
      </c>
      <c r="H37" s="141"/>
      <c r="I37" s="141"/>
      <c r="J37" s="141"/>
      <c r="K37" s="141"/>
      <c r="L37" s="141"/>
      <c r="M37" s="141"/>
      <c r="N37" s="141"/>
      <c r="O37" s="141"/>
      <c r="P37" s="141"/>
      <c r="Q37" s="141"/>
      <c r="R37" s="140">
        <f t="shared" si="2"/>
        <v>20</v>
      </c>
      <c r="S37" s="142">
        <f t="shared" si="3"/>
        <v>4</v>
      </c>
      <c r="T37" s="167" t="b">
        <v>1</v>
      </c>
    </row>
    <row r="38" spans="1:20" ht="78.599999999999994" customHeight="1" x14ac:dyDescent="0.3">
      <c r="A38" s="140">
        <v>28</v>
      </c>
      <c r="B38" s="157" t="str">
        <f>+Contexto!D25</f>
        <v>Falta de empoderamiento, compromiso y liderazgo por parte de la alta dirección o líderes de procesos ocasionando el no cumplimiento de las metas y afectación en el clima laboral</v>
      </c>
      <c r="C38" s="141">
        <v>5</v>
      </c>
      <c r="D38" s="141">
        <v>5</v>
      </c>
      <c r="E38" s="141">
        <v>4</v>
      </c>
      <c r="F38" s="141">
        <v>5</v>
      </c>
      <c r="G38" s="141">
        <v>5</v>
      </c>
      <c r="H38" s="141"/>
      <c r="I38" s="141"/>
      <c r="J38" s="141"/>
      <c r="K38" s="141"/>
      <c r="L38" s="141"/>
      <c r="M38" s="141"/>
      <c r="N38" s="141"/>
      <c r="O38" s="141"/>
      <c r="P38" s="141"/>
      <c r="Q38" s="141"/>
      <c r="R38" s="140">
        <f t="shared" si="2"/>
        <v>24</v>
      </c>
      <c r="S38" s="142">
        <f t="shared" si="3"/>
        <v>4.8</v>
      </c>
      <c r="T38" s="167" t="b">
        <v>1</v>
      </c>
    </row>
    <row r="39" spans="1:20" ht="47.25" customHeight="1" x14ac:dyDescent="0.3">
      <c r="A39" s="140">
        <v>29</v>
      </c>
      <c r="B39" s="163" t="str">
        <f>+Contexto!F12</f>
        <v>Falta de claridad de los procedimientos con relacion a las actividades de la caracterización</v>
      </c>
      <c r="C39" s="141">
        <v>3</v>
      </c>
      <c r="D39" s="141">
        <v>2</v>
      </c>
      <c r="E39" s="141">
        <v>3</v>
      </c>
      <c r="F39" s="141">
        <v>2</v>
      </c>
      <c r="G39" s="141">
        <v>3</v>
      </c>
      <c r="H39" s="141"/>
      <c r="I39" s="141"/>
      <c r="J39" s="141"/>
      <c r="K39" s="141"/>
      <c r="L39" s="141"/>
      <c r="M39" s="141"/>
      <c r="N39" s="141"/>
      <c r="O39" s="141"/>
      <c r="P39" s="141"/>
      <c r="Q39" s="141"/>
      <c r="R39" s="140">
        <f t="shared" si="2"/>
        <v>13</v>
      </c>
      <c r="S39" s="142">
        <f t="shared" si="3"/>
        <v>2.6</v>
      </c>
      <c r="T39" s="167" t="b">
        <v>0</v>
      </c>
    </row>
    <row r="40" spans="1:20" ht="47.25" customHeight="1" x14ac:dyDescent="0.3">
      <c r="A40" s="140">
        <v>30</v>
      </c>
      <c r="B40" s="164" t="str">
        <f>+Contexto!F13</f>
        <v xml:space="preserve">Dificultad de articulacion de los procesos internos para la toma de decisiones </v>
      </c>
      <c r="C40" s="144">
        <v>4</v>
      </c>
      <c r="D40" s="144">
        <v>4</v>
      </c>
      <c r="E40" s="144">
        <v>3</v>
      </c>
      <c r="F40" s="144">
        <v>3</v>
      </c>
      <c r="G40" s="144">
        <v>3</v>
      </c>
      <c r="H40" s="144"/>
      <c r="I40" s="144"/>
      <c r="J40" s="144"/>
      <c r="K40" s="144"/>
      <c r="L40" s="144"/>
      <c r="M40" s="144"/>
      <c r="N40" s="144"/>
      <c r="O40" s="144"/>
      <c r="P40" s="144"/>
      <c r="Q40" s="144"/>
      <c r="R40" s="140">
        <f t="shared" si="2"/>
        <v>17</v>
      </c>
      <c r="S40" s="142">
        <f t="shared" si="3"/>
        <v>3.4</v>
      </c>
      <c r="T40" s="168" t="b">
        <v>1</v>
      </c>
    </row>
    <row r="41" spans="1:20" ht="47.25" customHeight="1" x14ac:dyDescent="0.3">
      <c r="A41" s="140">
        <v>31</v>
      </c>
      <c r="B41" s="164" t="str">
        <f>+Contexto!F14</f>
        <v>Falta de comunicación y control  para reportar las entradas y salidas de los diferentes procesos</v>
      </c>
      <c r="C41" s="144">
        <v>3</v>
      </c>
      <c r="D41" s="144">
        <v>3</v>
      </c>
      <c r="E41" s="144">
        <v>2</v>
      </c>
      <c r="F41" s="144">
        <v>2</v>
      </c>
      <c r="G41" s="144">
        <v>2</v>
      </c>
      <c r="H41" s="144"/>
      <c r="I41" s="144"/>
      <c r="J41" s="144"/>
      <c r="K41" s="144"/>
      <c r="L41" s="144"/>
      <c r="M41" s="144"/>
      <c r="N41" s="144"/>
      <c r="O41" s="144"/>
      <c r="P41" s="144"/>
      <c r="Q41" s="144"/>
      <c r="R41" s="140">
        <f t="shared" si="2"/>
        <v>12</v>
      </c>
      <c r="S41" s="142">
        <f t="shared" si="3"/>
        <v>2.4</v>
      </c>
      <c r="T41" s="168" t="b">
        <v>0</v>
      </c>
    </row>
    <row r="42" spans="1:20" ht="47.25" customHeight="1" x14ac:dyDescent="0.3">
      <c r="A42" s="140">
        <v>32</v>
      </c>
      <c r="B42" s="164" t="str">
        <f>+Contexto!F15</f>
        <v>Reportes de información no enviados a tiempo por los diferentes procesos</v>
      </c>
      <c r="C42" s="144">
        <v>4</v>
      </c>
      <c r="D42" s="144">
        <v>3</v>
      </c>
      <c r="E42" s="144">
        <v>3</v>
      </c>
      <c r="F42" s="144">
        <v>4</v>
      </c>
      <c r="G42" s="144">
        <v>3</v>
      </c>
      <c r="H42" s="144"/>
      <c r="I42" s="144"/>
      <c r="J42" s="144"/>
      <c r="K42" s="144"/>
      <c r="L42" s="144"/>
      <c r="M42" s="144"/>
      <c r="N42" s="144"/>
      <c r="O42" s="144"/>
      <c r="P42" s="144"/>
      <c r="Q42" s="144"/>
      <c r="R42" s="140">
        <f t="shared" si="2"/>
        <v>17</v>
      </c>
      <c r="S42" s="142">
        <f t="shared" si="3"/>
        <v>3.4</v>
      </c>
      <c r="T42" s="168" t="b">
        <v>1</v>
      </c>
    </row>
    <row r="43" spans="1:20" ht="47.25" customHeight="1" x14ac:dyDescent="0.3">
      <c r="A43" s="140">
        <v>33</v>
      </c>
      <c r="B43" s="164" t="str">
        <f>+Contexto!F16</f>
        <v>Incumplimiento de roles y objetivos de los procesos</v>
      </c>
      <c r="C43" s="144">
        <v>3</v>
      </c>
      <c r="D43" s="144">
        <v>3</v>
      </c>
      <c r="E43" s="144">
        <v>4</v>
      </c>
      <c r="F43" s="144">
        <v>4</v>
      </c>
      <c r="G43" s="144">
        <v>3</v>
      </c>
      <c r="H43" s="144"/>
      <c r="I43" s="144"/>
      <c r="J43" s="144"/>
      <c r="K43" s="144"/>
      <c r="L43" s="144"/>
      <c r="M43" s="144"/>
      <c r="N43" s="144"/>
      <c r="O43" s="144"/>
      <c r="P43" s="144"/>
      <c r="Q43" s="144"/>
      <c r="R43" s="140">
        <f t="shared" si="2"/>
        <v>17</v>
      </c>
      <c r="S43" s="142">
        <f t="shared" si="3"/>
        <v>3.4</v>
      </c>
      <c r="T43" s="168" t="b">
        <v>1</v>
      </c>
    </row>
    <row r="44" spans="1:20" ht="47.25" customHeight="1" x14ac:dyDescent="0.3">
      <c r="A44" s="140">
        <v>34</v>
      </c>
      <c r="B44" s="143"/>
      <c r="C44" s="144"/>
      <c r="D44" s="144"/>
      <c r="E44" s="144"/>
      <c r="F44" s="144"/>
      <c r="G44" s="144"/>
      <c r="H44" s="144"/>
      <c r="I44" s="144"/>
      <c r="J44" s="144"/>
      <c r="K44" s="144"/>
      <c r="L44" s="144"/>
      <c r="M44" s="144"/>
      <c r="N44" s="144"/>
      <c r="O44" s="144"/>
      <c r="P44" s="144"/>
      <c r="Q44" s="144"/>
      <c r="R44" s="140">
        <f t="shared" si="2"/>
        <v>0</v>
      </c>
      <c r="S44" s="142">
        <f t="shared" si="3"/>
        <v>0</v>
      </c>
      <c r="T44" s="168" t="b">
        <v>0</v>
      </c>
    </row>
    <row r="45" spans="1:20" ht="50.25" customHeight="1" thickBot="1" x14ac:dyDescent="0.35">
      <c r="A45" s="140">
        <v>35</v>
      </c>
      <c r="B45" s="143"/>
      <c r="C45" s="144"/>
      <c r="D45" s="144"/>
      <c r="E45" s="144"/>
      <c r="F45" s="144"/>
      <c r="G45" s="144"/>
      <c r="H45" s="144"/>
      <c r="I45" s="144"/>
      <c r="J45" s="144"/>
      <c r="K45" s="144"/>
      <c r="L45" s="144"/>
      <c r="M45" s="144"/>
      <c r="N45" s="144"/>
      <c r="O45" s="144"/>
      <c r="P45" s="144"/>
      <c r="Q45" s="144"/>
      <c r="R45" s="140">
        <f t="shared" si="2"/>
        <v>0</v>
      </c>
      <c r="S45" s="142">
        <f t="shared" si="3"/>
        <v>0</v>
      </c>
      <c r="T45" s="169" t="b">
        <v>0</v>
      </c>
    </row>
    <row r="46" spans="1:20" ht="24" customHeight="1" x14ac:dyDescent="0.3">
      <c r="A46" s="305" t="s">
        <v>243</v>
      </c>
      <c r="B46" s="306"/>
      <c r="C46" s="306"/>
      <c r="D46" s="306"/>
      <c r="E46" s="306"/>
      <c r="F46" s="306"/>
      <c r="G46" s="306"/>
      <c r="H46" s="306"/>
      <c r="I46" s="306"/>
      <c r="J46" s="306"/>
      <c r="K46" s="306"/>
      <c r="L46" s="306"/>
      <c r="M46" s="306"/>
      <c r="N46" s="306"/>
      <c r="O46" s="306"/>
      <c r="P46" s="306"/>
      <c r="Q46" s="306"/>
      <c r="R46" s="307"/>
      <c r="S46" s="145">
        <f>SUM(S11:S45)</f>
        <v>113.00000000000001</v>
      </c>
    </row>
    <row r="47" spans="1:20" ht="28.5" customHeight="1" thickBot="1" x14ac:dyDescent="0.35">
      <c r="A47" s="293" t="s">
        <v>241</v>
      </c>
      <c r="B47" s="294"/>
      <c r="C47" s="294"/>
      <c r="D47" s="294"/>
      <c r="E47" s="294"/>
      <c r="F47" s="294"/>
      <c r="G47" s="294"/>
      <c r="H47" s="294"/>
      <c r="I47" s="294"/>
      <c r="J47" s="294"/>
      <c r="K47" s="294"/>
      <c r="L47" s="294"/>
      <c r="M47" s="294"/>
      <c r="N47" s="294"/>
      <c r="O47" s="294"/>
      <c r="P47" s="294"/>
      <c r="Q47" s="294"/>
      <c r="R47" s="294"/>
      <c r="S47" s="146">
        <f>S46/A43</f>
        <v>3.4242424242424248</v>
      </c>
    </row>
  </sheetData>
  <mergeCells count="14">
    <mergeCell ref="S1:S4"/>
    <mergeCell ref="A47:R47"/>
    <mergeCell ref="T1:W1"/>
    <mergeCell ref="T2:W2"/>
    <mergeCell ref="T3:W3"/>
    <mergeCell ref="T4:W4"/>
    <mergeCell ref="A5:T5"/>
    <mergeCell ref="A6:T6"/>
    <mergeCell ref="A7:T7"/>
    <mergeCell ref="A9:T9"/>
    <mergeCell ref="A46:R46"/>
    <mergeCell ref="C1:R2"/>
    <mergeCell ref="C3:R4"/>
    <mergeCell ref="A1:B4"/>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5" xr:uid="{00000000-0002-0000-0200-000000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2"/>
  <sheetViews>
    <sheetView workbookViewId="0">
      <selection activeCell="I45" sqref="I45:L45"/>
    </sheetView>
  </sheetViews>
  <sheetFormatPr baseColWidth="10" defaultColWidth="11.44140625" defaultRowHeight="13.8" x14ac:dyDescent="0.25"/>
  <cols>
    <col min="1" max="1" width="13.6640625" style="111" customWidth="1"/>
    <col min="2" max="2" width="14.109375" style="111" customWidth="1"/>
    <col min="3" max="3" width="5.33203125" style="111" customWidth="1"/>
    <col min="4" max="4" width="19.44140625" style="111" customWidth="1"/>
    <col min="5" max="5" width="17.5546875" style="111" customWidth="1"/>
    <col min="6" max="6" width="5.109375" style="111" customWidth="1"/>
    <col min="7" max="7" width="38" style="111" customWidth="1"/>
    <col min="8" max="8" width="30.33203125" style="111" customWidth="1"/>
    <col min="9" max="9" width="18.33203125" style="111" customWidth="1"/>
    <col min="10" max="10" width="15.5546875" style="111" customWidth="1"/>
    <col min="11" max="11" width="19.33203125" style="111" customWidth="1"/>
    <col min="12" max="12" width="14.5546875" style="111" customWidth="1"/>
    <col min="13" max="16384" width="11.44140625" style="111"/>
  </cols>
  <sheetData>
    <row r="1" spans="1:16" ht="15" customHeight="1" x14ac:dyDescent="0.25">
      <c r="A1" s="277"/>
      <c r="B1" s="277"/>
      <c r="C1" s="367" t="str">
        <f>+Contexto!B1</f>
        <v>PROCESO:  SISTEMA INTEGRADO DE GESTIÓN Y MIPG</v>
      </c>
      <c r="D1" s="368"/>
      <c r="E1" s="368"/>
      <c r="F1" s="368"/>
      <c r="G1" s="368"/>
      <c r="H1" s="368"/>
      <c r="I1" s="369"/>
      <c r="J1" s="357" t="s">
        <v>256</v>
      </c>
      <c r="K1" s="358"/>
      <c r="L1" s="359"/>
      <c r="M1" s="110"/>
      <c r="P1" s="280"/>
    </row>
    <row r="2" spans="1:16" ht="15" customHeight="1" x14ac:dyDescent="0.25">
      <c r="A2" s="277"/>
      <c r="B2" s="277"/>
      <c r="C2" s="370"/>
      <c r="D2" s="371"/>
      <c r="E2" s="371"/>
      <c r="F2" s="371"/>
      <c r="G2" s="371"/>
      <c r="H2" s="371"/>
      <c r="I2" s="372"/>
      <c r="J2" s="362" t="s">
        <v>257</v>
      </c>
      <c r="K2" s="363"/>
      <c r="L2" s="360"/>
      <c r="M2" s="110"/>
      <c r="P2" s="280"/>
    </row>
    <row r="3" spans="1:16" ht="15" customHeight="1" x14ac:dyDescent="0.25">
      <c r="A3" s="277"/>
      <c r="B3" s="277"/>
      <c r="C3" s="367" t="s">
        <v>244</v>
      </c>
      <c r="D3" s="368"/>
      <c r="E3" s="368"/>
      <c r="F3" s="368"/>
      <c r="G3" s="368"/>
      <c r="H3" s="368"/>
      <c r="I3" s="369"/>
      <c r="J3" s="362" t="s">
        <v>258</v>
      </c>
      <c r="K3" s="363"/>
      <c r="L3" s="360"/>
      <c r="M3" s="110"/>
      <c r="P3" s="280"/>
    </row>
    <row r="4" spans="1:16" ht="15.75" customHeight="1" x14ac:dyDescent="0.25">
      <c r="A4" s="277"/>
      <c r="B4" s="277"/>
      <c r="C4" s="370"/>
      <c r="D4" s="371"/>
      <c r="E4" s="371"/>
      <c r="F4" s="371"/>
      <c r="G4" s="371"/>
      <c r="H4" s="371"/>
      <c r="I4" s="372"/>
      <c r="J4" s="362" t="s">
        <v>317</v>
      </c>
      <c r="K4" s="363"/>
      <c r="L4" s="361"/>
      <c r="M4" s="110"/>
      <c r="P4" s="280"/>
    </row>
    <row r="5" spans="1:16" ht="15.75" customHeight="1" x14ac:dyDescent="0.25">
      <c r="A5" s="364"/>
      <c r="B5" s="365"/>
      <c r="C5" s="365"/>
      <c r="D5" s="365"/>
      <c r="E5" s="365"/>
      <c r="F5" s="365"/>
      <c r="G5" s="365"/>
      <c r="H5" s="365"/>
      <c r="I5" s="365"/>
      <c r="J5" s="365"/>
      <c r="K5" s="365"/>
      <c r="L5" s="366"/>
      <c r="M5" s="110"/>
      <c r="P5" s="112"/>
    </row>
    <row r="6" spans="1:16" ht="15" customHeight="1" x14ac:dyDescent="0.25">
      <c r="A6" s="342" t="str">
        <f>+Contexto!A8</f>
        <v>PROCESO:  SISTEMA INTEGRADO DE GESTIÓN Y MIPG</v>
      </c>
      <c r="B6" s="343"/>
      <c r="C6" s="343"/>
      <c r="D6" s="343"/>
      <c r="E6" s="343"/>
      <c r="F6" s="343"/>
      <c r="G6" s="343"/>
      <c r="H6" s="343"/>
      <c r="I6" s="343"/>
      <c r="J6" s="343"/>
      <c r="K6" s="343"/>
      <c r="L6" s="344"/>
    </row>
    <row r="7" spans="1:16" ht="32.25" customHeight="1" thickBot="1" x14ac:dyDescent="0.3">
      <c r="A7" s="345"/>
      <c r="B7" s="346"/>
      <c r="C7" s="346"/>
      <c r="D7" s="346"/>
      <c r="E7" s="346"/>
      <c r="F7" s="346"/>
      <c r="G7" s="346"/>
      <c r="H7" s="346"/>
      <c r="I7" s="346"/>
      <c r="J7" s="346"/>
      <c r="K7" s="346"/>
      <c r="L7" s="347"/>
    </row>
    <row r="8" spans="1:16" ht="23.25" customHeight="1" x14ac:dyDescent="0.25">
      <c r="A8" s="348" t="s">
        <v>245</v>
      </c>
      <c r="B8" s="348"/>
      <c r="C8" s="348"/>
      <c r="D8" s="348"/>
      <c r="E8" s="348"/>
      <c r="F8" s="354" t="s">
        <v>217</v>
      </c>
      <c r="G8" s="355"/>
      <c r="H8" s="355"/>
      <c r="I8" s="355"/>
      <c r="J8" s="355"/>
      <c r="K8" s="355"/>
      <c r="L8" s="356"/>
    </row>
    <row r="9" spans="1:16" ht="23.25" customHeight="1" x14ac:dyDescent="0.25">
      <c r="A9" s="348"/>
      <c r="B9" s="348"/>
      <c r="C9" s="348"/>
      <c r="D9" s="348"/>
      <c r="E9" s="348"/>
      <c r="F9" s="335" t="s">
        <v>246</v>
      </c>
      <c r="G9" s="352"/>
      <c r="H9" s="353"/>
      <c r="I9" s="333" t="s">
        <v>247</v>
      </c>
      <c r="J9" s="333"/>
      <c r="K9" s="333"/>
      <c r="L9" s="333"/>
    </row>
    <row r="10" spans="1:16" ht="23.25" customHeight="1" x14ac:dyDescent="0.3">
      <c r="A10" s="348"/>
      <c r="B10" s="348"/>
      <c r="C10" s="348"/>
      <c r="D10" s="348"/>
      <c r="E10" s="348"/>
      <c r="F10" s="170" t="s">
        <v>318</v>
      </c>
      <c r="G10" s="334" t="s">
        <v>248</v>
      </c>
      <c r="H10" s="334"/>
      <c r="I10" s="349" t="s">
        <v>249</v>
      </c>
      <c r="J10" s="350"/>
      <c r="K10" s="350"/>
      <c r="L10" s="351"/>
    </row>
    <row r="11" spans="1:16" ht="43.5" customHeight="1" x14ac:dyDescent="0.25">
      <c r="A11" s="348"/>
      <c r="B11" s="348"/>
      <c r="C11" s="348"/>
      <c r="D11" s="348"/>
      <c r="E11" s="348"/>
      <c r="F11" s="171">
        <v>1</v>
      </c>
      <c r="G11" s="318" t="str">
        <f>+'Priorizacion de Causas'!B25</f>
        <v xml:space="preserve">Personal insuficiente para apoyar la totalidad de procesos </v>
      </c>
      <c r="H11" s="320"/>
      <c r="I11" s="318" t="s">
        <v>319</v>
      </c>
      <c r="J11" s="319"/>
      <c r="K11" s="319"/>
      <c r="L11" s="320"/>
    </row>
    <row r="12" spans="1:16" ht="43.5" customHeight="1" x14ac:dyDescent="0.25">
      <c r="A12" s="348"/>
      <c r="B12" s="348"/>
      <c r="C12" s="348"/>
      <c r="D12" s="348"/>
      <c r="E12" s="348"/>
      <c r="F12" s="171">
        <v>2</v>
      </c>
      <c r="G12" s="318" t="str">
        <f>+'Priorizacion de Causas'!B26</f>
        <v xml:space="preserve">Carencia de las competencias e idoneidad de algunas personas de planta y contratista para desarrollar la actividad </v>
      </c>
      <c r="H12" s="320"/>
      <c r="I12" s="318" t="s">
        <v>320</v>
      </c>
      <c r="J12" s="319"/>
      <c r="K12" s="319"/>
      <c r="L12" s="320"/>
    </row>
    <row r="13" spans="1:16" ht="43.5" customHeight="1" x14ac:dyDescent="0.25">
      <c r="A13" s="348"/>
      <c r="B13" s="348"/>
      <c r="C13" s="348"/>
      <c r="D13" s="348"/>
      <c r="E13" s="348"/>
      <c r="F13" s="171">
        <v>3</v>
      </c>
      <c r="G13" s="318" t="str">
        <f>+'Priorizacion de Causas'!B27</f>
        <v xml:space="preserve"> Ausencia de seguimiento a la publicación de las versiones de los documentos y formatos validados y aprobados por la Dirección de Fortalecimiento institucional y el comité de gestión y desempeño</v>
      </c>
      <c r="H13" s="320"/>
      <c r="I13" s="318" t="s">
        <v>321</v>
      </c>
      <c r="J13" s="319"/>
      <c r="K13" s="319"/>
      <c r="L13" s="320"/>
    </row>
    <row r="14" spans="1:16" ht="43.5" customHeight="1" x14ac:dyDescent="0.25">
      <c r="A14" s="348"/>
      <c r="B14" s="348"/>
      <c r="C14" s="348"/>
      <c r="D14" s="348"/>
      <c r="E14" s="348"/>
      <c r="F14" s="171">
        <v>4</v>
      </c>
      <c r="G14" s="312" t="str">
        <f>+'Priorizacion de Causas'!B28</f>
        <v>Ausencia de sentido de pertenencia y cultura ciudadana por parte de algunos servidores publicos</v>
      </c>
      <c r="H14" s="314"/>
      <c r="I14" s="318" t="s">
        <v>322</v>
      </c>
      <c r="J14" s="319"/>
      <c r="K14" s="319"/>
      <c r="L14" s="320"/>
    </row>
    <row r="15" spans="1:16" ht="49.5" customHeight="1" x14ac:dyDescent="0.25">
      <c r="A15" s="348"/>
      <c r="B15" s="348"/>
      <c r="C15" s="348"/>
      <c r="D15" s="348"/>
      <c r="E15" s="348"/>
      <c r="F15" s="171">
        <v>5</v>
      </c>
      <c r="G15" s="318" t="str">
        <f>+'Priorizacion de Causas'!B29</f>
        <v xml:space="preserve">Limitación presupuestal para el desarrollo del proceso </v>
      </c>
      <c r="H15" s="320"/>
      <c r="I15" s="318" t="s">
        <v>323</v>
      </c>
      <c r="J15" s="319"/>
      <c r="K15" s="319"/>
      <c r="L15" s="320"/>
    </row>
    <row r="16" spans="1:16" ht="49.5" customHeight="1" x14ac:dyDescent="0.25">
      <c r="A16" s="348"/>
      <c r="B16" s="348"/>
      <c r="C16" s="348"/>
      <c r="D16" s="348"/>
      <c r="E16" s="348"/>
      <c r="F16" s="171">
        <v>6</v>
      </c>
      <c r="G16" s="318" t="str">
        <f>+'Priorizacion de Causas'!B30</f>
        <v>Infraestructura inadecuada e insuficiente, falta de materiales, equipos y herramientas adecuadas para el desarrollo de los procesos</v>
      </c>
      <c r="H16" s="320"/>
      <c r="I16" s="318" t="s">
        <v>324</v>
      </c>
      <c r="J16" s="319"/>
      <c r="K16" s="319"/>
      <c r="L16" s="320"/>
    </row>
    <row r="17" spans="1:12" ht="54.75" customHeight="1" x14ac:dyDescent="0.25">
      <c r="A17" s="348"/>
      <c r="B17" s="348"/>
      <c r="C17" s="348"/>
      <c r="D17" s="348"/>
      <c r="E17" s="348"/>
      <c r="F17" s="171">
        <v>7</v>
      </c>
      <c r="G17" s="318" t="str">
        <f>+'Priorizacion de Causas'!B32</f>
        <v xml:space="preserve">Insuficiencia de equipos tecnologicos y obsolecencia de los mismos </v>
      </c>
      <c r="H17" s="320"/>
      <c r="I17" s="318" t="s">
        <v>325</v>
      </c>
      <c r="J17" s="319"/>
      <c r="K17" s="319"/>
      <c r="L17" s="320"/>
    </row>
    <row r="18" spans="1:12" ht="48.75" customHeight="1" x14ac:dyDescent="0.25">
      <c r="A18" s="348"/>
      <c r="B18" s="348"/>
      <c r="C18" s="348"/>
      <c r="D18" s="348"/>
      <c r="E18" s="348"/>
      <c r="F18" s="171">
        <v>8</v>
      </c>
      <c r="G18" s="318" t="str">
        <f>+'Priorizacion de Causas'!B34</f>
        <v>Falta de apropiación o desconocimiento por parte de los funcionario de sistemas de información, plataformas y apliaciónes propias de la Administración</v>
      </c>
      <c r="H18" s="320"/>
      <c r="I18" s="318" t="s">
        <v>326</v>
      </c>
      <c r="J18" s="319"/>
      <c r="K18" s="319"/>
      <c r="L18" s="320"/>
    </row>
    <row r="19" spans="1:12" ht="54.75" customHeight="1" x14ac:dyDescent="0.25">
      <c r="A19" s="348"/>
      <c r="B19" s="348"/>
      <c r="C19" s="348"/>
      <c r="D19" s="348"/>
      <c r="E19" s="348"/>
      <c r="F19" s="171">
        <v>9</v>
      </c>
      <c r="G19" s="318" t="str">
        <f>+'Priorizacion de Causas'!B36</f>
        <v>Dificultad en la comunicación entre los diferentes funcionarios y dependencias de la Administración</v>
      </c>
      <c r="H19" s="320"/>
      <c r="I19" s="318" t="s">
        <v>327</v>
      </c>
      <c r="J19" s="319"/>
      <c r="K19" s="319"/>
      <c r="L19" s="320"/>
    </row>
    <row r="20" spans="1:12" ht="59.25" customHeight="1" x14ac:dyDescent="0.25">
      <c r="A20" s="348"/>
      <c r="B20" s="348"/>
      <c r="C20" s="348"/>
      <c r="D20" s="348"/>
      <c r="E20" s="348"/>
      <c r="F20" s="171">
        <v>10</v>
      </c>
      <c r="G20" s="318" t="str">
        <f>+'Priorizacion de Causas'!B37</f>
        <v>Falta de apropiación por parte de los funcionarios de las diferentes políticas laborales y ambientales</v>
      </c>
      <c r="H20" s="320"/>
      <c r="I20" s="318" t="s">
        <v>328</v>
      </c>
      <c r="J20" s="319"/>
      <c r="K20" s="319"/>
      <c r="L20" s="320"/>
    </row>
    <row r="21" spans="1:12" ht="49.5" customHeight="1" x14ac:dyDescent="0.25">
      <c r="A21" s="348"/>
      <c r="B21" s="348"/>
      <c r="C21" s="348"/>
      <c r="D21" s="348"/>
      <c r="E21" s="348"/>
      <c r="F21" s="171">
        <v>11</v>
      </c>
      <c r="G21" s="318" t="str">
        <f>+'Priorizacion de Causas'!B37</f>
        <v>Falta de apropiación por parte de los funcionarios de las diferentes políticas laborales y ambientales</v>
      </c>
      <c r="H21" s="320"/>
      <c r="I21" s="318"/>
      <c r="J21" s="319"/>
      <c r="K21" s="319"/>
      <c r="L21" s="320"/>
    </row>
    <row r="22" spans="1:12" ht="49.5" customHeight="1" x14ac:dyDescent="0.25">
      <c r="A22" s="348"/>
      <c r="B22" s="348"/>
      <c r="C22" s="348"/>
      <c r="D22" s="348"/>
      <c r="E22" s="348"/>
      <c r="F22" s="171">
        <v>12</v>
      </c>
      <c r="G22" s="318" t="str">
        <f>+'Priorizacion de Causas'!B38</f>
        <v>Falta de empoderamiento, compromiso y liderazgo por parte de la alta dirección o líderes de procesos ocasionando el no cumplimiento de las metas y afectación en el clima laboral</v>
      </c>
      <c r="H22" s="320"/>
      <c r="I22" s="318"/>
      <c r="J22" s="319"/>
      <c r="K22" s="319"/>
      <c r="L22" s="320"/>
    </row>
    <row r="23" spans="1:12" ht="49.5" customHeight="1" x14ac:dyDescent="0.25">
      <c r="A23" s="348"/>
      <c r="B23" s="348"/>
      <c r="C23" s="348"/>
      <c r="D23" s="348"/>
      <c r="E23" s="348"/>
      <c r="F23" s="171">
        <v>13</v>
      </c>
      <c r="G23" s="318" t="str">
        <f>+'Priorizacion de Causas'!B40</f>
        <v xml:space="preserve">Dificultad de articulacion de los procesos internos para la toma de decisiones </v>
      </c>
      <c r="H23" s="320"/>
      <c r="I23" s="318"/>
      <c r="J23" s="319"/>
      <c r="K23" s="319"/>
      <c r="L23" s="320"/>
    </row>
    <row r="24" spans="1:12" ht="49.5" customHeight="1" x14ac:dyDescent="0.25">
      <c r="A24" s="348"/>
      <c r="B24" s="348"/>
      <c r="C24" s="348"/>
      <c r="D24" s="348"/>
      <c r="E24" s="348"/>
      <c r="F24" s="171">
        <v>14</v>
      </c>
      <c r="G24" s="318" t="str">
        <f>+'Priorizacion de Causas'!B42</f>
        <v>Reportes de información no enviados a tiempo por los diferentes procesos</v>
      </c>
      <c r="H24" s="320"/>
      <c r="I24" s="318"/>
      <c r="J24" s="319"/>
      <c r="K24" s="319"/>
      <c r="L24" s="320"/>
    </row>
    <row r="25" spans="1:12" ht="49.5" customHeight="1" x14ac:dyDescent="0.25">
      <c r="A25" s="348"/>
      <c r="B25" s="348"/>
      <c r="C25" s="348"/>
      <c r="D25" s="348"/>
      <c r="E25" s="348"/>
      <c r="F25" s="171">
        <v>15</v>
      </c>
      <c r="G25" s="318" t="str">
        <f>+'Priorizacion de Causas'!B43</f>
        <v>Incumplimiento de roles y objetivos de los procesos</v>
      </c>
      <c r="H25" s="320"/>
      <c r="I25" s="318"/>
      <c r="J25" s="319"/>
      <c r="K25" s="319"/>
      <c r="L25" s="320"/>
    </row>
    <row r="26" spans="1:12" ht="51.75" customHeight="1" x14ac:dyDescent="0.25">
      <c r="A26" s="341" t="s">
        <v>215</v>
      </c>
      <c r="B26" s="330" t="s">
        <v>247</v>
      </c>
      <c r="C26" s="170" t="s">
        <v>318</v>
      </c>
      <c r="D26" s="315" t="s">
        <v>250</v>
      </c>
      <c r="E26" s="316"/>
      <c r="F26" s="317"/>
      <c r="G26" s="333" t="s">
        <v>251</v>
      </c>
      <c r="H26" s="334"/>
      <c r="I26" s="335" t="s">
        <v>252</v>
      </c>
      <c r="J26" s="316"/>
      <c r="K26" s="316"/>
      <c r="L26" s="317"/>
    </row>
    <row r="27" spans="1:12" ht="48.75" customHeight="1" x14ac:dyDescent="0.25">
      <c r="A27" s="341"/>
      <c r="B27" s="331"/>
      <c r="C27" s="172">
        <v>1</v>
      </c>
      <c r="D27" s="312" t="s">
        <v>330</v>
      </c>
      <c r="E27" s="313"/>
      <c r="F27" s="314"/>
      <c r="G27" s="312" t="s">
        <v>337</v>
      </c>
      <c r="H27" s="314"/>
      <c r="I27" s="312" t="s">
        <v>344</v>
      </c>
      <c r="J27" s="313"/>
      <c r="K27" s="313"/>
      <c r="L27" s="314"/>
    </row>
    <row r="28" spans="1:12" ht="51" customHeight="1" x14ac:dyDescent="0.25">
      <c r="A28" s="341"/>
      <c r="B28" s="331"/>
      <c r="C28" s="172">
        <v>2</v>
      </c>
      <c r="D28" s="312" t="s">
        <v>329</v>
      </c>
      <c r="E28" s="313"/>
      <c r="F28" s="314"/>
      <c r="G28" s="312" t="s">
        <v>338</v>
      </c>
      <c r="H28" s="314"/>
      <c r="I28" s="312" t="s">
        <v>345</v>
      </c>
      <c r="J28" s="313"/>
      <c r="K28" s="313"/>
      <c r="L28" s="314"/>
    </row>
    <row r="29" spans="1:12" ht="54.75" customHeight="1" x14ac:dyDescent="0.25">
      <c r="A29" s="341"/>
      <c r="B29" s="331"/>
      <c r="C29" s="172">
        <v>3</v>
      </c>
      <c r="D29" s="312" t="s">
        <v>331</v>
      </c>
      <c r="E29" s="313"/>
      <c r="F29" s="314"/>
      <c r="G29" s="312" t="s">
        <v>339</v>
      </c>
      <c r="H29" s="314"/>
      <c r="I29" s="312" t="s">
        <v>346</v>
      </c>
      <c r="J29" s="313"/>
      <c r="K29" s="313"/>
      <c r="L29" s="314"/>
    </row>
    <row r="30" spans="1:12" ht="49.5" customHeight="1" x14ac:dyDescent="0.25">
      <c r="A30" s="341"/>
      <c r="B30" s="331"/>
      <c r="C30" s="172">
        <v>4</v>
      </c>
      <c r="D30" s="312" t="s">
        <v>332</v>
      </c>
      <c r="E30" s="313"/>
      <c r="F30" s="314"/>
      <c r="G30" s="312" t="s">
        <v>340</v>
      </c>
      <c r="H30" s="314"/>
      <c r="I30" s="312" t="s">
        <v>347</v>
      </c>
      <c r="J30" s="313"/>
      <c r="K30" s="313"/>
      <c r="L30" s="314"/>
    </row>
    <row r="31" spans="1:12" ht="63" customHeight="1" x14ac:dyDescent="0.25">
      <c r="A31" s="341"/>
      <c r="B31" s="331"/>
      <c r="C31" s="172">
        <v>5</v>
      </c>
      <c r="D31" s="312" t="s">
        <v>333</v>
      </c>
      <c r="E31" s="313"/>
      <c r="F31" s="314"/>
      <c r="G31" s="312" t="s">
        <v>341</v>
      </c>
      <c r="H31" s="314"/>
      <c r="I31" s="323"/>
      <c r="J31" s="326"/>
      <c r="K31" s="326"/>
      <c r="L31" s="325"/>
    </row>
    <row r="32" spans="1:12" ht="60" customHeight="1" x14ac:dyDescent="0.25">
      <c r="A32" s="341"/>
      <c r="B32" s="331"/>
      <c r="C32" s="172">
        <v>6</v>
      </c>
      <c r="D32" s="312" t="s">
        <v>334</v>
      </c>
      <c r="E32" s="313"/>
      <c r="F32" s="314"/>
      <c r="G32" s="312" t="s">
        <v>342</v>
      </c>
      <c r="H32" s="314"/>
      <c r="I32" s="323"/>
      <c r="J32" s="323"/>
      <c r="K32" s="323"/>
      <c r="L32" s="323"/>
    </row>
    <row r="33" spans="1:12" ht="47.25" customHeight="1" x14ac:dyDescent="0.25">
      <c r="A33" s="341"/>
      <c r="B33" s="331"/>
      <c r="C33" s="172">
        <v>7</v>
      </c>
      <c r="D33" s="312" t="s">
        <v>335</v>
      </c>
      <c r="E33" s="313"/>
      <c r="F33" s="314"/>
      <c r="G33" s="312" t="s">
        <v>343</v>
      </c>
      <c r="H33" s="314"/>
      <c r="I33" s="324"/>
      <c r="J33" s="326"/>
      <c r="K33" s="326"/>
      <c r="L33" s="325"/>
    </row>
    <row r="34" spans="1:12" ht="51" customHeight="1" x14ac:dyDescent="0.25">
      <c r="A34" s="341"/>
      <c r="B34" s="331"/>
      <c r="C34" s="172">
        <v>8</v>
      </c>
      <c r="D34" s="312" t="s">
        <v>336</v>
      </c>
      <c r="E34" s="313"/>
      <c r="F34" s="314"/>
      <c r="G34" s="339"/>
      <c r="H34" s="339"/>
      <c r="I34" s="323"/>
      <c r="J34" s="323"/>
      <c r="K34" s="323"/>
      <c r="L34" s="323"/>
    </row>
    <row r="35" spans="1:12" ht="51" customHeight="1" x14ac:dyDescent="0.25">
      <c r="A35" s="341"/>
      <c r="B35" s="331"/>
      <c r="C35" s="172">
        <v>9</v>
      </c>
      <c r="D35" s="312"/>
      <c r="E35" s="313"/>
      <c r="F35" s="314"/>
      <c r="G35" s="323"/>
      <c r="H35" s="323"/>
      <c r="I35" s="323"/>
      <c r="J35" s="323"/>
      <c r="K35" s="323"/>
      <c r="L35" s="323"/>
    </row>
    <row r="36" spans="1:12" ht="51" customHeight="1" x14ac:dyDescent="0.25">
      <c r="A36" s="341"/>
      <c r="B36" s="331"/>
      <c r="C36" s="173">
        <v>10</v>
      </c>
      <c r="D36" s="312"/>
      <c r="E36" s="313"/>
      <c r="F36" s="314"/>
      <c r="G36" s="324"/>
      <c r="H36" s="325"/>
      <c r="I36" s="324"/>
      <c r="J36" s="326"/>
      <c r="K36" s="326"/>
      <c r="L36" s="325"/>
    </row>
    <row r="37" spans="1:12" ht="45.75" customHeight="1" x14ac:dyDescent="0.25">
      <c r="A37" s="341"/>
      <c r="B37" s="331"/>
      <c r="C37" s="173">
        <v>11</v>
      </c>
      <c r="D37" s="312"/>
      <c r="E37" s="313"/>
      <c r="F37" s="314"/>
      <c r="G37" s="324"/>
      <c r="H37" s="325"/>
      <c r="I37" s="324"/>
      <c r="J37" s="326"/>
      <c r="K37" s="326"/>
      <c r="L37" s="325"/>
    </row>
    <row r="38" spans="1:12" ht="41.25" customHeight="1" x14ac:dyDescent="0.25">
      <c r="A38" s="341"/>
      <c r="B38" s="332"/>
      <c r="C38" s="173">
        <v>12</v>
      </c>
      <c r="D38" s="312"/>
      <c r="E38" s="313"/>
      <c r="F38" s="314"/>
      <c r="G38" s="340"/>
      <c r="H38" s="340"/>
      <c r="I38" s="340"/>
      <c r="J38" s="340"/>
      <c r="K38" s="340"/>
      <c r="L38" s="340"/>
    </row>
    <row r="39" spans="1:12" ht="74.400000000000006" customHeight="1" x14ac:dyDescent="0.25">
      <c r="A39" s="341"/>
      <c r="B39" s="330" t="s">
        <v>246</v>
      </c>
      <c r="C39" s="173" t="s">
        <v>318</v>
      </c>
      <c r="D39" s="315" t="s">
        <v>253</v>
      </c>
      <c r="E39" s="316"/>
      <c r="F39" s="317"/>
      <c r="G39" s="333" t="s">
        <v>254</v>
      </c>
      <c r="H39" s="334"/>
      <c r="I39" s="335" t="s">
        <v>255</v>
      </c>
      <c r="J39" s="316"/>
      <c r="K39" s="316"/>
      <c r="L39" s="317"/>
    </row>
    <row r="40" spans="1:12" ht="59.4" customHeight="1" x14ac:dyDescent="0.25">
      <c r="A40" s="341"/>
      <c r="B40" s="331"/>
      <c r="C40" s="173">
        <v>1</v>
      </c>
      <c r="D40" s="312" t="str">
        <f>+'Priorizacion de Causas'!B11</f>
        <v xml:space="preserve">Constantes cambios normativos externos </v>
      </c>
      <c r="E40" s="313"/>
      <c r="F40" s="314"/>
      <c r="G40" s="312" t="s">
        <v>348</v>
      </c>
      <c r="H40" s="314"/>
      <c r="I40" s="336" t="s">
        <v>353</v>
      </c>
      <c r="J40" s="337"/>
      <c r="K40" s="337"/>
      <c r="L40" s="338"/>
    </row>
    <row r="41" spans="1:12" ht="47.25" customHeight="1" x14ac:dyDescent="0.25">
      <c r="A41" s="341"/>
      <c r="B41" s="331"/>
      <c r="C41" s="173">
        <v>2</v>
      </c>
      <c r="D41" s="312" t="str">
        <f>+'Priorizacion de Causas'!B12</f>
        <v xml:space="preserve">Cambios de Gobierno </v>
      </c>
      <c r="E41" s="313"/>
      <c r="F41" s="314"/>
      <c r="G41" s="312" t="s">
        <v>349</v>
      </c>
      <c r="H41" s="314"/>
      <c r="I41" s="336" t="s">
        <v>354</v>
      </c>
      <c r="J41" s="337"/>
      <c r="K41" s="337"/>
      <c r="L41" s="338"/>
    </row>
    <row r="42" spans="1:12" ht="49.5" customHeight="1" x14ac:dyDescent="0.25">
      <c r="A42" s="341"/>
      <c r="B42" s="331"/>
      <c r="C42" s="173">
        <v>3</v>
      </c>
      <c r="D42" s="312" t="str">
        <f>+'Priorizacion de Causas'!B14</f>
        <v>Ausencia de disponibilidad de capital</v>
      </c>
      <c r="E42" s="313"/>
      <c r="F42" s="314"/>
      <c r="G42" s="339" t="s">
        <v>350</v>
      </c>
      <c r="H42" s="339"/>
      <c r="I42" s="312" t="s">
        <v>355</v>
      </c>
      <c r="J42" s="313"/>
      <c r="K42" s="313"/>
      <c r="L42" s="314"/>
    </row>
    <row r="43" spans="1:12" ht="48" customHeight="1" x14ac:dyDescent="0.25">
      <c r="A43" s="341"/>
      <c r="B43" s="331"/>
      <c r="C43" s="173">
        <v>4</v>
      </c>
      <c r="D43" s="312" t="str">
        <f>+'Priorizacion de Causas'!B16</f>
        <v>Constante evolucion  tecnologica</v>
      </c>
      <c r="E43" s="313"/>
      <c r="F43" s="314"/>
      <c r="G43" s="339" t="s">
        <v>351</v>
      </c>
      <c r="H43" s="339"/>
      <c r="I43" s="339" t="s">
        <v>356</v>
      </c>
      <c r="J43" s="339"/>
      <c r="K43" s="339"/>
      <c r="L43" s="339"/>
    </row>
    <row r="44" spans="1:12" ht="45.75" customHeight="1" x14ac:dyDescent="0.25">
      <c r="A44" s="341"/>
      <c r="B44" s="331"/>
      <c r="C44" s="173">
        <v>5</v>
      </c>
      <c r="D44" s="312" t="str">
        <f>+'Priorizacion de Causas'!B17</f>
        <v>Dificultad en el acceso a sistemas de informacion externos</v>
      </c>
      <c r="E44" s="313"/>
      <c r="F44" s="314"/>
      <c r="G44" s="339" t="s">
        <v>352</v>
      </c>
      <c r="H44" s="339"/>
      <c r="I44" s="339" t="s">
        <v>357</v>
      </c>
      <c r="J44" s="339"/>
      <c r="K44" s="339"/>
      <c r="L44" s="339"/>
    </row>
    <row r="45" spans="1:12" ht="45.75" customHeight="1" x14ac:dyDescent="0.25">
      <c r="A45" s="341"/>
      <c r="B45" s="331"/>
      <c r="C45" s="173">
        <v>6</v>
      </c>
      <c r="D45" s="312" t="str">
        <f>+'Priorizacion de Causas'!B19</f>
        <v xml:space="preserve">Interrupcion de los servicios publicos </v>
      </c>
      <c r="E45" s="313"/>
      <c r="F45" s="314"/>
      <c r="G45" s="339" t="s">
        <v>358</v>
      </c>
      <c r="H45" s="339"/>
      <c r="I45" s="323"/>
      <c r="J45" s="323"/>
      <c r="K45" s="323"/>
      <c r="L45" s="323"/>
    </row>
    <row r="46" spans="1:12" ht="45" customHeight="1" x14ac:dyDescent="0.25">
      <c r="A46" s="341"/>
      <c r="B46" s="331"/>
      <c r="C46" s="173">
        <v>7</v>
      </c>
      <c r="D46" s="312" t="str">
        <f>+'Priorizacion de Causas'!B20</f>
        <v>Malas practicas de la ciudadania que afectan el desarrollo sostenible</v>
      </c>
      <c r="E46" s="313"/>
      <c r="F46" s="314"/>
      <c r="G46" s="324"/>
      <c r="H46" s="325"/>
      <c r="I46" s="324"/>
      <c r="J46" s="326"/>
      <c r="K46" s="326"/>
      <c r="L46" s="325"/>
    </row>
    <row r="47" spans="1:12" ht="50.25" customHeight="1" x14ac:dyDescent="0.25">
      <c r="A47" s="341"/>
      <c r="B47" s="331"/>
      <c r="C47" s="173">
        <v>8</v>
      </c>
      <c r="D47" s="312" t="str">
        <f>+'Priorizacion de Causas'!B21</f>
        <v>Epidemias o pandemias</v>
      </c>
      <c r="E47" s="313"/>
      <c r="F47" s="314"/>
      <c r="G47" s="324"/>
      <c r="H47" s="325"/>
      <c r="I47" s="324"/>
      <c r="J47" s="326"/>
      <c r="K47" s="326"/>
      <c r="L47" s="325"/>
    </row>
    <row r="48" spans="1:12" ht="52.5" customHeight="1" x14ac:dyDescent="0.25">
      <c r="A48" s="341"/>
      <c r="B48" s="331"/>
      <c r="C48" s="173">
        <v>9</v>
      </c>
      <c r="D48" s="312" t="str">
        <f>+'Priorizacion de Causas'!B22</f>
        <v>Declaratoria de emergencias</v>
      </c>
      <c r="E48" s="313"/>
      <c r="F48" s="314"/>
      <c r="G48" s="327"/>
      <c r="H48" s="328"/>
      <c r="I48" s="327"/>
      <c r="J48" s="329"/>
      <c r="K48" s="329"/>
      <c r="L48" s="328"/>
    </row>
    <row r="49" spans="1:12" ht="48" customHeight="1" x14ac:dyDescent="0.25">
      <c r="A49" s="341"/>
      <c r="B49" s="331"/>
      <c r="C49" s="173">
        <v>10</v>
      </c>
      <c r="D49" s="312" t="str">
        <f>+'Priorizacion de Causas'!B23</f>
        <v>Falta de comuniacion acertiva con el ciudadano.</v>
      </c>
      <c r="E49" s="313"/>
      <c r="F49" s="314"/>
      <c r="G49" s="324"/>
      <c r="H49" s="325"/>
      <c r="I49" s="324"/>
      <c r="J49" s="326"/>
      <c r="K49" s="326"/>
      <c r="L49" s="325"/>
    </row>
    <row r="50" spans="1:12" ht="46.5" customHeight="1" x14ac:dyDescent="0.25">
      <c r="A50" s="341"/>
      <c r="B50" s="331"/>
      <c r="C50" s="173">
        <v>11</v>
      </c>
      <c r="D50" s="312" t="str">
        <f>+'Priorizacion de Causas'!B24</f>
        <v>Desastres o catastrofes naturales</v>
      </c>
      <c r="E50" s="313"/>
      <c r="F50" s="314"/>
      <c r="G50" s="327"/>
      <c r="H50" s="328"/>
      <c r="I50" s="327"/>
      <c r="J50" s="329"/>
      <c r="K50" s="329"/>
      <c r="L50" s="328"/>
    </row>
    <row r="51" spans="1:12" ht="48" customHeight="1" x14ac:dyDescent="0.25">
      <c r="A51" s="341"/>
      <c r="B51" s="331"/>
      <c r="C51" s="173">
        <v>12</v>
      </c>
      <c r="D51" s="312"/>
      <c r="E51" s="313"/>
      <c r="F51" s="314"/>
      <c r="G51" s="324"/>
      <c r="H51" s="325"/>
      <c r="I51" s="324"/>
      <c r="J51" s="326"/>
      <c r="K51" s="326"/>
      <c r="L51" s="325"/>
    </row>
    <row r="52" spans="1:12" ht="53.25" customHeight="1" x14ac:dyDescent="0.25">
      <c r="A52" s="341"/>
      <c r="B52" s="331"/>
      <c r="C52" s="173">
        <v>13</v>
      </c>
      <c r="D52" s="312"/>
      <c r="E52" s="313"/>
      <c r="F52" s="314"/>
      <c r="G52" s="324"/>
      <c r="H52" s="325"/>
      <c r="I52" s="324"/>
      <c r="J52" s="326"/>
      <c r="K52" s="326"/>
      <c r="L52" s="325"/>
    </row>
    <row r="53" spans="1:12" ht="43.5" customHeight="1" x14ac:dyDescent="0.25">
      <c r="A53" s="341"/>
      <c r="B53" s="331"/>
      <c r="C53" s="173">
        <v>14</v>
      </c>
      <c r="D53" s="312"/>
      <c r="E53" s="313"/>
      <c r="F53" s="314"/>
      <c r="G53" s="323"/>
      <c r="H53" s="323"/>
      <c r="I53" s="323"/>
      <c r="J53" s="323"/>
      <c r="K53" s="323"/>
      <c r="L53" s="323"/>
    </row>
    <row r="54" spans="1:12" ht="48.75" customHeight="1" x14ac:dyDescent="0.25">
      <c r="A54" s="341"/>
      <c r="B54" s="332"/>
      <c r="C54" s="173">
        <v>15</v>
      </c>
      <c r="D54" s="312"/>
      <c r="E54" s="313"/>
      <c r="F54" s="314"/>
      <c r="G54" s="323"/>
      <c r="H54" s="323"/>
      <c r="I54" s="323"/>
      <c r="J54" s="323"/>
      <c r="K54" s="323"/>
      <c r="L54" s="323"/>
    </row>
    <row r="55" spans="1:12" x14ac:dyDescent="0.25">
      <c r="D55" s="150"/>
      <c r="E55" s="150"/>
      <c r="F55" s="150"/>
      <c r="G55" s="322"/>
      <c r="H55" s="322"/>
      <c r="I55" s="322"/>
      <c r="J55" s="322"/>
      <c r="K55" s="322"/>
      <c r="L55" s="322"/>
    </row>
    <row r="56" spans="1:12" x14ac:dyDescent="0.25">
      <c r="D56" s="150"/>
      <c r="E56" s="150"/>
      <c r="F56" s="150"/>
      <c r="G56" s="322"/>
      <c r="H56" s="322"/>
      <c r="I56" s="322"/>
      <c r="J56" s="322"/>
      <c r="K56" s="322"/>
      <c r="L56" s="322"/>
    </row>
    <row r="57" spans="1:12" x14ac:dyDescent="0.25">
      <c r="G57" s="321"/>
      <c r="H57" s="321"/>
      <c r="I57" s="321"/>
      <c r="J57" s="321"/>
      <c r="K57" s="321"/>
      <c r="L57" s="321"/>
    </row>
    <row r="58" spans="1:12" x14ac:dyDescent="0.25">
      <c r="G58" s="321"/>
      <c r="H58" s="321"/>
      <c r="I58" s="321"/>
      <c r="J58" s="321"/>
      <c r="K58" s="321"/>
      <c r="L58" s="321"/>
    </row>
    <row r="59" spans="1:12" x14ac:dyDescent="0.25">
      <c r="G59" s="321"/>
      <c r="H59" s="321"/>
      <c r="I59" s="321"/>
      <c r="J59" s="321"/>
      <c r="K59" s="321"/>
      <c r="L59" s="321"/>
    </row>
    <row r="60" spans="1:12" x14ac:dyDescent="0.25">
      <c r="G60" s="321"/>
      <c r="H60" s="321"/>
      <c r="I60" s="321"/>
      <c r="J60" s="321"/>
      <c r="K60" s="321"/>
      <c r="L60" s="321"/>
    </row>
    <row r="61" spans="1:12" x14ac:dyDescent="0.25">
      <c r="G61" s="321"/>
      <c r="H61" s="321"/>
      <c r="I61" s="321"/>
      <c r="J61" s="321"/>
      <c r="K61" s="321"/>
      <c r="L61" s="321"/>
    </row>
    <row r="62" spans="1:12" x14ac:dyDescent="0.25">
      <c r="G62" s="321"/>
      <c r="H62" s="321"/>
      <c r="I62" s="321"/>
      <c r="J62" s="321"/>
      <c r="K62" s="321"/>
      <c r="L62" s="321"/>
    </row>
    <row r="63" spans="1:12" x14ac:dyDescent="0.25">
      <c r="G63" s="321"/>
      <c r="H63" s="321"/>
      <c r="I63" s="321"/>
      <c r="J63" s="321"/>
      <c r="K63" s="321"/>
      <c r="L63" s="321"/>
    </row>
    <row r="64" spans="1:12" x14ac:dyDescent="0.25">
      <c r="G64" s="321"/>
      <c r="H64" s="321"/>
      <c r="I64" s="321"/>
      <c r="J64" s="321"/>
      <c r="K64" s="321"/>
      <c r="L64" s="321"/>
    </row>
    <row r="65" spans="7:12" x14ac:dyDescent="0.25">
      <c r="G65" s="321"/>
      <c r="H65" s="321"/>
      <c r="I65" s="321"/>
      <c r="J65" s="321"/>
      <c r="K65" s="321"/>
      <c r="L65" s="321"/>
    </row>
    <row r="66" spans="7:12" x14ac:dyDescent="0.25">
      <c r="G66" s="321"/>
      <c r="H66" s="321"/>
      <c r="I66" s="321"/>
      <c r="J66" s="321"/>
      <c r="K66" s="321"/>
      <c r="L66" s="321"/>
    </row>
    <row r="67" spans="7:12" x14ac:dyDescent="0.25">
      <c r="G67" s="321"/>
      <c r="H67" s="321"/>
      <c r="I67" s="321"/>
      <c r="J67" s="321"/>
      <c r="K67" s="321"/>
      <c r="L67" s="321"/>
    </row>
    <row r="68" spans="7:12" x14ac:dyDescent="0.25">
      <c r="G68" s="321"/>
      <c r="H68" s="321"/>
      <c r="I68" s="321"/>
      <c r="J68" s="321"/>
      <c r="K68" s="321"/>
      <c r="L68" s="321"/>
    </row>
    <row r="69" spans="7:12" x14ac:dyDescent="0.25">
      <c r="G69" s="321"/>
      <c r="H69" s="321"/>
      <c r="I69" s="321"/>
      <c r="J69" s="321"/>
      <c r="K69" s="321"/>
      <c r="L69" s="321"/>
    </row>
    <row r="70" spans="7:12" x14ac:dyDescent="0.25">
      <c r="G70" s="321"/>
      <c r="H70" s="321"/>
      <c r="I70" s="321"/>
      <c r="J70" s="321"/>
      <c r="K70" s="321"/>
      <c r="L70" s="321"/>
    </row>
    <row r="71" spans="7:12" x14ac:dyDescent="0.25">
      <c r="G71" s="321"/>
      <c r="H71" s="321"/>
      <c r="I71" s="321"/>
      <c r="J71" s="321"/>
      <c r="K71" s="321"/>
      <c r="L71" s="321"/>
    </row>
    <row r="72" spans="7:12" x14ac:dyDescent="0.25">
      <c r="G72" s="321"/>
      <c r="H72" s="321"/>
      <c r="I72" s="321"/>
      <c r="J72" s="321"/>
      <c r="K72" s="321"/>
      <c r="L72" s="321"/>
    </row>
    <row r="73" spans="7:12" x14ac:dyDescent="0.25">
      <c r="G73" s="321"/>
      <c r="H73" s="321"/>
      <c r="I73" s="321"/>
      <c r="J73" s="321"/>
      <c r="K73" s="321"/>
      <c r="L73" s="321"/>
    </row>
    <row r="74" spans="7:12" x14ac:dyDescent="0.25">
      <c r="G74" s="321"/>
      <c r="H74" s="321"/>
      <c r="I74" s="321"/>
      <c r="J74" s="321"/>
      <c r="K74" s="321"/>
      <c r="L74" s="321"/>
    </row>
    <row r="75" spans="7:12" x14ac:dyDescent="0.25">
      <c r="G75" s="321"/>
      <c r="H75" s="321"/>
      <c r="I75" s="321"/>
      <c r="J75" s="321"/>
      <c r="K75" s="321"/>
      <c r="L75" s="321"/>
    </row>
    <row r="76" spans="7:12" x14ac:dyDescent="0.25">
      <c r="G76" s="321"/>
      <c r="H76" s="321"/>
      <c r="I76" s="321"/>
      <c r="J76" s="321"/>
      <c r="K76" s="321"/>
      <c r="L76" s="321"/>
    </row>
    <row r="77" spans="7:12" x14ac:dyDescent="0.25">
      <c r="G77" s="321"/>
      <c r="H77" s="321"/>
      <c r="I77" s="321"/>
      <c r="J77" s="321"/>
      <c r="K77" s="321"/>
      <c r="L77" s="321"/>
    </row>
    <row r="78" spans="7:12" x14ac:dyDescent="0.25">
      <c r="G78" s="321"/>
      <c r="H78" s="321"/>
      <c r="I78" s="321"/>
      <c r="J78" s="321"/>
      <c r="K78" s="321"/>
      <c r="L78" s="321"/>
    </row>
    <row r="79" spans="7:12" x14ac:dyDescent="0.25">
      <c r="G79" s="321"/>
      <c r="H79" s="321"/>
      <c r="I79" s="321"/>
      <c r="J79" s="321"/>
      <c r="K79" s="321"/>
      <c r="L79" s="321"/>
    </row>
    <row r="80" spans="7:12" x14ac:dyDescent="0.25">
      <c r="G80" s="321"/>
      <c r="H80" s="321"/>
      <c r="I80" s="321"/>
      <c r="J80" s="321"/>
      <c r="K80" s="321"/>
      <c r="L80" s="321"/>
    </row>
    <row r="81" spans="7:12" x14ac:dyDescent="0.25">
      <c r="G81" s="321"/>
      <c r="H81" s="321"/>
      <c r="I81" s="321"/>
      <c r="J81" s="321"/>
      <c r="K81" s="321"/>
      <c r="L81" s="321"/>
    </row>
    <row r="82" spans="7:12" x14ac:dyDescent="0.25">
      <c r="G82" s="321"/>
      <c r="H82" s="321"/>
      <c r="I82" s="321"/>
      <c r="J82" s="321"/>
      <c r="K82" s="321"/>
      <c r="L82" s="321"/>
    </row>
    <row r="83" spans="7:12" x14ac:dyDescent="0.25">
      <c r="G83" s="321"/>
      <c r="H83" s="321"/>
      <c r="I83" s="321"/>
      <c r="J83" s="321"/>
      <c r="K83" s="321"/>
      <c r="L83" s="321"/>
    </row>
    <row r="84" spans="7:12" x14ac:dyDescent="0.25">
      <c r="G84" s="321"/>
      <c r="H84" s="321"/>
      <c r="I84" s="321"/>
      <c r="J84" s="321"/>
      <c r="K84" s="321"/>
      <c r="L84" s="321"/>
    </row>
    <row r="85" spans="7:12" x14ac:dyDescent="0.25">
      <c r="G85" s="321"/>
      <c r="H85" s="321"/>
      <c r="I85" s="321"/>
      <c r="J85" s="321"/>
      <c r="K85" s="321"/>
      <c r="L85" s="321"/>
    </row>
    <row r="86" spans="7:12" x14ac:dyDescent="0.25">
      <c r="G86" s="321"/>
      <c r="H86" s="321"/>
      <c r="I86" s="321"/>
      <c r="J86" s="321"/>
      <c r="K86" s="321"/>
      <c r="L86" s="321"/>
    </row>
    <row r="87" spans="7:12" x14ac:dyDescent="0.25">
      <c r="G87" s="321"/>
      <c r="H87" s="321"/>
      <c r="I87" s="321"/>
      <c r="J87" s="321"/>
      <c r="K87" s="321"/>
      <c r="L87" s="321"/>
    </row>
    <row r="88" spans="7:12" x14ac:dyDescent="0.25">
      <c r="G88" s="321"/>
      <c r="H88" s="321"/>
      <c r="I88" s="321"/>
      <c r="J88" s="321"/>
      <c r="K88" s="321"/>
      <c r="L88" s="321"/>
    </row>
    <row r="89" spans="7:12" x14ac:dyDescent="0.25">
      <c r="G89" s="321"/>
      <c r="H89" s="321"/>
      <c r="I89" s="321"/>
      <c r="J89" s="321"/>
      <c r="K89" s="321"/>
      <c r="L89" s="321"/>
    </row>
    <row r="90" spans="7:12" x14ac:dyDescent="0.25">
      <c r="G90" s="321"/>
      <c r="H90" s="321"/>
      <c r="I90" s="321"/>
      <c r="J90" s="321"/>
      <c r="K90" s="321"/>
      <c r="L90" s="321"/>
    </row>
    <row r="91" spans="7:12" x14ac:dyDescent="0.25">
      <c r="G91" s="321"/>
      <c r="H91" s="321"/>
      <c r="I91" s="321"/>
      <c r="J91" s="321"/>
      <c r="K91" s="321"/>
      <c r="L91" s="321"/>
    </row>
    <row r="92" spans="7:12" x14ac:dyDescent="0.25">
      <c r="G92" s="321"/>
      <c r="H92" s="321"/>
      <c r="I92" s="321"/>
      <c r="J92" s="321"/>
      <c r="K92" s="321"/>
      <c r="L92" s="321"/>
    </row>
    <row r="93" spans="7:12" x14ac:dyDescent="0.25">
      <c r="G93" s="321"/>
      <c r="H93" s="321"/>
      <c r="I93" s="321"/>
      <c r="J93" s="321"/>
      <c r="K93" s="321"/>
      <c r="L93" s="321"/>
    </row>
    <row r="94" spans="7:12" x14ac:dyDescent="0.25">
      <c r="G94" s="321"/>
      <c r="H94" s="321"/>
      <c r="I94" s="321"/>
      <c r="J94" s="321"/>
      <c r="K94" s="321"/>
      <c r="L94" s="321"/>
    </row>
    <row r="95" spans="7:12" x14ac:dyDescent="0.25">
      <c r="G95" s="321"/>
      <c r="H95" s="321"/>
      <c r="I95" s="321"/>
      <c r="J95" s="321"/>
      <c r="K95" s="321"/>
      <c r="L95" s="321"/>
    </row>
    <row r="96" spans="7:12" x14ac:dyDescent="0.25">
      <c r="G96" s="321"/>
      <c r="H96" s="321"/>
      <c r="I96" s="321"/>
      <c r="J96" s="321"/>
      <c r="K96" s="321"/>
      <c r="L96" s="321"/>
    </row>
    <row r="97" spans="7:12" x14ac:dyDescent="0.25">
      <c r="G97" s="321"/>
      <c r="H97" s="321"/>
      <c r="I97" s="321"/>
      <c r="J97" s="321"/>
      <c r="K97" s="321"/>
      <c r="L97" s="321"/>
    </row>
    <row r="98" spans="7:12" x14ac:dyDescent="0.25">
      <c r="G98" s="321"/>
      <c r="H98" s="321"/>
      <c r="I98" s="321"/>
      <c r="J98" s="321"/>
      <c r="K98" s="321"/>
      <c r="L98" s="321"/>
    </row>
    <row r="99" spans="7:12" x14ac:dyDescent="0.25">
      <c r="G99" s="321"/>
      <c r="H99" s="321"/>
      <c r="I99" s="321"/>
      <c r="J99" s="321"/>
      <c r="K99" s="321"/>
      <c r="L99" s="321"/>
    </row>
    <row r="100" spans="7:12" x14ac:dyDescent="0.25">
      <c r="G100" s="321"/>
      <c r="H100" s="321"/>
      <c r="I100" s="321"/>
      <c r="J100" s="321"/>
      <c r="K100" s="321"/>
      <c r="L100" s="321"/>
    </row>
    <row r="101" spans="7:12" x14ac:dyDescent="0.25">
      <c r="G101" s="321"/>
      <c r="H101" s="321"/>
      <c r="I101" s="321"/>
      <c r="J101" s="321"/>
      <c r="K101" s="321"/>
      <c r="L101" s="321"/>
    </row>
    <row r="102" spans="7:12" x14ac:dyDescent="0.25">
      <c r="G102" s="321"/>
      <c r="H102" s="321"/>
      <c r="I102" s="321"/>
      <c r="J102" s="321"/>
      <c r="K102" s="321"/>
      <c r="L102" s="321"/>
    </row>
    <row r="103" spans="7:12" x14ac:dyDescent="0.25">
      <c r="G103" s="321"/>
      <c r="H103" s="321"/>
      <c r="I103" s="321"/>
      <c r="J103" s="321"/>
      <c r="K103" s="321"/>
      <c r="L103" s="321"/>
    </row>
    <row r="104" spans="7:12" x14ac:dyDescent="0.25">
      <c r="G104" s="321"/>
      <c r="H104" s="321"/>
      <c r="I104" s="321"/>
      <c r="J104" s="321"/>
      <c r="K104" s="321"/>
      <c r="L104" s="321"/>
    </row>
    <row r="105" spans="7:12" x14ac:dyDescent="0.25">
      <c r="G105" s="321"/>
      <c r="H105" s="321"/>
      <c r="I105" s="321"/>
      <c r="J105" s="321"/>
      <c r="K105" s="321"/>
      <c r="L105" s="321"/>
    </row>
    <row r="106" spans="7:12" x14ac:dyDescent="0.25">
      <c r="G106" s="321"/>
      <c r="H106" s="321"/>
      <c r="I106" s="321"/>
      <c r="J106" s="321"/>
      <c r="K106" s="321"/>
      <c r="L106" s="321"/>
    </row>
    <row r="107" spans="7:12" x14ac:dyDescent="0.25">
      <c r="G107" s="321"/>
      <c r="H107" s="321"/>
      <c r="I107" s="321"/>
      <c r="J107" s="321"/>
      <c r="K107" s="321"/>
      <c r="L107" s="321"/>
    </row>
    <row r="108" spans="7:12" x14ac:dyDescent="0.25">
      <c r="G108" s="321"/>
      <c r="H108" s="321"/>
      <c r="I108" s="321"/>
      <c r="J108" s="321"/>
      <c r="K108" s="321"/>
      <c r="L108" s="321"/>
    </row>
    <row r="109" spans="7:12" x14ac:dyDescent="0.25">
      <c r="G109" s="321"/>
      <c r="H109" s="321"/>
      <c r="I109" s="321"/>
      <c r="J109" s="321"/>
      <c r="K109" s="321"/>
      <c r="L109" s="321"/>
    </row>
    <row r="110" spans="7:12" x14ac:dyDescent="0.25">
      <c r="G110" s="321"/>
      <c r="H110" s="321"/>
      <c r="I110" s="321"/>
      <c r="J110" s="321"/>
      <c r="K110" s="321"/>
      <c r="L110" s="321"/>
    </row>
    <row r="111" spans="7:12" x14ac:dyDescent="0.25">
      <c r="G111" s="321"/>
      <c r="H111" s="321"/>
      <c r="I111" s="321"/>
      <c r="J111" s="321"/>
      <c r="K111" s="321"/>
      <c r="L111" s="321"/>
    </row>
    <row r="112" spans="7:12" x14ac:dyDescent="0.25">
      <c r="G112" s="321"/>
      <c r="H112" s="321"/>
      <c r="I112" s="321"/>
      <c r="J112" s="321"/>
      <c r="K112" s="321"/>
      <c r="L112" s="321"/>
    </row>
    <row r="113" spans="7:12" x14ac:dyDescent="0.25">
      <c r="G113" s="321"/>
      <c r="H113" s="321"/>
      <c r="I113" s="321"/>
      <c r="J113" s="321"/>
      <c r="K113" s="321"/>
      <c r="L113" s="321"/>
    </row>
    <row r="114" spans="7:12" x14ac:dyDescent="0.25">
      <c r="G114" s="321"/>
      <c r="H114" s="321"/>
      <c r="I114" s="321"/>
      <c r="J114" s="321"/>
      <c r="K114" s="321"/>
      <c r="L114" s="321"/>
    </row>
    <row r="115" spans="7:12" x14ac:dyDescent="0.25">
      <c r="G115" s="321"/>
      <c r="H115" s="321"/>
      <c r="I115" s="321"/>
      <c r="J115" s="321"/>
      <c r="K115" s="321"/>
      <c r="L115" s="321"/>
    </row>
    <row r="116" spans="7:12" x14ac:dyDescent="0.25">
      <c r="G116" s="321"/>
      <c r="H116" s="321"/>
      <c r="I116" s="321"/>
      <c r="J116" s="321"/>
      <c r="K116" s="321"/>
      <c r="L116" s="321"/>
    </row>
    <row r="117" spans="7:12" x14ac:dyDescent="0.25">
      <c r="G117" s="321"/>
      <c r="H117" s="321"/>
      <c r="I117" s="321"/>
      <c r="J117" s="321"/>
      <c r="K117" s="321"/>
      <c r="L117" s="321"/>
    </row>
    <row r="118" spans="7:12" x14ac:dyDescent="0.25">
      <c r="G118" s="321"/>
      <c r="H118" s="321"/>
      <c r="I118" s="321"/>
      <c r="J118" s="321"/>
      <c r="K118" s="321"/>
      <c r="L118" s="321"/>
    </row>
    <row r="119" spans="7:12" x14ac:dyDescent="0.25">
      <c r="G119" s="321"/>
      <c r="H119" s="321"/>
      <c r="I119" s="321"/>
      <c r="J119" s="321"/>
      <c r="K119" s="321"/>
      <c r="L119" s="321"/>
    </row>
    <row r="120" spans="7:12" x14ac:dyDescent="0.25">
      <c r="G120" s="321"/>
      <c r="H120" s="321"/>
      <c r="I120" s="321"/>
      <c r="J120" s="321"/>
      <c r="K120" s="321"/>
      <c r="L120" s="321"/>
    </row>
    <row r="121" spans="7:12" x14ac:dyDescent="0.25">
      <c r="G121" s="321"/>
      <c r="H121" s="321"/>
      <c r="I121" s="321"/>
      <c r="J121" s="321"/>
      <c r="K121" s="321"/>
      <c r="L121" s="321"/>
    </row>
    <row r="122" spans="7:12" x14ac:dyDescent="0.25">
      <c r="G122" s="321"/>
      <c r="H122" s="321"/>
      <c r="I122" s="321"/>
      <c r="J122" s="321"/>
      <c r="K122" s="321"/>
      <c r="L122" s="321"/>
    </row>
    <row r="123" spans="7:12" x14ac:dyDescent="0.25">
      <c r="G123" s="321"/>
      <c r="H123" s="321"/>
      <c r="I123" s="321"/>
      <c r="J123" s="321"/>
      <c r="K123" s="321"/>
      <c r="L123" s="321"/>
    </row>
    <row r="124" spans="7:12" x14ac:dyDescent="0.25">
      <c r="G124" s="321"/>
      <c r="H124" s="321"/>
      <c r="I124" s="321"/>
      <c r="J124" s="321"/>
      <c r="K124" s="321"/>
      <c r="L124" s="321"/>
    </row>
    <row r="125" spans="7:12" x14ac:dyDescent="0.25">
      <c r="G125" s="321"/>
      <c r="H125" s="321"/>
      <c r="I125" s="321"/>
      <c r="J125" s="321"/>
      <c r="K125" s="321"/>
      <c r="L125" s="321"/>
    </row>
    <row r="126" spans="7:12" x14ac:dyDescent="0.25">
      <c r="G126" s="321"/>
      <c r="H126" s="321"/>
      <c r="I126" s="321"/>
      <c r="J126" s="321"/>
      <c r="K126" s="321"/>
      <c r="L126" s="321"/>
    </row>
    <row r="127" spans="7:12" x14ac:dyDescent="0.25">
      <c r="G127" s="321"/>
      <c r="H127" s="321"/>
      <c r="I127" s="321"/>
      <c r="J127" s="321"/>
      <c r="K127" s="321"/>
      <c r="L127" s="321"/>
    </row>
    <row r="128" spans="7:12" x14ac:dyDescent="0.25">
      <c r="G128" s="321"/>
      <c r="H128" s="321"/>
      <c r="I128" s="321"/>
      <c r="J128" s="321"/>
      <c r="K128" s="321"/>
      <c r="L128" s="321"/>
    </row>
    <row r="129" spans="7:12" x14ac:dyDescent="0.25">
      <c r="G129" s="321"/>
      <c r="H129" s="321"/>
      <c r="I129" s="321"/>
      <c r="J129" s="321"/>
      <c r="K129" s="321"/>
      <c r="L129" s="321"/>
    </row>
    <row r="130" spans="7:12" x14ac:dyDescent="0.25">
      <c r="G130" s="321"/>
      <c r="H130" s="321"/>
      <c r="I130" s="321"/>
      <c r="J130" s="321"/>
      <c r="K130" s="321"/>
      <c r="L130" s="321"/>
    </row>
    <row r="131" spans="7:12" x14ac:dyDescent="0.25">
      <c r="G131" s="321"/>
      <c r="H131" s="321"/>
      <c r="I131" s="321"/>
      <c r="J131" s="321"/>
      <c r="K131" s="321"/>
      <c r="L131" s="321"/>
    </row>
    <row r="132" spans="7:12" x14ac:dyDescent="0.25">
      <c r="G132" s="321"/>
      <c r="H132" s="321"/>
      <c r="I132" s="321"/>
      <c r="J132" s="321"/>
      <c r="K132" s="321"/>
      <c r="L132" s="321"/>
    </row>
  </sheetData>
  <mergeCells count="293">
    <mergeCell ref="J1:K1"/>
    <mergeCell ref="L1:L4"/>
    <mergeCell ref="P1:P4"/>
    <mergeCell ref="J2:K2"/>
    <mergeCell ref="J3:K3"/>
    <mergeCell ref="J4:K4"/>
    <mergeCell ref="A5:L5"/>
    <mergeCell ref="A1:B4"/>
    <mergeCell ref="C1:I2"/>
    <mergeCell ref="C3:I4"/>
    <mergeCell ref="A6:L7"/>
    <mergeCell ref="A8:E25"/>
    <mergeCell ref="I9:L9"/>
    <mergeCell ref="G10:H10"/>
    <mergeCell ref="I10:L10"/>
    <mergeCell ref="G11:H11"/>
    <mergeCell ref="I11:L11"/>
    <mergeCell ref="G15:H15"/>
    <mergeCell ref="I15:L15"/>
    <mergeCell ref="G16:H16"/>
    <mergeCell ref="I16:L16"/>
    <mergeCell ref="G17:H17"/>
    <mergeCell ref="I17:L17"/>
    <mergeCell ref="G12:H12"/>
    <mergeCell ref="I12:L12"/>
    <mergeCell ref="G13:H13"/>
    <mergeCell ref="I13:L13"/>
    <mergeCell ref="G14:H14"/>
    <mergeCell ref="I14:L14"/>
    <mergeCell ref="G22:H22"/>
    <mergeCell ref="I21:L21"/>
    <mergeCell ref="F9:H9"/>
    <mergeCell ref="F8:L8"/>
    <mergeCell ref="I24:L24"/>
    <mergeCell ref="A26:A54"/>
    <mergeCell ref="B26:B38"/>
    <mergeCell ref="G26:H26"/>
    <mergeCell ref="I26:L26"/>
    <mergeCell ref="G30:H30"/>
    <mergeCell ref="I30:L30"/>
    <mergeCell ref="G31:H31"/>
    <mergeCell ref="I31:L31"/>
    <mergeCell ref="G27:H27"/>
    <mergeCell ref="I27:L27"/>
    <mergeCell ref="G28:H28"/>
    <mergeCell ref="I28:L28"/>
    <mergeCell ref="G29:H29"/>
    <mergeCell ref="I29:L29"/>
    <mergeCell ref="G34:H34"/>
    <mergeCell ref="I34:L34"/>
    <mergeCell ref="G35:H35"/>
    <mergeCell ref="I35:L35"/>
    <mergeCell ref="G32:H32"/>
    <mergeCell ref="I32:L32"/>
    <mergeCell ref="G33:H33"/>
    <mergeCell ref="I33:L33"/>
    <mergeCell ref="D33:F33"/>
    <mergeCell ref="D34:F34"/>
    <mergeCell ref="D35:F35"/>
    <mergeCell ref="B39:B54"/>
    <mergeCell ref="G39:H39"/>
    <mergeCell ref="I39:L39"/>
    <mergeCell ref="G40:H40"/>
    <mergeCell ref="I40:L40"/>
    <mergeCell ref="G36:H36"/>
    <mergeCell ref="I36:L36"/>
    <mergeCell ref="G37:H37"/>
    <mergeCell ref="I37:L37"/>
    <mergeCell ref="G41:H41"/>
    <mergeCell ref="I41:L41"/>
    <mergeCell ref="G42:H42"/>
    <mergeCell ref="I42:L42"/>
    <mergeCell ref="G38:H38"/>
    <mergeCell ref="I38:L38"/>
    <mergeCell ref="G45:H45"/>
    <mergeCell ref="I45:L45"/>
    <mergeCell ref="G46:H46"/>
    <mergeCell ref="I46:L46"/>
    <mergeCell ref="G43:H43"/>
    <mergeCell ref="I43:L43"/>
    <mergeCell ref="G44:H44"/>
    <mergeCell ref="I44:L44"/>
    <mergeCell ref="D45:F45"/>
    <mergeCell ref="D46:F46"/>
    <mergeCell ref="G49:H49"/>
    <mergeCell ref="I49:L49"/>
    <mergeCell ref="G50:H50"/>
    <mergeCell ref="I50:L50"/>
    <mergeCell ref="G47:H47"/>
    <mergeCell ref="I47:L47"/>
    <mergeCell ref="G48:H48"/>
    <mergeCell ref="I48:L48"/>
    <mergeCell ref="D47:F47"/>
    <mergeCell ref="D48:F48"/>
    <mergeCell ref="D49:F49"/>
    <mergeCell ref="D50:F50"/>
    <mergeCell ref="G53:H53"/>
    <mergeCell ref="I53:L53"/>
    <mergeCell ref="G54:H54"/>
    <mergeCell ref="I54:L54"/>
    <mergeCell ref="G51:H51"/>
    <mergeCell ref="I51:L51"/>
    <mergeCell ref="G52:H52"/>
    <mergeCell ref="I52:L52"/>
    <mergeCell ref="D51:F51"/>
    <mergeCell ref="D52:F52"/>
    <mergeCell ref="D53:F53"/>
    <mergeCell ref="D54:F54"/>
    <mergeCell ref="G58:H58"/>
    <mergeCell ref="I58:L58"/>
    <mergeCell ref="G59:H59"/>
    <mergeCell ref="I59:L59"/>
    <mergeCell ref="G60:H60"/>
    <mergeCell ref="I60:L60"/>
    <mergeCell ref="G55:H55"/>
    <mergeCell ref="I55:L55"/>
    <mergeCell ref="G56:H56"/>
    <mergeCell ref="I56:L56"/>
    <mergeCell ref="G57:H57"/>
    <mergeCell ref="I57:L57"/>
    <mergeCell ref="G64:H64"/>
    <mergeCell ref="I64:L64"/>
    <mergeCell ref="G65:H65"/>
    <mergeCell ref="I65:L65"/>
    <mergeCell ref="G66:H66"/>
    <mergeCell ref="I66:L66"/>
    <mergeCell ref="G61:H61"/>
    <mergeCell ref="I61:L61"/>
    <mergeCell ref="G62:H62"/>
    <mergeCell ref="I62:L62"/>
    <mergeCell ref="G63:H63"/>
    <mergeCell ref="I63:L63"/>
    <mergeCell ref="G70:H70"/>
    <mergeCell ref="I70:L70"/>
    <mergeCell ref="G71:H71"/>
    <mergeCell ref="I71:L71"/>
    <mergeCell ref="G72:H72"/>
    <mergeCell ref="I72:L72"/>
    <mergeCell ref="G67:H67"/>
    <mergeCell ref="I67:L67"/>
    <mergeCell ref="G68:H68"/>
    <mergeCell ref="I68:L68"/>
    <mergeCell ref="G69:H69"/>
    <mergeCell ref="I69:L69"/>
    <mergeCell ref="G76:H76"/>
    <mergeCell ref="I76:L76"/>
    <mergeCell ref="G77:H77"/>
    <mergeCell ref="I77:L77"/>
    <mergeCell ref="G78:H78"/>
    <mergeCell ref="I78:L78"/>
    <mergeCell ref="G73:H73"/>
    <mergeCell ref="I73:L73"/>
    <mergeCell ref="G74:H74"/>
    <mergeCell ref="I74:L74"/>
    <mergeCell ref="G75:H75"/>
    <mergeCell ref="I75:L75"/>
    <mergeCell ref="G82:H82"/>
    <mergeCell ref="I82:L82"/>
    <mergeCell ref="G83:H83"/>
    <mergeCell ref="I83:L83"/>
    <mergeCell ref="G84:H84"/>
    <mergeCell ref="I84:L84"/>
    <mergeCell ref="G79:H79"/>
    <mergeCell ref="I79:L79"/>
    <mergeCell ref="G80:H80"/>
    <mergeCell ref="I80:L80"/>
    <mergeCell ref="G81:H81"/>
    <mergeCell ref="I81:L81"/>
    <mergeCell ref="G88:H88"/>
    <mergeCell ref="I88:L88"/>
    <mergeCell ref="G89:H89"/>
    <mergeCell ref="I89:L89"/>
    <mergeCell ref="G90:H90"/>
    <mergeCell ref="I90:L90"/>
    <mergeCell ref="G85:H85"/>
    <mergeCell ref="I85:L85"/>
    <mergeCell ref="G86:H86"/>
    <mergeCell ref="I86:L86"/>
    <mergeCell ref="G87:H87"/>
    <mergeCell ref="I87:L87"/>
    <mergeCell ref="G94:H94"/>
    <mergeCell ref="I94:L94"/>
    <mergeCell ref="G95:H95"/>
    <mergeCell ref="I95:L95"/>
    <mergeCell ref="G96:H96"/>
    <mergeCell ref="I96:L96"/>
    <mergeCell ref="G91:H91"/>
    <mergeCell ref="I91:L91"/>
    <mergeCell ref="G92:H92"/>
    <mergeCell ref="I92:L92"/>
    <mergeCell ref="G93:H93"/>
    <mergeCell ref="I93:L93"/>
    <mergeCell ref="G100:H100"/>
    <mergeCell ref="I100:L100"/>
    <mergeCell ref="G101:H101"/>
    <mergeCell ref="I101:L101"/>
    <mergeCell ref="G102:H102"/>
    <mergeCell ref="I102:L102"/>
    <mergeCell ref="G97:H97"/>
    <mergeCell ref="I97:L97"/>
    <mergeCell ref="G98:H98"/>
    <mergeCell ref="I98:L98"/>
    <mergeCell ref="G99:H99"/>
    <mergeCell ref="I99:L99"/>
    <mergeCell ref="G106:H106"/>
    <mergeCell ref="I106:L106"/>
    <mergeCell ref="G107:H107"/>
    <mergeCell ref="I107:L107"/>
    <mergeCell ref="G108:H108"/>
    <mergeCell ref="I108:L108"/>
    <mergeCell ref="G103:H103"/>
    <mergeCell ref="I103:L103"/>
    <mergeCell ref="G104:H104"/>
    <mergeCell ref="I104:L104"/>
    <mergeCell ref="G105:H105"/>
    <mergeCell ref="I105:L105"/>
    <mergeCell ref="G112:H112"/>
    <mergeCell ref="I112:L112"/>
    <mergeCell ref="G113:H113"/>
    <mergeCell ref="I113:L113"/>
    <mergeCell ref="G114:H114"/>
    <mergeCell ref="I114:L114"/>
    <mergeCell ref="G109:H109"/>
    <mergeCell ref="I109:L109"/>
    <mergeCell ref="G110:H110"/>
    <mergeCell ref="I110:L110"/>
    <mergeCell ref="G111:H111"/>
    <mergeCell ref="I111:L111"/>
    <mergeCell ref="G118:H118"/>
    <mergeCell ref="I118:L118"/>
    <mergeCell ref="G119:H119"/>
    <mergeCell ref="I119:L119"/>
    <mergeCell ref="G120:H120"/>
    <mergeCell ref="I120:L120"/>
    <mergeCell ref="G115:H115"/>
    <mergeCell ref="I115:L115"/>
    <mergeCell ref="G116:H116"/>
    <mergeCell ref="I116:L116"/>
    <mergeCell ref="G117:H117"/>
    <mergeCell ref="I117:L117"/>
    <mergeCell ref="G124:H124"/>
    <mergeCell ref="I124:L124"/>
    <mergeCell ref="G125:H125"/>
    <mergeCell ref="I125:L125"/>
    <mergeCell ref="G126:H126"/>
    <mergeCell ref="I126:L126"/>
    <mergeCell ref="G121:H121"/>
    <mergeCell ref="I121:L121"/>
    <mergeCell ref="G122:H122"/>
    <mergeCell ref="I122:L122"/>
    <mergeCell ref="G123:H123"/>
    <mergeCell ref="I123:L123"/>
    <mergeCell ref="G130:H130"/>
    <mergeCell ref="I130:L130"/>
    <mergeCell ref="G131:H131"/>
    <mergeCell ref="I131:L131"/>
    <mergeCell ref="G132:H132"/>
    <mergeCell ref="I132:L132"/>
    <mergeCell ref="G127:H127"/>
    <mergeCell ref="I127:L127"/>
    <mergeCell ref="G128:H128"/>
    <mergeCell ref="I128:L128"/>
    <mergeCell ref="G129:H129"/>
    <mergeCell ref="I129:L129"/>
    <mergeCell ref="D26:F26"/>
    <mergeCell ref="D27:F27"/>
    <mergeCell ref="D28:F28"/>
    <mergeCell ref="D29:F29"/>
    <mergeCell ref="D30:F30"/>
    <mergeCell ref="D31:F31"/>
    <mergeCell ref="D32:F32"/>
    <mergeCell ref="G21:H21"/>
    <mergeCell ref="G24:H24"/>
    <mergeCell ref="G25:H25"/>
    <mergeCell ref="I25:L25"/>
    <mergeCell ref="I22:L22"/>
    <mergeCell ref="G23:H23"/>
    <mergeCell ref="I23:L23"/>
    <mergeCell ref="G18:H18"/>
    <mergeCell ref="I18:L18"/>
    <mergeCell ref="G19:H19"/>
    <mergeCell ref="I19:L19"/>
    <mergeCell ref="G20:H20"/>
    <mergeCell ref="I20:L20"/>
    <mergeCell ref="D36:F36"/>
    <mergeCell ref="D37:F37"/>
    <mergeCell ref="D38:F38"/>
    <mergeCell ref="D39:F39"/>
    <mergeCell ref="D40:F40"/>
    <mergeCell ref="D41:F41"/>
    <mergeCell ref="D42:F42"/>
    <mergeCell ref="D43:F43"/>
    <mergeCell ref="D44:F4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4BA7D-64C7-4247-962C-802D74D22608}">
  <sheetPr>
    <tabColor rgb="FF002060"/>
  </sheetPr>
  <dimension ref="A1:BO69"/>
  <sheetViews>
    <sheetView tabSelected="1" topLeftCell="AG1" zoomScale="70" zoomScaleNormal="70" workbookViewId="0">
      <selection activeCell="AV17" sqref="AV17"/>
    </sheetView>
  </sheetViews>
  <sheetFormatPr baseColWidth="10" defaultColWidth="11.44140625" defaultRowHeight="13.8" x14ac:dyDescent="0.3"/>
  <cols>
    <col min="1" max="1" width="4" style="227" bestFit="1" customWidth="1"/>
    <col min="2" max="2" width="14.109375" style="227" customWidth="1"/>
    <col min="3" max="3" width="16.5546875" style="227" customWidth="1"/>
    <col min="4" max="4" width="16.109375" style="227" customWidth="1"/>
    <col min="5" max="5" width="30.33203125" style="227" customWidth="1"/>
    <col min="6" max="8" width="35" style="175" customWidth="1"/>
    <col min="9" max="9" width="18.109375" style="228" customWidth="1"/>
    <col min="10" max="10" width="14.33203125" style="175" customWidth="1"/>
    <col min="11" max="11" width="12" style="175" customWidth="1"/>
    <col min="12" max="12" width="6.33203125" style="175" customWidth="1"/>
    <col min="13" max="13" width="24.44140625" style="175" customWidth="1"/>
    <col min="14" max="14" width="28.33203125" style="175" customWidth="1"/>
    <col min="15" max="15" width="17.5546875" style="175" customWidth="1"/>
    <col min="16" max="16" width="6.33203125" style="175" customWidth="1"/>
    <col min="17" max="17" width="16" style="175" customWidth="1"/>
    <col min="18" max="18" width="5.88671875" style="175" customWidth="1"/>
    <col min="19" max="19" width="72.6640625" style="175" customWidth="1"/>
    <col min="20" max="20" width="15.109375" style="175" customWidth="1"/>
    <col min="21" max="21" width="6.88671875" style="175" customWidth="1"/>
    <col min="22" max="22" width="5" style="175" customWidth="1"/>
    <col min="23" max="23" width="5.5546875" style="175" customWidth="1"/>
    <col min="24" max="24" width="7.109375" style="175" customWidth="1"/>
    <col min="25" max="25" width="6.6640625" style="175" customWidth="1"/>
    <col min="26" max="26" width="4.6640625" style="175" customWidth="1"/>
    <col min="27" max="27" width="38.5546875" style="175" customWidth="1"/>
    <col min="28" max="28" width="8.6640625" style="175" customWidth="1"/>
    <col min="29" max="29" width="10.44140625" style="175" customWidth="1"/>
    <col min="30" max="30" width="9.33203125" style="175" customWidth="1"/>
    <col min="31" max="31" width="9.109375" style="175" customWidth="1"/>
    <col min="32" max="32" width="8.44140625" style="175" customWidth="1"/>
    <col min="33" max="33" width="7.33203125" style="175" customWidth="1"/>
    <col min="34" max="34" width="28.6640625" style="175" customWidth="1"/>
    <col min="35" max="35" width="18.88671875" style="175" customWidth="1"/>
    <col min="36" max="36" width="16.88671875" style="175" customWidth="1"/>
    <col min="37" max="37" width="17.77734375" style="175" customWidth="1"/>
    <col min="38" max="38" width="18.5546875" style="175" customWidth="1"/>
    <col min="39" max="39" width="21" style="175" customWidth="1"/>
    <col min="40" max="16384" width="11.44140625" style="175"/>
  </cols>
  <sheetData>
    <row r="1" spans="1:67" ht="16.5" customHeight="1" x14ac:dyDescent="0.3">
      <c r="A1" s="469" t="s">
        <v>138</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1"/>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row>
    <row r="2" spans="1:67" ht="24" customHeight="1" x14ac:dyDescent="0.3">
      <c r="A2" s="472"/>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row>
    <row r="3" spans="1:67" x14ac:dyDescent="0.3">
      <c r="A3" s="176"/>
      <c r="B3" s="177"/>
      <c r="C3" s="176"/>
      <c r="D3" s="176"/>
      <c r="E3" s="176"/>
      <c r="F3" s="174"/>
      <c r="G3" s="174"/>
      <c r="H3" s="174"/>
      <c r="I3" s="178"/>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row>
    <row r="4" spans="1:67" ht="26.25" customHeight="1" x14ac:dyDescent="0.3">
      <c r="A4" s="475" t="s">
        <v>43</v>
      </c>
      <c r="B4" s="476"/>
      <c r="C4" s="477" t="s">
        <v>360</v>
      </c>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row>
    <row r="5" spans="1:67" ht="30" customHeight="1" x14ac:dyDescent="0.3">
      <c r="A5" s="475" t="s">
        <v>125</v>
      </c>
      <c r="B5" s="476"/>
      <c r="C5" s="478" t="s">
        <v>359</v>
      </c>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row>
    <row r="6" spans="1:67" ht="49.5" customHeight="1" x14ac:dyDescent="0.3">
      <c r="A6" s="475" t="s">
        <v>44</v>
      </c>
      <c r="B6" s="476"/>
      <c r="C6" s="478" t="s">
        <v>361</v>
      </c>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9"/>
      <c r="AI6" s="479"/>
      <c r="AJ6" s="479"/>
      <c r="AK6" s="479"/>
      <c r="AL6" s="479"/>
      <c r="AM6" s="479"/>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row>
    <row r="7" spans="1:67" x14ac:dyDescent="0.3">
      <c r="A7" s="483" t="s">
        <v>133</v>
      </c>
      <c r="B7" s="484"/>
      <c r="C7" s="464"/>
      <c r="D7" s="464"/>
      <c r="E7" s="464"/>
      <c r="F7" s="464"/>
      <c r="G7" s="464"/>
      <c r="H7" s="464"/>
      <c r="I7" s="464"/>
      <c r="J7" s="485"/>
      <c r="K7" s="455" t="s">
        <v>134</v>
      </c>
      <c r="L7" s="464"/>
      <c r="M7" s="464"/>
      <c r="N7" s="464"/>
      <c r="O7" s="464"/>
      <c r="P7" s="464"/>
      <c r="Q7" s="485"/>
      <c r="R7" s="455" t="s">
        <v>135</v>
      </c>
      <c r="S7" s="464"/>
      <c r="T7" s="464"/>
      <c r="U7" s="464"/>
      <c r="V7" s="464"/>
      <c r="W7" s="464"/>
      <c r="X7" s="464"/>
      <c r="Y7" s="464"/>
      <c r="Z7" s="485"/>
      <c r="AA7" s="455" t="s">
        <v>136</v>
      </c>
      <c r="AB7" s="464"/>
      <c r="AC7" s="464"/>
      <c r="AD7" s="464"/>
      <c r="AE7" s="464"/>
      <c r="AF7" s="464"/>
      <c r="AG7" s="464"/>
      <c r="AH7" s="486" t="s">
        <v>34</v>
      </c>
      <c r="AI7" s="486"/>
      <c r="AJ7" s="486"/>
      <c r="AK7" s="486"/>
      <c r="AL7" s="486"/>
      <c r="AM7" s="486"/>
      <c r="AN7" s="486"/>
      <c r="AO7" s="486"/>
      <c r="AP7" s="486"/>
      <c r="AQ7" s="486"/>
      <c r="AR7" s="486"/>
      <c r="AS7" s="486"/>
      <c r="AT7" s="174"/>
      <c r="AU7" s="174"/>
      <c r="AV7" s="174"/>
      <c r="AW7" s="174"/>
      <c r="AX7" s="174"/>
      <c r="AY7" s="174"/>
      <c r="AZ7" s="174"/>
      <c r="BA7" s="174"/>
      <c r="BB7" s="174"/>
      <c r="BC7" s="174"/>
      <c r="BD7" s="174"/>
      <c r="BE7" s="174"/>
      <c r="BF7" s="174"/>
      <c r="BG7" s="174"/>
      <c r="BH7" s="174"/>
      <c r="BI7" s="174"/>
      <c r="BJ7" s="174"/>
      <c r="BK7" s="174"/>
      <c r="BL7" s="174"/>
      <c r="BM7" s="174"/>
      <c r="BN7" s="174"/>
      <c r="BO7" s="174"/>
    </row>
    <row r="8" spans="1:67" ht="16.5" customHeight="1" x14ac:dyDescent="0.3">
      <c r="A8" s="465" t="s">
        <v>0</v>
      </c>
      <c r="B8" s="467" t="s">
        <v>2</v>
      </c>
      <c r="C8" s="453" t="s">
        <v>3</v>
      </c>
      <c r="D8" s="453" t="s">
        <v>370</v>
      </c>
      <c r="E8" s="452" t="s">
        <v>371</v>
      </c>
      <c r="F8" s="482" t="s">
        <v>1</v>
      </c>
      <c r="G8" s="480" t="s">
        <v>378</v>
      </c>
      <c r="H8" s="179"/>
      <c r="I8" s="452" t="s">
        <v>50</v>
      </c>
      <c r="J8" s="453" t="s">
        <v>129</v>
      </c>
      <c r="K8" s="468" t="s">
        <v>33</v>
      </c>
      <c r="L8" s="456" t="s">
        <v>5</v>
      </c>
      <c r="M8" s="452" t="s">
        <v>86</v>
      </c>
      <c r="N8" s="452" t="s">
        <v>91</v>
      </c>
      <c r="O8" s="454" t="s">
        <v>45</v>
      </c>
      <c r="P8" s="456" t="s">
        <v>5</v>
      </c>
      <c r="Q8" s="453" t="s">
        <v>48</v>
      </c>
      <c r="R8" s="458" t="s">
        <v>11</v>
      </c>
      <c r="S8" s="457" t="s">
        <v>151</v>
      </c>
      <c r="T8" s="452" t="s">
        <v>12</v>
      </c>
      <c r="U8" s="457" t="s">
        <v>8</v>
      </c>
      <c r="V8" s="457"/>
      <c r="W8" s="457"/>
      <c r="X8" s="457"/>
      <c r="Y8" s="457"/>
      <c r="Z8" s="457"/>
      <c r="AA8" s="451" t="s">
        <v>132</v>
      </c>
      <c r="AB8" s="451" t="s">
        <v>46</v>
      </c>
      <c r="AC8" s="451" t="s">
        <v>5</v>
      </c>
      <c r="AD8" s="451" t="s">
        <v>47</v>
      </c>
      <c r="AE8" s="451" t="s">
        <v>5</v>
      </c>
      <c r="AF8" s="451" t="s">
        <v>49</v>
      </c>
      <c r="AG8" s="458" t="s">
        <v>29</v>
      </c>
      <c r="AH8" s="453" t="s">
        <v>34</v>
      </c>
      <c r="AI8" s="453" t="s">
        <v>35</v>
      </c>
      <c r="AJ8" s="453" t="s">
        <v>36</v>
      </c>
      <c r="AK8" s="453" t="s">
        <v>38</v>
      </c>
      <c r="AL8" s="453" t="s">
        <v>37</v>
      </c>
      <c r="AM8" s="462" t="s">
        <v>39</v>
      </c>
      <c r="AN8" s="449" t="s">
        <v>372</v>
      </c>
      <c r="AO8" s="449" t="s">
        <v>373</v>
      </c>
      <c r="AP8" s="449" t="s">
        <v>374</v>
      </c>
      <c r="AQ8" s="449" t="s">
        <v>375</v>
      </c>
      <c r="AR8" s="449" t="s">
        <v>376</v>
      </c>
      <c r="AS8" s="449" t="s">
        <v>377</v>
      </c>
      <c r="AT8" s="174"/>
      <c r="AU8" s="174"/>
      <c r="AV8" s="174"/>
      <c r="AW8" s="174"/>
      <c r="AX8" s="174"/>
      <c r="AY8" s="174"/>
      <c r="AZ8" s="174"/>
      <c r="BA8" s="174"/>
      <c r="BB8" s="174"/>
      <c r="BC8" s="174"/>
      <c r="BD8" s="174"/>
      <c r="BE8" s="174"/>
      <c r="BF8" s="174"/>
      <c r="BG8" s="174"/>
      <c r="BH8" s="174"/>
      <c r="BI8" s="174"/>
      <c r="BJ8" s="174"/>
      <c r="BK8" s="174"/>
      <c r="BL8" s="174"/>
      <c r="BM8" s="174"/>
      <c r="BN8" s="174"/>
      <c r="BO8" s="174"/>
    </row>
    <row r="9" spans="1:67" s="182" customFormat="1" ht="54.6" customHeight="1" x14ac:dyDescent="0.3">
      <c r="A9" s="466"/>
      <c r="B9" s="467"/>
      <c r="C9" s="457"/>
      <c r="D9" s="457"/>
      <c r="E9" s="468"/>
      <c r="F9" s="480"/>
      <c r="G9" s="481"/>
      <c r="H9" s="179" t="s">
        <v>202</v>
      </c>
      <c r="I9" s="453"/>
      <c r="J9" s="457"/>
      <c r="K9" s="453"/>
      <c r="L9" s="455"/>
      <c r="M9" s="453"/>
      <c r="N9" s="453"/>
      <c r="O9" s="455"/>
      <c r="P9" s="455"/>
      <c r="Q9" s="457"/>
      <c r="R9" s="459"/>
      <c r="S9" s="457"/>
      <c r="T9" s="453"/>
      <c r="U9" s="180" t="s">
        <v>13</v>
      </c>
      <c r="V9" s="180" t="s">
        <v>17</v>
      </c>
      <c r="W9" s="180" t="s">
        <v>28</v>
      </c>
      <c r="X9" s="180" t="s">
        <v>18</v>
      </c>
      <c r="Y9" s="180" t="s">
        <v>21</v>
      </c>
      <c r="Z9" s="180" t="s">
        <v>24</v>
      </c>
      <c r="AA9" s="451"/>
      <c r="AB9" s="451"/>
      <c r="AC9" s="451"/>
      <c r="AD9" s="451"/>
      <c r="AE9" s="451"/>
      <c r="AF9" s="451"/>
      <c r="AG9" s="459"/>
      <c r="AH9" s="457"/>
      <c r="AI9" s="457"/>
      <c r="AJ9" s="457"/>
      <c r="AK9" s="457"/>
      <c r="AL9" s="457"/>
      <c r="AM9" s="463"/>
      <c r="AN9" s="450"/>
      <c r="AO9" s="450"/>
      <c r="AP9" s="450"/>
      <c r="AQ9" s="450"/>
      <c r="AR9" s="450"/>
      <c r="AS9" s="450"/>
      <c r="AT9" s="181"/>
      <c r="AU9" s="181"/>
      <c r="AV9" s="181"/>
      <c r="AW9" s="181"/>
      <c r="AX9" s="181"/>
      <c r="AY9" s="181"/>
      <c r="AZ9" s="181"/>
      <c r="BA9" s="181"/>
      <c r="BB9" s="181"/>
      <c r="BC9" s="181"/>
      <c r="BD9" s="181"/>
      <c r="BE9" s="181"/>
      <c r="BF9" s="181"/>
      <c r="BG9" s="181"/>
      <c r="BH9" s="181"/>
      <c r="BI9" s="181"/>
      <c r="BJ9" s="181"/>
      <c r="BK9" s="181"/>
      <c r="BL9" s="181"/>
      <c r="BM9" s="181"/>
      <c r="BN9" s="181"/>
      <c r="BO9" s="181"/>
    </row>
    <row r="10" spans="1:67" s="194" customFormat="1" ht="65.400000000000006" customHeight="1" x14ac:dyDescent="0.3">
      <c r="A10" s="388">
        <v>1</v>
      </c>
      <c r="B10" s="460" t="s">
        <v>126</v>
      </c>
      <c r="C10" s="442" t="s">
        <v>362</v>
      </c>
      <c r="D10" s="444" t="s">
        <v>363</v>
      </c>
      <c r="E10" s="183" t="s">
        <v>364</v>
      </c>
      <c r="F10" s="446" t="s">
        <v>379</v>
      </c>
      <c r="G10" s="434" t="s">
        <v>380</v>
      </c>
      <c r="H10" s="446" t="s">
        <v>369</v>
      </c>
      <c r="I10" s="436" t="s">
        <v>118</v>
      </c>
      <c r="J10" s="438">
        <v>360</v>
      </c>
      <c r="K10" s="428" t="str">
        <f>IF(J10&lt;=0,"",IF(J10&lt;=2,"Muy Baja",IF(J10&lt;=24,"Baja",IF(J10&lt;=500,"Media",IF(J10&lt;=5000,"Alta","Muy Alta")))))</f>
        <v>Media</v>
      </c>
      <c r="L10" s="426">
        <f>IF(K10="","",IF(K10="Muy Baja",0.2,IF(K10="Baja",0.4,IF(K10="Media",0.6,IF(K10="Alta",0.8,IF(K10="Muy Alta",1,))))))</f>
        <v>0.6</v>
      </c>
      <c r="M10" s="440" t="s">
        <v>145</v>
      </c>
      <c r="N10" s="426" t="str">
        <f>IF(NOT(ISERROR(MATCH(M10,'[1]Tabla Impacto'!$B$221:$B$223,0))),'[1]Tabla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28" t="str">
        <f>IF(OR(N10='[1]Tabla Impacto'!$C$11,N10='[1]Tabla Impacto'!$D$11),"Leve",IF(OR(N10='[1]Tabla Impacto'!$C$12,N10='[1]Tabla Impacto'!$D$12),"Menor",IF(OR(N10='[1]Tabla Impacto'!$C$13,N10='[1]Tabla Impacto'!$D$13),"Moderado",IF(OR(N10='[1]Tabla Impacto'!$C$14,N10='[1]Tabla Impacto'!$D$14),"Mayor",IF(OR(N10='[1]Tabla Impacto'!$C$15,N10='[1]Tabla Impacto'!$D$15),"Catastrófico","")))))</f>
        <v>Mayor</v>
      </c>
      <c r="P10" s="426">
        <f>IF(O10="","",IF(O10="Leve",0.2,IF(O10="Menor",0.4,IF(O10="Moderado",0.6,IF(O10="Mayor",0.8,IF(O10="Catastrófico",1,))))))</f>
        <v>0.8</v>
      </c>
      <c r="Q10" s="430"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85">
        <v>1</v>
      </c>
      <c r="S10" s="197" t="s">
        <v>381</v>
      </c>
      <c r="T10" s="186" t="str">
        <f>IF(OR(U10="Preventivo",U10="Detectivo"),"Probabilidad",IF(U10="Correctivo","Impacto",""))</f>
        <v>Probabilidad</v>
      </c>
      <c r="U10" s="187" t="s">
        <v>15</v>
      </c>
      <c r="V10" s="187" t="s">
        <v>9</v>
      </c>
      <c r="W10" s="188" t="str">
        <f>IF(AND(U10="Preventivo",V10="Automático"),"50%",IF(AND(U10="Preventivo",V10="Manual"),"40%",IF(AND(U10="Detectivo",V10="Automático"),"40%",IF(AND(U10="Detectivo",V10="Manual"),"30%",IF(AND(U10="Correctivo",V10="Automático"),"35%",IF(AND(U10="Correctivo",V10="Manual"),"25%",""))))))</f>
        <v>30%</v>
      </c>
      <c r="X10" s="187" t="s">
        <v>20</v>
      </c>
      <c r="Y10" s="187" t="s">
        <v>22</v>
      </c>
      <c r="Z10" s="187" t="s">
        <v>114</v>
      </c>
      <c r="AA10" s="189">
        <f>IFERROR(IF(T10="Probabilidad",(L10-(+L10*W10)),IF(T10="Impacto",L10,"")),"")</f>
        <v>0.42</v>
      </c>
      <c r="AB10" s="190" t="str">
        <f>IFERROR(IF(AA10="","",IF(AA10&lt;=0.2,"Muy Baja",IF(AA10&lt;=0.4,"Baja",IF(AA10&lt;=0.6,"Media",IF(AA10&lt;=0.8,"Alta","Muy Alta"))))),"")</f>
        <v>Media</v>
      </c>
      <c r="AC10" s="191">
        <f>+AA10</f>
        <v>0.42</v>
      </c>
      <c r="AD10" s="190" t="str">
        <f>IFERROR(IF(AE10="","",IF(AE10&lt;=0.2,"Leve",IF(AE10&lt;=0.4,"Menor",IF(AE10&lt;=0.6,"Moderado",IF(AE10&lt;=0.8,"Mayor","Catastrófico"))))),"")</f>
        <v>Mayor</v>
      </c>
      <c r="AE10" s="191">
        <f>IFERROR(IF(T10="Impacto",(P10-(+P10*W10)),IF(T10="Probabilidad",P10,"")),"")</f>
        <v>0.8</v>
      </c>
      <c r="AF10" s="192"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432" t="s">
        <v>130</v>
      </c>
      <c r="AH10" s="414" t="s">
        <v>382</v>
      </c>
      <c r="AI10" s="414" t="s">
        <v>383</v>
      </c>
      <c r="AJ10" s="416" t="s">
        <v>384</v>
      </c>
      <c r="AK10" s="419" t="s">
        <v>385</v>
      </c>
      <c r="AL10" s="414" t="s">
        <v>386</v>
      </c>
      <c r="AM10" s="423" t="s">
        <v>424</v>
      </c>
      <c r="AN10" s="414" t="s">
        <v>387</v>
      </c>
      <c r="AO10" s="414" t="s">
        <v>416</v>
      </c>
      <c r="AP10" s="414" t="s">
        <v>387</v>
      </c>
      <c r="AQ10" s="414" t="s">
        <v>417</v>
      </c>
      <c r="AR10" s="414" t="s">
        <v>387</v>
      </c>
      <c r="AS10" s="414" t="s">
        <v>418</v>
      </c>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row>
    <row r="11" spans="1:67" ht="82.8" x14ac:dyDescent="0.3">
      <c r="A11" s="389"/>
      <c r="B11" s="461"/>
      <c r="C11" s="443"/>
      <c r="D11" s="445"/>
      <c r="E11" s="183" t="s">
        <v>365</v>
      </c>
      <c r="F11" s="446"/>
      <c r="G11" s="435"/>
      <c r="H11" s="446"/>
      <c r="I11" s="437"/>
      <c r="J11" s="439"/>
      <c r="K11" s="429"/>
      <c r="L11" s="427"/>
      <c r="M11" s="441"/>
      <c r="N11" s="427">
        <f>IF(NOT(ISERROR(MATCH(M11,_xlfn.ANCHORARRAY(#REF!),0))),#REF!&amp;"Por favor no seleccionar los criterios de impacto",M11)</f>
        <v>0</v>
      </c>
      <c r="O11" s="429"/>
      <c r="P11" s="427"/>
      <c r="Q11" s="431"/>
      <c r="R11" s="185">
        <v>2</v>
      </c>
      <c r="S11" s="195" t="s">
        <v>413</v>
      </c>
      <c r="T11" s="186" t="str">
        <f>IF(OR(U11="Preventivo",U11="Detectivo"),"Probabilidad",IF(U11="Correctivo","Impacto",""))</f>
        <v>Probabilidad</v>
      </c>
      <c r="U11" s="187" t="s">
        <v>14</v>
      </c>
      <c r="V11" s="187" t="s">
        <v>9</v>
      </c>
      <c r="W11" s="188" t="str">
        <f t="shared" ref="W11:W14" si="0">IF(AND(U11="Preventivo",V11="Automático"),"50%",IF(AND(U11="Preventivo",V11="Manual"),"40%",IF(AND(U11="Detectivo",V11="Automático"),"40%",IF(AND(U11="Detectivo",V11="Manual"),"30%",IF(AND(U11="Correctivo",V11="Automático"),"35%",IF(AND(U11="Correctivo",V11="Manual"),"25%",""))))))</f>
        <v>40%</v>
      </c>
      <c r="X11" s="187" t="s">
        <v>19</v>
      </c>
      <c r="Y11" s="187" t="s">
        <v>22</v>
      </c>
      <c r="Z11" s="187" t="s">
        <v>114</v>
      </c>
      <c r="AA11" s="189">
        <f>IFERROR(IF(AND(T10="Probabilidad",T11="Probabilidad"),(AC10-(+AC10*W11)),IF(AND(T10="Impacto",T11="Probabilidad"),(L10-(+L10*W11)),IF(T11="Impacto",AC10,""))),"")</f>
        <v>0.252</v>
      </c>
      <c r="AB11" s="190" t="str">
        <f t="shared" ref="AB11:AB14" si="1">IFERROR(IF(AA11="","",IF(AA11&lt;=0.2,"Muy Baja",IF(AA11&lt;=0.4,"Baja",IF(AA11&lt;=0.6,"Media",IF(AA11&lt;=0.8,"Alta","Muy Alta"))))),"")</f>
        <v>Baja</v>
      </c>
      <c r="AC11" s="191">
        <f>+AA11</f>
        <v>0.252</v>
      </c>
      <c r="AD11" s="190" t="str">
        <f t="shared" ref="AD11:AD14" si="2">IFERROR(IF(AE11="","",IF(AE11&lt;=0.2,"Leve",IF(AE11&lt;=0.4,"Menor",IF(AE11&lt;=0.6,"Moderado",IF(AE11&lt;=0.8,"Mayor","Catastrófico"))))),"")</f>
        <v>Mayor</v>
      </c>
      <c r="AE11" s="191">
        <f>IFERROR(IF(AND(T10="Impacto",T11="Impacto"),(AE10-(+AE10*W11)),IF(AND(T10="Probabilidad",T11="Impacto"),(P10-(+P10*W11)),IF(T11="Probabilidad",AE10,""))),"")</f>
        <v>0.8</v>
      </c>
      <c r="AF11" s="192" t="str">
        <f t="shared" ref="AF11:AF14"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433"/>
      <c r="AH11" s="415"/>
      <c r="AI11" s="415"/>
      <c r="AJ11" s="417"/>
      <c r="AK11" s="420"/>
      <c r="AL11" s="415"/>
      <c r="AM11" s="424"/>
      <c r="AN11" s="415"/>
      <c r="AO11" s="415"/>
      <c r="AP11" s="415"/>
      <c r="AQ11" s="415"/>
      <c r="AR11" s="415"/>
      <c r="AS11" s="415"/>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row>
    <row r="12" spans="1:67" ht="96.6" x14ac:dyDescent="0.3">
      <c r="A12" s="389"/>
      <c r="B12" s="461"/>
      <c r="C12" s="443"/>
      <c r="D12" s="445"/>
      <c r="E12" s="183" t="s">
        <v>366</v>
      </c>
      <c r="F12" s="446"/>
      <c r="G12" s="435"/>
      <c r="H12" s="446"/>
      <c r="I12" s="437"/>
      <c r="J12" s="439"/>
      <c r="K12" s="429"/>
      <c r="L12" s="427"/>
      <c r="M12" s="441"/>
      <c r="N12" s="427">
        <f>IF(NOT(ISERROR(MATCH(M12,_xlfn.ANCHORARRAY(#REF!),0))),#REF!&amp;"Por favor no seleccionar los criterios de impacto",M12)</f>
        <v>0</v>
      </c>
      <c r="O12" s="429"/>
      <c r="P12" s="427"/>
      <c r="Q12" s="431"/>
      <c r="R12" s="185">
        <v>3</v>
      </c>
      <c r="S12" s="196" t="s">
        <v>388</v>
      </c>
      <c r="T12" s="186" t="str">
        <f t="shared" ref="T12:T14" si="4">IF(OR(U12="Preventivo",U12="Detectivo"),"Probabilidad",IF(U12="Correctivo","Impacto",""))</f>
        <v>Probabilidad</v>
      </c>
      <c r="U12" s="187" t="s">
        <v>14</v>
      </c>
      <c r="V12" s="187" t="s">
        <v>9</v>
      </c>
      <c r="W12" s="188" t="str">
        <f t="shared" si="0"/>
        <v>40%</v>
      </c>
      <c r="X12" s="187" t="s">
        <v>19</v>
      </c>
      <c r="Y12" s="187" t="s">
        <v>22</v>
      </c>
      <c r="Z12" s="187" t="s">
        <v>114</v>
      </c>
      <c r="AA12" s="189">
        <f>IFERROR(IF(AND(T11="Probabilidad",T12="Probabilidad"),(AC11-(+AC11*W12)),IF(AND(T11="Impacto",T12="Probabilidad"),(AC10-(+AC10*W12)),IF(T12="Impacto",AC11,""))),"")</f>
        <v>0.1512</v>
      </c>
      <c r="AB12" s="190" t="str">
        <f t="shared" si="1"/>
        <v>Muy Baja</v>
      </c>
      <c r="AC12" s="191">
        <f t="shared" ref="AC12:AC18" si="5">+AA12</f>
        <v>0.1512</v>
      </c>
      <c r="AD12" s="190" t="str">
        <f t="shared" si="2"/>
        <v>Mayor</v>
      </c>
      <c r="AE12" s="191">
        <f t="shared" ref="AE12" si="6">IFERROR(IF(AND(T11="Impacto",T12="Impacto"),(AE11-(+AE11*W12)),IF(AND(T11="Probabilidad",T12="Impacto"),(AE10-(+AE10*W12)),IF(T12="Probabilidad",AE11,""))),"")</f>
        <v>0.8</v>
      </c>
      <c r="AF12" s="192" t="str">
        <f t="shared" si="3"/>
        <v>Alto</v>
      </c>
      <c r="AG12" s="433"/>
      <c r="AH12" s="415"/>
      <c r="AI12" s="415"/>
      <c r="AJ12" s="417"/>
      <c r="AK12" s="420"/>
      <c r="AL12" s="415"/>
      <c r="AM12" s="424"/>
      <c r="AN12" s="415"/>
      <c r="AO12" s="415"/>
      <c r="AP12" s="415"/>
      <c r="AQ12" s="415"/>
      <c r="AR12" s="415"/>
      <c r="AS12" s="415"/>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row>
    <row r="13" spans="1:67" ht="57.6" x14ac:dyDescent="0.3">
      <c r="A13" s="389"/>
      <c r="B13" s="461"/>
      <c r="C13" s="443"/>
      <c r="D13" s="445"/>
      <c r="E13" s="184" t="s">
        <v>367</v>
      </c>
      <c r="F13" s="446"/>
      <c r="G13" s="435"/>
      <c r="H13" s="446"/>
      <c r="I13" s="437"/>
      <c r="J13" s="439"/>
      <c r="K13" s="429"/>
      <c r="L13" s="427"/>
      <c r="M13" s="441"/>
      <c r="N13" s="427">
        <f>IF(NOT(ISERROR(MATCH(M13,_xlfn.ANCHORARRAY(#REF!),0))),#REF!&amp;"Por favor no seleccionar los criterios de impacto",M13)</f>
        <v>0</v>
      </c>
      <c r="O13" s="429"/>
      <c r="P13" s="427"/>
      <c r="Q13" s="431"/>
      <c r="R13" s="185">
        <v>4</v>
      </c>
      <c r="S13" s="197" t="s">
        <v>414</v>
      </c>
      <c r="T13" s="186" t="str">
        <f t="shared" si="4"/>
        <v>Probabilidad</v>
      </c>
      <c r="U13" s="187" t="s">
        <v>14</v>
      </c>
      <c r="V13" s="187" t="s">
        <v>9</v>
      </c>
      <c r="W13" s="188" t="str">
        <f t="shared" si="0"/>
        <v>40%</v>
      </c>
      <c r="X13" s="187" t="s">
        <v>19</v>
      </c>
      <c r="Y13" s="187" t="s">
        <v>22</v>
      </c>
      <c r="Z13" s="187" t="s">
        <v>114</v>
      </c>
      <c r="AA13" s="189">
        <f>IFERROR(IF(AND(T12="Probabilidad",T13="Probabilidad"),(AC12-(+AC12*W13)),IF(AND(T12="Impacto",T13="Probabilidad"),(AC11-(+AC11*W13)),IF(T13="Impacto",AC12,""))),"")</f>
        <v>9.0719999999999995E-2</v>
      </c>
      <c r="AB13" s="190" t="str">
        <f t="shared" si="1"/>
        <v>Muy Baja</v>
      </c>
      <c r="AC13" s="191">
        <f t="shared" si="5"/>
        <v>9.0719999999999995E-2</v>
      </c>
      <c r="AD13" s="190" t="str">
        <f t="shared" si="2"/>
        <v>Mayor</v>
      </c>
      <c r="AE13" s="191">
        <f>IFERROR(IF(AND(T12="Impacto",T13="Impacto"),(AE12-(+AE12*W13)),IF(AND(T12="Probabilidad",T13="Impacto"),(AE11-(+AE11*W13)),IF(T13="Probabilidad",AE12,""))),"")</f>
        <v>0.8</v>
      </c>
      <c r="AF13" s="192" t="str">
        <f t="shared" si="3"/>
        <v>Alto</v>
      </c>
      <c r="AG13" s="433"/>
      <c r="AH13" s="415"/>
      <c r="AI13" s="415"/>
      <c r="AJ13" s="417"/>
      <c r="AK13" s="420"/>
      <c r="AL13" s="415"/>
      <c r="AM13" s="424"/>
      <c r="AN13" s="415"/>
      <c r="AO13" s="415"/>
      <c r="AP13" s="415"/>
      <c r="AQ13" s="415"/>
      <c r="AR13" s="415"/>
      <c r="AS13" s="415"/>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row>
    <row r="14" spans="1:67" ht="57.6" x14ac:dyDescent="0.3">
      <c r="A14" s="389"/>
      <c r="B14" s="461"/>
      <c r="C14" s="443"/>
      <c r="D14" s="445"/>
      <c r="E14" s="183" t="s">
        <v>368</v>
      </c>
      <c r="F14" s="446"/>
      <c r="G14" s="447"/>
      <c r="H14" s="446"/>
      <c r="I14" s="437"/>
      <c r="J14" s="439"/>
      <c r="K14" s="429"/>
      <c r="L14" s="427"/>
      <c r="M14" s="441"/>
      <c r="N14" s="427">
        <f>IF(NOT(ISERROR(MATCH(M14,_xlfn.ANCHORARRAY(#REF!),0))),#REF!&amp;"Por favor no seleccionar los criterios de impacto",M14)</f>
        <v>0</v>
      </c>
      <c r="O14" s="429"/>
      <c r="P14" s="427"/>
      <c r="Q14" s="431"/>
      <c r="R14" s="185">
        <v>5</v>
      </c>
      <c r="S14" s="197" t="s">
        <v>415</v>
      </c>
      <c r="T14" s="186" t="str">
        <f t="shared" si="4"/>
        <v>Probabilidad</v>
      </c>
      <c r="U14" s="187" t="s">
        <v>15</v>
      </c>
      <c r="V14" s="187" t="s">
        <v>9</v>
      </c>
      <c r="W14" s="188" t="str">
        <f t="shared" si="0"/>
        <v>30%</v>
      </c>
      <c r="X14" s="187" t="s">
        <v>19</v>
      </c>
      <c r="Y14" s="187" t="s">
        <v>22</v>
      </c>
      <c r="Z14" s="187" t="s">
        <v>114</v>
      </c>
      <c r="AA14" s="189">
        <f>IFERROR(IF(AND(T13="Probabilidad",T14="Probabilidad"),(AC13-(+AC13*W14)),IF(AND(T13="Impacto",T14="Probabilidad"),(AC12-(+AC12*W14)),IF(T14="Impacto",AC13,""))),"")</f>
        <v>6.3504000000000005E-2</v>
      </c>
      <c r="AB14" s="190" t="str">
        <f t="shared" si="1"/>
        <v>Muy Baja</v>
      </c>
      <c r="AC14" s="191">
        <f t="shared" si="5"/>
        <v>6.3504000000000005E-2</v>
      </c>
      <c r="AD14" s="190" t="str">
        <f t="shared" si="2"/>
        <v>Mayor</v>
      </c>
      <c r="AE14" s="191">
        <f>IFERROR(IF(AND(T13="Impacto",T14="Impacto"),(AE13-(+AE13*W14)),IF(AND(T13="Probabilidad",T14="Impacto"),(AE12-(+AE12*W14)),IF(T14="Probabilidad",AE13,""))),"")</f>
        <v>0.8</v>
      </c>
      <c r="AF14" s="192" t="str">
        <f t="shared" si="3"/>
        <v>Alto</v>
      </c>
      <c r="AG14" s="448"/>
      <c r="AH14" s="422"/>
      <c r="AI14" s="422"/>
      <c r="AJ14" s="418"/>
      <c r="AK14" s="421"/>
      <c r="AL14" s="422"/>
      <c r="AM14" s="425"/>
      <c r="AN14" s="422"/>
      <c r="AO14" s="422"/>
      <c r="AP14" s="422"/>
      <c r="AQ14" s="422"/>
      <c r="AR14" s="422"/>
      <c r="AS14" s="422"/>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row>
    <row r="15" spans="1:67" ht="91.5" customHeight="1" x14ac:dyDescent="0.3">
      <c r="A15" s="388">
        <v>2</v>
      </c>
      <c r="B15" s="414" t="s">
        <v>128</v>
      </c>
      <c r="C15" s="442" t="s">
        <v>389</v>
      </c>
      <c r="D15" s="444" t="s">
        <v>390</v>
      </c>
      <c r="E15" s="183" t="s">
        <v>391</v>
      </c>
      <c r="F15" s="446" t="s">
        <v>419</v>
      </c>
      <c r="G15" s="434" t="s">
        <v>380</v>
      </c>
      <c r="H15" s="434" t="s">
        <v>392</v>
      </c>
      <c r="I15" s="436" t="s">
        <v>118</v>
      </c>
      <c r="J15" s="438">
        <v>360</v>
      </c>
      <c r="K15" s="428" t="str">
        <f>IF(J15&lt;=0,"",IF(J15&lt;=2,"Muy Baja",IF(J15&lt;=24,"Baja",IF(J15&lt;=500,"Media",IF(J15&lt;=5000,"Alta","Muy Alta")))))</f>
        <v>Media</v>
      </c>
      <c r="L15" s="426">
        <f>IF(K15="","",IF(K15="Muy Baja",0.2,IF(K15="Baja",0.4,IF(K15="Media",0.6,IF(K15="Alta",0.8,IF(K15="Muy Alta",1,))))))</f>
        <v>0.6</v>
      </c>
      <c r="M15" s="440" t="s">
        <v>145</v>
      </c>
      <c r="N15" s="426" t="str">
        <f>IF(NOT(ISERROR(MATCH(M15,'[1]Tabla Impacto'!$B$221:$B$223,0))),'[1]Tabla Impacto'!$F$223&amp;"Por favor no seleccionar los criterios de impacto(Afectación Económica o presupuestal y Pérdida Reputacional)",M15)</f>
        <v xml:space="preserve">     El riesgo afecta la imagen de de la entidad con efecto publicitario sostenido a nivel de sector administrativo, nivel departamental o municipal</v>
      </c>
      <c r="O15" s="428" t="str">
        <f>IF(OR(N15='[1]Tabla Impacto'!$C$11,N15='[1]Tabla Impacto'!$D$11),"Leve",IF(OR(N15='[1]Tabla Impacto'!$C$12,N15='[1]Tabla Impacto'!$D$12),"Menor",IF(OR(N15='[1]Tabla Impacto'!$C$13,N15='[1]Tabla Impacto'!$D$13),"Moderado",IF(OR(N15='[1]Tabla Impacto'!$C$14,N15='[1]Tabla Impacto'!$D$14),"Mayor",IF(OR(N15='[1]Tabla Impacto'!$C$15,N15='[1]Tabla Impacto'!$D$15),"Catastrófico","")))))</f>
        <v>Mayor</v>
      </c>
      <c r="P15" s="426">
        <f>IF(O15="","",IF(O15="Leve",0.2,IF(O15="Menor",0.4,IF(O15="Moderado",0.6,IF(O15="Mayor",0.8,IF(O15="Catastrófico",1,))))))</f>
        <v>0.8</v>
      </c>
      <c r="Q15" s="430"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Alto</v>
      </c>
      <c r="R15" s="198">
        <v>1</v>
      </c>
      <c r="S15" s="199" t="s">
        <v>420</v>
      </c>
      <c r="T15" s="186" t="str">
        <f>IF(OR(U15="Preventivo",U15="Detectivo"),"Probabilidad",IF(U15="Correctivo","Impacto",""))</f>
        <v>Probabilidad</v>
      </c>
      <c r="U15" s="187" t="s">
        <v>14</v>
      </c>
      <c r="V15" s="187" t="s">
        <v>9</v>
      </c>
      <c r="W15" s="188" t="str">
        <f>IF(AND(U15="Preventivo",V15="Automático"),"50%",IF(AND(U15="Preventivo",V15="Manual"),"40%",IF(AND(U15="Detectivo",V15="Automático"),"40%",IF(AND(U15="Detectivo",V15="Manual"),"30%",IF(AND(U15="Correctivo",V15="Automático"),"35%",IF(AND(U15="Correctivo",V15="Manual"),"25%",""))))))</f>
        <v>40%</v>
      </c>
      <c r="X15" s="187" t="s">
        <v>20</v>
      </c>
      <c r="Y15" s="187" t="s">
        <v>22</v>
      </c>
      <c r="Z15" s="187" t="s">
        <v>114</v>
      </c>
      <c r="AA15" s="200">
        <f>IFERROR(IF(T15="Probabilidad",(L15-(+L15*W15)),IF(T15="Impacto",L15,"")),"")</f>
        <v>0.36</v>
      </c>
      <c r="AB15" s="201" t="str">
        <f>IFERROR(IF(AA15="","",IF(AA15&lt;=0.2,"Muy Baja",IF(AA15&lt;=0.4,"Baja",IF(AA15&lt;=0.6,"Media",IF(AA15&lt;=0.8,"Alta","Muy Alta"))))),"")</f>
        <v>Baja</v>
      </c>
      <c r="AC15" s="202">
        <f t="shared" si="5"/>
        <v>0.36</v>
      </c>
      <c r="AD15" s="201" t="str">
        <f>IFERROR(IF(AE15="","",IF(AE15&lt;=0.2,"Leve",IF(AE15&lt;=0.4,"Menor",IF(AE15&lt;=0.6,"Moderado",IF(AE15&lt;=0.8,"Mayor","Catastrófico"))))),"")</f>
        <v>Mayor</v>
      </c>
      <c r="AE15" s="202">
        <f>IFERROR(IF(T15="Impacto",(P15-(+P15*W15)),IF(T15="Probabilidad",P15,"")),"")</f>
        <v>0.8</v>
      </c>
      <c r="AF15" s="203"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Alto</v>
      </c>
      <c r="AG15" s="432" t="s">
        <v>130</v>
      </c>
      <c r="AH15" s="414" t="s">
        <v>393</v>
      </c>
      <c r="AI15" s="414" t="s">
        <v>394</v>
      </c>
      <c r="AJ15" s="416" t="s">
        <v>395</v>
      </c>
      <c r="AK15" s="419" t="s">
        <v>396</v>
      </c>
      <c r="AL15" s="414" t="s">
        <v>397</v>
      </c>
      <c r="AM15" s="423" t="s">
        <v>424</v>
      </c>
      <c r="AN15" s="407" t="s">
        <v>398</v>
      </c>
      <c r="AO15" s="407" t="s">
        <v>399</v>
      </c>
      <c r="AP15" s="407" t="s">
        <v>400</v>
      </c>
      <c r="AQ15" s="410" t="s">
        <v>401</v>
      </c>
      <c r="AR15" s="410" t="s">
        <v>401</v>
      </c>
      <c r="AS15" s="410" t="s">
        <v>423</v>
      </c>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row>
    <row r="16" spans="1:67" ht="104.25" customHeight="1" x14ac:dyDescent="0.3">
      <c r="A16" s="389"/>
      <c r="B16" s="415"/>
      <c r="C16" s="443"/>
      <c r="D16" s="445"/>
      <c r="E16" s="183" t="s">
        <v>402</v>
      </c>
      <c r="F16" s="446"/>
      <c r="G16" s="435"/>
      <c r="H16" s="435"/>
      <c r="I16" s="437"/>
      <c r="J16" s="439"/>
      <c r="K16" s="429"/>
      <c r="L16" s="427"/>
      <c r="M16" s="441"/>
      <c r="N16" s="427">
        <f>IF(NOT(ISERROR(MATCH(M16,_xlfn.ANCHORARRAY(F15),0))),#REF!&amp;"Por favor no seleccionar los criterios de impacto",M16)</f>
        <v>0</v>
      </c>
      <c r="O16" s="429"/>
      <c r="P16" s="427"/>
      <c r="Q16" s="431"/>
      <c r="R16" s="198">
        <v>2</v>
      </c>
      <c r="S16" s="199" t="s">
        <v>421</v>
      </c>
      <c r="T16" s="186" t="str">
        <f>IF(OR(U16="Preventivo",U16="Detectivo"),"Probabilidad",IF(U16="Correctivo","Impacto",""))</f>
        <v>Probabilidad</v>
      </c>
      <c r="U16" s="187" t="s">
        <v>14</v>
      </c>
      <c r="V16" s="187" t="s">
        <v>9</v>
      </c>
      <c r="W16" s="188" t="str">
        <f t="shared" ref="W16:W18" si="7">IF(AND(U16="Preventivo",V16="Automático"),"50%",IF(AND(U16="Preventivo",V16="Manual"),"40%",IF(AND(U16="Detectivo",V16="Automático"),"40%",IF(AND(U16="Detectivo",V16="Manual"),"30%",IF(AND(U16="Correctivo",V16="Automático"),"35%",IF(AND(U16="Correctivo",V16="Manual"),"25%",""))))))</f>
        <v>40%</v>
      </c>
      <c r="X16" s="187" t="s">
        <v>20</v>
      </c>
      <c r="Y16" s="187" t="s">
        <v>23</v>
      </c>
      <c r="Z16" s="187" t="s">
        <v>114</v>
      </c>
      <c r="AA16" s="200">
        <f>IFERROR(IF(AND(T15="Probabilidad",T16="Probabilidad"),(AC15-(+AC15*W16)),IF(AND(T15="Impacto",T16="Probabilidad"),(L15-(+L15*W16)),IF(T16="Impacto",AC15,""))),"")</f>
        <v>0.216</v>
      </c>
      <c r="AB16" s="201" t="str">
        <f t="shared" ref="AB16:AB18" si="8">IFERROR(IF(AA16="","",IF(AA16&lt;=0.2,"Muy Baja",IF(AA16&lt;=0.4,"Baja",IF(AA16&lt;=0.6,"Media",IF(AA16&lt;=0.8,"Alta","Muy Alta"))))),"")</f>
        <v>Baja</v>
      </c>
      <c r="AC16" s="202">
        <f t="shared" si="5"/>
        <v>0.216</v>
      </c>
      <c r="AD16" s="201" t="str">
        <f t="shared" ref="AD16:AD18" si="9">IFERROR(IF(AE16="","",IF(AE16&lt;=0.2,"Leve",IF(AE16&lt;=0.4,"Menor",IF(AE16&lt;=0.6,"Moderado",IF(AE16&lt;=0.8,"Mayor","Catastrófico"))))),"")</f>
        <v>Mayor</v>
      </c>
      <c r="AE16" s="202">
        <f>IFERROR(IF(AND(T15="Impacto",T16="Impacto"),(AE15-(+AE15*W16)),IF(AND(T15="Probabilidad",T16="Impacto"),(P15-(+P15*W16)),IF(T16="Probabilidad",AE15,""))),"")</f>
        <v>0.8</v>
      </c>
      <c r="AF16" s="203" t="str">
        <f t="shared" ref="AF16:AF18" si="10">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Alto</v>
      </c>
      <c r="AG16" s="433"/>
      <c r="AH16" s="415"/>
      <c r="AI16" s="415"/>
      <c r="AJ16" s="417"/>
      <c r="AK16" s="420"/>
      <c r="AL16" s="415"/>
      <c r="AM16" s="424"/>
      <c r="AN16" s="408"/>
      <c r="AO16" s="408"/>
      <c r="AP16" s="408"/>
      <c r="AQ16" s="411"/>
      <c r="AR16" s="411"/>
      <c r="AS16" s="411"/>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row>
    <row r="17" spans="1:67" ht="100.8" customHeight="1" x14ac:dyDescent="0.3">
      <c r="A17" s="389"/>
      <c r="B17" s="415"/>
      <c r="C17" s="443"/>
      <c r="D17" s="445"/>
      <c r="E17" s="183" t="s">
        <v>403</v>
      </c>
      <c r="F17" s="446"/>
      <c r="G17" s="435"/>
      <c r="H17" s="435"/>
      <c r="I17" s="437"/>
      <c r="J17" s="439"/>
      <c r="K17" s="429"/>
      <c r="L17" s="427"/>
      <c r="M17" s="441"/>
      <c r="N17" s="427"/>
      <c r="O17" s="429"/>
      <c r="P17" s="427"/>
      <c r="Q17" s="431"/>
      <c r="R17" s="198">
        <v>3</v>
      </c>
      <c r="S17" s="204" t="s">
        <v>422</v>
      </c>
      <c r="T17" s="186" t="str">
        <f t="shared" ref="T17:T18" si="11">IF(OR(U17="Preventivo",U17="Detectivo"),"Probabilidad",IF(U17="Correctivo","Impacto",""))</f>
        <v>Probabilidad</v>
      </c>
      <c r="U17" s="187" t="s">
        <v>15</v>
      </c>
      <c r="V17" s="187" t="s">
        <v>10</v>
      </c>
      <c r="W17" s="188" t="str">
        <f t="shared" si="7"/>
        <v>40%</v>
      </c>
      <c r="X17" s="187" t="s">
        <v>19</v>
      </c>
      <c r="Y17" s="187" t="s">
        <v>22</v>
      </c>
      <c r="Z17" s="187" t="s">
        <v>114</v>
      </c>
      <c r="AA17" s="200">
        <f>IFERROR(IF(AND(T16="Probabilidad",T17="Probabilidad"),(AC16-(+AC16*W17)),IF(AND(T16="Impacto",T17="Probabilidad"),(L16-(+L16*W17)),IF(T17="Impacto",AC16,""))),"")</f>
        <v>0.12959999999999999</v>
      </c>
      <c r="AB17" s="201" t="str">
        <f t="shared" si="8"/>
        <v>Muy Baja</v>
      </c>
      <c r="AC17" s="202">
        <f t="shared" si="5"/>
        <v>0.12959999999999999</v>
      </c>
      <c r="AD17" s="201" t="str">
        <f t="shared" si="9"/>
        <v>Mayor</v>
      </c>
      <c r="AE17" s="202">
        <f>IFERROR(IF(AND(T16="Impacto",T17="Impacto"),(AE16-(+AE16*W17)),IF(AND(T16="Probabilidad",T17="Impacto"),(P16-(+P16*W17)),IF(T17="Probabilidad",AE16,""))),"")</f>
        <v>0.8</v>
      </c>
      <c r="AF17" s="203" t="str">
        <f t="shared" si="10"/>
        <v>Alto</v>
      </c>
      <c r="AG17" s="433"/>
      <c r="AH17" s="415"/>
      <c r="AI17" s="415"/>
      <c r="AJ17" s="417"/>
      <c r="AK17" s="420"/>
      <c r="AL17" s="415"/>
      <c r="AM17" s="424"/>
      <c r="AN17" s="408"/>
      <c r="AO17" s="408"/>
      <c r="AP17" s="408"/>
      <c r="AQ17" s="411"/>
      <c r="AR17" s="411"/>
      <c r="AS17" s="411"/>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row>
    <row r="18" spans="1:67" ht="87" customHeight="1" x14ac:dyDescent="0.3">
      <c r="A18" s="389"/>
      <c r="B18" s="415"/>
      <c r="C18" s="443"/>
      <c r="D18" s="445"/>
      <c r="E18" s="183" t="s">
        <v>404</v>
      </c>
      <c r="F18" s="446"/>
      <c r="G18" s="447"/>
      <c r="H18" s="435"/>
      <c r="I18" s="437"/>
      <c r="J18" s="439"/>
      <c r="K18" s="429"/>
      <c r="L18" s="427"/>
      <c r="M18" s="441"/>
      <c r="N18" s="427"/>
      <c r="O18" s="429"/>
      <c r="P18" s="427"/>
      <c r="Q18" s="431"/>
      <c r="R18" s="198">
        <v>4</v>
      </c>
      <c r="S18" s="204" t="s">
        <v>405</v>
      </c>
      <c r="T18" s="186" t="str">
        <f t="shared" si="11"/>
        <v>Probabilidad</v>
      </c>
      <c r="U18" s="187" t="s">
        <v>14</v>
      </c>
      <c r="V18" s="187" t="s">
        <v>9</v>
      </c>
      <c r="W18" s="188" t="str">
        <f t="shared" si="7"/>
        <v>40%</v>
      </c>
      <c r="X18" s="187" t="s">
        <v>20</v>
      </c>
      <c r="Y18" s="187" t="s">
        <v>23</v>
      </c>
      <c r="Z18" s="187" t="s">
        <v>114</v>
      </c>
      <c r="AA18" s="200">
        <f>IFERROR(IF(AND(T17="Probabilidad",T18="Probabilidad"),(AC17-(+AC17*W18)),IF(AND(T17="Impacto",T18="Probabilidad"),(L17-(+L17*W18)),IF(T18="Impacto",AC17,""))),"")</f>
        <v>7.7759999999999996E-2</v>
      </c>
      <c r="AB18" s="201" t="str">
        <f t="shared" si="8"/>
        <v>Muy Baja</v>
      </c>
      <c r="AC18" s="202">
        <f t="shared" si="5"/>
        <v>7.7759999999999996E-2</v>
      </c>
      <c r="AD18" s="201" t="str">
        <f t="shared" si="9"/>
        <v>Mayor</v>
      </c>
      <c r="AE18" s="202">
        <f>IFERROR(IF(AND(T17="Impacto",T18="Impacto"),(AE17-(+AE17*W18)),IF(AND(T17="Probabilidad",T18="Impacto"),(P17-(+P17*W18)),IF(T18="Probabilidad",AE17,""))),"")</f>
        <v>0.8</v>
      </c>
      <c r="AF18" s="203" t="str">
        <f t="shared" si="10"/>
        <v>Alto</v>
      </c>
      <c r="AG18" s="433"/>
      <c r="AH18" s="415"/>
      <c r="AI18" s="415"/>
      <c r="AJ18" s="418"/>
      <c r="AK18" s="421"/>
      <c r="AL18" s="422"/>
      <c r="AM18" s="425"/>
      <c r="AN18" s="409"/>
      <c r="AO18" s="409"/>
      <c r="AP18" s="409"/>
      <c r="AQ18" s="412"/>
      <c r="AR18" s="412"/>
      <c r="AS18" s="412"/>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row>
    <row r="19" spans="1:67" ht="26.25" customHeight="1" x14ac:dyDescent="0.3">
      <c r="A19" s="388"/>
      <c r="B19" s="391"/>
      <c r="C19" s="391"/>
      <c r="D19" s="400"/>
      <c r="E19" s="206"/>
      <c r="F19" s="413"/>
      <c r="G19" s="207"/>
      <c r="H19" s="208"/>
      <c r="I19" s="404"/>
      <c r="J19" s="397"/>
      <c r="K19" s="379" t="str">
        <f t="shared" ref="K19" si="12">IF(J19&lt;=0,"",IF(J19&lt;=2,"Muy Baja",IF(J19&lt;=24,"Baja",IF(J19&lt;=500,"Media",IF(J19&lt;=5000,"Alta","Muy Alta")))))</f>
        <v/>
      </c>
      <c r="L19" s="376" t="str">
        <f t="shared" ref="L19" si="13">IF(K19="","",IF(K19="Muy Baja",0.2,IF(K19="Baja",0.4,IF(K19="Media",0.6,IF(K19="Alta",0.8,IF(K19="Muy Alta",1,))))))</f>
        <v/>
      </c>
      <c r="M19" s="373"/>
      <c r="N19" s="376">
        <f>IF(NOT(ISERROR(MATCH(M19,'[1]Tabla Impacto'!$B$221:$B$223,0))),'[1]Tabla Impacto'!$F$223&amp;"Por favor no seleccionar los criterios de impacto(Afectación Económica o presupuestal y Pérdida Reputacional)",M19)</f>
        <v>0</v>
      </c>
      <c r="O19" s="379" t="str">
        <f>IF(OR(N19='[1]Tabla Impacto'!$C$11,N19='[1]Tabla Impacto'!$D$11),"Leve",IF(OR(N19='[1]Tabla Impacto'!$C$12,N19='[1]Tabla Impacto'!$D$12),"Menor",IF(OR(N19='[1]Tabla Impacto'!$C$13,N19='[1]Tabla Impacto'!$D$13),"Moderado",IF(OR(N19='[1]Tabla Impacto'!$C$14,N19='[1]Tabla Impacto'!$D$14),"Mayor",IF(OR(N19='[1]Tabla Impacto'!$C$15,N19='[1]Tabla Impacto'!$D$15),"Catastrófico","")))))</f>
        <v/>
      </c>
      <c r="P19" s="376" t="str">
        <f t="shared" ref="P19" si="14">IF(O19="","",IF(O19="Leve",0.2,IF(O19="Menor",0.4,IF(O19="Moderado",0.6,IF(O19="Mayor",0.8,IF(O19="Catastrófico",1,))))))</f>
        <v/>
      </c>
      <c r="Q19" s="382" t="str">
        <f t="shared" ref="Q19" si="15">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
      </c>
      <c r="R19" s="209">
        <v>1</v>
      </c>
      <c r="S19" s="91"/>
      <c r="T19" s="210" t="str">
        <f>IF(OR(U19="Preventivo",U19="Detectivo"),"Probabilidad",IF(U19="Correctivo","Impacto",""))</f>
        <v/>
      </c>
      <c r="U19" s="211"/>
      <c r="V19" s="211"/>
      <c r="W19" s="212" t="str">
        <f>IF(AND(U19="Preventivo",V19="Automático"),"50%",IF(AND(U19="Preventivo",V19="Manual"),"40%",IF(AND(U19="Detectivo",V19="Automático"),"40%",IF(AND(U19="Detectivo",V19="Manual"),"30%",IF(AND(U19="Correctivo",V19="Automático"),"35%",IF(AND(U19="Correctivo",V19="Manual"),"25%",""))))))</f>
        <v/>
      </c>
      <c r="X19" s="211"/>
      <c r="Y19" s="211"/>
      <c r="Z19" s="211"/>
      <c r="AA19" s="200" t="str">
        <f>IFERROR(IF(T19="Probabilidad",(L19-(+L19*W19)),IF(T19="Impacto",L19,"")),"")</f>
        <v/>
      </c>
      <c r="AB19" s="201" t="str">
        <f>IFERROR(IF(AA19="","",IF(AA19&lt;=0.2,"Muy Baja",IF(AA19&lt;=0.4,"Baja",IF(AA19&lt;=0.6,"Media",IF(AA19&lt;=0.8,"Alta","Muy Alta"))))),"")</f>
        <v/>
      </c>
      <c r="AC19" s="202" t="str">
        <f>+AA19</f>
        <v/>
      </c>
      <c r="AD19" s="201" t="str">
        <f>IFERROR(IF(AE19="","",IF(AE19&lt;=0.2,"Leve",IF(AE19&lt;=0.4,"Menor",IF(AE19&lt;=0.6,"Moderado",IF(AE19&lt;=0.8,"Mayor","Catastrófico"))))),"")</f>
        <v/>
      </c>
      <c r="AE19" s="202" t="str">
        <f>IFERROR(IF(T19="Impacto",(P19-(+P19*W19)),IF(T19="Probabilidad",P19,"")),"")</f>
        <v/>
      </c>
      <c r="AF19" s="203" t="str">
        <f>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
      </c>
      <c r="AG19" s="213"/>
      <c r="AH19" s="214"/>
      <c r="AI19" s="215"/>
      <c r="AJ19" s="216"/>
      <c r="AK19" s="217"/>
      <c r="AL19" s="218"/>
      <c r="AM19" s="219"/>
      <c r="AN19" s="216"/>
      <c r="AO19" s="216"/>
      <c r="AP19" s="216"/>
      <c r="AQ19" s="216"/>
      <c r="AR19" s="216"/>
      <c r="AS19" s="216"/>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row>
    <row r="20" spans="1:67" ht="26.25" customHeight="1" x14ac:dyDescent="0.3">
      <c r="A20" s="389"/>
      <c r="B20" s="392"/>
      <c r="C20" s="392"/>
      <c r="D20" s="401"/>
      <c r="E20" s="206"/>
      <c r="F20" s="413"/>
      <c r="G20" s="207"/>
      <c r="H20" s="208"/>
      <c r="I20" s="405"/>
      <c r="J20" s="398"/>
      <c r="K20" s="380"/>
      <c r="L20" s="377"/>
      <c r="M20" s="374"/>
      <c r="N20" s="377">
        <f>IF(NOT(ISERROR(MATCH(M20,_xlfn.ANCHORARRAY(F31),0))),L33&amp;"Por favor no seleccionar los criterios de impacto",M20)</f>
        <v>0</v>
      </c>
      <c r="O20" s="380"/>
      <c r="P20" s="377"/>
      <c r="Q20" s="383"/>
      <c r="R20" s="209">
        <v>2</v>
      </c>
      <c r="S20" s="91"/>
      <c r="T20" s="210" t="str">
        <f>IF(OR(U20="Preventivo",U20="Detectivo"),"Probabilidad",IF(U20="Correctivo","Impacto",""))</f>
        <v/>
      </c>
      <c r="U20" s="211"/>
      <c r="V20" s="211"/>
      <c r="W20" s="212" t="str">
        <f t="shared" ref="W20:W24" si="16">IF(AND(U20="Preventivo",V20="Automático"),"50%",IF(AND(U20="Preventivo",V20="Manual"),"40%",IF(AND(U20="Detectivo",V20="Automático"),"40%",IF(AND(U20="Detectivo",V20="Manual"),"30%",IF(AND(U20="Correctivo",V20="Automático"),"35%",IF(AND(U20="Correctivo",V20="Manual"),"25%",""))))))</f>
        <v/>
      </c>
      <c r="X20" s="211"/>
      <c r="Y20" s="211"/>
      <c r="Z20" s="211"/>
      <c r="AA20" s="200" t="str">
        <f>IFERROR(IF(AND(T19="Probabilidad",T20="Probabilidad"),(AC19-(+AC19*W20)),IF(AND(T19="Impacto",T20="Probabilidad"),(L19-(+L19*W20)),IF(T20="Impacto",AC19,""))),"")</f>
        <v/>
      </c>
      <c r="AB20" s="201" t="str">
        <f t="shared" ref="AB20:AB24" si="17">IFERROR(IF(AA20="","",IF(AA20&lt;=0.2,"Muy Baja",IF(AA20&lt;=0.4,"Baja",IF(AA20&lt;=0.6,"Media",IF(AA20&lt;=0.8,"Alta","Muy Alta"))))),"")</f>
        <v/>
      </c>
      <c r="AC20" s="202" t="str">
        <f>+AA20</f>
        <v/>
      </c>
      <c r="AD20" s="201" t="str">
        <f t="shared" ref="AD20:AD24" si="18">IFERROR(IF(AE20="","",IF(AE20&lt;=0.2,"Leve",IF(AE20&lt;=0.4,"Menor",IF(AE20&lt;=0.6,"Moderado",IF(AE20&lt;=0.8,"Mayor","Catastrófico"))))),"")</f>
        <v/>
      </c>
      <c r="AE20" s="202" t="str">
        <f>IFERROR(IF(AND(T19="Impacto",T20="Impacto"),(AE19-(+AE19*W20)),IF(AND(T19="Probabilidad",T20="Impacto"),(P19-(+P19*W20)),IF(T20="Probabilidad",AE19,""))),"")</f>
        <v/>
      </c>
      <c r="AF20" s="203" t="str">
        <f t="shared" ref="AF20:AF24" si="19">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213"/>
      <c r="AH20" s="214"/>
      <c r="AI20" s="215"/>
      <c r="AJ20" s="216"/>
      <c r="AK20" s="216"/>
      <c r="AL20" s="214"/>
      <c r="AM20" s="215"/>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row>
    <row r="21" spans="1:67" ht="26.25" customHeight="1" x14ac:dyDescent="0.3">
      <c r="A21" s="389"/>
      <c r="B21" s="392"/>
      <c r="C21" s="392"/>
      <c r="D21" s="401"/>
      <c r="E21" s="206"/>
      <c r="F21" s="413"/>
      <c r="G21" s="207"/>
      <c r="H21" s="208"/>
      <c r="I21" s="405"/>
      <c r="J21" s="398"/>
      <c r="K21" s="380"/>
      <c r="L21" s="377"/>
      <c r="M21" s="374"/>
      <c r="N21" s="377">
        <f>IF(NOT(ISERROR(MATCH(M21,_xlfn.ANCHORARRAY(F32),0))),L34&amp;"Por favor no seleccionar los criterios de impacto",M21)</f>
        <v>0</v>
      </c>
      <c r="O21" s="380"/>
      <c r="P21" s="377"/>
      <c r="Q21" s="383"/>
      <c r="R21" s="209">
        <v>3</v>
      </c>
      <c r="S21" s="221"/>
      <c r="T21" s="210" t="str">
        <f t="shared" ref="T21:T24" si="20">IF(OR(U21="Preventivo",U21="Detectivo"),"Probabilidad",IF(U21="Correctivo","Impacto",""))</f>
        <v/>
      </c>
      <c r="U21" s="211"/>
      <c r="V21" s="211"/>
      <c r="W21" s="212" t="str">
        <f t="shared" si="16"/>
        <v/>
      </c>
      <c r="X21" s="211"/>
      <c r="Y21" s="211"/>
      <c r="Z21" s="211"/>
      <c r="AA21" s="200" t="str">
        <f>IFERROR(IF(AND(T20="Probabilidad",T21="Probabilidad"),(AC20-(+AC20*W21)),IF(AND(T20="Impacto",T21="Probabilidad"),(AC19-(+AC19*W21)),IF(T21="Impacto",AC20,""))),"")</f>
        <v/>
      </c>
      <c r="AB21" s="201" t="str">
        <f t="shared" si="17"/>
        <v/>
      </c>
      <c r="AC21" s="202" t="str">
        <f t="shared" ref="AC21:AC24" si="21">+AA21</f>
        <v/>
      </c>
      <c r="AD21" s="201" t="str">
        <f t="shared" si="18"/>
        <v/>
      </c>
      <c r="AE21" s="202" t="str">
        <f t="shared" ref="AE21:AE24" si="22">IFERROR(IF(AND(T20="Impacto",T21="Impacto"),(AE20-(+AE20*W21)),IF(AND(T20="Probabilidad",T21="Impacto"),(AE19-(+AE19*W21)),IF(T21="Probabilidad",AE20,""))),"")</f>
        <v/>
      </c>
      <c r="AF21" s="203" t="str">
        <f t="shared" si="19"/>
        <v/>
      </c>
      <c r="AG21" s="213"/>
      <c r="AH21" s="214"/>
      <c r="AI21" s="215"/>
      <c r="AJ21" s="216"/>
      <c r="AK21" s="216"/>
      <c r="AL21" s="214"/>
      <c r="AM21" s="215"/>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row>
    <row r="22" spans="1:67" ht="26.25" customHeight="1" x14ac:dyDescent="0.3">
      <c r="A22" s="389"/>
      <c r="B22" s="392"/>
      <c r="C22" s="392"/>
      <c r="D22" s="401"/>
      <c r="E22" s="206"/>
      <c r="F22" s="413"/>
      <c r="G22" s="207"/>
      <c r="H22" s="208"/>
      <c r="I22" s="405"/>
      <c r="J22" s="398"/>
      <c r="K22" s="380"/>
      <c r="L22" s="377"/>
      <c r="M22" s="374"/>
      <c r="N22" s="377">
        <f>IF(NOT(ISERROR(MATCH(M22,_xlfn.ANCHORARRAY(F33),0))),L35&amp;"Por favor no seleccionar los criterios de impacto",M22)</f>
        <v>0</v>
      </c>
      <c r="O22" s="380"/>
      <c r="P22" s="377"/>
      <c r="Q22" s="383"/>
      <c r="R22" s="209">
        <v>4</v>
      </c>
      <c r="S22" s="91"/>
      <c r="T22" s="210" t="str">
        <f t="shared" si="20"/>
        <v/>
      </c>
      <c r="U22" s="211"/>
      <c r="V22" s="211"/>
      <c r="W22" s="212" t="str">
        <f t="shared" si="16"/>
        <v/>
      </c>
      <c r="X22" s="211"/>
      <c r="Y22" s="211"/>
      <c r="Z22" s="211"/>
      <c r="AA22" s="200" t="str">
        <f t="shared" ref="AA22:AA24" si="23">IFERROR(IF(AND(T21="Probabilidad",T22="Probabilidad"),(AC21-(+AC21*W22)),IF(AND(T21="Impacto",T22="Probabilidad"),(AC20-(+AC20*W22)),IF(T22="Impacto",AC21,""))),"")</f>
        <v/>
      </c>
      <c r="AB22" s="201" t="str">
        <f t="shared" si="17"/>
        <v/>
      </c>
      <c r="AC22" s="202" t="str">
        <f t="shared" si="21"/>
        <v/>
      </c>
      <c r="AD22" s="201" t="str">
        <f t="shared" si="18"/>
        <v/>
      </c>
      <c r="AE22" s="202" t="str">
        <f t="shared" si="22"/>
        <v/>
      </c>
      <c r="AF22" s="203" t="str">
        <f t="shared" si="19"/>
        <v/>
      </c>
      <c r="AG22" s="213"/>
      <c r="AH22" s="214"/>
      <c r="AI22" s="215"/>
      <c r="AJ22" s="216"/>
      <c r="AK22" s="216"/>
      <c r="AL22" s="214"/>
      <c r="AM22" s="215"/>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row>
    <row r="23" spans="1:67" ht="26.25" customHeight="1" x14ac:dyDescent="0.3">
      <c r="A23" s="389"/>
      <c r="B23" s="392"/>
      <c r="C23" s="392"/>
      <c r="D23" s="401"/>
      <c r="E23" s="206"/>
      <c r="F23" s="413"/>
      <c r="G23" s="207"/>
      <c r="H23" s="208"/>
      <c r="I23" s="405"/>
      <c r="J23" s="398"/>
      <c r="K23" s="380"/>
      <c r="L23" s="377"/>
      <c r="M23" s="374"/>
      <c r="N23" s="377">
        <f>IF(NOT(ISERROR(MATCH(M23,_xlfn.ANCHORARRAY(F34),0))),L36&amp;"Por favor no seleccionar los criterios de impacto",M23)</f>
        <v>0</v>
      </c>
      <c r="O23" s="380"/>
      <c r="P23" s="377"/>
      <c r="Q23" s="383"/>
      <c r="R23" s="209">
        <v>5</v>
      </c>
      <c r="S23" s="91"/>
      <c r="T23" s="210" t="str">
        <f t="shared" si="20"/>
        <v/>
      </c>
      <c r="U23" s="211"/>
      <c r="V23" s="211"/>
      <c r="W23" s="212" t="str">
        <f t="shared" si="16"/>
        <v/>
      </c>
      <c r="X23" s="211"/>
      <c r="Y23" s="211"/>
      <c r="Z23" s="211"/>
      <c r="AA23" s="200" t="str">
        <f t="shared" si="23"/>
        <v/>
      </c>
      <c r="AB23" s="201" t="str">
        <f t="shared" si="17"/>
        <v/>
      </c>
      <c r="AC23" s="202" t="str">
        <f t="shared" si="21"/>
        <v/>
      </c>
      <c r="AD23" s="201" t="str">
        <f t="shared" si="18"/>
        <v/>
      </c>
      <c r="AE23" s="202" t="str">
        <f t="shared" si="22"/>
        <v/>
      </c>
      <c r="AF23" s="203" t="str">
        <f t="shared" si="19"/>
        <v/>
      </c>
      <c r="AG23" s="213"/>
      <c r="AH23" s="214"/>
      <c r="AI23" s="215"/>
      <c r="AJ23" s="216"/>
      <c r="AK23" s="216"/>
      <c r="AL23" s="214"/>
      <c r="AM23" s="215"/>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row>
    <row r="24" spans="1:67" ht="26.25" customHeight="1" x14ac:dyDescent="0.3">
      <c r="A24" s="390"/>
      <c r="B24" s="393"/>
      <c r="C24" s="393"/>
      <c r="D24" s="402"/>
      <c r="E24" s="206"/>
      <c r="F24" s="413"/>
      <c r="G24" s="207"/>
      <c r="H24" s="208"/>
      <c r="I24" s="406"/>
      <c r="J24" s="399"/>
      <c r="K24" s="381"/>
      <c r="L24" s="378"/>
      <c r="M24" s="375"/>
      <c r="N24" s="378">
        <f>IF(NOT(ISERROR(MATCH(M24,_xlfn.ANCHORARRAY(F35),0))),L37&amp;"Por favor no seleccionar los criterios de impacto",M24)</f>
        <v>0</v>
      </c>
      <c r="O24" s="381"/>
      <c r="P24" s="378"/>
      <c r="Q24" s="384"/>
      <c r="R24" s="209">
        <v>6</v>
      </c>
      <c r="S24" s="91"/>
      <c r="T24" s="210" t="str">
        <f t="shared" si="20"/>
        <v/>
      </c>
      <c r="U24" s="211"/>
      <c r="V24" s="211"/>
      <c r="W24" s="212" t="str">
        <f t="shared" si="16"/>
        <v/>
      </c>
      <c r="X24" s="211"/>
      <c r="Y24" s="211"/>
      <c r="Z24" s="211"/>
      <c r="AA24" s="200" t="str">
        <f t="shared" si="23"/>
        <v/>
      </c>
      <c r="AB24" s="201" t="str">
        <f t="shared" si="17"/>
        <v/>
      </c>
      <c r="AC24" s="202" t="str">
        <f t="shared" si="21"/>
        <v/>
      </c>
      <c r="AD24" s="201" t="str">
        <f t="shared" si="18"/>
        <v/>
      </c>
      <c r="AE24" s="202" t="str">
        <f t="shared" si="22"/>
        <v/>
      </c>
      <c r="AF24" s="203" t="str">
        <f t="shared" si="19"/>
        <v/>
      </c>
      <c r="AG24" s="213"/>
      <c r="AH24" s="214"/>
      <c r="AI24" s="215"/>
      <c r="AJ24" s="216"/>
      <c r="AK24" s="216"/>
      <c r="AL24" s="214"/>
      <c r="AM24" s="215"/>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row>
    <row r="25" spans="1:67" ht="26.25" customHeight="1" x14ac:dyDescent="0.3">
      <c r="A25" s="388">
        <v>6</v>
      </c>
      <c r="B25" s="391"/>
      <c r="C25" s="391"/>
      <c r="D25" s="400"/>
      <c r="E25" s="206"/>
      <c r="F25" s="403"/>
      <c r="G25" s="208"/>
      <c r="H25" s="208"/>
      <c r="I25" s="404"/>
      <c r="J25" s="397"/>
      <c r="K25" s="379" t="str">
        <f t="shared" ref="K25" si="24">IF(J25&lt;=0,"",IF(J25&lt;=2,"Muy Baja",IF(J25&lt;=24,"Baja",IF(J25&lt;=500,"Media",IF(J25&lt;=5000,"Alta","Muy Alta")))))</f>
        <v/>
      </c>
      <c r="L25" s="376" t="str">
        <f t="shared" ref="L25" si="25">IF(K25="","",IF(K25="Muy Baja",0.2,IF(K25="Baja",0.4,IF(K25="Media",0.6,IF(K25="Alta",0.8,IF(K25="Muy Alta",1,))))))</f>
        <v/>
      </c>
      <c r="M25" s="373"/>
      <c r="N25" s="376">
        <f>IF(NOT(ISERROR(MATCH(M25,'[1]Tabla Impacto'!$B$221:$B$223,0))),'[1]Tabla Impacto'!$F$223&amp;"Por favor no seleccionar los criterios de impacto(Afectación Económica o presupuestal y Pérdida Reputacional)",M25)</f>
        <v>0</v>
      </c>
      <c r="O25" s="379" t="str">
        <f>IF(OR(N25='[1]Tabla Impacto'!$C$11,N25='[1]Tabla Impacto'!$D$11),"Leve",IF(OR(N25='[1]Tabla Impacto'!$C$12,N25='[1]Tabla Impacto'!$D$12),"Menor",IF(OR(N25='[1]Tabla Impacto'!$C$13,N25='[1]Tabla Impacto'!$D$13),"Moderado",IF(OR(N25='[1]Tabla Impacto'!$C$14,N25='[1]Tabla Impacto'!$D$14),"Mayor",IF(OR(N25='[1]Tabla Impacto'!$C$15,N25='[1]Tabla Impacto'!$D$15),"Catastrófico","")))))</f>
        <v/>
      </c>
      <c r="P25" s="376" t="str">
        <f t="shared" ref="P25" si="26">IF(O25="","",IF(O25="Leve",0.2,IF(O25="Menor",0.4,IF(O25="Moderado",0.6,IF(O25="Mayor",0.8,IF(O25="Catastrófico",1,))))))</f>
        <v/>
      </c>
      <c r="Q25" s="382" t="str">
        <f t="shared" ref="Q25" si="27">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
      </c>
      <c r="R25" s="209">
        <v>1</v>
      </c>
      <c r="S25" s="91"/>
      <c r="T25" s="210" t="str">
        <f>IF(OR(U25="Preventivo",U25="Detectivo"),"Probabilidad",IF(U25="Correctivo","Impacto",""))</f>
        <v/>
      </c>
      <c r="U25" s="211"/>
      <c r="V25" s="211"/>
      <c r="W25" s="212" t="str">
        <f>IF(AND(U25="Preventivo",V25="Automático"),"50%",IF(AND(U25="Preventivo",V25="Manual"),"40%",IF(AND(U25="Detectivo",V25="Automático"),"40%",IF(AND(U25="Detectivo",V25="Manual"),"30%",IF(AND(U25="Correctivo",V25="Automático"),"35%",IF(AND(U25="Correctivo",V25="Manual"),"25%",""))))))</f>
        <v/>
      </c>
      <c r="X25" s="211"/>
      <c r="Y25" s="211"/>
      <c r="Z25" s="211"/>
      <c r="AA25" s="200" t="str">
        <f>IFERROR(IF(T25="Probabilidad",(L25-(+L25*W25)),IF(T25="Impacto",L25,"")),"")</f>
        <v/>
      </c>
      <c r="AB25" s="201" t="str">
        <f>IFERROR(IF(AA25="","",IF(AA25&lt;=0.2,"Muy Baja",IF(AA25&lt;=0.4,"Baja",IF(AA25&lt;=0.6,"Media",IF(AA25&lt;=0.8,"Alta","Muy Alta"))))),"")</f>
        <v/>
      </c>
      <c r="AC25" s="202" t="str">
        <f>+AA25</f>
        <v/>
      </c>
      <c r="AD25" s="201" t="str">
        <f>IFERROR(IF(AE25="","",IF(AE25&lt;=0.2,"Leve",IF(AE25&lt;=0.4,"Menor",IF(AE25&lt;=0.6,"Moderado",IF(AE25&lt;=0.8,"Mayor","Catastrófico"))))),"")</f>
        <v/>
      </c>
      <c r="AE25" s="202" t="str">
        <f>IFERROR(IF(T25="Impacto",(P25-(+P25*W25)),IF(T25="Probabilidad",P25,"")),"")</f>
        <v/>
      </c>
      <c r="AF25" s="203" t="str">
        <f>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213"/>
      <c r="AH25" s="214"/>
      <c r="AI25" s="215"/>
      <c r="AJ25" s="216"/>
      <c r="AK25" s="216"/>
      <c r="AL25" s="214"/>
      <c r="AM25" s="215"/>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row>
    <row r="26" spans="1:67" ht="26.25" customHeight="1" x14ac:dyDescent="0.3">
      <c r="A26" s="389"/>
      <c r="B26" s="392"/>
      <c r="C26" s="392"/>
      <c r="D26" s="401"/>
      <c r="E26" s="206"/>
      <c r="F26" s="403"/>
      <c r="G26" s="208"/>
      <c r="H26" s="208"/>
      <c r="I26" s="405"/>
      <c r="J26" s="398"/>
      <c r="K26" s="380"/>
      <c r="L26" s="377"/>
      <c r="M26" s="374"/>
      <c r="N26" s="377">
        <f>IF(NOT(ISERROR(MATCH(M26,_xlfn.ANCHORARRAY(F37),0))),L39&amp;"Por favor no seleccionar los criterios de impacto",M26)</f>
        <v>0</v>
      </c>
      <c r="O26" s="380"/>
      <c r="P26" s="377"/>
      <c r="Q26" s="383"/>
      <c r="R26" s="209">
        <v>2</v>
      </c>
      <c r="S26" s="91"/>
      <c r="T26" s="210" t="str">
        <f>IF(OR(U26="Preventivo",U26="Detectivo"),"Probabilidad",IF(U26="Correctivo","Impacto",""))</f>
        <v/>
      </c>
      <c r="U26" s="211"/>
      <c r="V26" s="211"/>
      <c r="W26" s="212" t="str">
        <f t="shared" ref="W26:W30" si="28">IF(AND(U26="Preventivo",V26="Automático"),"50%",IF(AND(U26="Preventivo",V26="Manual"),"40%",IF(AND(U26="Detectivo",V26="Automático"),"40%",IF(AND(U26="Detectivo",V26="Manual"),"30%",IF(AND(U26="Correctivo",V26="Automático"),"35%",IF(AND(U26="Correctivo",V26="Manual"),"25%",""))))))</f>
        <v/>
      </c>
      <c r="X26" s="211"/>
      <c r="Y26" s="211"/>
      <c r="Z26" s="211"/>
      <c r="AA26" s="200" t="str">
        <f>IFERROR(IF(AND(T25="Probabilidad",T26="Probabilidad"),(AC25-(+AC25*W26)),IF(AND(T25="Impacto",T26="Probabilidad"),(L25-(+L25*W26)),IF(T26="Impacto",AC25,""))),"")</f>
        <v/>
      </c>
      <c r="AB26" s="201" t="str">
        <f t="shared" ref="AB26:AB30" si="29">IFERROR(IF(AA26="","",IF(AA26&lt;=0.2,"Muy Baja",IF(AA26&lt;=0.4,"Baja",IF(AA26&lt;=0.6,"Media",IF(AA26&lt;=0.8,"Alta","Muy Alta"))))),"")</f>
        <v/>
      </c>
      <c r="AC26" s="202" t="str">
        <f>+AA26</f>
        <v/>
      </c>
      <c r="AD26" s="201" t="str">
        <f t="shared" ref="AD26:AD30" si="30">IFERROR(IF(AE26="","",IF(AE26&lt;=0.2,"Leve",IF(AE26&lt;=0.4,"Menor",IF(AE26&lt;=0.6,"Moderado",IF(AE26&lt;=0.8,"Mayor","Catastrófico"))))),"")</f>
        <v/>
      </c>
      <c r="AE26" s="202" t="str">
        <f>IFERROR(IF(AND(T25="Impacto",T26="Impacto"),(AE25-(+AE25*W26)),IF(AND(T25="Probabilidad",T26="Impacto"),(P25-(+P25*W26)),IF(T26="Probabilidad",AE25,""))),"")</f>
        <v/>
      </c>
      <c r="AF26" s="203" t="str">
        <f t="shared" ref="AF26:AF30" si="31">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213"/>
      <c r="AH26" s="214"/>
      <c r="AI26" s="215"/>
      <c r="AJ26" s="216"/>
      <c r="AK26" s="216"/>
      <c r="AL26" s="214"/>
      <c r="AM26" s="215"/>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row>
    <row r="27" spans="1:67" ht="26.25" customHeight="1" x14ac:dyDescent="0.3">
      <c r="A27" s="389"/>
      <c r="B27" s="392"/>
      <c r="C27" s="392"/>
      <c r="D27" s="401"/>
      <c r="E27" s="206"/>
      <c r="F27" s="403"/>
      <c r="G27" s="208"/>
      <c r="H27" s="208"/>
      <c r="I27" s="405"/>
      <c r="J27" s="398"/>
      <c r="K27" s="380"/>
      <c r="L27" s="377"/>
      <c r="M27" s="374"/>
      <c r="N27" s="377">
        <f>IF(NOT(ISERROR(MATCH(M27,_xlfn.ANCHORARRAY(F38),0))),L40&amp;"Por favor no seleccionar los criterios de impacto",M27)</f>
        <v>0</v>
      </c>
      <c r="O27" s="380"/>
      <c r="P27" s="377"/>
      <c r="Q27" s="383"/>
      <c r="R27" s="209">
        <v>3</v>
      </c>
      <c r="S27" s="221"/>
      <c r="T27" s="210" t="str">
        <f t="shared" ref="T27:T30" si="32">IF(OR(U27="Preventivo",U27="Detectivo"),"Probabilidad",IF(U27="Correctivo","Impacto",""))</f>
        <v/>
      </c>
      <c r="U27" s="211"/>
      <c r="V27" s="211"/>
      <c r="W27" s="212" t="str">
        <f t="shared" si="28"/>
        <v/>
      </c>
      <c r="X27" s="211"/>
      <c r="Y27" s="211"/>
      <c r="Z27" s="211"/>
      <c r="AA27" s="200" t="str">
        <f>IFERROR(IF(AND(T26="Probabilidad",T27="Probabilidad"),(AC26-(+AC26*W27)),IF(AND(T26="Impacto",T27="Probabilidad"),(AC25-(+AC25*W27)),IF(T27="Impacto",AC26,""))),"")</f>
        <v/>
      </c>
      <c r="AB27" s="201" t="str">
        <f t="shared" si="29"/>
        <v/>
      </c>
      <c r="AC27" s="202" t="str">
        <f t="shared" ref="AC27:AC30" si="33">+AA27</f>
        <v/>
      </c>
      <c r="AD27" s="201" t="str">
        <f t="shared" si="30"/>
        <v/>
      </c>
      <c r="AE27" s="202" t="str">
        <f t="shared" ref="AE27:AE30" si="34">IFERROR(IF(AND(T26="Impacto",T27="Impacto"),(AE26-(+AE26*W27)),IF(AND(T26="Probabilidad",T27="Impacto"),(AE25-(+AE25*W27)),IF(T27="Probabilidad",AE26,""))),"")</f>
        <v/>
      </c>
      <c r="AF27" s="203" t="str">
        <f t="shared" si="31"/>
        <v/>
      </c>
      <c r="AG27" s="213"/>
      <c r="AH27" s="214"/>
      <c r="AI27" s="215"/>
      <c r="AJ27" s="216"/>
      <c r="AK27" s="216"/>
      <c r="AL27" s="214"/>
      <c r="AM27" s="215"/>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row>
    <row r="28" spans="1:67" ht="26.25" customHeight="1" x14ac:dyDescent="0.3">
      <c r="A28" s="389"/>
      <c r="B28" s="392"/>
      <c r="C28" s="392"/>
      <c r="D28" s="401"/>
      <c r="E28" s="206"/>
      <c r="F28" s="403"/>
      <c r="G28" s="208"/>
      <c r="H28" s="208"/>
      <c r="I28" s="405"/>
      <c r="J28" s="398"/>
      <c r="K28" s="380"/>
      <c r="L28" s="377"/>
      <c r="M28" s="374"/>
      <c r="N28" s="377">
        <f>IF(NOT(ISERROR(MATCH(M28,_xlfn.ANCHORARRAY(F39),0))),L41&amp;"Por favor no seleccionar los criterios de impacto",M28)</f>
        <v>0</v>
      </c>
      <c r="O28" s="380"/>
      <c r="P28" s="377"/>
      <c r="Q28" s="383"/>
      <c r="R28" s="209">
        <v>4</v>
      </c>
      <c r="S28" s="91"/>
      <c r="T28" s="210" t="str">
        <f t="shared" si="32"/>
        <v/>
      </c>
      <c r="U28" s="211"/>
      <c r="V28" s="211"/>
      <c r="W28" s="212" t="str">
        <f t="shared" si="28"/>
        <v/>
      </c>
      <c r="X28" s="211"/>
      <c r="Y28" s="211"/>
      <c r="Z28" s="211"/>
      <c r="AA28" s="200" t="str">
        <f t="shared" ref="AA28:AA30" si="35">IFERROR(IF(AND(T27="Probabilidad",T28="Probabilidad"),(AC27-(+AC27*W28)),IF(AND(T27="Impacto",T28="Probabilidad"),(AC26-(+AC26*W28)),IF(T28="Impacto",AC27,""))),"")</f>
        <v/>
      </c>
      <c r="AB28" s="201" t="str">
        <f t="shared" si="29"/>
        <v/>
      </c>
      <c r="AC28" s="202" t="str">
        <f t="shared" si="33"/>
        <v/>
      </c>
      <c r="AD28" s="201" t="str">
        <f t="shared" si="30"/>
        <v/>
      </c>
      <c r="AE28" s="202" t="str">
        <f t="shared" si="34"/>
        <v/>
      </c>
      <c r="AF28" s="203" t="str">
        <f t="shared" si="31"/>
        <v/>
      </c>
      <c r="AG28" s="213"/>
      <c r="AH28" s="214"/>
      <c r="AI28" s="215"/>
      <c r="AJ28" s="216"/>
      <c r="AK28" s="216"/>
      <c r="AL28" s="214"/>
      <c r="AM28" s="215"/>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row>
    <row r="29" spans="1:67" ht="26.25" customHeight="1" x14ac:dyDescent="0.3">
      <c r="A29" s="389"/>
      <c r="B29" s="392"/>
      <c r="C29" s="392"/>
      <c r="D29" s="401"/>
      <c r="E29" s="206"/>
      <c r="F29" s="403"/>
      <c r="G29" s="208"/>
      <c r="H29" s="208"/>
      <c r="I29" s="405"/>
      <c r="J29" s="398"/>
      <c r="K29" s="380"/>
      <c r="L29" s="377"/>
      <c r="M29" s="374"/>
      <c r="N29" s="377">
        <f>IF(NOT(ISERROR(MATCH(M29,_xlfn.ANCHORARRAY(F40),0))),L42&amp;"Por favor no seleccionar los criterios de impacto",M29)</f>
        <v>0</v>
      </c>
      <c r="O29" s="380"/>
      <c r="P29" s="377"/>
      <c r="Q29" s="383"/>
      <c r="R29" s="209">
        <v>5</v>
      </c>
      <c r="S29" s="91"/>
      <c r="T29" s="210" t="str">
        <f t="shared" si="32"/>
        <v/>
      </c>
      <c r="U29" s="211"/>
      <c r="V29" s="211"/>
      <c r="W29" s="212" t="str">
        <f t="shared" si="28"/>
        <v/>
      </c>
      <c r="X29" s="211"/>
      <c r="Y29" s="211"/>
      <c r="Z29" s="211"/>
      <c r="AA29" s="200" t="str">
        <f t="shared" si="35"/>
        <v/>
      </c>
      <c r="AB29" s="201" t="str">
        <f t="shared" si="29"/>
        <v/>
      </c>
      <c r="AC29" s="202" t="str">
        <f t="shared" si="33"/>
        <v/>
      </c>
      <c r="AD29" s="201" t="str">
        <f t="shared" si="30"/>
        <v/>
      </c>
      <c r="AE29" s="202" t="str">
        <f t="shared" si="34"/>
        <v/>
      </c>
      <c r="AF29" s="203" t="str">
        <f t="shared" si="31"/>
        <v/>
      </c>
      <c r="AG29" s="213"/>
      <c r="AH29" s="214"/>
      <c r="AI29" s="215"/>
      <c r="AJ29" s="216"/>
      <c r="AK29" s="216"/>
      <c r="AL29" s="214"/>
      <c r="AM29" s="215"/>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row>
    <row r="30" spans="1:67" ht="26.25" customHeight="1" x14ac:dyDescent="0.3">
      <c r="A30" s="390"/>
      <c r="B30" s="393"/>
      <c r="C30" s="393"/>
      <c r="D30" s="402"/>
      <c r="E30" s="206"/>
      <c r="F30" s="403"/>
      <c r="G30" s="208"/>
      <c r="H30" s="208"/>
      <c r="I30" s="406"/>
      <c r="J30" s="399"/>
      <c r="K30" s="381"/>
      <c r="L30" s="378"/>
      <c r="M30" s="375"/>
      <c r="N30" s="378">
        <f>IF(NOT(ISERROR(MATCH(M30,_xlfn.ANCHORARRAY(F41),0))),L43&amp;"Por favor no seleccionar los criterios de impacto",M30)</f>
        <v>0</v>
      </c>
      <c r="O30" s="381"/>
      <c r="P30" s="378"/>
      <c r="Q30" s="384"/>
      <c r="R30" s="209">
        <v>6</v>
      </c>
      <c r="S30" s="91"/>
      <c r="T30" s="210" t="str">
        <f t="shared" si="32"/>
        <v/>
      </c>
      <c r="U30" s="211"/>
      <c r="V30" s="211"/>
      <c r="W30" s="212" t="str">
        <f t="shared" si="28"/>
        <v/>
      </c>
      <c r="X30" s="211"/>
      <c r="Y30" s="211"/>
      <c r="Z30" s="211"/>
      <c r="AA30" s="200" t="str">
        <f t="shared" si="35"/>
        <v/>
      </c>
      <c r="AB30" s="201" t="str">
        <f t="shared" si="29"/>
        <v/>
      </c>
      <c r="AC30" s="202" t="str">
        <f t="shared" si="33"/>
        <v/>
      </c>
      <c r="AD30" s="201" t="str">
        <f t="shared" si="30"/>
        <v/>
      </c>
      <c r="AE30" s="202" t="str">
        <f t="shared" si="34"/>
        <v/>
      </c>
      <c r="AF30" s="203" t="str">
        <f t="shared" si="31"/>
        <v/>
      </c>
      <c r="AG30" s="213"/>
      <c r="AH30" s="214"/>
      <c r="AI30" s="215"/>
      <c r="AJ30" s="216"/>
      <c r="AK30" s="216"/>
      <c r="AL30" s="214"/>
      <c r="AM30" s="215"/>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row>
    <row r="31" spans="1:67" ht="26.25" customHeight="1" x14ac:dyDescent="0.3">
      <c r="A31" s="388">
        <v>7</v>
      </c>
      <c r="B31" s="391"/>
      <c r="C31" s="391"/>
      <c r="D31" s="391"/>
      <c r="E31" s="220"/>
      <c r="F31" s="395"/>
      <c r="G31" s="223"/>
      <c r="H31" s="223"/>
      <c r="I31" s="391"/>
      <c r="J31" s="397"/>
      <c r="K31" s="379" t="str">
        <f t="shared" ref="K31" si="36">IF(J31&lt;=0,"",IF(J31&lt;=2,"Muy Baja",IF(J31&lt;=24,"Baja",IF(J31&lt;=500,"Media",IF(J31&lt;=5000,"Alta","Muy Alta")))))</f>
        <v/>
      </c>
      <c r="L31" s="376" t="str">
        <f t="shared" ref="L31" si="37">IF(K31="","",IF(K31="Muy Baja",0.2,IF(K31="Baja",0.4,IF(K31="Media",0.6,IF(K31="Alta",0.8,IF(K31="Muy Alta",1,))))))</f>
        <v/>
      </c>
      <c r="M31" s="373"/>
      <c r="N31" s="376">
        <f>IF(NOT(ISERROR(MATCH(M31,'[1]Tabla Impacto'!$B$221:$B$223,0))),'[1]Tabla Impacto'!$F$223&amp;"Por favor no seleccionar los criterios de impacto(Afectación Económica o presupuestal y Pérdida Reputacional)",M31)</f>
        <v>0</v>
      </c>
      <c r="O31" s="379" t="str">
        <f>IF(OR(N31='[1]Tabla Impacto'!$C$11,N31='[1]Tabla Impacto'!$D$11),"Leve",IF(OR(N31='[1]Tabla Impacto'!$C$12,N31='[1]Tabla Impacto'!$D$12),"Menor",IF(OR(N31='[1]Tabla Impacto'!$C$13,N31='[1]Tabla Impacto'!$D$13),"Moderado",IF(OR(N31='[1]Tabla Impacto'!$C$14,N31='[1]Tabla Impacto'!$D$14),"Mayor",IF(OR(N31='[1]Tabla Impacto'!$C$15,N31='[1]Tabla Impacto'!$D$15),"Catastrófico","")))))</f>
        <v/>
      </c>
      <c r="P31" s="376" t="str">
        <f t="shared" ref="P31" si="38">IF(O31="","",IF(O31="Leve",0.2,IF(O31="Menor",0.4,IF(O31="Moderado",0.6,IF(O31="Mayor",0.8,IF(O31="Catastrófico",1,))))))</f>
        <v/>
      </c>
      <c r="Q31" s="382" t="str">
        <f t="shared" ref="Q31" si="39">IF(OR(AND(K31="Muy Baja",O31="Leve"),AND(K31="Muy Baja",O31="Menor"),AND(K31="Baja",O31="Leve")),"Bajo",IF(OR(AND(K31="Muy baja",O31="Moderado"),AND(K31="Baja",O31="Menor"),AND(K31="Baja",O31="Moderado"),AND(K31="Media",O31="Leve"),AND(K31="Media",O31="Menor"),AND(K31="Media",O31="Moderado"),AND(K31="Alta",O31="Leve"),AND(K31="Alta",O31="Menor")),"Moderado",IF(OR(AND(K31="Muy Baja",O31="Mayor"),AND(K31="Baja",O31="Mayor"),AND(K31="Media",O31="Mayor"),AND(K31="Alta",O31="Moderado"),AND(K31="Alta",O31="Mayor"),AND(K31="Muy Alta",O31="Leve"),AND(K31="Muy Alta",O31="Menor"),AND(K31="Muy Alta",O31="Moderado"),AND(K31="Muy Alta",O31="Mayor")),"Alto",IF(OR(AND(K31="Muy Baja",O31="Catastrófico"),AND(K31="Baja",O31="Catastrófico"),AND(K31="Media",O31="Catastrófico"),AND(K31="Alta",O31="Catastrófico"),AND(K31="Muy Alta",O31="Catastrófico")),"Extremo",""))))</f>
        <v/>
      </c>
      <c r="R31" s="209">
        <v>1</v>
      </c>
      <c r="S31" s="91"/>
      <c r="T31" s="210" t="str">
        <f>IF(OR(U31="Preventivo",U31="Detectivo"),"Probabilidad",IF(U31="Correctivo","Impacto",""))</f>
        <v/>
      </c>
      <c r="U31" s="211"/>
      <c r="V31" s="211"/>
      <c r="W31" s="212" t="str">
        <f>IF(AND(U31="Preventivo",V31="Automático"),"50%",IF(AND(U31="Preventivo",V31="Manual"),"40%",IF(AND(U31="Detectivo",V31="Automático"),"40%",IF(AND(U31="Detectivo",V31="Manual"),"30%",IF(AND(U31="Correctivo",V31="Automático"),"35%",IF(AND(U31="Correctivo",V31="Manual"),"25%",""))))))</f>
        <v/>
      </c>
      <c r="X31" s="211"/>
      <c r="Y31" s="211"/>
      <c r="Z31" s="211"/>
      <c r="AA31" s="200" t="str">
        <f>IFERROR(IF(T31="Probabilidad",(L31-(+L31*W31)),IF(T31="Impacto",L31,"")),"")</f>
        <v/>
      </c>
      <c r="AB31" s="201" t="str">
        <f>IFERROR(IF(AA31="","",IF(AA31&lt;=0.2,"Muy Baja",IF(AA31&lt;=0.4,"Baja",IF(AA31&lt;=0.6,"Media",IF(AA31&lt;=0.8,"Alta","Muy Alta"))))),"")</f>
        <v/>
      </c>
      <c r="AC31" s="202" t="str">
        <f>+AA31</f>
        <v/>
      </c>
      <c r="AD31" s="201" t="str">
        <f>IFERROR(IF(AE31="","",IF(AE31&lt;=0.2,"Leve",IF(AE31&lt;=0.4,"Menor",IF(AE31&lt;=0.6,"Moderado",IF(AE31&lt;=0.8,"Mayor","Catastrófico"))))),"")</f>
        <v/>
      </c>
      <c r="AE31" s="202" t="str">
        <f>IFERROR(IF(T31="Impacto",(P31-(+P31*W31)),IF(T31="Probabilidad",P31,"")),"")</f>
        <v/>
      </c>
      <c r="AF31" s="203" t="str">
        <f>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
      </c>
      <c r="AG31" s="213"/>
      <c r="AH31" s="214"/>
      <c r="AI31" s="215"/>
      <c r="AJ31" s="216"/>
      <c r="AK31" s="216"/>
      <c r="AL31" s="214"/>
      <c r="AM31" s="215"/>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row>
    <row r="32" spans="1:67" ht="26.25" customHeight="1" x14ac:dyDescent="0.3">
      <c r="A32" s="389"/>
      <c r="B32" s="392"/>
      <c r="C32" s="392"/>
      <c r="D32" s="392"/>
      <c r="E32" s="220"/>
      <c r="F32" s="395"/>
      <c r="G32" s="223"/>
      <c r="H32" s="223"/>
      <c r="I32" s="392"/>
      <c r="J32" s="398"/>
      <c r="K32" s="380"/>
      <c r="L32" s="377"/>
      <c r="M32" s="374"/>
      <c r="N32" s="377">
        <f>IF(NOT(ISERROR(MATCH(M32,_xlfn.ANCHORARRAY(F43),0))),L45&amp;"Por favor no seleccionar los criterios de impacto",M32)</f>
        <v>0</v>
      </c>
      <c r="O32" s="380"/>
      <c r="P32" s="377"/>
      <c r="Q32" s="383"/>
      <c r="R32" s="209">
        <v>2</v>
      </c>
      <c r="S32" s="91"/>
      <c r="T32" s="210" t="str">
        <f>IF(OR(U32="Preventivo",U32="Detectivo"),"Probabilidad",IF(U32="Correctivo","Impacto",""))</f>
        <v/>
      </c>
      <c r="U32" s="211"/>
      <c r="V32" s="211"/>
      <c r="W32" s="212" t="str">
        <f t="shared" ref="W32:W36" si="40">IF(AND(U32="Preventivo",V32="Automático"),"50%",IF(AND(U32="Preventivo",V32="Manual"),"40%",IF(AND(U32="Detectivo",V32="Automático"),"40%",IF(AND(U32="Detectivo",V32="Manual"),"30%",IF(AND(U32="Correctivo",V32="Automático"),"35%",IF(AND(U32="Correctivo",V32="Manual"),"25%",""))))))</f>
        <v/>
      </c>
      <c r="X32" s="211"/>
      <c r="Y32" s="211"/>
      <c r="Z32" s="211"/>
      <c r="AA32" s="200" t="str">
        <f>IFERROR(IF(AND(T31="Probabilidad",T32="Probabilidad"),(AC31-(+AC31*W32)),IF(AND(T31="Impacto",T32="Probabilidad"),(L31-(+L31*W32)),IF(T32="Impacto",AC31,""))),"")</f>
        <v/>
      </c>
      <c r="AB32" s="201" t="str">
        <f t="shared" ref="AB32:AB36" si="41">IFERROR(IF(AA32="","",IF(AA32&lt;=0.2,"Muy Baja",IF(AA32&lt;=0.4,"Baja",IF(AA32&lt;=0.6,"Media",IF(AA32&lt;=0.8,"Alta","Muy Alta"))))),"")</f>
        <v/>
      </c>
      <c r="AC32" s="202" t="str">
        <f>+AA32</f>
        <v/>
      </c>
      <c r="AD32" s="201" t="str">
        <f t="shared" ref="AD32:AD36" si="42">IFERROR(IF(AE32="","",IF(AE32&lt;=0.2,"Leve",IF(AE32&lt;=0.4,"Menor",IF(AE32&lt;=0.6,"Moderado",IF(AE32&lt;=0.8,"Mayor","Catastrófico"))))),"")</f>
        <v/>
      </c>
      <c r="AE32" s="202" t="str">
        <f>IFERROR(IF(AND(T31="Impacto",T32="Impacto"),(AE31-(+AE31*W32)),IF(AND(T31="Probabilidad",T32="Impacto"),(P31-(+P31*W32)),IF(T32="Probabilidad",AE31,""))),"")</f>
        <v/>
      </c>
      <c r="AF32" s="203" t="str">
        <f t="shared" ref="AF32:AF36" si="43">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213"/>
      <c r="AH32" s="214"/>
      <c r="AI32" s="215"/>
      <c r="AJ32" s="216"/>
      <c r="AK32" s="216"/>
      <c r="AL32" s="214"/>
      <c r="AM32" s="215"/>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row>
    <row r="33" spans="1:67" ht="26.25" customHeight="1" x14ac:dyDescent="0.3">
      <c r="A33" s="389"/>
      <c r="B33" s="392"/>
      <c r="C33" s="392"/>
      <c r="D33" s="392"/>
      <c r="E33" s="220"/>
      <c r="F33" s="395"/>
      <c r="G33" s="223"/>
      <c r="H33" s="223"/>
      <c r="I33" s="392"/>
      <c r="J33" s="398"/>
      <c r="K33" s="380"/>
      <c r="L33" s="377"/>
      <c r="M33" s="374"/>
      <c r="N33" s="377">
        <f>IF(NOT(ISERROR(MATCH(M33,_xlfn.ANCHORARRAY(F44),0))),L46&amp;"Por favor no seleccionar los criterios de impacto",M33)</f>
        <v>0</v>
      </c>
      <c r="O33" s="380"/>
      <c r="P33" s="377"/>
      <c r="Q33" s="383"/>
      <c r="R33" s="209">
        <v>3</v>
      </c>
      <c r="S33" s="221"/>
      <c r="T33" s="210" t="str">
        <f t="shared" ref="T33:T36" si="44">IF(OR(U33="Preventivo",U33="Detectivo"),"Probabilidad",IF(U33="Correctivo","Impacto",""))</f>
        <v/>
      </c>
      <c r="U33" s="211"/>
      <c r="V33" s="211"/>
      <c r="W33" s="212" t="str">
        <f t="shared" si="40"/>
        <v/>
      </c>
      <c r="X33" s="211"/>
      <c r="Y33" s="211"/>
      <c r="Z33" s="211"/>
      <c r="AA33" s="200" t="str">
        <f>IFERROR(IF(AND(T32="Probabilidad",T33="Probabilidad"),(AC32-(+AC32*W33)),IF(AND(T32="Impacto",T33="Probabilidad"),(AC31-(+AC31*W33)),IF(T33="Impacto",AC32,""))),"")</f>
        <v/>
      </c>
      <c r="AB33" s="201" t="str">
        <f t="shared" si="41"/>
        <v/>
      </c>
      <c r="AC33" s="202" t="str">
        <f t="shared" ref="AC33:AC36" si="45">+AA33</f>
        <v/>
      </c>
      <c r="AD33" s="201" t="str">
        <f t="shared" si="42"/>
        <v/>
      </c>
      <c r="AE33" s="202" t="str">
        <f t="shared" ref="AE33:AE36" si="46">IFERROR(IF(AND(T32="Impacto",T33="Impacto"),(AE32-(+AE32*W33)),IF(AND(T32="Probabilidad",T33="Impacto"),(AE31-(+AE31*W33)),IF(T33="Probabilidad",AE32,""))),"")</f>
        <v/>
      </c>
      <c r="AF33" s="203" t="str">
        <f t="shared" si="43"/>
        <v/>
      </c>
      <c r="AG33" s="213"/>
      <c r="AH33" s="214"/>
      <c r="AI33" s="215"/>
      <c r="AJ33" s="216"/>
      <c r="AK33" s="216"/>
      <c r="AL33" s="214"/>
      <c r="AM33" s="215"/>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row>
    <row r="34" spans="1:67" ht="26.25" customHeight="1" x14ac:dyDescent="0.3">
      <c r="A34" s="389"/>
      <c r="B34" s="392"/>
      <c r="C34" s="392"/>
      <c r="D34" s="392"/>
      <c r="E34" s="220"/>
      <c r="F34" s="395"/>
      <c r="G34" s="223"/>
      <c r="H34" s="223"/>
      <c r="I34" s="392"/>
      <c r="J34" s="398"/>
      <c r="K34" s="380"/>
      <c r="L34" s="377"/>
      <c r="M34" s="374"/>
      <c r="N34" s="377">
        <f>IF(NOT(ISERROR(MATCH(M34,_xlfn.ANCHORARRAY(F45),0))),L47&amp;"Por favor no seleccionar los criterios de impacto",M34)</f>
        <v>0</v>
      </c>
      <c r="O34" s="380"/>
      <c r="P34" s="377"/>
      <c r="Q34" s="383"/>
      <c r="R34" s="209">
        <v>4</v>
      </c>
      <c r="S34" s="91"/>
      <c r="T34" s="210" t="str">
        <f t="shared" si="44"/>
        <v/>
      </c>
      <c r="U34" s="211"/>
      <c r="V34" s="211"/>
      <c r="W34" s="212" t="str">
        <f t="shared" si="40"/>
        <v/>
      </c>
      <c r="X34" s="211"/>
      <c r="Y34" s="211"/>
      <c r="Z34" s="211"/>
      <c r="AA34" s="200" t="str">
        <f t="shared" ref="AA34:AA36" si="47">IFERROR(IF(AND(T33="Probabilidad",T34="Probabilidad"),(AC33-(+AC33*W34)),IF(AND(T33="Impacto",T34="Probabilidad"),(AC32-(+AC32*W34)),IF(T34="Impacto",AC33,""))),"")</f>
        <v/>
      </c>
      <c r="AB34" s="201" t="str">
        <f t="shared" si="41"/>
        <v/>
      </c>
      <c r="AC34" s="202" t="str">
        <f t="shared" si="45"/>
        <v/>
      </c>
      <c r="AD34" s="201" t="str">
        <f t="shared" si="42"/>
        <v/>
      </c>
      <c r="AE34" s="202" t="str">
        <f t="shared" si="46"/>
        <v/>
      </c>
      <c r="AF34" s="203" t="str">
        <f t="shared" si="43"/>
        <v/>
      </c>
      <c r="AG34" s="213"/>
      <c r="AH34" s="214"/>
      <c r="AI34" s="215"/>
      <c r="AJ34" s="216"/>
      <c r="AK34" s="216"/>
      <c r="AL34" s="214"/>
      <c r="AM34" s="215"/>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row>
    <row r="35" spans="1:67" ht="26.25" customHeight="1" x14ac:dyDescent="0.3">
      <c r="A35" s="389"/>
      <c r="B35" s="392"/>
      <c r="C35" s="392"/>
      <c r="D35" s="392"/>
      <c r="E35" s="220"/>
      <c r="F35" s="395"/>
      <c r="G35" s="223"/>
      <c r="H35" s="223"/>
      <c r="I35" s="392"/>
      <c r="J35" s="398"/>
      <c r="K35" s="380"/>
      <c r="L35" s="377"/>
      <c r="M35" s="374"/>
      <c r="N35" s="377">
        <f>IF(NOT(ISERROR(MATCH(M35,_xlfn.ANCHORARRAY(F46),0))),L48&amp;"Por favor no seleccionar los criterios de impacto",M35)</f>
        <v>0</v>
      </c>
      <c r="O35" s="380"/>
      <c r="P35" s="377"/>
      <c r="Q35" s="383"/>
      <c r="R35" s="209">
        <v>5</v>
      </c>
      <c r="S35" s="91"/>
      <c r="T35" s="210" t="str">
        <f t="shared" si="44"/>
        <v/>
      </c>
      <c r="U35" s="211"/>
      <c r="V35" s="211"/>
      <c r="W35" s="212" t="str">
        <f t="shared" si="40"/>
        <v/>
      </c>
      <c r="X35" s="211"/>
      <c r="Y35" s="211"/>
      <c r="Z35" s="211"/>
      <c r="AA35" s="200" t="str">
        <f t="shared" si="47"/>
        <v/>
      </c>
      <c r="AB35" s="201" t="str">
        <f t="shared" si="41"/>
        <v/>
      </c>
      <c r="AC35" s="202" t="str">
        <f t="shared" si="45"/>
        <v/>
      </c>
      <c r="AD35" s="201" t="str">
        <f t="shared" si="42"/>
        <v/>
      </c>
      <c r="AE35" s="202" t="str">
        <f t="shared" si="46"/>
        <v/>
      </c>
      <c r="AF35" s="203" t="str">
        <f t="shared" si="43"/>
        <v/>
      </c>
      <c r="AG35" s="213"/>
      <c r="AH35" s="214"/>
      <c r="AI35" s="215"/>
      <c r="AJ35" s="216"/>
      <c r="AK35" s="216"/>
      <c r="AL35" s="214"/>
      <c r="AM35" s="215"/>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row>
    <row r="36" spans="1:67" ht="26.25" customHeight="1" x14ac:dyDescent="0.3">
      <c r="A36" s="390"/>
      <c r="B36" s="393"/>
      <c r="C36" s="393"/>
      <c r="D36" s="393"/>
      <c r="E36" s="222"/>
      <c r="F36" s="396"/>
      <c r="G36" s="224"/>
      <c r="H36" s="224"/>
      <c r="I36" s="393"/>
      <c r="J36" s="399"/>
      <c r="K36" s="381"/>
      <c r="L36" s="378"/>
      <c r="M36" s="375"/>
      <c r="N36" s="378">
        <f>IF(NOT(ISERROR(MATCH(M36,_xlfn.ANCHORARRAY(F47),0))),L49&amp;"Por favor no seleccionar los criterios de impacto",M36)</f>
        <v>0</v>
      </c>
      <c r="O36" s="381"/>
      <c r="P36" s="378"/>
      <c r="Q36" s="384"/>
      <c r="R36" s="209">
        <v>6</v>
      </c>
      <c r="S36" s="91"/>
      <c r="T36" s="210" t="str">
        <f t="shared" si="44"/>
        <v/>
      </c>
      <c r="U36" s="211"/>
      <c r="V36" s="211"/>
      <c r="W36" s="212" t="str">
        <f t="shared" si="40"/>
        <v/>
      </c>
      <c r="X36" s="211"/>
      <c r="Y36" s="211"/>
      <c r="Z36" s="211"/>
      <c r="AA36" s="200" t="str">
        <f t="shared" si="47"/>
        <v/>
      </c>
      <c r="AB36" s="201" t="str">
        <f t="shared" si="41"/>
        <v/>
      </c>
      <c r="AC36" s="202" t="str">
        <f t="shared" si="45"/>
        <v/>
      </c>
      <c r="AD36" s="201" t="str">
        <f t="shared" si="42"/>
        <v/>
      </c>
      <c r="AE36" s="202" t="str">
        <f t="shared" si="46"/>
        <v/>
      </c>
      <c r="AF36" s="203" t="str">
        <f t="shared" si="43"/>
        <v/>
      </c>
      <c r="AG36" s="213"/>
      <c r="AH36" s="214"/>
      <c r="AI36" s="215"/>
      <c r="AJ36" s="216"/>
      <c r="AK36" s="216"/>
      <c r="AL36" s="214"/>
      <c r="AM36" s="215"/>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row>
    <row r="37" spans="1:67" ht="26.25" customHeight="1" x14ac:dyDescent="0.3">
      <c r="A37" s="388">
        <v>8</v>
      </c>
      <c r="B37" s="391"/>
      <c r="C37" s="391"/>
      <c r="D37" s="391"/>
      <c r="E37" s="205"/>
      <c r="F37" s="394"/>
      <c r="G37" s="225"/>
      <c r="H37" s="225"/>
      <c r="I37" s="391"/>
      <c r="J37" s="397"/>
      <c r="K37" s="379" t="str">
        <f t="shared" ref="K37" si="48">IF(J37&lt;=0,"",IF(J37&lt;=2,"Muy Baja",IF(J37&lt;=24,"Baja",IF(J37&lt;=500,"Media",IF(J37&lt;=5000,"Alta","Muy Alta")))))</f>
        <v/>
      </c>
      <c r="L37" s="376" t="str">
        <f t="shared" ref="L37" si="49">IF(K37="","",IF(K37="Muy Baja",0.2,IF(K37="Baja",0.4,IF(K37="Media",0.6,IF(K37="Alta",0.8,IF(K37="Muy Alta",1,))))))</f>
        <v/>
      </c>
      <c r="M37" s="373"/>
      <c r="N37" s="376">
        <f>IF(NOT(ISERROR(MATCH(M37,'[1]Tabla Impacto'!$B$221:$B$223,0))),'[1]Tabla Impacto'!$F$223&amp;"Por favor no seleccionar los criterios de impacto(Afectación Económica o presupuestal y Pérdida Reputacional)",M37)</f>
        <v>0</v>
      </c>
      <c r="O37" s="379" t="str">
        <f>IF(OR(N37='[1]Tabla Impacto'!$C$11,N37='[1]Tabla Impacto'!$D$11),"Leve",IF(OR(N37='[1]Tabla Impacto'!$C$12,N37='[1]Tabla Impacto'!$D$12),"Menor",IF(OR(N37='[1]Tabla Impacto'!$C$13,N37='[1]Tabla Impacto'!$D$13),"Moderado",IF(OR(N37='[1]Tabla Impacto'!$C$14,N37='[1]Tabla Impacto'!$D$14),"Mayor",IF(OR(N37='[1]Tabla Impacto'!$C$15,N37='[1]Tabla Impacto'!$D$15),"Catastrófico","")))))</f>
        <v/>
      </c>
      <c r="P37" s="376" t="str">
        <f t="shared" ref="P37" si="50">IF(O37="","",IF(O37="Leve",0.2,IF(O37="Menor",0.4,IF(O37="Moderado",0.6,IF(O37="Mayor",0.8,IF(O37="Catastrófico",1,))))))</f>
        <v/>
      </c>
      <c r="Q37" s="382" t="str">
        <f t="shared" ref="Q37" si="51">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
      </c>
      <c r="R37" s="209">
        <v>1</v>
      </c>
      <c r="S37" s="91"/>
      <c r="T37" s="210" t="str">
        <f>IF(OR(U37="Preventivo",U37="Detectivo"),"Probabilidad",IF(U37="Correctivo","Impacto",""))</f>
        <v/>
      </c>
      <c r="U37" s="211"/>
      <c r="V37" s="211"/>
      <c r="W37" s="212" t="str">
        <f>IF(AND(U37="Preventivo",V37="Automático"),"50%",IF(AND(U37="Preventivo",V37="Manual"),"40%",IF(AND(U37="Detectivo",V37="Automático"),"40%",IF(AND(U37="Detectivo",V37="Manual"),"30%",IF(AND(U37="Correctivo",V37="Automático"),"35%",IF(AND(U37="Correctivo",V37="Manual"),"25%",""))))))</f>
        <v/>
      </c>
      <c r="X37" s="211"/>
      <c r="Y37" s="211"/>
      <c r="Z37" s="211"/>
      <c r="AA37" s="200" t="str">
        <f>IFERROR(IF(T37="Probabilidad",(L37-(+L37*W37)),IF(T37="Impacto",L37,"")),"")</f>
        <v/>
      </c>
      <c r="AB37" s="201" t="str">
        <f>IFERROR(IF(AA37="","",IF(AA37&lt;=0.2,"Muy Baja",IF(AA37&lt;=0.4,"Baja",IF(AA37&lt;=0.6,"Media",IF(AA37&lt;=0.8,"Alta","Muy Alta"))))),"")</f>
        <v/>
      </c>
      <c r="AC37" s="202" t="str">
        <f>+AA37</f>
        <v/>
      </c>
      <c r="AD37" s="201" t="str">
        <f>IFERROR(IF(AE37="","",IF(AE37&lt;=0.2,"Leve",IF(AE37&lt;=0.4,"Menor",IF(AE37&lt;=0.6,"Moderado",IF(AE37&lt;=0.8,"Mayor","Catastrófico"))))),"")</f>
        <v/>
      </c>
      <c r="AE37" s="202" t="str">
        <f>IFERROR(IF(T37="Impacto",(P37-(+P37*W37)),IF(T37="Probabilidad",P37,"")),"")</f>
        <v/>
      </c>
      <c r="AF37" s="203" t="str">
        <f>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213"/>
      <c r="AH37" s="214"/>
      <c r="AI37" s="215"/>
      <c r="AJ37" s="216"/>
      <c r="AK37" s="216"/>
      <c r="AL37" s="214"/>
      <c r="AM37" s="215"/>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row>
    <row r="38" spans="1:67" ht="26.25" customHeight="1" x14ac:dyDescent="0.3">
      <c r="A38" s="389"/>
      <c r="B38" s="392"/>
      <c r="C38" s="392"/>
      <c r="D38" s="392"/>
      <c r="E38" s="220"/>
      <c r="F38" s="395"/>
      <c r="G38" s="223"/>
      <c r="H38" s="223"/>
      <c r="I38" s="392"/>
      <c r="J38" s="398"/>
      <c r="K38" s="380"/>
      <c r="L38" s="377"/>
      <c r="M38" s="374"/>
      <c r="N38" s="377">
        <f>IF(NOT(ISERROR(MATCH(M38,_xlfn.ANCHORARRAY(F49),0))),L51&amp;"Por favor no seleccionar los criterios de impacto",M38)</f>
        <v>0</v>
      </c>
      <c r="O38" s="380"/>
      <c r="P38" s="377"/>
      <c r="Q38" s="383"/>
      <c r="R38" s="209">
        <v>2</v>
      </c>
      <c r="S38" s="91"/>
      <c r="T38" s="210" t="str">
        <f>IF(OR(U38="Preventivo",U38="Detectivo"),"Probabilidad",IF(U38="Correctivo","Impacto",""))</f>
        <v/>
      </c>
      <c r="U38" s="211"/>
      <c r="V38" s="211"/>
      <c r="W38" s="212" t="str">
        <f t="shared" ref="W38:W42" si="52">IF(AND(U38="Preventivo",V38="Automático"),"50%",IF(AND(U38="Preventivo",V38="Manual"),"40%",IF(AND(U38="Detectivo",V38="Automático"),"40%",IF(AND(U38="Detectivo",V38="Manual"),"30%",IF(AND(U38="Correctivo",V38="Automático"),"35%",IF(AND(U38="Correctivo",V38="Manual"),"25%",""))))))</f>
        <v/>
      </c>
      <c r="X38" s="211"/>
      <c r="Y38" s="211"/>
      <c r="Z38" s="211"/>
      <c r="AA38" s="200" t="str">
        <f>IFERROR(IF(AND(T37="Probabilidad",T38="Probabilidad"),(AC37-(+AC37*W38)),IF(AND(T37="Impacto",T38="Probabilidad"),(L37-(+L37*W38)),IF(T38="Impacto",AC37,""))),"")</f>
        <v/>
      </c>
      <c r="AB38" s="201" t="str">
        <f t="shared" ref="AB38:AB42" si="53">IFERROR(IF(AA38="","",IF(AA38&lt;=0.2,"Muy Baja",IF(AA38&lt;=0.4,"Baja",IF(AA38&lt;=0.6,"Media",IF(AA38&lt;=0.8,"Alta","Muy Alta"))))),"")</f>
        <v/>
      </c>
      <c r="AC38" s="202" t="str">
        <f>+AA38</f>
        <v/>
      </c>
      <c r="AD38" s="201" t="str">
        <f t="shared" ref="AD38:AD42" si="54">IFERROR(IF(AE38="","",IF(AE38&lt;=0.2,"Leve",IF(AE38&lt;=0.4,"Menor",IF(AE38&lt;=0.6,"Moderado",IF(AE38&lt;=0.8,"Mayor","Catastrófico"))))),"")</f>
        <v/>
      </c>
      <c r="AE38" s="202" t="str">
        <f>IFERROR(IF(AND(T37="Impacto",T38="Impacto"),(AE37-(+AE37*W38)),IF(AND(T37="Probabilidad",T38="Impacto"),(P37-(+P37*W38)),IF(T38="Probabilidad",AE37,""))),"")</f>
        <v/>
      </c>
      <c r="AF38" s="203" t="str">
        <f t="shared" ref="AF38:AF42" si="55">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213"/>
      <c r="AH38" s="214"/>
      <c r="AI38" s="215"/>
      <c r="AJ38" s="216"/>
      <c r="AK38" s="216"/>
      <c r="AL38" s="214"/>
      <c r="AM38" s="215"/>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row>
    <row r="39" spans="1:67" ht="26.25" customHeight="1" x14ac:dyDescent="0.3">
      <c r="A39" s="389"/>
      <c r="B39" s="392"/>
      <c r="C39" s="392"/>
      <c r="D39" s="392"/>
      <c r="E39" s="220"/>
      <c r="F39" s="395"/>
      <c r="G39" s="223"/>
      <c r="H39" s="223"/>
      <c r="I39" s="392"/>
      <c r="J39" s="398"/>
      <c r="K39" s="380"/>
      <c r="L39" s="377"/>
      <c r="M39" s="374"/>
      <c r="N39" s="377">
        <f>IF(NOT(ISERROR(MATCH(M39,_xlfn.ANCHORARRAY(F50),0))),L52&amp;"Por favor no seleccionar los criterios de impacto",M39)</f>
        <v>0</v>
      </c>
      <c r="O39" s="380"/>
      <c r="P39" s="377"/>
      <c r="Q39" s="383"/>
      <c r="R39" s="209">
        <v>3</v>
      </c>
      <c r="S39" s="221"/>
      <c r="T39" s="210" t="str">
        <f t="shared" ref="T39:T42" si="56">IF(OR(U39="Preventivo",U39="Detectivo"),"Probabilidad",IF(U39="Correctivo","Impacto",""))</f>
        <v/>
      </c>
      <c r="U39" s="211"/>
      <c r="V39" s="211"/>
      <c r="W39" s="212" t="str">
        <f t="shared" si="52"/>
        <v/>
      </c>
      <c r="X39" s="211"/>
      <c r="Y39" s="211"/>
      <c r="Z39" s="211"/>
      <c r="AA39" s="200" t="str">
        <f>IFERROR(IF(AND(T38="Probabilidad",T39="Probabilidad"),(AC38-(+AC38*W39)),IF(AND(T38="Impacto",T39="Probabilidad"),(AC37-(+AC37*W39)),IF(T39="Impacto",AC38,""))),"")</f>
        <v/>
      </c>
      <c r="AB39" s="201" t="str">
        <f t="shared" si="53"/>
        <v/>
      </c>
      <c r="AC39" s="202" t="str">
        <f t="shared" ref="AC39:AC42" si="57">+AA39</f>
        <v/>
      </c>
      <c r="AD39" s="201" t="str">
        <f t="shared" si="54"/>
        <v/>
      </c>
      <c r="AE39" s="202" t="str">
        <f t="shared" ref="AE39:AE42" si="58">IFERROR(IF(AND(T38="Impacto",T39="Impacto"),(AE38-(+AE38*W39)),IF(AND(T38="Probabilidad",T39="Impacto"),(AE37-(+AE37*W39)),IF(T39="Probabilidad",AE38,""))),"")</f>
        <v/>
      </c>
      <c r="AF39" s="203" t="str">
        <f t="shared" si="55"/>
        <v/>
      </c>
      <c r="AG39" s="213"/>
      <c r="AH39" s="214"/>
      <c r="AI39" s="215"/>
      <c r="AJ39" s="216"/>
      <c r="AK39" s="216"/>
      <c r="AL39" s="214"/>
      <c r="AM39" s="215"/>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row>
    <row r="40" spans="1:67" ht="26.25" customHeight="1" x14ac:dyDescent="0.3">
      <c r="A40" s="389"/>
      <c r="B40" s="392"/>
      <c r="C40" s="392"/>
      <c r="D40" s="392"/>
      <c r="E40" s="220"/>
      <c r="F40" s="395"/>
      <c r="G40" s="223"/>
      <c r="H40" s="223"/>
      <c r="I40" s="392"/>
      <c r="J40" s="398"/>
      <c r="K40" s="380"/>
      <c r="L40" s="377"/>
      <c r="M40" s="374"/>
      <c r="N40" s="377">
        <f>IF(NOT(ISERROR(MATCH(M40,_xlfn.ANCHORARRAY(F51),0))),L53&amp;"Por favor no seleccionar los criterios de impacto",M40)</f>
        <v>0</v>
      </c>
      <c r="O40" s="380"/>
      <c r="P40" s="377"/>
      <c r="Q40" s="383"/>
      <c r="R40" s="209">
        <v>4</v>
      </c>
      <c r="S40" s="91"/>
      <c r="T40" s="210" t="str">
        <f t="shared" si="56"/>
        <v/>
      </c>
      <c r="U40" s="211"/>
      <c r="V40" s="211"/>
      <c r="W40" s="212" t="str">
        <f t="shared" si="52"/>
        <v/>
      </c>
      <c r="X40" s="211"/>
      <c r="Y40" s="211"/>
      <c r="Z40" s="211"/>
      <c r="AA40" s="200" t="str">
        <f t="shared" ref="AA40:AA42" si="59">IFERROR(IF(AND(T39="Probabilidad",T40="Probabilidad"),(AC39-(+AC39*W40)),IF(AND(T39="Impacto",T40="Probabilidad"),(AC38-(+AC38*W40)),IF(T40="Impacto",AC39,""))),"")</f>
        <v/>
      </c>
      <c r="AB40" s="201" t="str">
        <f t="shared" si="53"/>
        <v/>
      </c>
      <c r="AC40" s="202" t="str">
        <f t="shared" si="57"/>
        <v/>
      </c>
      <c r="AD40" s="201" t="str">
        <f t="shared" si="54"/>
        <v/>
      </c>
      <c r="AE40" s="202" t="str">
        <f t="shared" si="58"/>
        <v/>
      </c>
      <c r="AF40" s="203" t="str">
        <f t="shared" si="55"/>
        <v/>
      </c>
      <c r="AG40" s="213"/>
      <c r="AH40" s="214"/>
      <c r="AI40" s="215"/>
      <c r="AJ40" s="216"/>
      <c r="AK40" s="216"/>
      <c r="AL40" s="214"/>
      <c r="AM40" s="215"/>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row>
    <row r="41" spans="1:67" ht="26.25" customHeight="1" x14ac:dyDescent="0.3">
      <c r="A41" s="389"/>
      <c r="B41" s="392"/>
      <c r="C41" s="392"/>
      <c r="D41" s="392"/>
      <c r="E41" s="220"/>
      <c r="F41" s="395"/>
      <c r="G41" s="223"/>
      <c r="H41" s="223"/>
      <c r="I41" s="392"/>
      <c r="J41" s="398"/>
      <c r="K41" s="380"/>
      <c r="L41" s="377"/>
      <c r="M41" s="374"/>
      <c r="N41" s="377">
        <f>IF(NOT(ISERROR(MATCH(M41,_xlfn.ANCHORARRAY(F52),0))),L54&amp;"Por favor no seleccionar los criterios de impacto",M41)</f>
        <v>0</v>
      </c>
      <c r="O41" s="380"/>
      <c r="P41" s="377"/>
      <c r="Q41" s="383"/>
      <c r="R41" s="209">
        <v>5</v>
      </c>
      <c r="S41" s="91"/>
      <c r="T41" s="210" t="str">
        <f t="shared" si="56"/>
        <v/>
      </c>
      <c r="U41" s="211"/>
      <c r="V41" s="211"/>
      <c r="W41" s="212" t="str">
        <f t="shared" si="52"/>
        <v/>
      </c>
      <c r="X41" s="211"/>
      <c r="Y41" s="211"/>
      <c r="Z41" s="211"/>
      <c r="AA41" s="200" t="str">
        <f t="shared" si="59"/>
        <v/>
      </c>
      <c r="AB41" s="201" t="str">
        <f t="shared" si="53"/>
        <v/>
      </c>
      <c r="AC41" s="202" t="str">
        <f t="shared" si="57"/>
        <v/>
      </c>
      <c r="AD41" s="201" t="str">
        <f t="shared" si="54"/>
        <v/>
      </c>
      <c r="AE41" s="202" t="str">
        <f t="shared" si="58"/>
        <v/>
      </c>
      <c r="AF41" s="203" t="str">
        <f t="shared" si="55"/>
        <v/>
      </c>
      <c r="AG41" s="213"/>
      <c r="AH41" s="214"/>
      <c r="AI41" s="215"/>
      <c r="AJ41" s="216"/>
      <c r="AK41" s="216"/>
      <c r="AL41" s="214"/>
      <c r="AM41" s="215"/>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row>
    <row r="42" spans="1:67" ht="26.25" customHeight="1" x14ac:dyDescent="0.3">
      <c r="A42" s="390"/>
      <c r="B42" s="393"/>
      <c r="C42" s="393"/>
      <c r="D42" s="393"/>
      <c r="E42" s="222"/>
      <c r="F42" s="396"/>
      <c r="G42" s="224"/>
      <c r="H42" s="224"/>
      <c r="I42" s="393"/>
      <c r="J42" s="399"/>
      <c r="K42" s="381"/>
      <c r="L42" s="378"/>
      <c r="M42" s="375"/>
      <c r="N42" s="378">
        <f>IF(NOT(ISERROR(MATCH(M42,_xlfn.ANCHORARRAY(F53),0))),L55&amp;"Por favor no seleccionar los criterios de impacto",M42)</f>
        <v>0</v>
      </c>
      <c r="O42" s="381"/>
      <c r="P42" s="378"/>
      <c r="Q42" s="384"/>
      <c r="R42" s="209">
        <v>6</v>
      </c>
      <c r="S42" s="91"/>
      <c r="T42" s="210" t="str">
        <f t="shared" si="56"/>
        <v/>
      </c>
      <c r="U42" s="211"/>
      <c r="V42" s="211"/>
      <c r="W42" s="212" t="str">
        <f t="shared" si="52"/>
        <v/>
      </c>
      <c r="X42" s="211"/>
      <c r="Y42" s="211"/>
      <c r="Z42" s="211"/>
      <c r="AA42" s="200" t="str">
        <f t="shared" si="59"/>
        <v/>
      </c>
      <c r="AB42" s="201" t="str">
        <f t="shared" si="53"/>
        <v/>
      </c>
      <c r="AC42" s="202" t="str">
        <f t="shared" si="57"/>
        <v/>
      </c>
      <c r="AD42" s="201" t="str">
        <f t="shared" si="54"/>
        <v/>
      </c>
      <c r="AE42" s="202" t="str">
        <f t="shared" si="58"/>
        <v/>
      </c>
      <c r="AF42" s="203" t="str">
        <f t="shared" si="55"/>
        <v/>
      </c>
      <c r="AG42" s="213"/>
      <c r="AH42" s="214"/>
      <c r="AI42" s="215"/>
      <c r="AJ42" s="216"/>
      <c r="AK42" s="216"/>
      <c r="AL42" s="214"/>
      <c r="AM42" s="215"/>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row>
    <row r="43" spans="1:67" ht="26.25" customHeight="1" x14ac:dyDescent="0.3">
      <c r="A43" s="388">
        <v>9</v>
      </c>
      <c r="B43" s="391"/>
      <c r="C43" s="391"/>
      <c r="D43" s="391"/>
      <c r="E43" s="205"/>
      <c r="F43" s="394"/>
      <c r="G43" s="225"/>
      <c r="H43" s="225"/>
      <c r="I43" s="391"/>
      <c r="J43" s="397"/>
      <c r="K43" s="379" t="str">
        <f t="shared" ref="K43" si="60">IF(J43&lt;=0,"",IF(J43&lt;=2,"Muy Baja",IF(J43&lt;=24,"Baja",IF(J43&lt;=500,"Media",IF(J43&lt;=5000,"Alta","Muy Alta")))))</f>
        <v/>
      </c>
      <c r="L43" s="376" t="str">
        <f t="shared" ref="L43" si="61">IF(K43="","",IF(K43="Muy Baja",0.2,IF(K43="Baja",0.4,IF(K43="Media",0.6,IF(K43="Alta",0.8,IF(K43="Muy Alta",1,))))))</f>
        <v/>
      </c>
      <c r="M43" s="373"/>
      <c r="N43" s="376">
        <f>IF(NOT(ISERROR(MATCH(M43,'[1]Tabla Impacto'!$B$221:$B$223,0))),'[1]Tabla Impacto'!$F$223&amp;"Por favor no seleccionar los criterios de impacto(Afectación Económica o presupuestal y Pérdida Reputacional)",M43)</f>
        <v>0</v>
      </c>
      <c r="O43" s="379" t="str">
        <f>IF(OR(N43='[1]Tabla Impacto'!$C$11,N43='[1]Tabla Impacto'!$D$11),"Leve",IF(OR(N43='[1]Tabla Impacto'!$C$12,N43='[1]Tabla Impacto'!$D$12),"Menor",IF(OR(N43='[1]Tabla Impacto'!$C$13,N43='[1]Tabla Impacto'!$D$13),"Moderado",IF(OR(N43='[1]Tabla Impacto'!$C$14,N43='[1]Tabla Impacto'!$D$14),"Mayor",IF(OR(N43='[1]Tabla Impacto'!$C$15,N43='[1]Tabla Impacto'!$D$15),"Catastrófico","")))))</f>
        <v/>
      </c>
      <c r="P43" s="376" t="str">
        <f t="shared" ref="P43" si="62">IF(O43="","",IF(O43="Leve",0.2,IF(O43="Menor",0.4,IF(O43="Moderado",0.6,IF(O43="Mayor",0.8,IF(O43="Catastrófico",1,))))))</f>
        <v/>
      </c>
      <c r="Q43" s="382" t="str">
        <f t="shared" ref="Q43" si="63">IF(OR(AND(K43="Muy Baja",O43="Leve"),AND(K43="Muy Baja",O43="Menor"),AND(K43="Baja",O43="Leve")),"Bajo",IF(OR(AND(K43="Muy baja",O43="Moderado"),AND(K43="Baja",O43="Menor"),AND(K43="Baja",O43="Moderado"),AND(K43="Media",O43="Leve"),AND(K43="Media",O43="Menor"),AND(K43="Media",O43="Moderado"),AND(K43="Alta",O43="Leve"),AND(K43="Alta",O43="Menor")),"Moderado",IF(OR(AND(K43="Muy Baja",O43="Mayor"),AND(K43="Baja",O43="Mayor"),AND(K43="Media",O43="Mayor"),AND(K43="Alta",O43="Moderado"),AND(K43="Alta",O43="Mayor"),AND(K43="Muy Alta",O43="Leve"),AND(K43="Muy Alta",O43="Menor"),AND(K43="Muy Alta",O43="Moderado"),AND(K43="Muy Alta",O43="Mayor")),"Alto",IF(OR(AND(K43="Muy Baja",O43="Catastrófico"),AND(K43="Baja",O43="Catastrófico"),AND(K43="Media",O43="Catastrófico"),AND(K43="Alta",O43="Catastrófico"),AND(K43="Muy Alta",O43="Catastrófico")),"Extremo",""))))</f>
        <v/>
      </c>
      <c r="R43" s="209">
        <v>1</v>
      </c>
      <c r="S43" s="91"/>
      <c r="T43" s="210" t="str">
        <f>IF(OR(U43="Preventivo",U43="Detectivo"),"Probabilidad",IF(U43="Correctivo","Impacto",""))</f>
        <v/>
      </c>
      <c r="U43" s="211"/>
      <c r="V43" s="211"/>
      <c r="W43" s="212" t="str">
        <f>IF(AND(U43="Preventivo",V43="Automático"),"50%",IF(AND(U43="Preventivo",V43="Manual"),"40%",IF(AND(U43="Detectivo",V43="Automático"),"40%",IF(AND(U43="Detectivo",V43="Manual"),"30%",IF(AND(U43="Correctivo",V43="Automático"),"35%",IF(AND(U43="Correctivo",V43="Manual"),"25%",""))))))</f>
        <v/>
      </c>
      <c r="X43" s="211"/>
      <c r="Y43" s="211"/>
      <c r="Z43" s="211"/>
      <c r="AA43" s="200" t="str">
        <f>IFERROR(IF(T43="Probabilidad",(L43-(+L43*W43)),IF(T43="Impacto",L43,"")),"")</f>
        <v/>
      </c>
      <c r="AB43" s="201" t="str">
        <f>IFERROR(IF(AA43="","",IF(AA43&lt;=0.2,"Muy Baja",IF(AA43&lt;=0.4,"Baja",IF(AA43&lt;=0.6,"Media",IF(AA43&lt;=0.8,"Alta","Muy Alta"))))),"")</f>
        <v/>
      </c>
      <c r="AC43" s="202" t="str">
        <f>+AA43</f>
        <v/>
      </c>
      <c r="AD43" s="201" t="str">
        <f>IFERROR(IF(AE43="","",IF(AE43&lt;=0.2,"Leve",IF(AE43&lt;=0.4,"Menor",IF(AE43&lt;=0.6,"Moderado",IF(AE43&lt;=0.8,"Mayor","Catastrófico"))))),"")</f>
        <v/>
      </c>
      <c r="AE43" s="202" t="str">
        <f>IFERROR(IF(T43="Impacto",(P43-(+P43*W43)),IF(T43="Probabilidad",P43,"")),"")</f>
        <v/>
      </c>
      <c r="AF43" s="203" t="str">
        <f>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213"/>
      <c r="AH43" s="214"/>
      <c r="AI43" s="215"/>
      <c r="AJ43" s="216"/>
      <c r="AK43" s="216"/>
      <c r="AL43" s="214"/>
      <c r="AM43" s="215"/>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row>
    <row r="44" spans="1:67" ht="26.25" customHeight="1" x14ac:dyDescent="0.3">
      <c r="A44" s="389"/>
      <c r="B44" s="392"/>
      <c r="C44" s="392"/>
      <c r="D44" s="392"/>
      <c r="E44" s="220"/>
      <c r="F44" s="395"/>
      <c r="G44" s="223"/>
      <c r="H44" s="223"/>
      <c r="I44" s="392"/>
      <c r="J44" s="398"/>
      <c r="K44" s="380"/>
      <c r="L44" s="377"/>
      <c r="M44" s="374"/>
      <c r="N44" s="377">
        <f>IF(NOT(ISERROR(MATCH(M44,_xlfn.ANCHORARRAY(F55),0))),L57&amp;"Por favor no seleccionar los criterios de impacto",M44)</f>
        <v>0</v>
      </c>
      <c r="O44" s="380"/>
      <c r="P44" s="377"/>
      <c r="Q44" s="383"/>
      <c r="R44" s="209">
        <v>2</v>
      </c>
      <c r="S44" s="91"/>
      <c r="T44" s="210" t="str">
        <f>IF(OR(U44="Preventivo",U44="Detectivo"),"Probabilidad",IF(U44="Correctivo","Impacto",""))</f>
        <v/>
      </c>
      <c r="U44" s="211"/>
      <c r="V44" s="211"/>
      <c r="W44" s="212" t="str">
        <f t="shared" ref="W44:W48" si="64">IF(AND(U44="Preventivo",V44="Automático"),"50%",IF(AND(U44="Preventivo",V44="Manual"),"40%",IF(AND(U44="Detectivo",V44="Automático"),"40%",IF(AND(U44="Detectivo",V44="Manual"),"30%",IF(AND(U44="Correctivo",V44="Automático"),"35%",IF(AND(U44="Correctivo",V44="Manual"),"25%",""))))))</f>
        <v/>
      </c>
      <c r="X44" s="211"/>
      <c r="Y44" s="211"/>
      <c r="Z44" s="211"/>
      <c r="AA44" s="200" t="str">
        <f>IFERROR(IF(AND(T43="Probabilidad",T44="Probabilidad"),(AC43-(+AC43*W44)),IF(AND(T43="Impacto",T44="Probabilidad"),(L43-(+L43*W44)),IF(T44="Impacto",AC43,""))),"")</f>
        <v/>
      </c>
      <c r="AB44" s="201" t="str">
        <f t="shared" ref="AB44:AB48" si="65">IFERROR(IF(AA44="","",IF(AA44&lt;=0.2,"Muy Baja",IF(AA44&lt;=0.4,"Baja",IF(AA44&lt;=0.6,"Media",IF(AA44&lt;=0.8,"Alta","Muy Alta"))))),"")</f>
        <v/>
      </c>
      <c r="AC44" s="202" t="str">
        <f>+AA44</f>
        <v/>
      </c>
      <c r="AD44" s="201" t="str">
        <f t="shared" ref="AD44:AD48" si="66">IFERROR(IF(AE44="","",IF(AE44&lt;=0.2,"Leve",IF(AE44&lt;=0.4,"Menor",IF(AE44&lt;=0.6,"Moderado",IF(AE44&lt;=0.8,"Mayor","Catastrófico"))))),"")</f>
        <v/>
      </c>
      <c r="AE44" s="202" t="str">
        <f>IFERROR(IF(AND(T43="Impacto",T44="Impacto"),(AE43-(+AE43*W44)),IF(AND(T43="Probabilidad",T44="Impacto"),(P43-(+P43*W44)),IF(T44="Probabilidad",AE43,""))),"")</f>
        <v/>
      </c>
      <c r="AF44" s="203" t="str">
        <f t="shared" ref="AF44:AF48" si="67">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
      </c>
      <c r="AG44" s="213"/>
      <c r="AH44" s="214"/>
      <c r="AI44" s="215"/>
      <c r="AJ44" s="216"/>
      <c r="AK44" s="216"/>
      <c r="AL44" s="214"/>
      <c r="AM44" s="215"/>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row>
    <row r="45" spans="1:67" ht="26.25" customHeight="1" x14ac:dyDescent="0.3">
      <c r="A45" s="389"/>
      <c r="B45" s="392"/>
      <c r="C45" s="392"/>
      <c r="D45" s="392"/>
      <c r="E45" s="220"/>
      <c r="F45" s="395"/>
      <c r="G45" s="223"/>
      <c r="H45" s="223"/>
      <c r="I45" s="392"/>
      <c r="J45" s="398"/>
      <c r="K45" s="380"/>
      <c r="L45" s="377"/>
      <c r="M45" s="374"/>
      <c r="N45" s="377">
        <f>IF(NOT(ISERROR(MATCH(M45,_xlfn.ANCHORARRAY(F56),0))),L58&amp;"Por favor no seleccionar los criterios de impacto",M45)</f>
        <v>0</v>
      </c>
      <c r="O45" s="380"/>
      <c r="P45" s="377"/>
      <c r="Q45" s="383"/>
      <c r="R45" s="209">
        <v>3</v>
      </c>
      <c r="S45" s="221"/>
      <c r="T45" s="210" t="str">
        <f t="shared" ref="T45:T48" si="68">IF(OR(U45="Preventivo",U45="Detectivo"),"Probabilidad",IF(U45="Correctivo","Impacto",""))</f>
        <v/>
      </c>
      <c r="U45" s="211"/>
      <c r="V45" s="211"/>
      <c r="W45" s="212" t="str">
        <f t="shared" si="64"/>
        <v/>
      </c>
      <c r="X45" s="211"/>
      <c r="Y45" s="211"/>
      <c r="Z45" s="211"/>
      <c r="AA45" s="200" t="str">
        <f>IFERROR(IF(AND(T44="Probabilidad",T45="Probabilidad"),(AC44-(+AC44*W45)),IF(AND(T44="Impacto",T45="Probabilidad"),(AC43-(+AC43*W45)),IF(T45="Impacto",AC44,""))),"")</f>
        <v/>
      </c>
      <c r="AB45" s="201" t="str">
        <f t="shared" si="65"/>
        <v/>
      </c>
      <c r="AC45" s="202" t="str">
        <f t="shared" ref="AC45:AC48" si="69">+AA45</f>
        <v/>
      </c>
      <c r="AD45" s="201" t="str">
        <f t="shared" si="66"/>
        <v/>
      </c>
      <c r="AE45" s="202" t="str">
        <f t="shared" ref="AE45:AE48" si="70">IFERROR(IF(AND(T44="Impacto",T45="Impacto"),(AE44-(+AE44*W45)),IF(AND(T44="Probabilidad",T45="Impacto"),(AE43-(+AE43*W45)),IF(T45="Probabilidad",AE44,""))),"")</f>
        <v/>
      </c>
      <c r="AF45" s="203" t="str">
        <f t="shared" si="67"/>
        <v/>
      </c>
      <c r="AG45" s="213"/>
      <c r="AH45" s="214"/>
      <c r="AI45" s="215"/>
      <c r="AJ45" s="216"/>
      <c r="AK45" s="216"/>
      <c r="AL45" s="214"/>
      <c r="AM45" s="215"/>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row>
    <row r="46" spans="1:67" ht="26.25" customHeight="1" x14ac:dyDescent="0.3">
      <c r="A46" s="389"/>
      <c r="B46" s="392"/>
      <c r="C46" s="392"/>
      <c r="D46" s="392"/>
      <c r="E46" s="220"/>
      <c r="F46" s="395"/>
      <c r="G46" s="223"/>
      <c r="H46" s="223"/>
      <c r="I46" s="392"/>
      <c r="J46" s="398"/>
      <c r="K46" s="380"/>
      <c r="L46" s="377"/>
      <c r="M46" s="374"/>
      <c r="N46" s="377">
        <f>IF(NOT(ISERROR(MATCH(M46,_xlfn.ANCHORARRAY(F57),0))),L59&amp;"Por favor no seleccionar los criterios de impacto",M46)</f>
        <v>0</v>
      </c>
      <c r="O46" s="380"/>
      <c r="P46" s="377"/>
      <c r="Q46" s="383"/>
      <c r="R46" s="209">
        <v>4</v>
      </c>
      <c r="S46" s="91"/>
      <c r="T46" s="210" t="str">
        <f t="shared" si="68"/>
        <v/>
      </c>
      <c r="U46" s="211"/>
      <c r="V46" s="211"/>
      <c r="W46" s="212" t="str">
        <f t="shared" si="64"/>
        <v/>
      </c>
      <c r="X46" s="211"/>
      <c r="Y46" s="211"/>
      <c r="Z46" s="211"/>
      <c r="AA46" s="200" t="str">
        <f t="shared" ref="AA46:AA48" si="71">IFERROR(IF(AND(T45="Probabilidad",T46="Probabilidad"),(AC45-(+AC45*W46)),IF(AND(T45="Impacto",T46="Probabilidad"),(AC44-(+AC44*W46)),IF(T46="Impacto",AC45,""))),"")</f>
        <v/>
      </c>
      <c r="AB46" s="201" t="str">
        <f t="shared" si="65"/>
        <v/>
      </c>
      <c r="AC46" s="202" t="str">
        <f t="shared" si="69"/>
        <v/>
      </c>
      <c r="AD46" s="201" t="str">
        <f t="shared" si="66"/>
        <v/>
      </c>
      <c r="AE46" s="202" t="str">
        <f t="shared" si="70"/>
        <v/>
      </c>
      <c r="AF46" s="203" t="str">
        <f t="shared" si="67"/>
        <v/>
      </c>
      <c r="AG46" s="213"/>
      <c r="AH46" s="214"/>
      <c r="AI46" s="215"/>
      <c r="AJ46" s="216"/>
      <c r="AK46" s="216"/>
      <c r="AL46" s="214"/>
      <c r="AM46" s="215"/>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row>
    <row r="47" spans="1:67" ht="26.25" customHeight="1" x14ac:dyDescent="0.3">
      <c r="A47" s="389"/>
      <c r="B47" s="392"/>
      <c r="C47" s="392"/>
      <c r="D47" s="392"/>
      <c r="E47" s="220"/>
      <c r="F47" s="395"/>
      <c r="G47" s="223"/>
      <c r="H47" s="223"/>
      <c r="I47" s="392"/>
      <c r="J47" s="398"/>
      <c r="K47" s="380"/>
      <c r="L47" s="377"/>
      <c r="M47" s="374"/>
      <c r="N47" s="377">
        <f>IF(NOT(ISERROR(MATCH(M47,_xlfn.ANCHORARRAY(F58),0))),L60&amp;"Por favor no seleccionar los criterios de impacto",M47)</f>
        <v>0</v>
      </c>
      <c r="O47" s="380"/>
      <c r="P47" s="377"/>
      <c r="Q47" s="383"/>
      <c r="R47" s="209">
        <v>5</v>
      </c>
      <c r="S47" s="91"/>
      <c r="T47" s="210" t="str">
        <f t="shared" si="68"/>
        <v/>
      </c>
      <c r="U47" s="211"/>
      <c r="V47" s="211"/>
      <c r="W47" s="212" t="str">
        <f t="shared" si="64"/>
        <v/>
      </c>
      <c r="X47" s="211"/>
      <c r="Y47" s="211"/>
      <c r="Z47" s="211"/>
      <c r="AA47" s="200" t="str">
        <f t="shared" si="71"/>
        <v/>
      </c>
      <c r="AB47" s="201" t="str">
        <f t="shared" si="65"/>
        <v/>
      </c>
      <c r="AC47" s="202" t="str">
        <f t="shared" si="69"/>
        <v/>
      </c>
      <c r="AD47" s="201" t="str">
        <f t="shared" si="66"/>
        <v/>
      </c>
      <c r="AE47" s="202" t="str">
        <f t="shared" si="70"/>
        <v/>
      </c>
      <c r="AF47" s="203" t="str">
        <f t="shared" si="67"/>
        <v/>
      </c>
      <c r="AG47" s="213"/>
      <c r="AH47" s="214"/>
      <c r="AI47" s="215"/>
      <c r="AJ47" s="216"/>
      <c r="AK47" s="216"/>
      <c r="AL47" s="214"/>
      <c r="AM47" s="215"/>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row>
    <row r="48" spans="1:67" ht="26.25" customHeight="1" x14ac:dyDescent="0.3">
      <c r="A48" s="390"/>
      <c r="B48" s="393"/>
      <c r="C48" s="393"/>
      <c r="D48" s="393"/>
      <c r="E48" s="222"/>
      <c r="F48" s="396"/>
      <c r="G48" s="224"/>
      <c r="H48" s="224"/>
      <c r="I48" s="393"/>
      <c r="J48" s="399"/>
      <c r="K48" s="381"/>
      <c r="L48" s="378"/>
      <c r="M48" s="375"/>
      <c r="N48" s="378">
        <f>IF(NOT(ISERROR(MATCH(M48,_xlfn.ANCHORARRAY(F59),0))),L61&amp;"Por favor no seleccionar los criterios de impacto",M48)</f>
        <v>0</v>
      </c>
      <c r="O48" s="381"/>
      <c r="P48" s="378"/>
      <c r="Q48" s="384"/>
      <c r="R48" s="209">
        <v>6</v>
      </c>
      <c r="S48" s="91"/>
      <c r="T48" s="210" t="str">
        <f t="shared" si="68"/>
        <v/>
      </c>
      <c r="U48" s="211"/>
      <c r="V48" s="211"/>
      <c r="W48" s="212" t="str">
        <f t="shared" si="64"/>
        <v/>
      </c>
      <c r="X48" s="211"/>
      <c r="Y48" s="211"/>
      <c r="Z48" s="211"/>
      <c r="AA48" s="200" t="str">
        <f t="shared" si="71"/>
        <v/>
      </c>
      <c r="AB48" s="201" t="str">
        <f t="shared" si="65"/>
        <v/>
      </c>
      <c r="AC48" s="202" t="str">
        <f t="shared" si="69"/>
        <v/>
      </c>
      <c r="AD48" s="201" t="str">
        <f t="shared" si="66"/>
        <v/>
      </c>
      <c r="AE48" s="202" t="str">
        <f t="shared" si="70"/>
        <v/>
      </c>
      <c r="AF48" s="203" t="str">
        <f t="shared" si="67"/>
        <v/>
      </c>
      <c r="AG48" s="213"/>
      <c r="AH48" s="214"/>
      <c r="AI48" s="215"/>
      <c r="AJ48" s="216"/>
      <c r="AK48" s="216"/>
      <c r="AL48" s="214"/>
      <c r="AM48" s="215"/>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row>
    <row r="49" spans="1:67" ht="19.5" customHeight="1" x14ac:dyDescent="0.3">
      <c r="A49" s="388">
        <v>10</v>
      </c>
      <c r="B49" s="391"/>
      <c r="C49" s="391"/>
      <c r="D49" s="391"/>
      <c r="E49" s="205"/>
      <c r="F49" s="394"/>
      <c r="G49" s="225"/>
      <c r="H49" s="225"/>
      <c r="I49" s="391"/>
      <c r="J49" s="397"/>
      <c r="K49" s="379" t="str">
        <f t="shared" ref="K49" si="72">IF(J49&lt;=0,"",IF(J49&lt;=2,"Muy Baja",IF(J49&lt;=24,"Baja",IF(J49&lt;=500,"Media",IF(J49&lt;=5000,"Alta","Muy Alta")))))</f>
        <v/>
      </c>
      <c r="L49" s="376" t="str">
        <f t="shared" ref="L49" si="73">IF(K49="","",IF(K49="Muy Baja",0.2,IF(K49="Baja",0.4,IF(K49="Media",0.6,IF(K49="Alta",0.8,IF(K49="Muy Alta",1,))))))</f>
        <v/>
      </c>
      <c r="M49" s="373"/>
      <c r="N49" s="376">
        <f>IF(NOT(ISERROR(MATCH(M49,'[1]Tabla Impacto'!$B$221:$B$223,0))),'[1]Tabla Impacto'!$F$223&amp;"Por favor no seleccionar los criterios de impacto(Afectación Económica o presupuestal y Pérdida Reputacional)",M49)</f>
        <v>0</v>
      </c>
      <c r="O49" s="379" t="str">
        <f>IF(OR(N49='[1]Tabla Impacto'!$C$11,N49='[1]Tabla Impacto'!$D$11),"Leve",IF(OR(N49='[1]Tabla Impacto'!$C$12,N49='[1]Tabla Impacto'!$D$12),"Menor",IF(OR(N49='[1]Tabla Impacto'!$C$13,N49='[1]Tabla Impacto'!$D$13),"Moderado",IF(OR(N49='[1]Tabla Impacto'!$C$14,N49='[1]Tabla Impacto'!$D$14),"Mayor",IF(OR(N49='[1]Tabla Impacto'!$C$15,N49='[1]Tabla Impacto'!$D$15),"Catastrófico","")))))</f>
        <v/>
      </c>
      <c r="P49" s="376" t="str">
        <f t="shared" ref="P49" si="74">IF(O49="","",IF(O49="Leve",0.2,IF(O49="Menor",0.4,IF(O49="Moderado",0.6,IF(O49="Mayor",0.8,IF(O49="Catastrófico",1,))))))</f>
        <v/>
      </c>
      <c r="Q49" s="382" t="str">
        <f t="shared" ref="Q49" si="75">IF(OR(AND(K49="Muy Baja",O49="Leve"),AND(K49="Muy Baja",O49="Menor"),AND(K49="Baja",O49="Leve")),"Bajo",IF(OR(AND(K49="Muy baja",O49="Moderado"),AND(K49="Baja",O49="Menor"),AND(K49="Baja",O49="Moderado"),AND(K49="Media",O49="Leve"),AND(K49="Media",O49="Menor"),AND(K49="Media",O49="Moderado"),AND(K49="Alta",O49="Leve"),AND(K49="Alta",O49="Menor")),"Moderado",IF(OR(AND(K49="Muy Baja",O49="Mayor"),AND(K49="Baja",O49="Mayor"),AND(K49="Media",O49="Mayor"),AND(K49="Alta",O49="Moderado"),AND(K49="Alta",O49="Mayor"),AND(K49="Muy Alta",O49="Leve"),AND(K49="Muy Alta",O49="Menor"),AND(K49="Muy Alta",O49="Moderado"),AND(K49="Muy Alta",O49="Mayor")),"Alto",IF(OR(AND(K49="Muy Baja",O49="Catastrófico"),AND(K49="Baja",O49="Catastrófico"),AND(K49="Media",O49="Catastrófico"),AND(K49="Alta",O49="Catastrófico"),AND(K49="Muy Alta",O49="Catastrófico")),"Extremo",""))))</f>
        <v/>
      </c>
      <c r="R49" s="209">
        <v>1</v>
      </c>
      <c r="S49" s="91"/>
      <c r="T49" s="210" t="str">
        <f>IF(OR(U49="Preventivo",U49="Detectivo"),"Probabilidad",IF(U49="Correctivo","Impacto",""))</f>
        <v/>
      </c>
      <c r="U49" s="211"/>
      <c r="V49" s="211"/>
      <c r="W49" s="212" t="str">
        <f>IF(AND(U49="Preventivo",V49="Automático"),"50%",IF(AND(U49="Preventivo",V49="Manual"),"40%",IF(AND(U49="Detectivo",V49="Automático"),"40%",IF(AND(U49="Detectivo",V49="Manual"),"30%",IF(AND(U49="Correctivo",V49="Automático"),"35%",IF(AND(U49="Correctivo",V49="Manual"),"25%",""))))))</f>
        <v/>
      </c>
      <c r="X49" s="211"/>
      <c r="Y49" s="211"/>
      <c r="Z49" s="211"/>
      <c r="AA49" s="200" t="str">
        <f>IFERROR(IF(T49="Probabilidad",(L49-(+L49*W49)),IF(T49="Impacto",L49,"")),"")</f>
        <v/>
      </c>
      <c r="AB49" s="201" t="str">
        <f>IFERROR(IF(AA49="","",IF(AA49&lt;=0.2,"Muy Baja",IF(AA49&lt;=0.4,"Baja",IF(AA49&lt;=0.6,"Media",IF(AA49&lt;=0.8,"Alta","Muy Alta"))))),"")</f>
        <v/>
      </c>
      <c r="AC49" s="202" t="str">
        <f>+AA49</f>
        <v/>
      </c>
      <c r="AD49" s="201" t="str">
        <f>IFERROR(IF(AE49="","",IF(AE49&lt;=0.2,"Leve",IF(AE49&lt;=0.4,"Menor",IF(AE49&lt;=0.6,"Moderado",IF(AE49&lt;=0.8,"Mayor","Catastrófico"))))),"")</f>
        <v/>
      </c>
      <c r="AE49" s="202" t="str">
        <f>IFERROR(IF(T49="Impacto",(P49-(+P49*W49)),IF(T49="Probabilidad",P49,"")),"")</f>
        <v/>
      </c>
      <c r="AF49" s="203" t="str">
        <f>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213"/>
      <c r="AH49" s="214"/>
      <c r="AI49" s="215"/>
      <c r="AJ49" s="216"/>
      <c r="AK49" s="216"/>
      <c r="AL49" s="214"/>
      <c r="AM49" s="215"/>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row>
    <row r="50" spans="1:67" ht="19.5" customHeight="1" x14ac:dyDescent="0.3">
      <c r="A50" s="389"/>
      <c r="B50" s="392"/>
      <c r="C50" s="392"/>
      <c r="D50" s="392"/>
      <c r="E50" s="220"/>
      <c r="F50" s="395"/>
      <c r="G50" s="223"/>
      <c r="H50" s="223"/>
      <c r="I50" s="392"/>
      <c r="J50" s="398"/>
      <c r="K50" s="380"/>
      <c r="L50" s="377"/>
      <c r="M50" s="374"/>
      <c r="N50" s="377">
        <f>IF(NOT(ISERROR(MATCH(M50,_xlfn.ANCHORARRAY(F61),0))),L63&amp;"Por favor no seleccionar los criterios de impacto",M50)</f>
        <v>0</v>
      </c>
      <c r="O50" s="380"/>
      <c r="P50" s="377"/>
      <c r="Q50" s="383"/>
      <c r="R50" s="209">
        <v>2</v>
      </c>
      <c r="S50" s="91"/>
      <c r="T50" s="210" t="str">
        <f>IF(OR(U50="Preventivo",U50="Detectivo"),"Probabilidad",IF(U50="Correctivo","Impacto",""))</f>
        <v/>
      </c>
      <c r="U50" s="211"/>
      <c r="V50" s="211"/>
      <c r="W50" s="212" t="str">
        <f t="shared" ref="W50:W54" si="76">IF(AND(U50="Preventivo",V50="Automático"),"50%",IF(AND(U50="Preventivo",V50="Manual"),"40%",IF(AND(U50="Detectivo",V50="Automático"),"40%",IF(AND(U50="Detectivo",V50="Manual"),"30%",IF(AND(U50="Correctivo",V50="Automático"),"35%",IF(AND(U50="Correctivo",V50="Manual"),"25%",""))))))</f>
        <v/>
      </c>
      <c r="X50" s="211"/>
      <c r="Y50" s="211"/>
      <c r="Z50" s="211"/>
      <c r="AA50" s="200" t="str">
        <f>IFERROR(IF(AND(T49="Probabilidad",T50="Probabilidad"),(AC49-(+AC49*W50)),IF(AND(T49="Impacto",T50="Probabilidad"),(L49-(+L49*W50)),IF(T50="Impacto",AC49,""))),"")</f>
        <v/>
      </c>
      <c r="AB50" s="201" t="str">
        <f t="shared" ref="AB50:AB54" si="77">IFERROR(IF(AA50="","",IF(AA50&lt;=0.2,"Muy Baja",IF(AA50&lt;=0.4,"Baja",IF(AA50&lt;=0.6,"Media",IF(AA50&lt;=0.8,"Alta","Muy Alta"))))),"")</f>
        <v/>
      </c>
      <c r="AC50" s="202" t="str">
        <f>+AA50</f>
        <v/>
      </c>
      <c r="AD50" s="201" t="str">
        <f t="shared" ref="AD50:AD54" si="78">IFERROR(IF(AE50="","",IF(AE50&lt;=0.2,"Leve",IF(AE50&lt;=0.4,"Menor",IF(AE50&lt;=0.6,"Moderado",IF(AE50&lt;=0.8,"Mayor","Catastrófico"))))),"")</f>
        <v/>
      </c>
      <c r="AE50" s="202" t="str">
        <f>IFERROR(IF(AND(T49="Impacto",T50="Impacto"),(AE49-(+AE49*W50)),IF(AND(T49="Probabilidad",T50="Impacto"),(P49-(+P49*W50)),IF(T50="Probabilidad",AE49,""))),"")</f>
        <v/>
      </c>
      <c r="AF50" s="203" t="str">
        <f t="shared" ref="AF50:AF54" si="79">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213"/>
      <c r="AH50" s="214"/>
      <c r="AI50" s="215"/>
      <c r="AJ50" s="216"/>
      <c r="AK50" s="216"/>
      <c r="AL50" s="214"/>
      <c r="AM50" s="215"/>
    </row>
    <row r="51" spans="1:67" ht="19.5" customHeight="1" x14ac:dyDescent="0.3">
      <c r="A51" s="389"/>
      <c r="B51" s="392"/>
      <c r="C51" s="392"/>
      <c r="D51" s="392"/>
      <c r="E51" s="220"/>
      <c r="F51" s="395"/>
      <c r="G51" s="223"/>
      <c r="H51" s="223"/>
      <c r="I51" s="392"/>
      <c r="J51" s="398"/>
      <c r="K51" s="380"/>
      <c r="L51" s="377"/>
      <c r="M51" s="374"/>
      <c r="N51" s="377">
        <f>IF(NOT(ISERROR(MATCH(M51,_xlfn.ANCHORARRAY(F62),0))),L64&amp;"Por favor no seleccionar los criterios de impacto",M51)</f>
        <v>0</v>
      </c>
      <c r="O51" s="380"/>
      <c r="P51" s="377"/>
      <c r="Q51" s="383"/>
      <c r="R51" s="209">
        <v>3</v>
      </c>
      <c r="S51" s="221"/>
      <c r="T51" s="210" t="str">
        <f t="shared" ref="T51:T54" si="80">IF(OR(U51="Preventivo",U51="Detectivo"),"Probabilidad",IF(U51="Correctivo","Impacto",""))</f>
        <v/>
      </c>
      <c r="U51" s="211"/>
      <c r="V51" s="211"/>
      <c r="W51" s="212" t="str">
        <f t="shared" si="76"/>
        <v/>
      </c>
      <c r="X51" s="211"/>
      <c r="Y51" s="211"/>
      <c r="Z51" s="211"/>
      <c r="AA51" s="200" t="str">
        <f>IFERROR(IF(AND(T50="Probabilidad",T51="Probabilidad"),(AC50-(+AC50*W51)),IF(AND(T50="Impacto",T51="Probabilidad"),(AC49-(+AC49*W51)),IF(T51="Impacto",AC50,""))),"")</f>
        <v/>
      </c>
      <c r="AB51" s="201" t="str">
        <f t="shared" si="77"/>
        <v/>
      </c>
      <c r="AC51" s="202" t="str">
        <f t="shared" ref="AC51:AC54" si="81">+AA51</f>
        <v/>
      </c>
      <c r="AD51" s="201" t="str">
        <f t="shared" si="78"/>
        <v/>
      </c>
      <c r="AE51" s="202" t="str">
        <f t="shared" ref="AE51:AE54" si="82">IFERROR(IF(AND(T50="Impacto",T51="Impacto"),(AE50-(+AE50*W51)),IF(AND(T50="Probabilidad",T51="Impacto"),(AE49-(+AE49*W51)),IF(T51="Probabilidad",AE50,""))),"")</f>
        <v/>
      </c>
      <c r="AF51" s="203" t="str">
        <f t="shared" si="79"/>
        <v/>
      </c>
      <c r="AG51" s="213"/>
      <c r="AH51" s="214"/>
      <c r="AI51" s="215"/>
      <c r="AJ51" s="216"/>
      <c r="AK51" s="216"/>
      <c r="AL51" s="214"/>
      <c r="AM51" s="215"/>
    </row>
    <row r="52" spans="1:67" ht="19.5" customHeight="1" x14ac:dyDescent="0.3">
      <c r="A52" s="389"/>
      <c r="B52" s="392"/>
      <c r="C52" s="392"/>
      <c r="D52" s="392"/>
      <c r="E52" s="220"/>
      <c r="F52" s="395"/>
      <c r="G52" s="223"/>
      <c r="H52" s="223"/>
      <c r="I52" s="392"/>
      <c r="J52" s="398"/>
      <c r="K52" s="380"/>
      <c r="L52" s="377"/>
      <c r="M52" s="374"/>
      <c r="N52" s="377">
        <f>IF(NOT(ISERROR(MATCH(M52,_xlfn.ANCHORARRAY(F63),0))),L65&amp;"Por favor no seleccionar los criterios de impacto",M52)</f>
        <v>0</v>
      </c>
      <c r="O52" s="380"/>
      <c r="P52" s="377"/>
      <c r="Q52" s="383"/>
      <c r="R52" s="209">
        <v>4</v>
      </c>
      <c r="S52" s="91"/>
      <c r="T52" s="210" t="str">
        <f t="shared" si="80"/>
        <v/>
      </c>
      <c r="U52" s="211"/>
      <c r="V52" s="211"/>
      <c r="W52" s="212" t="str">
        <f t="shared" si="76"/>
        <v/>
      </c>
      <c r="X52" s="211"/>
      <c r="Y52" s="211"/>
      <c r="Z52" s="211"/>
      <c r="AA52" s="200" t="str">
        <f t="shared" ref="AA52:AA54" si="83">IFERROR(IF(AND(T51="Probabilidad",T52="Probabilidad"),(AC51-(+AC51*W52)),IF(AND(T51="Impacto",T52="Probabilidad"),(AC50-(+AC50*W52)),IF(T52="Impacto",AC51,""))),"")</f>
        <v/>
      </c>
      <c r="AB52" s="201" t="str">
        <f t="shared" si="77"/>
        <v/>
      </c>
      <c r="AC52" s="202" t="str">
        <f t="shared" si="81"/>
        <v/>
      </c>
      <c r="AD52" s="201" t="str">
        <f t="shared" si="78"/>
        <v/>
      </c>
      <c r="AE52" s="202" t="str">
        <f t="shared" si="82"/>
        <v/>
      </c>
      <c r="AF52" s="203" t="str">
        <f t="shared" si="79"/>
        <v/>
      </c>
      <c r="AG52" s="213"/>
      <c r="AH52" s="214"/>
      <c r="AI52" s="215"/>
      <c r="AJ52" s="216"/>
      <c r="AK52" s="216"/>
      <c r="AL52" s="214"/>
      <c r="AM52" s="215"/>
    </row>
    <row r="53" spans="1:67" ht="19.5" customHeight="1" x14ac:dyDescent="0.3">
      <c r="A53" s="389"/>
      <c r="B53" s="392"/>
      <c r="C53" s="392"/>
      <c r="D53" s="392"/>
      <c r="E53" s="220"/>
      <c r="F53" s="395"/>
      <c r="G53" s="223"/>
      <c r="H53" s="223"/>
      <c r="I53" s="392"/>
      <c r="J53" s="398"/>
      <c r="K53" s="380"/>
      <c r="L53" s="377"/>
      <c r="M53" s="374"/>
      <c r="N53" s="377">
        <f>IF(NOT(ISERROR(MATCH(M53,_xlfn.ANCHORARRAY(F64),0))),L66&amp;"Por favor no seleccionar los criterios de impacto",M53)</f>
        <v>0</v>
      </c>
      <c r="O53" s="380"/>
      <c r="P53" s="377"/>
      <c r="Q53" s="383"/>
      <c r="R53" s="209">
        <v>5</v>
      </c>
      <c r="S53" s="91"/>
      <c r="T53" s="210" t="str">
        <f t="shared" si="80"/>
        <v/>
      </c>
      <c r="U53" s="211"/>
      <c r="V53" s="211"/>
      <c r="W53" s="212" t="str">
        <f t="shared" si="76"/>
        <v/>
      </c>
      <c r="X53" s="211"/>
      <c r="Y53" s="211"/>
      <c r="Z53" s="211"/>
      <c r="AA53" s="200" t="str">
        <f t="shared" si="83"/>
        <v/>
      </c>
      <c r="AB53" s="201" t="str">
        <f t="shared" si="77"/>
        <v/>
      </c>
      <c r="AC53" s="202" t="str">
        <f t="shared" si="81"/>
        <v/>
      </c>
      <c r="AD53" s="201" t="str">
        <f t="shared" si="78"/>
        <v/>
      </c>
      <c r="AE53" s="202" t="str">
        <f t="shared" si="82"/>
        <v/>
      </c>
      <c r="AF53" s="203" t="str">
        <f t="shared" si="79"/>
        <v/>
      </c>
      <c r="AG53" s="213"/>
      <c r="AH53" s="214"/>
      <c r="AI53" s="215"/>
      <c r="AJ53" s="216"/>
      <c r="AK53" s="216"/>
      <c r="AL53" s="214"/>
      <c r="AM53" s="215"/>
    </row>
    <row r="54" spans="1:67" ht="19.5" customHeight="1" x14ac:dyDescent="0.3">
      <c r="A54" s="390"/>
      <c r="B54" s="393"/>
      <c r="C54" s="393"/>
      <c r="D54" s="393"/>
      <c r="E54" s="222"/>
      <c r="F54" s="396"/>
      <c r="G54" s="224"/>
      <c r="H54" s="224"/>
      <c r="I54" s="393"/>
      <c r="J54" s="399"/>
      <c r="K54" s="381"/>
      <c r="L54" s="378"/>
      <c r="M54" s="375"/>
      <c r="N54" s="378">
        <f>IF(NOT(ISERROR(MATCH(M54,_xlfn.ANCHORARRAY(F65),0))),L67&amp;"Por favor no seleccionar los criterios de impacto",M54)</f>
        <v>0</v>
      </c>
      <c r="O54" s="381"/>
      <c r="P54" s="378"/>
      <c r="Q54" s="384"/>
      <c r="R54" s="209">
        <v>6</v>
      </c>
      <c r="S54" s="91"/>
      <c r="T54" s="210" t="str">
        <f t="shared" si="80"/>
        <v/>
      </c>
      <c r="U54" s="211"/>
      <c r="V54" s="211"/>
      <c r="W54" s="212" t="str">
        <f t="shared" si="76"/>
        <v/>
      </c>
      <c r="X54" s="211"/>
      <c r="Y54" s="211"/>
      <c r="Z54" s="211"/>
      <c r="AA54" s="200" t="str">
        <f t="shared" si="83"/>
        <v/>
      </c>
      <c r="AB54" s="201" t="str">
        <f t="shared" si="77"/>
        <v/>
      </c>
      <c r="AC54" s="202" t="str">
        <f t="shared" si="81"/>
        <v/>
      </c>
      <c r="AD54" s="201" t="str">
        <f t="shared" si="78"/>
        <v/>
      </c>
      <c r="AE54" s="202" t="str">
        <f t="shared" si="82"/>
        <v/>
      </c>
      <c r="AF54" s="203" t="str">
        <f t="shared" si="79"/>
        <v/>
      </c>
      <c r="AG54" s="213"/>
      <c r="AH54" s="214"/>
      <c r="AI54" s="215"/>
      <c r="AJ54" s="216"/>
      <c r="AK54" s="216"/>
      <c r="AL54" s="214"/>
      <c r="AM54" s="215"/>
    </row>
    <row r="55" spans="1:67" ht="49.5" customHeight="1" x14ac:dyDescent="0.3">
      <c r="A55" s="185"/>
      <c r="B55" s="385" t="s">
        <v>406</v>
      </c>
      <c r="C55" s="386"/>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386"/>
      <c r="AK55" s="386"/>
      <c r="AL55" s="386"/>
      <c r="AM55" s="387"/>
    </row>
    <row r="57" spans="1:67" x14ac:dyDescent="0.3">
      <c r="A57" s="175"/>
      <c r="B57" s="226" t="s">
        <v>137</v>
      </c>
      <c r="C57" s="175"/>
      <c r="D57" s="175"/>
      <c r="E57" s="175"/>
      <c r="I57" s="175"/>
    </row>
    <row r="63" spans="1:67" x14ac:dyDescent="0.3">
      <c r="F63" s="175" t="s">
        <v>407</v>
      </c>
      <c r="H63" s="175">
        <v>4</v>
      </c>
    </row>
    <row r="64" spans="1:67" x14ac:dyDescent="0.3">
      <c r="F64" s="175" t="s">
        <v>408</v>
      </c>
      <c r="H64" s="175">
        <v>6</v>
      </c>
    </row>
    <row r="65" spans="4:8" x14ac:dyDescent="0.3">
      <c r="F65" s="175" t="s">
        <v>409</v>
      </c>
      <c r="H65" s="175">
        <v>6</v>
      </c>
    </row>
    <row r="66" spans="4:8" x14ac:dyDescent="0.3">
      <c r="F66" s="175" t="s">
        <v>410</v>
      </c>
      <c r="H66" s="175">
        <v>4</v>
      </c>
    </row>
    <row r="67" spans="4:8" x14ac:dyDescent="0.3">
      <c r="D67" s="229"/>
      <c r="F67" s="175" t="s">
        <v>411</v>
      </c>
      <c r="H67" s="175">
        <v>4</v>
      </c>
    </row>
    <row r="68" spans="4:8" x14ac:dyDescent="0.3">
      <c r="D68" s="229"/>
      <c r="F68" s="175" t="s">
        <v>412</v>
      </c>
      <c r="H68" s="175">
        <v>33</v>
      </c>
    </row>
    <row r="69" spans="4:8" x14ac:dyDescent="0.3">
      <c r="D69" s="230"/>
      <c r="H69" s="175">
        <f>SUM(H63:H68)</f>
        <v>57</v>
      </c>
    </row>
  </sheetData>
  <dataConsolidate/>
  <mergeCells count="194">
    <mergeCell ref="AA7:AG7"/>
    <mergeCell ref="A8:A9"/>
    <mergeCell ref="B8:B9"/>
    <mergeCell ref="C8:C9"/>
    <mergeCell ref="D8:D9"/>
    <mergeCell ref="E8:E9"/>
    <mergeCell ref="A1:AM2"/>
    <mergeCell ref="A4:B4"/>
    <mergeCell ref="C4:AM4"/>
    <mergeCell ref="A5:B5"/>
    <mergeCell ref="C5:AM5"/>
    <mergeCell ref="A6:B6"/>
    <mergeCell ref="C6:AM6"/>
    <mergeCell ref="G8:G9"/>
    <mergeCell ref="F8:F9"/>
    <mergeCell ref="I8:I9"/>
    <mergeCell ref="J8:J9"/>
    <mergeCell ref="K8:K9"/>
    <mergeCell ref="L8:L9"/>
    <mergeCell ref="M8:M9"/>
    <mergeCell ref="A7:J7"/>
    <mergeCell ref="K7:Q7"/>
    <mergeCell ref="R7:Z7"/>
    <mergeCell ref="AH7:AS7"/>
    <mergeCell ref="AR8:AR9"/>
    <mergeCell ref="AS8:AS9"/>
    <mergeCell ref="A10:A14"/>
    <mergeCell ref="B10:B14"/>
    <mergeCell ref="C10:C14"/>
    <mergeCell ref="D10:D14"/>
    <mergeCell ref="F10:F14"/>
    <mergeCell ref="G10:G14"/>
    <mergeCell ref="H10:H14"/>
    <mergeCell ref="AK8:AK9"/>
    <mergeCell ref="AL8:AL9"/>
    <mergeCell ref="AM8:AM9"/>
    <mergeCell ref="AN8:AN9"/>
    <mergeCell ref="AO8:AO9"/>
    <mergeCell ref="AP8:AP9"/>
    <mergeCell ref="AE8:AE9"/>
    <mergeCell ref="AF8:AF9"/>
    <mergeCell ref="AG8:AG9"/>
    <mergeCell ref="AH8:AH9"/>
    <mergeCell ref="AI8:AI9"/>
    <mergeCell ref="AJ8:AJ9"/>
    <mergeCell ref="T8:T9"/>
    <mergeCell ref="U8:Z8"/>
    <mergeCell ref="AA8:AA9"/>
    <mergeCell ref="AH10:AH14"/>
    <mergeCell ref="AI10:AI14"/>
    <mergeCell ref="I10:I14"/>
    <mergeCell ref="J10:J14"/>
    <mergeCell ref="K10:K14"/>
    <mergeCell ref="L10:L14"/>
    <mergeCell ref="M10:M14"/>
    <mergeCell ref="N10:N14"/>
    <mergeCell ref="AQ8:AQ9"/>
    <mergeCell ref="AB8:AB9"/>
    <mergeCell ref="AC8:AC9"/>
    <mergeCell ref="AD8:AD9"/>
    <mergeCell ref="N8:N9"/>
    <mergeCell ref="O8:O9"/>
    <mergeCell ref="P8:P9"/>
    <mergeCell ref="Q8:Q9"/>
    <mergeCell ref="R8:R9"/>
    <mergeCell ref="S8:S9"/>
    <mergeCell ref="J15:J18"/>
    <mergeCell ref="K15:K18"/>
    <mergeCell ref="L15:L18"/>
    <mergeCell ref="M15:M18"/>
    <mergeCell ref="AP10:AP14"/>
    <mergeCell ref="AQ10:AQ14"/>
    <mergeCell ref="AR10:AR14"/>
    <mergeCell ref="AS10:AS14"/>
    <mergeCell ref="A15:A18"/>
    <mergeCell ref="B15:B18"/>
    <mergeCell ref="C15:C18"/>
    <mergeCell ref="D15:D18"/>
    <mergeCell ref="F15:F18"/>
    <mergeCell ref="G15:G18"/>
    <mergeCell ref="AJ10:AJ14"/>
    <mergeCell ref="AK10:AK14"/>
    <mergeCell ref="AL10:AL14"/>
    <mergeCell ref="AM10:AM14"/>
    <mergeCell ref="AN10:AN14"/>
    <mergeCell ref="AO10:AO14"/>
    <mergeCell ref="O10:O14"/>
    <mergeCell ref="P10:P14"/>
    <mergeCell ref="Q10:Q14"/>
    <mergeCell ref="AG10:AG14"/>
    <mergeCell ref="AO15:AO18"/>
    <mergeCell ref="AP15:AP18"/>
    <mergeCell ref="AQ15:AQ18"/>
    <mergeCell ref="AR15:AR18"/>
    <mergeCell ref="AS15:AS18"/>
    <mergeCell ref="A19:A24"/>
    <mergeCell ref="B19:B24"/>
    <mergeCell ref="C19:C24"/>
    <mergeCell ref="D19:D24"/>
    <mergeCell ref="F19:F24"/>
    <mergeCell ref="AI15:AI18"/>
    <mergeCell ref="AJ15:AJ18"/>
    <mergeCell ref="AK15:AK18"/>
    <mergeCell ref="AL15:AL18"/>
    <mergeCell ref="AM15:AM18"/>
    <mergeCell ref="AN15:AN18"/>
    <mergeCell ref="N15:N18"/>
    <mergeCell ref="O15:O18"/>
    <mergeCell ref="P15:P18"/>
    <mergeCell ref="Q15:Q18"/>
    <mergeCell ref="AG15:AG18"/>
    <mergeCell ref="AH15:AH18"/>
    <mergeCell ref="H15:H18"/>
    <mergeCell ref="I15:I18"/>
    <mergeCell ref="O19:O24"/>
    <mergeCell ref="P19:P24"/>
    <mergeCell ref="Q19:Q24"/>
    <mergeCell ref="A25:A30"/>
    <mergeCell ref="B25:B30"/>
    <mergeCell ref="C25:C30"/>
    <mergeCell ref="D25:D30"/>
    <mergeCell ref="F25:F30"/>
    <mergeCell ref="I25:I30"/>
    <mergeCell ref="J25:J30"/>
    <mergeCell ref="I19:I24"/>
    <mergeCell ref="J19:J24"/>
    <mergeCell ref="K19:K24"/>
    <mergeCell ref="L19:L24"/>
    <mergeCell ref="M19:M24"/>
    <mergeCell ref="N19:N24"/>
    <mergeCell ref="Q25:Q30"/>
    <mergeCell ref="K25:K30"/>
    <mergeCell ref="L25:L30"/>
    <mergeCell ref="M25:M30"/>
    <mergeCell ref="N25:N30"/>
    <mergeCell ref="O25:O30"/>
    <mergeCell ref="P25:P30"/>
    <mergeCell ref="O31:O36"/>
    <mergeCell ref="P31:P36"/>
    <mergeCell ref="Q31:Q36"/>
    <mergeCell ref="A37:A42"/>
    <mergeCell ref="B37:B42"/>
    <mergeCell ref="C37:C42"/>
    <mergeCell ref="D37:D42"/>
    <mergeCell ref="F37:F42"/>
    <mergeCell ref="P37:P42"/>
    <mergeCell ref="Q37:Q42"/>
    <mergeCell ref="K37:K42"/>
    <mergeCell ref="L37:L42"/>
    <mergeCell ref="M37:M42"/>
    <mergeCell ref="N37:N42"/>
    <mergeCell ref="O37:O42"/>
    <mergeCell ref="A31:A36"/>
    <mergeCell ref="B31:B36"/>
    <mergeCell ref="C31:C36"/>
    <mergeCell ref="D31:D36"/>
    <mergeCell ref="F31:F36"/>
    <mergeCell ref="I31:I36"/>
    <mergeCell ref="J31:J36"/>
    <mergeCell ref="K31:K36"/>
    <mergeCell ref="L31:L36"/>
    <mergeCell ref="C43:C48"/>
    <mergeCell ref="D43:D48"/>
    <mergeCell ref="F43:F48"/>
    <mergeCell ref="I43:I48"/>
    <mergeCell ref="J43:J48"/>
    <mergeCell ref="I37:I42"/>
    <mergeCell ref="J37:J42"/>
    <mergeCell ref="M31:M36"/>
    <mergeCell ref="N31:N36"/>
    <mergeCell ref="M49:M54"/>
    <mergeCell ref="N49:N54"/>
    <mergeCell ref="O49:O54"/>
    <mergeCell ref="P49:P54"/>
    <mergeCell ref="Q49:Q54"/>
    <mergeCell ref="B55:AM55"/>
    <mergeCell ref="Q43:Q48"/>
    <mergeCell ref="A49:A54"/>
    <mergeCell ref="B49:B54"/>
    <mergeCell ref="C49:C54"/>
    <mergeCell ref="D49:D54"/>
    <mergeCell ref="F49:F54"/>
    <mergeCell ref="I49:I54"/>
    <mergeCell ref="J49:J54"/>
    <mergeCell ref="K49:K54"/>
    <mergeCell ref="L49:L54"/>
    <mergeCell ref="K43:K48"/>
    <mergeCell ref="L43:L48"/>
    <mergeCell ref="M43:M48"/>
    <mergeCell ref="N43:N48"/>
    <mergeCell ref="O43:O48"/>
    <mergeCell ref="P43:P48"/>
    <mergeCell ref="A43:A48"/>
    <mergeCell ref="B43:B48"/>
  </mergeCells>
  <conditionalFormatting sqref="K10 AB10:AB54 K15 K19 K25 K31 K37 K43 K49">
    <cfRule type="cellIs" dxfId="18" priority="15" operator="equal">
      <formula>"Muy Alta"</formula>
    </cfRule>
    <cfRule type="cellIs" dxfId="17" priority="16" operator="equal">
      <formula>"Alta"</formula>
    </cfRule>
    <cfRule type="cellIs" dxfId="16" priority="17" operator="equal">
      <formula>"Media"</formula>
    </cfRule>
    <cfRule type="cellIs" dxfId="15" priority="18" operator="equal">
      <formula>"Baja"</formula>
    </cfRule>
    <cfRule type="cellIs" dxfId="14" priority="19" operator="equal">
      <formula>"Muy Baja"</formula>
    </cfRule>
  </conditionalFormatting>
  <conditionalFormatting sqref="N10:N54">
    <cfRule type="containsText" dxfId="13" priority="1" operator="containsText" text="❌">
      <formula>NOT(ISERROR(SEARCH("❌",N10)))</formula>
    </cfRule>
  </conditionalFormatting>
  <conditionalFormatting sqref="O10 AD10:AD54 O15 O19 O25 O31 O37 O43 O49">
    <cfRule type="cellIs" dxfId="12" priority="10" operator="equal">
      <formula>"Catastrófico"</formula>
    </cfRule>
    <cfRule type="cellIs" dxfId="11" priority="11" operator="equal">
      <formula>"Mayor"</formula>
    </cfRule>
    <cfRule type="cellIs" dxfId="10" priority="12" operator="equal">
      <formula>"Moderado"</formula>
    </cfRule>
    <cfRule type="cellIs" dxfId="9" priority="13" operator="equal">
      <formula>"Menor"</formula>
    </cfRule>
    <cfRule type="cellIs" dxfId="8" priority="14" operator="equal">
      <formula>"Leve"</formula>
    </cfRule>
  </conditionalFormatting>
  <conditionalFormatting sqref="Q10 AF10:AF54">
    <cfRule type="cellIs" dxfId="7" priority="6" operator="equal">
      <formula>"Extremo"</formula>
    </cfRule>
    <cfRule type="cellIs" dxfId="6" priority="7" operator="equal">
      <formula>"Alto"</formula>
    </cfRule>
    <cfRule type="cellIs" dxfId="5" priority="8" operator="equal">
      <formula>"Moderado"</formula>
    </cfRule>
    <cfRule type="cellIs" dxfId="4" priority="9" operator="equal">
      <formula>"Bajo"</formula>
    </cfRule>
  </conditionalFormatting>
  <conditionalFormatting sqref="Q15 Q19 Q25 Q31 Q37 Q43 Q4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dataValidations count="1">
    <dataValidation type="list" allowBlank="1" showInputMessage="1" showErrorMessage="1" sqref="G15" xr:uid="{003189CB-C9A7-4D23-BBAD-8AB55E2ED802}">
      <formula1>"Gestion,Fiscal"</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BD3A1-2C9C-46CA-8BAE-3EB20436DA26}">
  <dimension ref="A1:CU140"/>
  <sheetViews>
    <sheetView zoomScale="40" zoomScaleNormal="40" workbookViewId="0">
      <selection activeCell="AP51" sqref="AP51"/>
    </sheetView>
  </sheetViews>
  <sheetFormatPr baseColWidth="10" defaultColWidth="11.5546875" defaultRowHeight="14.4" x14ac:dyDescent="0.3"/>
  <cols>
    <col min="2" max="39" width="5.6640625" customWidth="1"/>
    <col min="41" max="46" width="5.6640625" customWidth="1"/>
  </cols>
  <sheetData>
    <row r="1" spans="1:99"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row>
    <row r="2" spans="1:99" ht="18" customHeight="1" x14ac:dyDescent="0.3">
      <c r="A2" s="53"/>
      <c r="B2" s="569" t="s">
        <v>149</v>
      </c>
      <c r="C2" s="569"/>
      <c r="D2" s="569"/>
      <c r="E2" s="569"/>
      <c r="F2" s="569"/>
      <c r="G2" s="569"/>
      <c r="H2" s="569"/>
      <c r="I2" s="569"/>
      <c r="J2" s="570" t="s">
        <v>2</v>
      </c>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row>
    <row r="3" spans="1:99" ht="18.75" customHeight="1" x14ac:dyDescent="0.3">
      <c r="A3" s="53"/>
      <c r="B3" s="569"/>
      <c r="C3" s="569"/>
      <c r="D3" s="569"/>
      <c r="E3" s="569"/>
      <c r="F3" s="569"/>
      <c r="G3" s="569"/>
      <c r="H3" s="569"/>
      <c r="I3" s="569"/>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row>
    <row r="4" spans="1:99" ht="15" customHeight="1" x14ac:dyDescent="0.3">
      <c r="A4" s="53"/>
      <c r="B4" s="569"/>
      <c r="C4" s="569"/>
      <c r="D4" s="569"/>
      <c r="E4" s="569"/>
      <c r="F4" s="569"/>
      <c r="G4" s="569"/>
      <c r="H4" s="569"/>
      <c r="I4" s="569"/>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c r="AK4" s="570"/>
      <c r="AL4" s="570"/>
      <c r="AM4" s="570"/>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row>
    <row r="5" spans="1:99"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row>
    <row r="6" spans="1:99" ht="15" customHeight="1" x14ac:dyDescent="0.3">
      <c r="A6" s="53"/>
      <c r="B6" s="571" t="s">
        <v>4</v>
      </c>
      <c r="C6" s="571"/>
      <c r="D6" s="572"/>
      <c r="E6" s="487" t="s">
        <v>111</v>
      </c>
      <c r="F6" s="488"/>
      <c r="G6" s="488"/>
      <c r="H6" s="488"/>
      <c r="I6" s="489"/>
      <c r="J6" s="526" t="str">
        <f>IF(AND('[1]Mapa final'!$K$10="Muy Alta",'[1]Mapa final'!$O$10="Leve"),CONCATENATE("R",'[1]Mapa final'!$A$10),"")</f>
        <v/>
      </c>
      <c r="K6" s="527"/>
      <c r="L6" s="527" t="str">
        <f>IF(AND('[1]Mapa final'!$K$15="Muy Alta",'[1]Mapa final'!$O$15="Leve"),CONCATENATE("R",'[1]Mapa final'!$A$15),"")</f>
        <v/>
      </c>
      <c r="M6" s="527"/>
      <c r="N6" s="527" t="e">
        <f>IF(AND('[1]Mapa final'!#REF!="Muy Alta",'[1]Mapa final'!#REF!="Leve"),CONCATENATE("R",'[1]Mapa final'!#REF!),"")</f>
        <v>#REF!</v>
      </c>
      <c r="O6" s="528"/>
      <c r="P6" s="526" t="str">
        <f>IF(AND('[1]Mapa final'!$K$10="Muy Alta",'[1]Mapa final'!$O$10="Menor"),CONCATENATE("R",'[1]Mapa final'!$A$10),"")</f>
        <v/>
      </c>
      <c r="Q6" s="527"/>
      <c r="R6" s="527" t="str">
        <f>IF(AND('[1]Mapa final'!$K$15="Muy Alta",'[1]Mapa final'!$O$15="Menor"),CONCATENATE("R",'[1]Mapa final'!$A$15),"")</f>
        <v/>
      </c>
      <c r="S6" s="527"/>
      <c r="T6" s="527" t="e">
        <f>IF(AND('[1]Mapa final'!#REF!="Muy Alta",'[1]Mapa final'!#REF!="Menor"),CONCATENATE("R",'[1]Mapa final'!#REF!),"")</f>
        <v>#REF!</v>
      </c>
      <c r="U6" s="528"/>
      <c r="V6" s="526" t="str">
        <f>IF(AND('[1]Mapa final'!$K$10="Muy Alta",'[1]Mapa final'!$O$10="Moderado"),CONCATENATE("R",'[1]Mapa final'!$A$10),"")</f>
        <v/>
      </c>
      <c r="W6" s="527"/>
      <c r="X6" s="527" t="str">
        <f>IF(AND('[1]Mapa final'!$K$15="Muy Alta",'[1]Mapa final'!$O$15="Moderado"),CONCATENATE("R",'[1]Mapa final'!$A$15),"")</f>
        <v/>
      </c>
      <c r="Y6" s="527"/>
      <c r="Z6" s="527" t="e">
        <f>IF(AND('[1]Mapa final'!#REF!="Muy Alta",'[1]Mapa final'!#REF!="Moderado"),CONCATENATE("R",'[1]Mapa final'!#REF!),"")</f>
        <v>#REF!</v>
      </c>
      <c r="AA6" s="528"/>
      <c r="AB6" s="526" t="str">
        <f>IF(AND('[1]Mapa final'!$K$10="Muy Alta",'[1]Mapa final'!$O$10="Mayor"),CONCATENATE("R",'[1]Mapa final'!$A$10),"")</f>
        <v/>
      </c>
      <c r="AC6" s="527"/>
      <c r="AD6" s="527" t="str">
        <f>IF(AND('[1]Mapa final'!$K$15="Muy Alta",'[1]Mapa final'!$O$15="Mayor"),CONCATENATE("R",'[1]Mapa final'!$A$15),"")</f>
        <v/>
      </c>
      <c r="AE6" s="527"/>
      <c r="AF6" s="527" t="e">
        <f>IF(AND('[1]Mapa final'!#REF!="Muy Alta",'[1]Mapa final'!#REF!="Mayor"),CONCATENATE("R",'[1]Mapa final'!#REF!),"")</f>
        <v>#REF!</v>
      </c>
      <c r="AG6" s="528"/>
      <c r="AH6" s="532" t="str">
        <f>IF(AND('[1]Mapa final'!$K$10="Muy Alta",'[1]Mapa final'!$O$10="Catastrófico"),CONCATENATE("R",'[1]Mapa final'!$A$10),"")</f>
        <v/>
      </c>
      <c r="AI6" s="521"/>
      <c r="AJ6" s="521" t="str">
        <f>IF(AND('[1]Mapa final'!$K$15="Muy Alta",'[1]Mapa final'!$O$15="Catastrófico"),CONCATENATE("R",'[1]Mapa final'!$A$15),"")</f>
        <v/>
      </c>
      <c r="AK6" s="521"/>
      <c r="AL6" s="521" t="e">
        <f>IF(AND('[1]Mapa final'!#REF!="Muy Alta",'[1]Mapa final'!#REF!="Catastrófico"),CONCATENATE("R",'[1]Mapa final'!#REF!),"")</f>
        <v>#REF!</v>
      </c>
      <c r="AM6" s="522"/>
      <c r="AO6" s="560" t="s">
        <v>78</v>
      </c>
      <c r="AP6" s="561"/>
      <c r="AQ6" s="561"/>
      <c r="AR6" s="561"/>
      <c r="AS6" s="561"/>
      <c r="AT6" s="562"/>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row>
    <row r="7" spans="1:99" ht="15" customHeight="1" x14ac:dyDescent="0.3">
      <c r="A7" s="53"/>
      <c r="B7" s="571"/>
      <c r="C7" s="571"/>
      <c r="D7" s="572"/>
      <c r="E7" s="490"/>
      <c r="F7" s="491"/>
      <c r="G7" s="491"/>
      <c r="H7" s="491"/>
      <c r="I7" s="492"/>
      <c r="J7" s="497"/>
      <c r="K7" s="498"/>
      <c r="L7" s="498"/>
      <c r="M7" s="498"/>
      <c r="N7" s="498"/>
      <c r="O7" s="501"/>
      <c r="P7" s="497"/>
      <c r="Q7" s="498"/>
      <c r="R7" s="498"/>
      <c r="S7" s="498"/>
      <c r="T7" s="498"/>
      <c r="U7" s="501"/>
      <c r="V7" s="497"/>
      <c r="W7" s="498"/>
      <c r="X7" s="498"/>
      <c r="Y7" s="498"/>
      <c r="Z7" s="498"/>
      <c r="AA7" s="501"/>
      <c r="AB7" s="497"/>
      <c r="AC7" s="498"/>
      <c r="AD7" s="498"/>
      <c r="AE7" s="498"/>
      <c r="AF7" s="498"/>
      <c r="AG7" s="501"/>
      <c r="AH7" s="503"/>
      <c r="AI7" s="504"/>
      <c r="AJ7" s="504"/>
      <c r="AK7" s="504"/>
      <c r="AL7" s="504"/>
      <c r="AM7" s="507"/>
      <c r="AN7" s="53"/>
      <c r="AO7" s="563"/>
      <c r="AP7" s="564"/>
      <c r="AQ7" s="564"/>
      <c r="AR7" s="564"/>
      <c r="AS7" s="564"/>
      <c r="AT7" s="565"/>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row>
    <row r="8" spans="1:99" ht="15" customHeight="1" x14ac:dyDescent="0.3">
      <c r="A8" s="53"/>
      <c r="B8" s="571"/>
      <c r="C8" s="571"/>
      <c r="D8" s="572"/>
      <c r="E8" s="490"/>
      <c r="F8" s="491"/>
      <c r="G8" s="491"/>
      <c r="H8" s="491"/>
      <c r="I8" s="492"/>
      <c r="J8" s="497" t="e">
        <f>IF(AND('[1]Mapa final'!#REF!="Muy Alta",'[1]Mapa final'!#REF!="Leve"),CONCATENATE("R",'[1]Mapa final'!#REF!),"")</f>
        <v>#REF!</v>
      </c>
      <c r="K8" s="498"/>
      <c r="L8" s="498" t="str">
        <f>IF(AND('[1]Mapa final'!$K$19="Muy Alta",'[1]Mapa final'!$O$19="Leve"),CONCATENATE("R",'[1]Mapa final'!$A$19),"")</f>
        <v/>
      </c>
      <c r="M8" s="498"/>
      <c r="N8" s="498" t="str">
        <f>IF(AND('[1]Mapa final'!$K$25="Muy Alta",'[1]Mapa final'!$O$25="Leve"),CONCATENATE("R",'[1]Mapa final'!$A$25),"")</f>
        <v/>
      </c>
      <c r="O8" s="501"/>
      <c r="P8" s="497" t="e">
        <f>IF(AND('[1]Mapa final'!#REF!="Muy Alta",'[1]Mapa final'!#REF!="Menor"),CONCATENATE("R",'[1]Mapa final'!#REF!),"")</f>
        <v>#REF!</v>
      </c>
      <c r="Q8" s="498"/>
      <c r="R8" s="498" t="str">
        <f>IF(AND('[1]Mapa final'!$K$19="Muy Alta",'[1]Mapa final'!$O$19="Menor"),CONCATENATE("R",'[1]Mapa final'!$A$19),"")</f>
        <v/>
      </c>
      <c r="S8" s="498"/>
      <c r="T8" s="498" t="str">
        <f>IF(AND('[1]Mapa final'!$K$25="Muy Alta",'[1]Mapa final'!$O$25="Menor"),CONCATENATE("R",'[1]Mapa final'!$A$25),"")</f>
        <v/>
      </c>
      <c r="U8" s="501"/>
      <c r="V8" s="497" t="e">
        <f>IF(AND('[1]Mapa final'!#REF!="Muy Alta",'[1]Mapa final'!#REF!="Moderado"),CONCATENATE("R",'[1]Mapa final'!#REF!),"")</f>
        <v>#REF!</v>
      </c>
      <c r="W8" s="498"/>
      <c r="X8" s="498" t="str">
        <f>IF(AND('[1]Mapa final'!$K$19="Muy Alta",'[1]Mapa final'!$O$19="Moderado"),CONCATENATE("R",'[1]Mapa final'!$A$19),"")</f>
        <v/>
      </c>
      <c r="Y8" s="498"/>
      <c r="Z8" s="498" t="str">
        <f>IF(AND('[1]Mapa final'!$K$25="Muy Alta",'[1]Mapa final'!$O$25="Moderado"),CONCATENATE("R",'[1]Mapa final'!$A$25),"")</f>
        <v/>
      </c>
      <c r="AA8" s="501"/>
      <c r="AB8" s="497" t="e">
        <f>IF(AND('[1]Mapa final'!#REF!="Muy Alta",'[1]Mapa final'!#REF!="Mayor"),CONCATENATE("R",'[1]Mapa final'!#REF!),"")</f>
        <v>#REF!</v>
      </c>
      <c r="AC8" s="498"/>
      <c r="AD8" s="498" t="str">
        <f>IF(AND('[1]Mapa final'!$K$19="Muy Alta",'[1]Mapa final'!$O$19="Mayor"),CONCATENATE("R",'[1]Mapa final'!$A$19),"")</f>
        <v/>
      </c>
      <c r="AE8" s="498"/>
      <c r="AF8" s="498" t="str">
        <f>IF(AND('[1]Mapa final'!$K$25="Muy Alta",'[1]Mapa final'!$O$25="Mayor"),CONCATENATE("R",'[1]Mapa final'!$A$25),"")</f>
        <v/>
      </c>
      <c r="AG8" s="501"/>
      <c r="AH8" s="503" t="e">
        <f>IF(AND('[1]Mapa final'!#REF!="Muy Alta",'[1]Mapa final'!#REF!="Catastrófico"),CONCATENATE("R",'[1]Mapa final'!#REF!),"")</f>
        <v>#REF!</v>
      </c>
      <c r="AI8" s="504"/>
      <c r="AJ8" s="504" t="str">
        <f>IF(AND('[1]Mapa final'!$K$19="Muy Alta",'[1]Mapa final'!$O$19="Catastrófico"),CONCATENATE("R",'[1]Mapa final'!$A$19),"")</f>
        <v/>
      </c>
      <c r="AK8" s="504"/>
      <c r="AL8" s="504" t="str">
        <f>IF(AND('[1]Mapa final'!$K$25="Muy Alta",'[1]Mapa final'!$O$25="Catastrófico"),CONCATENATE("R",'[1]Mapa final'!$A$25),"")</f>
        <v/>
      </c>
      <c r="AM8" s="507"/>
      <c r="AN8" s="53"/>
      <c r="AO8" s="563"/>
      <c r="AP8" s="564"/>
      <c r="AQ8" s="564"/>
      <c r="AR8" s="564"/>
      <c r="AS8" s="564"/>
      <c r="AT8" s="565"/>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row>
    <row r="9" spans="1:99" ht="15" customHeight="1" x14ac:dyDescent="0.3">
      <c r="A9" s="53"/>
      <c r="B9" s="571"/>
      <c r="C9" s="571"/>
      <c r="D9" s="572"/>
      <c r="E9" s="490"/>
      <c r="F9" s="491"/>
      <c r="G9" s="491"/>
      <c r="H9" s="491"/>
      <c r="I9" s="492"/>
      <c r="J9" s="497"/>
      <c r="K9" s="498"/>
      <c r="L9" s="498"/>
      <c r="M9" s="498"/>
      <c r="N9" s="498"/>
      <c r="O9" s="501"/>
      <c r="P9" s="497"/>
      <c r="Q9" s="498"/>
      <c r="R9" s="498"/>
      <c r="S9" s="498"/>
      <c r="T9" s="498"/>
      <c r="U9" s="501"/>
      <c r="V9" s="497"/>
      <c r="W9" s="498"/>
      <c r="X9" s="498"/>
      <c r="Y9" s="498"/>
      <c r="Z9" s="498"/>
      <c r="AA9" s="501"/>
      <c r="AB9" s="497"/>
      <c r="AC9" s="498"/>
      <c r="AD9" s="498"/>
      <c r="AE9" s="498"/>
      <c r="AF9" s="498"/>
      <c r="AG9" s="501"/>
      <c r="AH9" s="503"/>
      <c r="AI9" s="504"/>
      <c r="AJ9" s="504"/>
      <c r="AK9" s="504"/>
      <c r="AL9" s="504"/>
      <c r="AM9" s="507"/>
      <c r="AN9" s="53"/>
      <c r="AO9" s="563"/>
      <c r="AP9" s="564"/>
      <c r="AQ9" s="564"/>
      <c r="AR9" s="564"/>
      <c r="AS9" s="564"/>
      <c r="AT9" s="565"/>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row>
    <row r="10" spans="1:99" ht="15" customHeight="1" x14ac:dyDescent="0.3">
      <c r="A10" s="53"/>
      <c r="B10" s="571"/>
      <c r="C10" s="571"/>
      <c r="D10" s="572"/>
      <c r="E10" s="490"/>
      <c r="F10" s="491"/>
      <c r="G10" s="491"/>
      <c r="H10" s="491"/>
      <c r="I10" s="492"/>
      <c r="J10" s="497" t="str">
        <f>IF(AND('[1]Mapa final'!$K$31="Muy Alta",'[1]Mapa final'!$O$31="Leve"),CONCATENATE("R",'[1]Mapa final'!$A$31),"")</f>
        <v/>
      </c>
      <c r="K10" s="498"/>
      <c r="L10" s="498" t="str">
        <f>IF(AND('[1]Mapa final'!$K$37="Muy Alta",'[1]Mapa final'!$O$37="Leve"),CONCATENATE("R",'[1]Mapa final'!$A$37),"")</f>
        <v/>
      </c>
      <c r="M10" s="498"/>
      <c r="N10" s="498" t="str">
        <f>IF(AND('[1]Mapa final'!$K$43="Muy Alta",'[1]Mapa final'!$O$43="Leve"),CONCATENATE("R",'[1]Mapa final'!$A$43),"")</f>
        <v/>
      </c>
      <c r="O10" s="501"/>
      <c r="P10" s="497" t="str">
        <f>IF(AND('[1]Mapa final'!$K$31="Muy Alta",'[1]Mapa final'!$O$31="Menor"),CONCATENATE("R",'[1]Mapa final'!$A$31),"")</f>
        <v/>
      </c>
      <c r="Q10" s="498"/>
      <c r="R10" s="498" t="str">
        <f>IF(AND('[1]Mapa final'!$K$37="Muy Alta",'[1]Mapa final'!$O$37="Menor"),CONCATENATE("R",'[1]Mapa final'!$A$37),"")</f>
        <v/>
      </c>
      <c r="S10" s="498"/>
      <c r="T10" s="498" t="str">
        <f>IF(AND('[1]Mapa final'!$K$43="Muy Alta",'[1]Mapa final'!$O$43="Menor"),CONCATENATE("R",'[1]Mapa final'!$A$43),"")</f>
        <v/>
      </c>
      <c r="U10" s="501"/>
      <c r="V10" s="497" t="str">
        <f>IF(AND('[1]Mapa final'!$K$31="Muy Alta",'[1]Mapa final'!$O$31="Moderado"),CONCATENATE("R",'[1]Mapa final'!$A$31),"")</f>
        <v/>
      </c>
      <c r="W10" s="498"/>
      <c r="X10" s="498" t="str">
        <f>IF(AND('[1]Mapa final'!$K$37="Muy Alta",'[1]Mapa final'!$O$37="Moderado"),CONCATENATE("R",'[1]Mapa final'!$A$37),"")</f>
        <v/>
      </c>
      <c r="Y10" s="498"/>
      <c r="Z10" s="498" t="str">
        <f>IF(AND('[1]Mapa final'!$K$43="Muy Alta",'[1]Mapa final'!$O$43="Moderado"),CONCATENATE("R",'[1]Mapa final'!$A$43),"")</f>
        <v/>
      </c>
      <c r="AA10" s="501"/>
      <c r="AB10" s="497" t="str">
        <f>IF(AND('[1]Mapa final'!$K$31="Muy Alta",'[1]Mapa final'!$O$31="Mayor"),CONCATENATE("R",'[1]Mapa final'!$A$31),"")</f>
        <v/>
      </c>
      <c r="AC10" s="498"/>
      <c r="AD10" s="498" t="str">
        <f>IF(AND('[1]Mapa final'!$K$37="Muy Alta",'[1]Mapa final'!$O$37="Mayor"),CONCATENATE("R",'[1]Mapa final'!$A$37),"")</f>
        <v/>
      </c>
      <c r="AE10" s="498"/>
      <c r="AF10" s="498" t="str">
        <f>IF(AND('[1]Mapa final'!$K$43="Muy Alta",'[1]Mapa final'!$O$43="Mayor"),CONCATENATE("R",'[1]Mapa final'!$A$43),"")</f>
        <v/>
      </c>
      <c r="AG10" s="501"/>
      <c r="AH10" s="503" t="str">
        <f>IF(AND('[1]Mapa final'!$K$31="Muy Alta",'[1]Mapa final'!$O$31="Catastrófico"),CONCATENATE("R",'[1]Mapa final'!$A$31),"")</f>
        <v/>
      </c>
      <c r="AI10" s="504"/>
      <c r="AJ10" s="504" t="str">
        <f>IF(AND('[1]Mapa final'!$K$37="Muy Alta",'[1]Mapa final'!$O$37="Catastrófico"),CONCATENATE("R",'[1]Mapa final'!$A$37),"")</f>
        <v/>
      </c>
      <c r="AK10" s="504"/>
      <c r="AL10" s="504" t="str">
        <f>IF(AND('[1]Mapa final'!$K$43="Muy Alta",'[1]Mapa final'!$O$43="Catastrófico"),CONCATENATE("R",'[1]Mapa final'!$A$43),"")</f>
        <v/>
      </c>
      <c r="AM10" s="507"/>
      <c r="AN10" s="53"/>
      <c r="AO10" s="563"/>
      <c r="AP10" s="564"/>
      <c r="AQ10" s="564"/>
      <c r="AR10" s="564"/>
      <c r="AS10" s="564"/>
      <c r="AT10" s="565"/>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row>
    <row r="11" spans="1:99" ht="15" customHeight="1" x14ac:dyDescent="0.3">
      <c r="A11" s="53"/>
      <c r="B11" s="571"/>
      <c r="C11" s="571"/>
      <c r="D11" s="572"/>
      <c r="E11" s="490"/>
      <c r="F11" s="491"/>
      <c r="G11" s="491"/>
      <c r="H11" s="491"/>
      <c r="I11" s="492"/>
      <c r="J11" s="497"/>
      <c r="K11" s="498"/>
      <c r="L11" s="498"/>
      <c r="M11" s="498"/>
      <c r="N11" s="498"/>
      <c r="O11" s="501"/>
      <c r="P11" s="497"/>
      <c r="Q11" s="498"/>
      <c r="R11" s="498"/>
      <c r="S11" s="498"/>
      <c r="T11" s="498"/>
      <c r="U11" s="501"/>
      <c r="V11" s="497"/>
      <c r="W11" s="498"/>
      <c r="X11" s="498"/>
      <c r="Y11" s="498"/>
      <c r="Z11" s="498"/>
      <c r="AA11" s="501"/>
      <c r="AB11" s="497"/>
      <c r="AC11" s="498"/>
      <c r="AD11" s="498"/>
      <c r="AE11" s="498"/>
      <c r="AF11" s="498"/>
      <c r="AG11" s="501"/>
      <c r="AH11" s="503"/>
      <c r="AI11" s="504"/>
      <c r="AJ11" s="504"/>
      <c r="AK11" s="504"/>
      <c r="AL11" s="504"/>
      <c r="AM11" s="507"/>
      <c r="AN11" s="53"/>
      <c r="AO11" s="563"/>
      <c r="AP11" s="564"/>
      <c r="AQ11" s="564"/>
      <c r="AR11" s="564"/>
      <c r="AS11" s="564"/>
      <c r="AT11" s="565"/>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row>
    <row r="12" spans="1:99" ht="15" customHeight="1" x14ac:dyDescent="0.3">
      <c r="A12" s="53"/>
      <c r="B12" s="571"/>
      <c r="C12" s="571"/>
      <c r="D12" s="572"/>
      <c r="E12" s="490"/>
      <c r="F12" s="491"/>
      <c r="G12" s="491"/>
      <c r="H12" s="491"/>
      <c r="I12" s="492"/>
      <c r="J12" s="497" t="str">
        <f>IF(AND('[1]Mapa final'!$K$49="Muy Alta",'[1]Mapa final'!$O$49="Leve"),CONCATENATE("R",'[1]Mapa final'!$A$49),"")</f>
        <v/>
      </c>
      <c r="K12" s="498"/>
      <c r="L12" s="498" t="str">
        <f>IF(AND('[1]Mapa final'!$K$55="Muy Alta",'[1]Mapa final'!$O$55="Leve"),CONCATENATE("R",'[1]Mapa final'!$A$55),"")</f>
        <v/>
      </c>
      <c r="M12" s="498"/>
      <c r="N12" s="498" t="str">
        <f>IF(AND('[1]Mapa final'!$K$61="Muy Alta",'[1]Mapa final'!$O$61="Leve"),CONCATENATE("R",'[1]Mapa final'!$A$61),"")</f>
        <v/>
      </c>
      <c r="O12" s="501"/>
      <c r="P12" s="497" t="str">
        <f>IF(AND('[1]Mapa final'!$K$49="Muy Alta",'[1]Mapa final'!$O$49="Menor"),CONCATENATE("R",'[1]Mapa final'!$A$49),"")</f>
        <v/>
      </c>
      <c r="Q12" s="498"/>
      <c r="R12" s="498" t="str">
        <f>IF(AND('[1]Mapa final'!$K$55="Muy Alta",'[1]Mapa final'!$O$55="Menor"),CONCATENATE("R",'[1]Mapa final'!$A$55),"")</f>
        <v/>
      </c>
      <c r="S12" s="498"/>
      <c r="T12" s="498" t="str">
        <f>IF(AND('[1]Mapa final'!$K$61="Muy Alta",'[1]Mapa final'!$O$61="Menor"),CONCATENATE("R",'[1]Mapa final'!$A$61),"")</f>
        <v/>
      </c>
      <c r="U12" s="501"/>
      <c r="V12" s="497" t="str">
        <f>IF(AND('[1]Mapa final'!$K$49="Muy Alta",'[1]Mapa final'!$O$49="Moderado"),CONCATENATE("R",'[1]Mapa final'!$A$49),"")</f>
        <v/>
      </c>
      <c r="W12" s="498"/>
      <c r="X12" s="498" t="str">
        <f>IF(AND('[1]Mapa final'!$K$55="Muy Alta",'[1]Mapa final'!$O$55="Moderado"),CONCATENATE("R",'[1]Mapa final'!$A$55),"")</f>
        <v/>
      </c>
      <c r="Y12" s="498"/>
      <c r="Z12" s="498" t="str">
        <f>IF(AND('[1]Mapa final'!$K$61="Muy Alta",'[1]Mapa final'!$O$61="Moderado"),CONCATENATE("R",'[1]Mapa final'!$A$61),"")</f>
        <v/>
      </c>
      <c r="AA12" s="501"/>
      <c r="AB12" s="497" t="str">
        <f>IF(AND('[1]Mapa final'!$K$49="Muy Alta",'[1]Mapa final'!$O$49="Mayor"),CONCATENATE("R",'[1]Mapa final'!$A$49),"")</f>
        <v/>
      </c>
      <c r="AC12" s="498"/>
      <c r="AD12" s="498" t="str">
        <f>IF(AND('[1]Mapa final'!$K$55="Muy Alta",'[1]Mapa final'!$O$55="Mayor"),CONCATENATE("R",'[1]Mapa final'!$A$55),"")</f>
        <v/>
      </c>
      <c r="AE12" s="498"/>
      <c r="AF12" s="498" t="str">
        <f>IF(AND('[1]Mapa final'!$K$61="Muy Alta",'[1]Mapa final'!$O$61="Mayor"),CONCATENATE("R",'[1]Mapa final'!$A$61),"")</f>
        <v/>
      </c>
      <c r="AG12" s="501"/>
      <c r="AH12" s="503" t="str">
        <f>IF(AND('[1]Mapa final'!$K$49="Muy Alta",'[1]Mapa final'!$O$49="Catastrófico"),CONCATENATE("R",'[1]Mapa final'!$A$49),"")</f>
        <v/>
      </c>
      <c r="AI12" s="504"/>
      <c r="AJ12" s="504" t="str">
        <f>IF(AND('[1]Mapa final'!$K$55="Muy Alta",'[1]Mapa final'!$O$55="Catastrófico"),CONCATENATE("R",'[1]Mapa final'!$A$55),"")</f>
        <v/>
      </c>
      <c r="AK12" s="504"/>
      <c r="AL12" s="504" t="str">
        <f>IF(AND('[1]Mapa final'!$K$61="Muy Alta",'[1]Mapa final'!$O$61="Catastrófico"),CONCATENATE("R",'[1]Mapa final'!$A$61),"")</f>
        <v/>
      </c>
      <c r="AM12" s="507"/>
      <c r="AN12" s="53"/>
      <c r="AO12" s="563"/>
      <c r="AP12" s="564"/>
      <c r="AQ12" s="564"/>
      <c r="AR12" s="564"/>
      <c r="AS12" s="564"/>
      <c r="AT12" s="565"/>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row>
    <row r="13" spans="1:99" ht="15.75" customHeight="1" thickBot="1" x14ac:dyDescent="0.35">
      <c r="A13" s="53"/>
      <c r="B13" s="571"/>
      <c r="C13" s="571"/>
      <c r="D13" s="572"/>
      <c r="E13" s="493"/>
      <c r="F13" s="494"/>
      <c r="G13" s="494"/>
      <c r="H13" s="494"/>
      <c r="I13" s="495"/>
      <c r="J13" s="497"/>
      <c r="K13" s="498"/>
      <c r="L13" s="498"/>
      <c r="M13" s="498"/>
      <c r="N13" s="498"/>
      <c r="O13" s="501"/>
      <c r="P13" s="497"/>
      <c r="Q13" s="498"/>
      <c r="R13" s="498"/>
      <c r="S13" s="498"/>
      <c r="T13" s="498"/>
      <c r="U13" s="501"/>
      <c r="V13" s="497"/>
      <c r="W13" s="498"/>
      <c r="X13" s="498"/>
      <c r="Y13" s="498"/>
      <c r="Z13" s="498"/>
      <c r="AA13" s="501"/>
      <c r="AB13" s="497"/>
      <c r="AC13" s="498"/>
      <c r="AD13" s="498"/>
      <c r="AE13" s="498"/>
      <c r="AF13" s="498"/>
      <c r="AG13" s="501"/>
      <c r="AH13" s="505"/>
      <c r="AI13" s="506"/>
      <c r="AJ13" s="506"/>
      <c r="AK13" s="506"/>
      <c r="AL13" s="506"/>
      <c r="AM13" s="508"/>
      <c r="AN13" s="53"/>
      <c r="AO13" s="566"/>
      <c r="AP13" s="567"/>
      <c r="AQ13" s="567"/>
      <c r="AR13" s="567"/>
      <c r="AS13" s="567"/>
      <c r="AT13" s="568"/>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row>
    <row r="14" spans="1:99" ht="15" customHeight="1" x14ac:dyDescent="0.3">
      <c r="A14" s="53"/>
      <c r="B14" s="571"/>
      <c r="C14" s="571"/>
      <c r="D14" s="572"/>
      <c r="E14" s="487" t="s">
        <v>110</v>
      </c>
      <c r="F14" s="488"/>
      <c r="G14" s="488"/>
      <c r="H14" s="488"/>
      <c r="I14" s="488"/>
      <c r="J14" s="523" t="str">
        <f>IF(AND('[1]Mapa final'!$K$10="Alta",'[1]Mapa final'!$O$10="Leve"),CONCATENATE("R",'[1]Mapa final'!$A$10),"")</f>
        <v/>
      </c>
      <c r="K14" s="524"/>
      <c r="L14" s="524" t="str">
        <f>IF(AND('[1]Mapa final'!$K$15="Alta",'[1]Mapa final'!$O$15="Leve"),CONCATENATE("R",'[1]Mapa final'!$A$15),"")</f>
        <v/>
      </c>
      <c r="M14" s="524"/>
      <c r="N14" s="524" t="e">
        <f>IF(AND('[1]Mapa final'!#REF!="Alta",'[1]Mapa final'!#REF!="Leve"),CONCATENATE("R",'[1]Mapa final'!#REF!),"")</f>
        <v>#REF!</v>
      </c>
      <c r="O14" s="525"/>
      <c r="P14" s="523" t="str">
        <f>IF(AND('[1]Mapa final'!$K$10="Alta",'[1]Mapa final'!$O$10="Menor"),CONCATENATE("R",'[1]Mapa final'!$A$10),"")</f>
        <v/>
      </c>
      <c r="Q14" s="524"/>
      <c r="R14" s="524" t="str">
        <f>IF(AND('[1]Mapa final'!$K$15="Alta",'[1]Mapa final'!$O$15="Menor"),CONCATENATE("R",'[1]Mapa final'!$A$15),"")</f>
        <v/>
      </c>
      <c r="S14" s="524"/>
      <c r="T14" s="524" t="e">
        <f>IF(AND('[1]Mapa final'!#REF!="Alta",'[1]Mapa final'!#REF!="Menor"),CONCATENATE("R",'[1]Mapa final'!#REF!),"")</f>
        <v>#REF!</v>
      </c>
      <c r="U14" s="525"/>
      <c r="V14" s="526" t="str">
        <f>IF(AND('[1]Mapa final'!$K$10="Alta",'[1]Mapa final'!$O$10="Moderado"),CONCATENATE("R",'[1]Mapa final'!$A$10),"")</f>
        <v/>
      </c>
      <c r="W14" s="527"/>
      <c r="X14" s="527" t="str">
        <f>IF(AND('[1]Mapa final'!$K$15="Alta",'[1]Mapa final'!$O$15="Moderado"),CONCATENATE("R",'[1]Mapa final'!$A$15),"")</f>
        <v/>
      </c>
      <c r="Y14" s="527"/>
      <c r="Z14" s="527" t="e">
        <f>IF(AND('[1]Mapa final'!#REF!="Alta",'[1]Mapa final'!#REF!="Moderado"),CONCATENATE("R",'[1]Mapa final'!#REF!),"")</f>
        <v>#REF!</v>
      </c>
      <c r="AA14" s="528"/>
      <c r="AB14" s="526" t="str">
        <f>IF(AND('[1]Mapa final'!$K$10="Alta",'[1]Mapa final'!$O$10="Mayor"),CONCATENATE("R",'[1]Mapa final'!$A$10),"")</f>
        <v/>
      </c>
      <c r="AC14" s="527"/>
      <c r="AD14" s="527" t="str">
        <f>IF(AND('[1]Mapa final'!$K$15="Alta",'[1]Mapa final'!$O$15="Mayor"),CONCATENATE("R",'[1]Mapa final'!$A$15),"")</f>
        <v/>
      </c>
      <c r="AE14" s="527"/>
      <c r="AF14" s="527" t="e">
        <f>IF(AND('[1]Mapa final'!#REF!="Alta",'[1]Mapa final'!#REF!="Mayor"),CONCATENATE("R",'[1]Mapa final'!#REF!),"")</f>
        <v>#REF!</v>
      </c>
      <c r="AG14" s="528"/>
      <c r="AH14" s="532" t="str">
        <f>IF(AND('[1]Mapa final'!$K$10="Alta",'[1]Mapa final'!$O$10="Catastrófico"),CONCATENATE("R",'[1]Mapa final'!$A$10),"")</f>
        <v/>
      </c>
      <c r="AI14" s="521"/>
      <c r="AJ14" s="521" t="str">
        <f>IF(AND('[1]Mapa final'!$K$15="Alta",'[1]Mapa final'!$O$15="Catastrófico"),CONCATENATE("R",'[1]Mapa final'!$A$15),"")</f>
        <v/>
      </c>
      <c r="AK14" s="521"/>
      <c r="AL14" s="521" t="e">
        <f>IF(AND('[1]Mapa final'!#REF!="Alta",'[1]Mapa final'!#REF!="Catastrófico"),CONCATENATE("R",'[1]Mapa final'!#REF!),"")</f>
        <v>#REF!</v>
      </c>
      <c r="AM14" s="522"/>
      <c r="AN14" s="53"/>
      <c r="AO14" s="551" t="s">
        <v>79</v>
      </c>
      <c r="AP14" s="552"/>
      <c r="AQ14" s="552"/>
      <c r="AR14" s="552"/>
      <c r="AS14" s="552"/>
      <c r="AT14" s="5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row>
    <row r="15" spans="1:99" ht="15" customHeight="1" x14ac:dyDescent="0.3">
      <c r="A15" s="53"/>
      <c r="B15" s="571"/>
      <c r="C15" s="571"/>
      <c r="D15" s="572"/>
      <c r="E15" s="490"/>
      <c r="F15" s="491"/>
      <c r="G15" s="491"/>
      <c r="H15" s="491"/>
      <c r="I15" s="491"/>
      <c r="J15" s="515"/>
      <c r="K15" s="516"/>
      <c r="L15" s="516"/>
      <c r="M15" s="516"/>
      <c r="N15" s="516"/>
      <c r="O15" s="519"/>
      <c r="P15" s="515"/>
      <c r="Q15" s="516"/>
      <c r="R15" s="516"/>
      <c r="S15" s="516"/>
      <c r="T15" s="516"/>
      <c r="U15" s="519"/>
      <c r="V15" s="497"/>
      <c r="W15" s="498"/>
      <c r="X15" s="498"/>
      <c r="Y15" s="498"/>
      <c r="Z15" s="498"/>
      <c r="AA15" s="501"/>
      <c r="AB15" s="497"/>
      <c r="AC15" s="498"/>
      <c r="AD15" s="498"/>
      <c r="AE15" s="498"/>
      <c r="AF15" s="498"/>
      <c r="AG15" s="501"/>
      <c r="AH15" s="503"/>
      <c r="AI15" s="504"/>
      <c r="AJ15" s="504"/>
      <c r="AK15" s="504"/>
      <c r="AL15" s="504"/>
      <c r="AM15" s="507"/>
      <c r="AN15" s="53"/>
      <c r="AO15" s="554"/>
      <c r="AP15" s="555"/>
      <c r="AQ15" s="555"/>
      <c r="AR15" s="555"/>
      <c r="AS15" s="555"/>
      <c r="AT15" s="556"/>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row>
    <row r="16" spans="1:99" ht="15" customHeight="1" x14ac:dyDescent="0.3">
      <c r="A16" s="53"/>
      <c r="B16" s="571"/>
      <c r="C16" s="571"/>
      <c r="D16" s="572"/>
      <c r="E16" s="490"/>
      <c r="F16" s="491"/>
      <c r="G16" s="491"/>
      <c r="H16" s="491"/>
      <c r="I16" s="491"/>
      <c r="J16" s="515" t="e">
        <f>IF(AND('[1]Mapa final'!#REF!="Alta",'[1]Mapa final'!#REF!="Leve"),CONCATENATE("R",'[1]Mapa final'!#REF!),"")</f>
        <v>#REF!</v>
      </c>
      <c r="K16" s="516"/>
      <c r="L16" s="516" t="str">
        <f>IF(AND('[1]Mapa final'!$K$19="Alta",'[1]Mapa final'!$O$19="Leve"),CONCATENATE("R",'[1]Mapa final'!$A$19),"")</f>
        <v/>
      </c>
      <c r="M16" s="516"/>
      <c r="N16" s="516" t="str">
        <f>IF(AND('[1]Mapa final'!$K$25="Alta",'[1]Mapa final'!$O$25="Leve"),CONCATENATE("R",'[1]Mapa final'!$A$25),"")</f>
        <v/>
      </c>
      <c r="O16" s="519"/>
      <c r="P16" s="515" t="e">
        <f>IF(AND('[1]Mapa final'!#REF!="Alta",'[1]Mapa final'!#REF!="Menor"),CONCATENATE("R",'[1]Mapa final'!#REF!),"")</f>
        <v>#REF!</v>
      </c>
      <c r="Q16" s="516"/>
      <c r="R16" s="516" t="str">
        <f>IF(AND('[1]Mapa final'!$K$19="Alta",'[1]Mapa final'!$O$19="Menor"),CONCATENATE("R",'[1]Mapa final'!$A$19),"")</f>
        <v/>
      </c>
      <c r="S16" s="516"/>
      <c r="T16" s="516" t="str">
        <f>IF(AND('[1]Mapa final'!$K$25="Alta",'[1]Mapa final'!$O$25="Menor"),CONCATENATE("R",'[1]Mapa final'!$A$25),"")</f>
        <v/>
      </c>
      <c r="U16" s="519"/>
      <c r="V16" s="497" t="e">
        <f>IF(AND('[1]Mapa final'!#REF!="Alta",'[1]Mapa final'!#REF!="Moderado"),CONCATENATE("R",'[1]Mapa final'!#REF!),"")</f>
        <v>#REF!</v>
      </c>
      <c r="W16" s="498"/>
      <c r="X16" s="498" t="str">
        <f>IF(AND('[1]Mapa final'!$K$19="Alta",'[1]Mapa final'!$O$19="Moderado"),CONCATENATE("R",'[1]Mapa final'!$A$19),"")</f>
        <v/>
      </c>
      <c r="Y16" s="498"/>
      <c r="Z16" s="498" t="str">
        <f>IF(AND('[1]Mapa final'!$K$25="Alta",'[1]Mapa final'!$O$25="Moderado"),CONCATENATE("R",'[1]Mapa final'!$A$25),"")</f>
        <v/>
      </c>
      <c r="AA16" s="501"/>
      <c r="AB16" s="497" t="e">
        <f>IF(AND('[1]Mapa final'!#REF!="Alta",'[1]Mapa final'!#REF!="Mayor"),CONCATENATE("R",'[1]Mapa final'!#REF!),"")</f>
        <v>#REF!</v>
      </c>
      <c r="AC16" s="498"/>
      <c r="AD16" s="498" t="str">
        <f>IF(AND('[1]Mapa final'!$K$19="Alta",'[1]Mapa final'!$O$19="Mayor"),CONCATENATE("R",'[1]Mapa final'!$A$19),"")</f>
        <v/>
      </c>
      <c r="AE16" s="498"/>
      <c r="AF16" s="498" t="str">
        <f>IF(AND('[1]Mapa final'!$K$25="Alta",'[1]Mapa final'!$O$25="Mayor"),CONCATENATE("R",'[1]Mapa final'!$A$25),"")</f>
        <v/>
      </c>
      <c r="AG16" s="501"/>
      <c r="AH16" s="503" t="e">
        <f>IF(AND('[1]Mapa final'!#REF!="Alta",'[1]Mapa final'!#REF!="Catastrófico"),CONCATENATE("R",'[1]Mapa final'!#REF!),"")</f>
        <v>#REF!</v>
      </c>
      <c r="AI16" s="504"/>
      <c r="AJ16" s="504" t="str">
        <f>IF(AND('[1]Mapa final'!$K$19="Alta",'[1]Mapa final'!$O$19="Catastrófico"),CONCATENATE("R",'[1]Mapa final'!$A$19),"")</f>
        <v/>
      </c>
      <c r="AK16" s="504"/>
      <c r="AL16" s="504" t="str">
        <f>IF(AND('[1]Mapa final'!$K$25="Alta",'[1]Mapa final'!$O$25="Catastrófico"),CONCATENATE("R",'[1]Mapa final'!$A$25),"")</f>
        <v/>
      </c>
      <c r="AM16" s="507"/>
      <c r="AN16" s="53"/>
      <c r="AO16" s="554"/>
      <c r="AP16" s="555"/>
      <c r="AQ16" s="555"/>
      <c r="AR16" s="555"/>
      <c r="AS16" s="555"/>
      <c r="AT16" s="556"/>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row>
    <row r="17" spans="1:80" ht="15" customHeight="1" x14ac:dyDescent="0.3">
      <c r="A17" s="53"/>
      <c r="B17" s="571"/>
      <c r="C17" s="571"/>
      <c r="D17" s="572"/>
      <c r="E17" s="490"/>
      <c r="F17" s="491"/>
      <c r="G17" s="491"/>
      <c r="H17" s="491"/>
      <c r="I17" s="491"/>
      <c r="J17" s="515"/>
      <c r="K17" s="516"/>
      <c r="L17" s="516"/>
      <c r="M17" s="516"/>
      <c r="N17" s="516"/>
      <c r="O17" s="519"/>
      <c r="P17" s="515"/>
      <c r="Q17" s="516"/>
      <c r="R17" s="516"/>
      <c r="S17" s="516"/>
      <c r="T17" s="516"/>
      <c r="U17" s="519"/>
      <c r="V17" s="497"/>
      <c r="W17" s="498"/>
      <c r="X17" s="498"/>
      <c r="Y17" s="498"/>
      <c r="Z17" s="498"/>
      <c r="AA17" s="501"/>
      <c r="AB17" s="497"/>
      <c r="AC17" s="498"/>
      <c r="AD17" s="498"/>
      <c r="AE17" s="498"/>
      <c r="AF17" s="498"/>
      <c r="AG17" s="501"/>
      <c r="AH17" s="503"/>
      <c r="AI17" s="504"/>
      <c r="AJ17" s="504"/>
      <c r="AK17" s="504"/>
      <c r="AL17" s="504"/>
      <c r="AM17" s="507"/>
      <c r="AN17" s="53"/>
      <c r="AO17" s="554"/>
      <c r="AP17" s="555"/>
      <c r="AQ17" s="555"/>
      <c r="AR17" s="555"/>
      <c r="AS17" s="555"/>
      <c r="AT17" s="556"/>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row>
    <row r="18" spans="1:80" ht="15" customHeight="1" x14ac:dyDescent="0.3">
      <c r="A18" s="53"/>
      <c r="B18" s="571"/>
      <c r="C18" s="571"/>
      <c r="D18" s="572"/>
      <c r="E18" s="490"/>
      <c r="F18" s="491"/>
      <c r="G18" s="491"/>
      <c r="H18" s="491"/>
      <c r="I18" s="491"/>
      <c r="J18" s="515" t="str">
        <f>IF(AND('[1]Mapa final'!$K$31="Alta",'[1]Mapa final'!$O$31="Leve"),CONCATENATE("R",'[1]Mapa final'!$A$31),"")</f>
        <v/>
      </c>
      <c r="K18" s="516"/>
      <c r="L18" s="516" t="str">
        <f>IF(AND('[1]Mapa final'!$K$37="Alta",'[1]Mapa final'!$O$37="Leve"),CONCATENATE("R",'[1]Mapa final'!$A$37),"")</f>
        <v/>
      </c>
      <c r="M18" s="516"/>
      <c r="N18" s="516" t="str">
        <f>IF(AND('[1]Mapa final'!$K$43="Alta",'[1]Mapa final'!$O$43="Leve"),CONCATENATE("R",'[1]Mapa final'!$A$43),"")</f>
        <v/>
      </c>
      <c r="O18" s="519"/>
      <c r="P18" s="515" t="str">
        <f>IF(AND('[1]Mapa final'!$K$31="Alta",'[1]Mapa final'!$O$31="Menor"),CONCATENATE("R",'[1]Mapa final'!$A$31),"")</f>
        <v/>
      </c>
      <c r="Q18" s="516"/>
      <c r="R18" s="516" t="str">
        <f>IF(AND('[1]Mapa final'!$K$37="Alta",'[1]Mapa final'!$O$37="Menor"),CONCATENATE("R",'[1]Mapa final'!$A$37),"")</f>
        <v/>
      </c>
      <c r="S18" s="516"/>
      <c r="T18" s="516" t="str">
        <f>IF(AND('[1]Mapa final'!$K$43="Alta",'[1]Mapa final'!$O$43="Menor"),CONCATENATE("R",'[1]Mapa final'!$A$43),"")</f>
        <v/>
      </c>
      <c r="U18" s="519"/>
      <c r="V18" s="497" t="str">
        <f>IF(AND('[1]Mapa final'!$K$31="Alta",'[1]Mapa final'!$O$31="Moderado"),CONCATENATE("R",'[1]Mapa final'!$A$31),"")</f>
        <v/>
      </c>
      <c r="W18" s="498"/>
      <c r="X18" s="498" t="str">
        <f>IF(AND('[1]Mapa final'!$K$37="Alta",'[1]Mapa final'!$O$37="Moderado"),CONCATENATE("R",'[1]Mapa final'!$A$37),"")</f>
        <v/>
      </c>
      <c r="Y18" s="498"/>
      <c r="Z18" s="498" t="str">
        <f>IF(AND('[1]Mapa final'!$K$43="Alta",'[1]Mapa final'!$O$43="Moderado"),CONCATENATE("R",'[1]Mapa final'!$A$43),"")</f>
        <v/>
      </c>
      <c r="AA18" s="501"/>
      <c r="AB18" s="497" t="str">
        <f>IF(AND('[1]Mapa final'!$K$31="Alta",'[1]Mapa final'!$O$31="Mayor"),CONCATENATE("R",'[1]Mapa final'!$A$31),"")</f>
        <v/>
      </c>
      <c r="AC18" s="498"/>
      <c r="AD18" s="498" t="str">
        <f>IF(AND('[1]Mapa final'!$K$37="Alta",'[1]Mapa final'!$O$37="Mayor"),CONCATENATE("R",'[1]Mapa final'!$A$37),"")</f>
        <v/>
      </c>
      <c r="AE18" s="498"/>
      <c r="AF18" s="498" t="str">
        <f>IF(AND('[1]Mapa final'!$K$43="Alta",'[1]Mapa final'!$O$43="Mayor"),CONCATENATE("R",'[1]Mapa final'!$A$43),"")</f>
        <v/>
      </c>
      <c r="AG18" s="501"/>
      <c r="AH18" s="503" t="str">
        <f>IF(AND('[1]Mapa final'!$K$31="Alta",'[1]Mapa final'!$O$31="Catastrófico"),CONCATENATE("R",'[1]Mapa final'!$A$31),"")</f>
        <v/>
      </c>
      <c r="AI18" s="504"/>
      <c r="AJ18" s="504" t="str">
        <f>IF(AND('[1]Mapa final'!$K$37="Alta",'[1]Mapa final'!$O$37="Catastrófico"),CONCATENATE("R",'[1]Mapa final'!$A$37),"")</f>
        <v/>
      </c>
      <c r="AK18" s="504"/>
      <c r="AL18" s="504" t="str">
        <f>IF(AND('[1]Mapa final'!$K$43="Alta",'[1]Mapa final'!$O$43="Catastrófico"),CONCATENATE("R",'[1]Mapa final'!$A$43),"")</f>
        <v/>
      </c>
      <c r="AM18" s="507"/>
      <c r="AN18" s="53"/>
      <c r="AO18" s="554"/>
      <c r="AP18" s="555"/>
      <c r="AQ18" s="555"/>
      <c r="AR18" s="555"/>
      <c r="AS18" s="555"/>
      <c r="AT18" s="556"/>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row>
    <row r="19" spans="1:80" ht="15" customHeight="1" x14ac:dyDescent="0.3">
      <c r="A19" s="53"/>
      <c r="B19" s="571"/>
      <c r="C19" s="571"/>
      <c r="D19" s="572"/>
      <c r="E19" s="490"/>
      <c r="F19" s="491"/>
      <c r="G19" s="491"/>
      <c r="H19" s="491"/>
      <c r="I19" s="491"/>
      <c r="J19" s="515"/>
      <c r="K19" s="516"/>
      <c r="L19" s="516"/>
      <c r="M19" s="516"/>
      <c r="N19" s="516"/>
      <c r="O19" s="519"/>
      <c r="P19" s="515"/>
      <c r="Q19" s="516"/>
      <c r="R19" s="516"/>
      <c r="S19" s="516"/>
      <c r="T19" s="516"/>
      <c r="U19" s="519"/>
      <c r="V19" s="497"/>
      <c r="W19" s="498"/>
      <c r="X19" s="498"/>
      <c r="Y19" s="498"/>
      <c r="Z19" s="498"/>
      <c r="AA19" s="501"/>
      <c r="AB19" s="497"/>
      <c r="AC19" s="498"/>
      <c r="AD19" s="498"/>
      <c r="AE19" s="498"/>
      <c r="AF19" s="498"/>
      <c r="AG19" s="501"/>
      <c r="AH19" s="503"/>
      <c r="AI19" s="504"/>
      <c r="AJ19" s="504"/>
      <c r="AK19" s="504"/>
      <c r="AL19" s="504"/>
      <c r="AM19" s="507"/>
      <c r="AN19" s="53"/>
      <c r="AO19" s="554"/>
      <c r="AP19" s="555"/>
      <c r="AQ19" s="555"/>
      <c r="AR19" s="555"/>
      <c r="AS19" s="555"/>
      <c r="AT19" s="556"/>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row>
    <row r="20" spans="1:80" ht="15" customHeight="1" x14ac:dyDescent="0.3">
      <c r="A20" s="53"/>
      <c r="B20" s="571"/>
      <c r="C20" s="571"/>
      <c r="D20" s="572"/>
      <c r="E20" s="490"/>
      <c r="F20" s="491"/>
      <c r="G20" s="491"/>
      <c r="H20" s="491"/>
      <c r="I20" s="491"/>
      <c r="J20" s="515" t="str">
        <f>IF(AND('[1]Mapa final'!$K$49="Alta",'[1]Mapa final'!$O$49="Leve"),CONCATENATE("R",'[1]Mapa final'!$A$49),"")</f>
        <v/>
      </c>
      <c r="K20" s="516"/>
      <c r="L20" s="516" t="str">
        <f>IF(AND('[1]Mapa final'!$K$55="Alta",'[1]Mapa final'!$O$55="Leve"),CONCATENATE("R",'[1]Mapa final'!$A$55),"")</f>
        <v/>
      </c>
      <c r="M20" s="516"/>
      <c r="N20" s="516" t="str">
        <f>IF(AND('[1]Mapa final'!$K$61="Alta",'[1]Mapa final'!$O$61="Leve"),CONCATENATE("R",'[1]Mapa final'!$A$61),"")</f>
        <v/>
      </c>
      <c r="O20" s="519"/>
      <c r="P20" s="515" t="str">
        <f>IF(AND('[1]Mapa final'!$K$49="Alta",'[1]Mapa final'!$O$49="Menor"),CONCATENATE("R",'[1]Mapa final'!$A$49),"")</f>
        <v/>
      </c>
      <c r="Q20" s="516"/>
      <c r="R20" s="516" t="str">
        <f>IF(AND('[1]Mapa final'!$K$55="Alta",'[1]Mapa final'!$O$55="Menor"),CONCATENATE("R",'[1]Mapa final'!$A$55),"")</f>
        <v/>
      </c>
      <c r="S20" s="516"/>
      <c r="T20" s="516" t="str">
        <f>IF(AND('[1]Mapa final'!$K$61="Alta",'[1]Mapa final'!$O$61="Menor"),CONCATENATE("R",'[1]Mapa final'!$A$61),"")</f>
        <v/>
      </c>
      <c r="U20" s="519"/>
      <c r="V20" s="497" t="str">
        <f>IF(AND('[1]Mapa final'!$K$49="Alta",'[1]Mapa final'!$O$49="Moderado"),CONCATENATE("R",'[1]Mapa final'!$A$49),"")</f>
        <v/>
      </c>
      <c r="W20" s="498"/>
      <c r="X20" s="498" t="str">
        <f>IF(AND('[1]Mapa final'!$K$55="Alta",'[1]Mapa final'!$O$55="Moderado"),CONCATENATE("R",'[1]Mapa final'!$A$55),"")</f>
        <v/>
      </c>
      <c r="Y20" s="498"/>
      <c r="Z20" s="498" t="str">
        <f>IF(AND('[1]Mapa final'!$K$61="Alta",'[1]Mapa final'!$O$61="Moderado"),CONCATENATE("R",'[1]Mapa final'!$A$61),"")</f>
        <v/>
      </c>
      <c r="AA20" s="501"/>
      <c r="AB20" s="497" t="str">
        <f>IF(AND('[1]Mapa final'!$K$49="Alta",'[1]Mapa final'!$O$49="Mayor"),CONCATENATE("R",'[1]Mapa final'!$A$49),"")</f>
        <v/>
      </c>
      <c r="AC20" s="498"/>
      <c r="AD20" s="498" t="str">
        <f>IF(AND('[1]Mapa final'!$K$55="Alta",'[1]Mapa final'!$O$55="Mayor"),CONCATENATE("R",'[1]Mapa final'!$A$55),"")</f>
        <v/>
      </c>
      <c r="AE20" s="498"/>
      <c r="AF20" s="498" t="str">
        <f>IF(AND('[1]Mapa final'!$K$61="Alta",'[1]Mapa final'!$O$61="Mayor"),CONCATENATE("R",'[1]Mapa final'!$A$61),"")</f>
        <v/>
      </c>
      <c r="AG20" s="501"/>
      <c r="AH20" s="503" t="str">
        <f>IF(AND('[1]Mapa final'!$K$49="Alta",'[1]Mapa final'!$O$49="Catastrófico"),CONCATENATE("R",'[1]Mapa final'!$A$49),"")</f>
        <v/>
      </c>
      <c r="AI20" s="504"/>
      <c r="AJ20" s="504" t="str">
        <f>IF(AND('[1]Mapa final'!$K$55="Alta",'[1]Mapa final'!$O$55="Catastrófico"),CONCATENATE("R",'[1]Mapa final'!$A$55),"")</f>
        <v/>
      </c>
      <c r="AK20" s="504"/>
      <c r="AL20" s="504" t="str">
        <f>IF(AND('[1]Mapa final'!$K$61="Alta",'[1]Mapa final'!$O$61="Catastrófico"),CONCATENATE("R",'[1]Mapa final'!$A$61),"")</f>
        <v/>
      </c>
      <c r="AM20" s="507"/>
      <c r="AN20" s="53"/>
      <c r="AO20" s="554"/>
      <c r="AP20" s="555"/>
      <c r="AQ20" s="555"/>
      <c r="AR20" s="555"/>
      <c r="AS20" s="555"/>
      <c r="AT20" s="556"/>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row>
    <row r="21" spans="1:80" ht="15.75" customHeight="1" thickBot="1" x14ac:dyDescent="0.35">
      <c r="A21" s="53"/>
      <c r="B21" s="571"/>
      <c r="C21" s="571"/>
      <c r="D21" s="572"/>
      <c r="E21" s="493"/>
      <c r="F21" s="494"/>
      <c r="G21" s="494"/>
      <c r="H21" s="494"/>
      <c r="I21" s="494"/>
      <c r="J21" s="517"/>
      <c r="K21" s="518"/>
      <c r="L21" s="518"/>
      <c r="M21" s="518"/>
      <c r="N21" s="518"/>
      <c r="O21" s="520"/>
      <c r="P21" s="517"/>
      <c r="Q21" s="518"/>
      <c r="R21" s="518"/>
      <c r="S21" s="518"/>
      <c r="T21" s="518"/>
      <c r="U21" s="520"/>
      <c r="V21" s="499"/>
      <c r="W21" s="500"/>
      <c r="X21" s="500"/>
      <c r="Y21" s="500"/>
      <c r="Z21" s="500"/>
      <c r="AA21" s="502"/>
      <c r="AB21" s="499"/>
      <c r="AC21" s="500"/>
      <c r="AD21" s="500"/>
      <c r="AE21" s="500"/>
      <c r="AF21" s="500"/>
      <c r="AG21" s="502"/>
      <c r="AH21" s="505"/>
      <c r="AI21" s="506"/>
      <c r="AJ21" s="506"/>
      <c r="AK21" s="506"/>
      <c r="AL21" s="506"/>
      <c r="AM21" s="508"/>
      <c r="AN21" s="53"/>
      <c r="AO21" s="557"/>
      <c r="AP21" s="558"/>
      <c r="AQ21" s="558"/>
      <c r="AR21" s="558"/>
      <c r="AS21" s="558"/>
      <c r="AT21" s="559"/>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row>
    <row r="22" spans="1:80" x14ac:dyDescent="0.3">
      <c r="A22" s="53"/>
      <c r="B22" s="571"/>
      <c r="C22" s="571"/>
      <c r="D22" s="572"/>
      <c r="E22" s="487" t="s">
        <v>112</v>
      </c>
      <c r="F22" s="488"/>
      <c r="G22" s="488"/>
      <c r="H22" s="488"/>
      <c r="I22" s="489"/>
      <c r="J22" s="523" t="str">
        <f>IF(AND('[1]Mapa final'!$K$10="Media",'[1]Mapa final'!$O$10="Leve"),CONCATENATE("R",'[1]Mapa final'!$A$10),"")</f>
        <v/>
      </c>
      <c r="K22" s="524"/>
      <c r="L22" s="524" t="str">
        <f>IF(AND('[1]Mapa final'!$K$15="Media",'[1]Mapa final'!$O$15="Leve"),CONCATENATE("R",'[1]Mapa final'!$A$15),"")</f>
        <v/>
      </c>
      <c r="M22" s="524"/>
      <c r="N22" s="524" t="e">
        <f>IF(AND('[1]Mapa final'!#REF!="Media",'[1]Mapa final'!#REF!="Leve"),CONCATENATE("R",'[1]Mapa final'!#REF!),"")</f>
        <v>#REF!</v>
      </c>
      <c r="O22" s="525"/>
      <c r="P22" s="523" t="str">
        <f>IF(AND('[1]Mapa final'!$K$10="Media",'[1]Mapa final'!$O$10="Menor"),CONCATENATE("R",'[1]Mapa final'!$A$10),"")</f>
        <v/>
      </c>
      <c r="Q22" s="524"/>
      <c r="R22" s="524" t="str">
        <f>IF(AND('[1]Mapa final'!$K$15="Media",'[1]Mapa final'!$O$15="Menor"),CONCATENATE("R",'[1]Mapa final'!$A$15),"")</f>
        <v/>
      </c>
      <c r="S22" s="524"/>
      <c r="T22" s="524" t="e">
        <f>IF(AND('[1]Mapa final'!#REF!="Media",'[1]Mapa final'!#REF!="Menor"),CONCATENATE("R",'[1]Mapa final'!#REF!),"")</f>
        <v>#REF!</v>
      </c>
      <c r="U22" s="525"/>
      <c r="V22" s="523" t="str">
        <f>IF(AND('[1]Mapa final'!$K$10="Media",'[1]Mapa final'!$O$10="Moderado"),CONCATENATE("R",'[1]Mapa final'!$A$10),"")</f>
        <v/>
      </c>
      <c r="W22" s="524"/>
      <c r="X22" s="524" t="str">
        <f>IF(AND('[1]Mapa final'!$K$15="Media",'[1]Mapa final'!$O$15="Moderado"),CONCATENATE("R",'[1]Mapa final'!$A$15),"")</f>
        <v/>
      </c>
      <c r="Y22" s="524"/>
      <c r="Z22" s="524" t="e">
        <f>IF(AND('[1]Mapa final'!#REF!="Media",'[1]Mapa final'!#REF!="Moderado"),CONCATENATE("R",'[1]Mapa final'!#REF!),"")</f>
        <v>#REF!</v>
      </c>
      <c r="AA22" s="525"/>
      <c r="AB22" s="526" t="str">
        <f>IF(AND('[1]Mapa final'!$K$10="Media",'[1]Mapa final'!$O$10="Mayor"),CONCATENATE("R",'[1]Mapa final'!$A$10),"")</f>
        <v>R1</v>
      </c>
      <c r="AC22" s="527"/>
      <c r="AD22" s="527" t="str">
        <f>IF(AND('[1]Mapa final'!$K$15="Media",'[1]Mapa final'!$O$15="Mayor"),CONCATENATE("R",'[1]Mapa final'!$A$15),"")</f>
        <v>R2</v>
      </c>
      <c r="AE22" s="527"/>
      <c r="AF22" s="527" t="e">
        <f>IF(AND('[1]Mapa final'!#REF!="Media",'[1]Mapa final'!#REF!="Mayor"),CONCATENATE("R",'[1]Mapa final'!#REF!),"")</f>
        <v>#REF!</v>
      </c>
      <c r="AG22" s="528"/>
      <c r="AH22" s="532" t="str">
        <f>IF(AND('[1]Mapa final'!$K$10="Media",'[1]Mapa final'!$O$10="Catastrófico"),CONCATENATE("R",'[1]Mapa final'!$A$10),"")</f>
        <v/>
      </c>
      <c r="AI22" s="521"/>
      <c r="AJ22" s="521" t="str">
        <f>IF(AND('[1]Mapa final'!$K$15="Media",'[1]Mapa final'!$O$15="Catastrófico"),CONCATENATE("R",'[1]Mapa final'!$A$15),"")</f>
        <v/>
      </c>
      <c r="AK22" s="521"/>
      <c r="AL22" s="521" t="e">
        <f>IF(AND('[1]Mapa final'!#REF!="Media",'[1]Mapa final'!#REF!="Catastrófico"),CONCATENATE("R",'[1]Mapa final'!#REF!),"")</f>
        <v>#REF!</v>
      </c>
      <c r="AM22" s="522"/>
      <c r="AN22" s="53"/>
      <c r="AO22" s="542" t="s">
        <v>80</v>
      </c>
      <c r="AP22" s="543"/>
      <c r="AQ22" s="543"/>
      <c r="AR22" s="543"/>
      <c r="AS22" s="543"/>
      <c r="AT22" s="544"/>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row>
    <row r="23" spans="1:80" x14ac:dyDescent="0.3">
      <c r="A23" s="53"/>
      <c r="B23" s="571"/>
      <c r="C23" s="571"/>
      <c r="D23" s="572"/>
      <c r="E23" s="490"/>
      <c r="F23" s="491"/>
      <c r="G23" s="491"/>
      <c r="H23" s="491"/>
      <c r="I23" s="492"/>
      <c r="J23" s="515"/>
      <c r="K23" s="516"/>
      <c r="L23" s="516"/>
      <c r="M23" s="516"/>
      <c r="N23" s="516"/>
      <c r="O23" s="519"/>
      <c r="P23" s="515"/>
      <c r="Q23" s="516"/>
      <c r="R23" s="516"/>
      <c r="S23" s="516"/>
      <c r="T23" s="516"/>
      <c r="U23" s="519"/>
      <c r="V23" s="515"/>
      <c r="W23" s="516"/>
      <c r="X23" s="516"/>
      <c r="Y23" s="516"/>
      <c r="Z23" s="516"/>
      <c r="AA23" s="519"/>
      <c r="AB23" s="497"/>
      <c r="AC23" s="498"/>
      <c r="AD23" s="498"/>
      <c r="AE23" s="498"/>
      <c r="AF23" s="498"/>
      <c r="AG23" s="501"/>
      <c r="AH23" s="503"/>
      <c r="AI23" s="504"/>
      <c r="AJ23" s="504"/>
      <c r="AK23" s="504"/>
      <c r="AL23" s="504"/>
      <c r="AM23" s="507"/>
      <c r="AN23" s="53"/>
      <c r="AO23" s="545"/>
      <c r="AP23" s="546"/>
      <c r="AQ23" s="546"/>
      <c r="AR23" s="546"/>
      <c r="AS23" s="546"/>
      <c r="AT23" s="547"/>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row>
    <row r="24" spans="1:80" x14ac:dyDescent="0.3">
      <c r="A24" s="53"/>
      <c r="B24" s="571"/>
      <c r="C24" s="571"/>
      <c r="D24" s="572"/>
      <c r="E24" s="490"/>
      <c r="F24" s="491"/>
      <c r="G24" s="491"/>
      <c r="H24" s="491"/>
      <c r="I24" s="492"/>
      <c r="J24" s="515" t="e">
        <f>IF(AND('[1]Mapa final'!#REF!="Media",'[1]Mapa final'!#REF!="Leve"),CONCATENATE("R",'[1]Mapa final'!#REF!),"")</f>
        <v>#REF!</v>
      </c>
      <c r="K24" s="516"/>
      <c r="L24" s="516" t="str">
        <f>IF(AND('[1]Mapa final'!$K$19="Media",'[1]Mapa final'!$O$19="Leve"),CONCATENATE("R",'[1]Mapa final'!$A$19),"")</f>
        <v/>
      </c>
      <c r="M24" s="516"/>
      <c r="N24" s="516" t="str">
        <f>IF(AND('[1]Mapa final'!$K$25="Media",'[1]Mapa final'!$O$25="Leve"),CONCATENATE("R",'[1]Mapa final'!$A$25),"")</f>
        <v/>
      </c>
      <c r="O24" s="519"/>
      <c r="P24" s="515" t="e">
        <f>IF(AND('[1]Mapa final'!#REF!="Media",'[1]Mapa final'!#REF!="Menor"),CONCATENATE("R",'[1]Mapa final'!#REF!),"")</f>
        <v>#REF!</v>
      </c>
      <c r="Q24" s="516"/>
      <c r="R24" s="516" t="str">
        <f>IF(AND('[1]Mapa final'!$K$19="Media",'[1]Mapa final'!$O$19="Menor"),CONCATENATE("R",'[1]Mapa final'!$A$19),"")</f>
        <v/>
      </c>
      <c r="S24" s="516"/>
      <c r="T24" s="516" t="str">
        <f>IF(AND('[1]Mapa final'!$K$25="Media",'[1]Mapa final'!$O$25="Menor"),CONCATENATE("R",'[1]Mapa final'!$A$25),"")</f>
        <v/>
      </c>
      <c r="U24" s="519"/>
      <c r="V24" s="515" t="e">
        <f>IF(AND('[1]Mapa final'!#REF!="Media",'[1]Mapa final'!#REF!="Moderado"),CONCATENATE("R",'[1]Mapa final'!#REF!),"")</f>
        <v>#REF!</v>
      </c>
      <c r="W24" s="516"/>
      <c r="X24" s="516" t="str">
        <f>IF(AND('[1]Mapa final'!$K$19="Media",'[1]Mapa final'!$O$19="Moderado"),CONCATENATE("R",'[1]Mapa final'!$A$19),"")</f>
        <v/>
      </c>
      <c r="Y24" s="516"/>
      <c r="Z24" s="516" t="str">
        <f>IF(AND('[1]Mapa final'!$K$25="Media",'[1]Mapa final'!$O$25="Moderado"),CONCATENATE("R",'[1]Mapa final'!$A$25),"")</f>
        <v/>
      </c>
      <c r="AA24" s="519"/>
      <c r="AB24" s="497" t="e">
        <f>IF(AND('[1]Mapa final'!#REF!="Media",'[1]Mapa final'!#REF!="Mayor"),CONCATENATE("R",'[1]Mapa final'!#REF!),"")</f>
        <v>#REF!</v>
      </c>
      <c r="AC24" s="498"/>
      <c r="AD24" s="498" t="str">
        <f>IF(AND('[1]Mapa final'!$K$19="Media",'[1]Mapa final'!$O$19="Mayor"),CONCATENATE("R",'[1]Mapa final'!$A$19),"")</f>
        <v/>
      </c>
      <c r="AE24" s="498"/>
      <c r="AF24" s="498" t="str">
        <f>IF(AND('[1]Mapa final'!$K$25="Media",'[1]Mapa final'!$O$25="Mayor"),CONCATENATE("R",'[1]Mapa final'!$A$25),"")</f>
        <v/>
      </c>
      <c r="AG24" s="501"/>
      <c r="AH24" s="503" t="e">
        <f>IF(AND('[1]Mapa final'!#REF!="Media",'[1]Mapa final'!#REF!="Catastrófico"),CONCATENATE("R",'[1]Mapa final'!#REF!),"")</f>
        <v>#REF!</v>
      </c>
      <c r="AI24" s="504"/>
      <c r="AJ24" s="504" t="str">
        <f>IF(AND('[1]Mapa final'!$K$19="Media",'[1]Mapa final'!$O$19="Catastrófico"),CONCATENATE("R",'[1]Mapa final'!$A$19),"")</f>
        <v/>
      </c>
      <c r="AK24" s="504"/>
      <c r="AL24" s="504" t="str">
        <f>IF(AND('[1]Mapa final'!$K$25="Media",'[1]Mapa final'!$O$25="Catastrófico"),CONCATENATE("R",'[1]Mapa final'!$A$25),"")</f>
        <v/>
      </c>
      <c r="AM24" s="507"/>
      <c r="AN24" s="53"/>
      <c r="AO24" s="545"/>
      <c r="AP24" s="546"/>
      <c r="AQ24" s="546"/>
      <c r="AR24" s="546"/>
      <c r="AS24" s="546"/>
      <c r="AT24" s="547"/>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row>
    <row r="25" spans="1:80" x14ac:dyDescent="0.3">
      <c r="A25" s="53"/>
      <c r="B25" s="571"/>
      <c r="C25" s="571"/>
      <c r="D25" s="572"/>
      <c r="E25" s="490"/>
      <c r="F25" s="491"/>
      <c r="G25" s="491"/>
      <c r="H25" s="491"/>
      <c r="I25" s="492"/>
      <c r="J25" s="515"/>
      <c r="K25" s="516"/>
      <c r="L25" s="516"/>
      <c r="M25" s="516"/>
      <c r="N25" s="516"/>
      <c r="O25" s="519"/>
      <c r="P25" s="515"/>
      <c r="Q25" s="516"/>
      <c r="R25" s="516"/>
      <c r="S25" s="516"/>
      <c r="T25" s="516"/>
      <c r="U25" s="519"/>
      <c r="V25" s="515"/>
      <c r="W25" s="516"/>
      <c r="X25" s="516"/>
      <c r="Y25" s="516"/>
      <c r="Z25" s="516"/>
      <c r="AA25" s="519"/>
      <c r="AB25" s="497"/>
      <c r="AC25" s="498"/>
      <c r="AD25" s="498"/>
      <c r="AE25" s="498"/>
      <c r="AF25" s="498"/>
      <c r="AG25" s="501"/>
      <c r="AH25" s="503"/>
      <c r="AI25" s="504"/>
      <c r="AJ25" s="504"/>
      <c r="AK25" s="504"/>
      <c r="AL25" s="504"/>
      <c r="AM25" s="507"/>
      <c r="AN25" s="53"/>
      <c r="AO25" s="545"/>
      <c r="AP25" s="546"/>
      <c r="AQ25" s="546"/>
      <c r="AR25" s="546"/>
      <c r="AS25" s="546"/>
      <c r="AT25" s="547"/>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row>
    <row r="26" spans="1:80" x14ac:dyDescent="0.3">
      <c r="A26" s="53"/>
      <c r="B26" s="571"/>
      <c r="C26" s="571"/>
      <c r="D26" s="572"/>
      <c r="E26" s="490"/>
      <c r="F26" s="491"/>
      <c r="G26" s="491"/>
      <c r="H26" s="491"/>
      <c r="I26" s="492"/>
      <c r="J26" s="515" t="str">
        <f>IF(AND('[1]Mapa final'!$K$31="Media",'[1]Mapa final'!$O$31="Leve"),CONCATENATE("R",'[1]Mapa final'!$A$31),"")</f>
        <v/>
      </c>
      <c r="K26" s="516"/>
      <c r="L26" s="516" t="str">
        <f>IF(AND('[1]Mapa final'!$K$37="Media",'[1]Mapa final'!$O$37="Leve"),CONCATENATE("R",'[1]Mapa final'!$A$37),"")</f>
        <v/>
      </c>
      <c r="M26" s="516"/>
      <c r="N26" s="516" t="str">
        <f>IF(AND('[1]Mapa final'!$K$43="Media",'[1]Mapa final'!$O$43="Leve"),CONCATENATE("R",'[1]Mapa final'!$A$43),"")</f>
        <v/>
      </c>
      <c r="O26" s="519"/>
      <c r="P26" s="515" t="str">
        <f>IF(AND('[1]Mapa final'!$K$31="Media",'[1]Mapa final'!$O$31="Menor"),CONCATENATE("R",'[1]Mapa final'!$A$31),"")</f>
        <v/>
      </c>
      <c r="Q26" s="516"/>
      <c r="R26" s="516" t="str">
        <f>IF(AND('[1]Mapa final'!$K$37="Media",'[1]Mapa final'!$O$37="Menor"),CONCATENATE("R",'[1]Mapa final'!$A$37),"")</f>
        <v/>
      </c>
      <c r="S26" s="516"/>
      <c r="T26" s="516" t="str">
        <f>IF(AND('[1]Mapa final'!$K$43="Media",'[1]Mapa final'!$O$43="Menor"),CONCATENATE("R",'[1]Mapa final'!$A$43),"")</f>
        <v/>
      </c>
      <c r="U26" s="519"/>
      <c r="V26" s="515" t="str">
        <f>IF(AND('[1]Mapa final'!$K$31="Media",'[1]Mapa final'!$O$31="Moderado"),CONCATENATE("R",'[1]Mapa final'!$A$31),"")</f>
        <v/>
      </c>
      <c r="W26" s="516"/>
      <c r="X26" s="516" t="str">
        <f>IF(AND('[1]Mapa final'!$K$37="Media",'[1]Mapa final'!$O$37="Moderado"),CONCATENATE("R",'[1]Mapa final'!$A$37),"")</f>
        <v/>
      </c>
      <c r="Y26" s="516"/>
      <c r="Z26" s="516" t="str">
        <f>IF(AND('[1]Mapa final'!$K$43="Media",'[1]Mapa final'!$O$43="Moderado"),CONCATENATE("R",'[1]Mapa final'!$A$43),"")</f>
        <v/>
      </c>
      <c r="AA26" s="519"/>
      <c r="AB26" s="497" t="str">
        <f>IF(AND('[1]Mapa final'!$K$31="Media",'[1]Mapa final'!$O$31="Mayor"),CONCATENATE("R",'[1]Mapa final'!$A$31),"")</f>
        <v/>
      </c>
      <c r="AC26" s="498"/>
      <c r="AD26" s="498" t="str">
        <f>IF(AND('[1]Mapa final'!$K$37="Media",'[1]Mapa final'!$O$37="Mayor"),CONCATENATE("R",'[1]Mapa final'!$A$37),"")</f>
        <v/>
      </c>
      <c r="AE26" s="498"/>
      <c r="AF26" s="498" t="str">
        <f>IF(AND('[1]Mapa final'!$K$43="Media",'[1]Mapa final'!$O$43="Mayor"),CONCATENATE("R",'[1]Mapa final'!$A$43),"")</f>
        <v/>
      </c>
      <c r="AG26" s="501"/>
      <c r="AH26" s="503" t="str">
        <f>IF(AND('[1]Mapa final'!$K$31="Media",'[1]Mapa final'!$O$31="Catastrófico"),CONCATENATE("R",'[1]Mapa final'!$A$31),"")</f>
        <v/>
      </c>
      <c r="AI26" s="504"/>
      <c r="AJ26" s="504" t="str">
        <f>IF(AND('[1]Mapa final'!$K$37="Media",'[1]Mapa final'!$O$37="Catastrófico"),CONCATENATE("R",'[1]Mapa final'!$A$37),"")</f>
        <v/>
      </c>
      <c r="AK26" s="504"/>
      <c r="AL26" s="504" t="str">
        <f>IF(AND('[1]Mapa final'!$K$43="Media",'[1]Mapa final'!$O$43="Catastrófico"),CONCATENATE("R",'[1]Mapa final'!$A$43),"")</f>
        <v/>
      </c>
      <c r="AM26" s="507"/>
      <c r="AN26" s="53"/>
      <c r="AO26" s="545"/>
      <c r="AP26" s="546"/>
      <c r="AQ26" s="546"/>
      <c r="AR26" s="546"/>
      <c r="AS26" s="546"/>
      <c r="AT26" s="547"/>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row>
    <row r="27" spans="1:80" x14ac:dyDescent="0.3">
      <c r="A27" s="53"/>
      <c r="B27" s="571"/>
      <c r="C27" s="571"/>
      <c r="D27" s="572"/>
      <c r="E27" s="490"/>
      <c r="F27" s="491"/>
      <c r="G27" s="491"/>
      <c r="H27" s="491"/>
      <c r="I27" s="492"/>
      <c r="J27" s="515"/>
      <c r="K27" s="516"/>
      <c r="L27" s="516"/>
      <c r="M27" s="516"/>
      <c r="N27" s="516"/>
      <c r="O27" s="519"/>
      <c r="P27" s="515"/>
      <c r="Q27" s="516"/>
      <c r="R27" s="516"/>
      <c r="S27" s="516"/>
      <c r="T27" s="516"/>
      <c r="U27" s="519"/>
      <c r="V27" s="515"/>
      <c r="W27" s="516"/>
      <c r="X27" s="516"/>
      <c r="Y27" s="516"/>
      <c r="Z27" s="516"/>
      <c r="AA27" s="519"/>
      <c r="AB27" s="497"/>
      <c r="AC27" s="498"/>
      <c r="AD27" s="498"/>
      <c r="AE27" s="498"/>
      <c r="AF27" s="498"/>
      <c r="AG27" s="501"/>
      <c r="AH27" s="503"/>
      <c r="AI27" s="504"/>
      <c r="AJ27" s="504"/>
      <c r="AK27" s="504"/>
      <c r="AL27" s="504"/>
      <c r="AM27" s="507"/>
      <c r="AN27" s="53"/>
      <c r="AO27" s="545"/>
      <c r="AP27" s="546"/>
      <c r="AQ27" s="546"/>
      <c r="AR27" s="546"/>
      <c r="AS27" s="546"/>
      <c r="AT27" s="547"/>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row>
    <row r="28" spans="1:80" x14ac:dyDescent="0.3">
      <c r="A28" s="53"/>
      <c r="B28" s="571"/>
      <c r="C28" s="571"/>
      <c r="D28" s="572"/>
      <c r="E28" s="490"/>
      <c r="F28" s="491"/>
      <c r="G28" s="491"/>
      <c r="H28" s="491"/>
      <c r="I28" s="492"/>
      <c r="J28" s="515" t="str">
        <f>IF(AND('[1]Mapa final'!$K$49="Media",'[1]Mapa final'!$O$49="Leve"),CONCATENATE("R",'[1]Mapa final'!$A$49),"")</f>
        <v/>
      </c>
      <c r="K28" s="516"/>
      <c r="L28" s="516" t="str">
        <f>IF(AND('[1]Mapa final'!$K$55="Media",'[1]Mapa final'!$O$55="Leve"),CONCATENATE("R",'[1]Mapa final'!$A$55),"")</f>
        <v/>
      </c>
      <c r="M28" s="516"/>
      <c r="N28" s="516" t="str">
        <f>IF(AND('[1]Mapa final'!$K$61="Media",'[1]Mapa final'!$O$61="Leve"),CONCATENATE("R",'[1]Mapa final'!$A$61),"")</f>
        <v/>
      </c>
      <c r="O28" s="519"/>
      <c r="P28" s="515" t="str">
        <f>IF(AND('[1]Mapa final'!$K$49="Media",'[1]Mapa final'!$O$49="Menor"),CONCATENATE("R",'[1]Mapa final'!$A$49),"")</f>
        <v/>
      </c>
      <c r="Q28" s="516"/>
      <c r="R28" s="516" t="str">
        <f>IF(AND('[1]Mapa final'!$K$55="Media",'[1]Mapa final'!$O$55="Menor"),CONCATENATE("R",'[1]Mapa final'!$A$55),"")</f>
        <v/>
      </c>
      <c r="S28" s="516"/>
      <c r="T28" s="516" t="str">
        <f>IF(AND('[1]Mapa final'!$K$61="Media",'[1]Mapa final'!$O$61="Menor"),CONCATENATE("R",'[1]Mapa final'!$A$61),"")</f>
        <v/>
      </c>
      <c r="U28" s="519"/>
      <c r="V28" s="515" t="str">
        <f>IF(AND('[1]Mapa final'!$K$49="Media",'[1]Mapa final'!$O$49="Moderado"),CONCATENATE("R",'[1]Mapa final'!$A$49),"")</f>
        <v/>
      </c>
      <c r="W28" s="516"/>
      <c r="X28" s="516" t="str">
        <f>IF(AND('[1]Mapa final'!$K$55="Media",'[1]Mapa final'!$O$55="Moderado"),CONCATENATE("R",'[1]Mapa final'!$A$55),"")</f>
        <v/>
      </c>
      <c r="Y28" s="516"/>
      <c r="Z28" s="516" t="str">
        <f>IF(AND('[1]Mapa final'!$K$61="Media",'[1]Mapa final'!$O$61="Moderado"),CONCATENATE("R",'[1]Mapa final'!$A$61),"")</f>
        <v/>
      </c>
      <c r="AA28" s="519"/>
      <c r="AB28" s="497" t="str">
        <f>IF(AND('[1]Mapa final'!$K$49="Media",'[1]Mapa final'!$O$49="Mayor"),CONCATENATE("R",'[1]Mapa final'!$A$49),"")</f>
        <v/>
      </c>
      <c r="AC28" s="498"/>
      <c r="AD28" s="498" t="str">
        <f>IF(AND('[1]Mapa final'!$K$55="Media",'[1]Mapa final'!$O$55="Mayor"),CONCATENATE("R",'[1]Mapa final'!$A$55),"")</f>
        <v/>
      </c>
      <c r="AE28" s="498"/>
      <c r="AF28" s="498" t="str">
        <f>IF(AND('[1]Mapa final'!$K$61="Media",'[1]Mapa final'!$O$61="Mayor"),CONCATENATE("R",'[1]Mapa final'!$A$61),"")</f>
        <v/>
      </c>
      <c r="AG28" s="501"/>
      <c r="AH28" s="503" t="str">
        <f>IF(AND('[1]Mapa final'!$K$49="Media",'[1]Mapa final'!$O$49="Catastrófico"),CONCATENATE("R",'[1]Mapa final'!$A$49),"")</f>
        <v/>
      </c>
      <c r="AI28" s="504"/>
      <c r="AJ28" s="504" t="str">
        <f>IF(AND('[1]Mapa final'!$K$55="Media",'[1]Mapa final'!$O$55="Catastrófico"),CONCATENATE("R",'[1]Mapa final'!$A$55),"")</f>
        <v/>
      </c>
      <c r="AK28" s="504"/>
      <c r="AL28" s="504" t="str">
        <f>IF(AND('[1]Mapa final'!$K$61="Media",'[1]Mapa final'!$O$61="Catastrófico"),CONCATENATE("R",'[1]Mapa final'!$A$61),"")</f>
        <v/>
      </c>
      <c r="AM28" s="507"/>
      <c r="AN28" s="53"/>
      <c r="AO28" s="545"/>
      <c r="AP28" s="546"/>
      <c r="AQ28" s="546"/>
      <c r="AR28" s="546"/>
      <c r="AS28" s="546"/>
      <c r="AT28" s="547"/>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row>
    <row r="29" spans="1:80" ht="15" thickBot="1" x14ac:dyDescent="0.35">
      <c r="A29" s="53"/>
      <c r="B29" s="571"/>
      <c r="C29" s="571"/>
      <c r="D29" s="572"/>
      <c r="E29" s="493"/>
      <c r="F29" s="494"/>
      <c r="G29" s="494"/>
      <c r="H29" s="494"/>
      <c r="I29" s="495"/>
      <c r="J29" s="515"/>
      <c r="K29" s="516"/>
      <c r="L29" s="516"/>
      <c r="M29" s="516"/>
      <c r="N29" s="516"/>
      <c r="O29" s="519"/>
      <c r="P29" s="517"/>
      <c r="Q29" s="518"/>
      <c r="R29" s="518"/>
      <c r="S29" s="518"/>
      <c r="T29" s="518"/>
      <c r="U29" s="520"/>
      <c r="V29" s="517"/>
      <c r="W29" s="518"/>
      <c r="X29" s="518"/>
      <c r="Y29" s="518"/>
      <c r="Z29" s="518"/>
      <c r="AA29" s="520"/>
      <c r="AB29" s="499"/>
      <c r="AC29" s="500"/>
      <c r="AD29" s="500"/>
      <c r="AE29" s="500"/>
      <c r="AF29" s="500"/>
      <c r="AG29" s="502"/>
      <c r="AH29" s="505"/>
      <c r="AI29" s="506"/>
      <c r="AJ29" s="506"/>
      <c r="AK29" s="506"/>
      <c r="AL29" s="506"/>
      <c r="AM29" s="508"/>
      <c r="AN29" s="53"/>
      <c r="AO29" s="548"/>
      <c r="AP29" s="549"/>
      <c r="AQ29" s="549"/>
      <c r="AR29" s="549"/>
      <c r="AS29" s="549"/>
      <c r="AT29" s="550"/>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row>
    <row r="30" spans="1:80" x14ac:dyDescent="0.3">
      <c r="A30" s="53"/>
      <c r="B30" s="571"/>
      <c r="C30" s="571"/>
      <c r="D30" s="572"/>
      <c r="E30" s="487" t="s">
        <v>109</v>
      </c>
      <c r="F30" s="488"/>
      <c r="G30" s="488"/>
      <c r="H30" s="488"/>
      <c r="I30" s="488"/>
      <c r="J30" s="529" t="str">
        <f>IF(AND('[1]Mapa final'!$K$10="Baja",'[1]Mapa final'!$O$10="Leve"),CONCATENATE("R",'[1]Mapa final'!$A$10),"")</f>
        <v/>
      </c>
      <c r="K30" s="530"/>
      <c r="L30" s="530" t="str">
        <f>IF(AND('[1]Mapa final'!$K$15="Baja",'[1]Mapa final'!$O$15="Leve"),CONCATENATE("R",'[1]Mapa final'!$A$15),"")</f>
        <v/>
      </c>
      <c r="M30" s="530"/>
      <c r="N30" s="530" t="e">
        <f>IF(AND('[1]Mapa final'!#REF!="Baja",'[1]Mapa final'!#REF!="Leve"),CONCATENATE("R",'[1]Mapa final'!#REF!),"")</f>
        <v>#REF!</v>
      </c>
      <c r="O30" s="531"/>
      <c r="P30" s="524" t="str">
        <f>IF(AND('[1]Mapa final'!$K$10="Baja",'[1]Mapa final'!$O$10="Menor"),CONCATENATE("R",'[1]Mapa final'!$A$10),"")</f>
        <v/>
      </c>
      <c r="Q30" s="524"/>
      <c r="R30" s="524" t="str">
        <f>IF(AND('[1]Mapa final'!$K$15="Baja",'[1]Mapa final'!$O$15="Menor"),CONCATENATE("R",'[1]Mapa final'!$A$15),"")</f>
        <v/>
      </c>
      <c r="S30" s="524"/>
      <c r="T30" s="524" t="e">
        <f>IF(AND('[1]Mapa final'!#REF!="Baja",'[1]Mapa final'!#REF!="Menor"),CONCATENATE("R",'[1]Mapa final'!#REF!),"")</f>
        <v>#REF!</v>
      </c>
      <c r="U30" s="525"/>
      <c r="V30" s="523" t="str">
        <f>IF(AND('[1]Mapa final'!$K$10="Baja",'[1]Mapa final'!$O$10="Moderado"),CONCATENATE("R",'[1]Mapa final'!$A$10),"")</f>
        <v/>
      </c>
      <c r="W30" s="524"/>
      <c r="X30" s="524" t="str">
        <f>IF(AND('[1]Mapa final'!$K$15="Baja",'[1]Mapa final'!$O$15="Moderado"),CONCATENATE("R",'[1]Mapa final'!$A$15),"")</f>
        <v/>
      </c>
      <c r="Y30" s="524"/>
      <c r="Z30" s="524" t="e">
        <f>IF(AND('[1]Mapa final'!#REF!="Baja",'[1]Mapa final'!#REF!="Moderado"),CONCATENATE("R",'[1]Mapa final'!#REF!),"")</f>
        <v>#REF!</v>
      </c>
      <c r="AA30" s="525"/>
      <c r="AB30" s="526" t="str">
        <f>IF(AND('[1]Mapa final'!$K$10="Baja",'[1]Mapa final'!$O$10="Mayor"),CONCATENATE("R",'[1]Mapa final'!$A$10),"")</f>
        <v/>
      </c>
      <c r="AC30" s="527"/>
      <c r="AD30" s="527" t="str">
        <f>IF(AND('[1]Mapa final'!$K$15="Baja",'[1]Mapa final'!$O$15="Mayor"),CONCATENATE("R",'[1]Mapa final'!$A$15),"")</f>
        <v/>
      </c>
      <c r="AE30" s="527"/>
      <c r="AF30" s="527" t="e">
        <f>IF(AND('[1]Mapa final'!#REF!="Baja",'[1]Mapa final'!#REF!="Mayor"),CONCATENATE("R",'[1]Mapa final'!#REF!),"")</f>
        <v>#REF!</v>
      </c>
      <c r="AG30" s="528"/>
      <c r="AH30" s="532" t="str">
        <f>IF(AND('[1]Mapa final'!$K$10="Baja",'[1]Mapa final'!$O$10="Catastrófico"),CONCATENATE("R",'[1]Mapa final'!$A$10),"")</f>
        <v/>
      </c>
      <c r="AI30" s="521"/>
      <c r="AJ30" s="521" t="str">
        <f>IF(AND('[1]Mapa final'!$K$15="Baja",'[1]Mapa final'!$O$15="Catastrófico"),CONCATENATE("R",'[1]Mapa final'!$A$15),"")</f>
        <v/>
      </c>
      <c r="AK30" s="521"/>
      <c r="AL30" s="521" t="e">
        <f>IF(AND('[1]Mapa final'!#REF!="Baja",'[1]Mapa final'!#REF!="Catastrófico"),CONCATENATE("R",'[1]Mapa final'!#REF!),"")</f>
        <v>#REF!</v>
      </c>
      <c r="AM30" s="522"/>
      <c r="AN30" s="53"/>
      <c r="AO30" s="533" t="s">
        <v>81</v>
      </c>
      <c r="AP30" s="534"/>
      <c r="AQ30" s="534"/>
      <c r="AR30" s="534"/>
      <c r="AS30" s="534"/>
      <c r="AT30" s="535"/>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row>
    <row r="31" spans="1:80" x14ac:dyDescent="0.3">
      <c r="A31" s="53"/>
      <c r="B31" s="571"/>
      <c r="C31" s="571"/>
      <c r="D31" s="572"/>
      <c r="E31" s="490"/>
      <c r="F31" s="491"/>
      <c r="G31" s="491"/>
      <c r="H31" s="491"/>
      <c r="I31" s="491"/>
      <c r="J31" s="509"/>
      <c r="K31" s="510"/>
      <c r="L31" s="510"/>
      <c r="M31" s="510"/>
      <c r="N31" s="510"/>
      <c r="O31" s="513"/>
      <c r="P31" s="516"/>
      <c r="Q31" s="516"/>
      <c r="R31" s="516"/>
      <c r="S31" s="516"/>
      <c r="T31" s="516"/>
      <c r="U31" s="519"/>
      <c r="V31" s="515"/>
      <c r="W31" s="516"/>
      <c r="X31" s="516"/>
      <c r="Y31" s="516"/>
      <c r="Z31" s="516"/>
      <c r="AA31" s="519"/>
      <c r="AB31" s="497"/>
      <c r="AC31" s="498"/>
      <c r="AD31" s="498"/>
      <c r="AE31" s="498"/>
      <c r="AF31" s="498"/>
      <c r="AG31" s="501"/>
      <c r="AH31" s="503"/>
      <c r="AI31" s="504"/>
      <c r="AJ31" s="504"/>
      <c r="AK31" s="504"/>
      <c r="AL31" s="504"/>
      <c r="AM31" s="507"/>
      <c r="AN31" s="53"/>
      <c r="AO31" s="536"/>
      <c r="AP31" s="537"/>
      <c r="AQ31" s="537"/>
      <c r="AR31" s="537"/>
      <c r="AS31" s="537"/>
      <c r="AT31" s="538"/>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row>
    <row r="32" spans="1:80" x14ac:dyDescent="0.3">
      <c r="A32" s="53"/>
      <c r="B32" s="571"/>
      <c r="C32" s="571"/>
      <c r="D32" s="572"/>
      <c r="E32" s="490"/>
      <c r="F32" s="491"/>
      <c r="G32" s="491"/>
      <c r="H32" s="491"/>
      <c r="I32" s="491"/>
      <c r="J32" s="509" t="e">
        <f>IF(AND('[1]Mapa final'!#REF!="Baja",'[1]Mapa final'!#REF!="Leve"),CONCATENATE("R",'[1]Mapa final'!#REF!),"")</f>
        <v>#REF!</v>
      </c>
      <c r="K32" s="510"/>
      <c r="L32" s="510" t="str">
        <f>IF(AND('[1]Mapa final'!$K$19="Baja",'[1]Mapa final'!$O$19="Leve"),CONCATENATE("R",'[1]Mapa final'!$A$19),"")</f>
        <v/>
      </c>
      <c r="M32" s="510"/>
      <c r="N32" s="510" t="str">
        <f>IF(AND('[1]Mapa final'!$K$25="Baja",'[1]Mapa final'!$O$25="Leve"),CONCATENATE("R",'[1]Mapa final'!$A$25),"")</f>
        <v/>
      </c>
      <c r="O32" s="513"/>
      <c r="P32" s="516" t="e">
        <f>IF(AND('[1]Mapa final'!#REF!="Baja",'[1]Mapa final'!#REF!="Menor"),CONCATENATE("R",'[1]Mapa final'!#REF!),"")</f>
        <v>#REF!</v>
      </c>
      <c r="Q32" s="516"/>
      <c r="R32" s="516" t="str">
        <f>IF(AND('[1]Mapa final'!$K$19="Baja",'[1]Mapa final'!$O$19="Menor"),CONCATENATE("R",'[1]Mapa final'!$A$19),"")</f>
        <v/>
      </c>
      <c r="S32" s="516"/>
      <c r="T32" s="516" t="str">
        <f>IF(AND('[1]Mapa final'!$K$25="Baja",'[1]Mapa final'!$O$25="Menor"),CONCATENATE("R",'[1]Mapa final'!$A$25),"")</f>
        <v/>
      </c>
      <c r="U32" s="519"/>
      <c r="V32" s="515" t="e">
        <f>IF(AND('[1]Mapa final'!#REF!="Baja",'[1]Mapa final'!#REF!="Moderado"),CONCATENATE("R",'[1]Mapa final'!#REF!),"")</f>
        <v>#REF!</v>
      </c>
      <c r="W32" s="516"/>
      <c r="X32" s="516" t="str">
        <f>IF(AND('[1]Mapa final'!$K$19="Baja",'[1]Mapa final'!$O$19="Moderado"),CONCATENATE("R",'[1]Mapa final'!$A$19),"")</f>
        <v/>
      </c>
      <c r="Y32" s="516"/>
      <c r="Z32" s="516" t="str">
        <f>IF(AND('[1]Mapa final'!$K$25="Baja",'[1]Mapa final'!$O$25="Moderado"),CONCATENATE("R",'[1]Mapa final'!$A$25),"")</f>
        <v/>
      </c>
      <c r="AA32" s="519"/>
      <c r="AB32" s="497" t="e">
        <f>IF(AND('[1]Mapa final'!#REF!="Baja",'[1]Mapa final'!#REF!="Mayor"),CONCATENATE("R",'[1]Mapa final'!#REF!),"")</f>
        <v>#REF!</v>
      </c>
      <c r="AC32" s="498"/>
      <c r="AD32" s="498" t="str">
        <f>IF(AND('[1]Mapa final'!$K$19="Baja",'[1]Mapa final'!$O$19="Mayor"),CONCATENATE("R",'[1]Mapa final'!$A$19),"")</f>
        <v/>
      </c>
      <c r="AE32" s="498"/>
      <c r="AF32" s="498" t="str">
        <f>IF(AND('[1]Mapa final'!$K$25="Baja",'[1]Mapa final'!$O$25="Mayor"),CONCATENATE("R",'[1]Mapa final'!$A$25),"")</f>
        <v/>
      </c>
      <c r="AG32" s="501"/>
      <c r="AH32" s="503" t="e">
        <f>IF(AND('[1]Mapa final'!#REF!="Baja",'[1]Mapa final'!#REF!="Catastrófico"),CONCATENATE("R",'[1]Mapa final'!#REF!),"")</f>
        <v>#REF!</v>
      </c>
      <c r="AI32" s="504"/>
      <c r="AJ32" s="504" t="str">
        <f>IF(AND('[1]Mapa final'!$K$19="Baja",'[1]Mapa final'!$O$19="Catastrófico"),CONCATENATE("R",'[1]Mapa final'!$A$19),"")</f>
        <v/>
      </c>
      <c r="AK32" s="504"/>
      <c r="AL32" s="504" t="str">
        <f>IF(AND('[1]Mapa final'!$K$25="Baja",'[1]Mapa final'!$O$25="Catastrófico"),CONCATENATE("R",'[1]Mapa final'!$A$25),"")</f>
        <v/>
      </c>
      <c r="AM32" s="507"/>
      <c r="AN32" s="53"/>
      <c r="AO32" s="536"/>
      <c r="AP32" s="537"/>
      <c r="AQ32" s="537"/>
      <c r="AR32" s="537"/>
      <c r="AS32" s="537"/>
      <c r="AT32" s="538"/>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row>
    <row r="33" spans="1:80" x14ac:dyDescent="0.3">
      <c r="A33" s="53"/>
      <c r="B33" s="571"/>
      <c r="C33" s="571"/>
      <c r="D33" s="572"/>
      <c r="E33" s="490"/>
      <c r="F33" s="491"/>
      <c r="G33" s="491"/>
      <c r="H33" s="491"/>
      <c r="I33" s="491"/>
      <c r="J33" s="509"/>
      <c r="K33" s="510"/>
      <c r="L33" s="510"/>
      <c r="M33" s="510"/>
      <c r="N33" s="510"/>
      <c r="O33" s="513"/>
      <c r="P33" s="516"/>
      <c r="Q33" s="516"/>
      <c r="R33" s="516"/>
      <c r="S33" s="516"/>
      <c r="T33" s="516"/>
      <c r="U33" s="519"/>
      <c r="V33" s="515"/>
      <c r="W33" s="516"/>
      <c r="X33" s="516"/>
      <c r="Y33" s="516"/>
      <c r="Z33" s="516"/>
      <c r="AA33" s="519"/>
      <c r="AB33" s="497"/>
      <c r="AC33" s="498"/>
      <c r="AD33" s="498"/>
      <c r="AE33" s="498"/>
      <c r="AF33" s="498"/>
      <c r="AG33" s="501"/>
      <c r="AH33" s="503"/>
      <c r="AI33" s="504"/>
      <c r="AJ33" s="504"/>
      <c r="AK33" s="504"/>
      <c r="AL33" s="504"/>
      <c r="AM33" s="507"/>
      <c r="AN33" s="53"/>
      <c r="AO33" s="536"/>
      <c r="AP33" s="537"/>
      <c r="AQ33" s="537"/>
      <c r="AR33" s="537"/>
      <c r="AS33" s="537"/>
      <c r="AT33" s="538"/>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row>
    <row r="34" spans="1:80" x14ac:dyDescent="0.3">
      <c r="A34" s="53"/>
      <c r="B34" s="571"/>
      <c r="C34" s="571"/>
      <c r="D34" s="572"/>
      <c r="E34" s="490"/>
      <c r="F34" s="491"/>
      <c r="G34" s="491"/>
      <c r="H34" s="491"/>
      <c r="I34" s="491"/>
      <c r="J34" s="509" t="str">
        <f>IF(AND('[1]Mapa final'!$K$31="Baja",'[1]Mapa final'!$O$31="Leve"),CONCATENATE("R",'[1]Mapa final'!$A$31),"")</f>
        <v/>
      </c>
      <c r="K34" s="510"/>
      <c r="L34" s="510" t="str">
        <f>IF(AND('[1]Mapa final'!$K$37="Baja",'[1]Mapa final'!$O$37="Leve"),CONCATENATE("R",'[1]Mapa final'!$A$37),"")</f>
        <v/>
      </c>
      <c r="M34" s="510"/>
      <c r="N34" s="510" t="str">
        <f>IF(AND('[1]Mapa final'!$K$43="Baja",'[1]Mapa final'!$O$43="Leve"),CONCATENATE("R",'[1]Mapa final'!$A$43),"")</f>
        <v/>
      </c>
      <c r="O34" s="513"/>
      <c r="P34" s="516" t="str">
        <f>IF(AND('[1]Mapa final'!$K$31="Baja",'[1]Mapa final'!$O$31="Menor"),CONCATENATE("R",'[1]Mapa final'!$A$31),"")</f>
        <v/>
      </c>
      <c r="Q34" s="516"/>
      <c r="R34" s="516" t="str">
        <f>IF(AND('[1]Mapa final'!$K$37="Baja",'[1]Mapa final'!$O$37="Menor"),CONCATENATE("R",'[1]Mapa final'!$A$37),"")</f>
        <v/>
      </c>
      <c r="S34" s="516"/>
      <c r="T34" s="516" t="str">
        <f>IF(AND('[1]Mapa final'!$K$43="Baja",'[1]Mapa final'!$O$43="Menor"),CONCATENATE("R",'[1]Mapa final'!$A$43),"")</f>
        <v/>
      </c>
      <c r="U34" s="519"/>
      <c r="V34" s="515" t="str">
        <f>IF(AND('[1]Mapa final'!$K$31="Baja",'[1]Mapa final'!$O$31="Moderado"),CONCATENATE("R",'[1]Mapa final'!$A$31),"")</f>
        <v/>
      </c>
      <c r="W34" s="516"/>
      <c r="X34" s="516" t="str">
        <f>IF(AND('[1]Mapa final'!$K$37="Baja",'[1]Mapa final'!$O$37="Moderado"),CONCATENATE("R",'[1]Mapa final'!$A$37),"")</f>
        <v/>
      </c>
      <c r="Y34" s="516"/>
      <c r="Z34" s="516" t="str">
        <f>IF(AND('[1]Mapa final'!$K$43="Baja",'[1]Mapa final'!$O$43="Moderado"),CONCATENATE("R",'[1]Mapa final'!$A$43),"")</f>
        <v/>
      </c>
      <c r="AA34" s="519"/>
      <c r="AB34" s="497" t="str">
        <f>IF(AND('[1]Mapa final'!$K$31="Baja",'[1]Mapa final'!$O$31="Mayor"),CONCATENATE("R",'[1]Mapa final'!$A$31),"")</f>
        <v/>
      </c>
      <c r="AC34" s="498"/>
      <c r="AD34" s="498" t="str">
        <f>IF(AND('[1]Mapa final'!$K$37="Baja",'[1]Mapa final'!$O$37="Mayor"),CONCATENATE("R",'[1]Mapa final'!$A$37),"")</f>
        <v/>
      </c>
      <c r="AE34" s="498"/>
      <c r="AF34" s="498" t="str">
        <f>IF(AND('[1]Mapa final'!$K$43="Baja",'[1]Mapa final'!$O$43="Mayor"),CONCATENATE("R",'[1]Mapa final'!$A$43),"")</f>
        <v/>
      </c>
      <c r="AG34" s="501"/>
      <c r="AH34" s="503" t="str">
        <f>IF(AND('[1]Mapa final'!$K$31="Baja",'[1]Mapa final'!$O$31="Catastrófico"),CONCATENATE("R",'[1]Mapa final'!$A$31),"")</f>
        <v/>
      </c>
      <c r="AI34" s="504"/>
      <c r="AJ34" s="504" t="str">
        <f>IF(AND('[1]Mapa final'!$K$37="Baja",'[1]Mapa final'!$O$37="Catastrófico"),CONCATENATE("R",'[1]Mapa final'!$A$37),"")</f>
        <v/>
      </c>
      <c r="AK34" s="504"/>
      <c r="AL34" s="504" t="str">
        <f>IF(AND('[1]Mapa final'!$K$43="Baja",'[1]Mapa final'!$O$43="Catastrófico"),CONCATENATE("R",'[1]Mapa final'!$A$43),"")</f>
        <v/>
      </c>
      <c r="AM34" s="507"/>
      <c r="AN34" s="53"/>
      <c r="AO34" s="536"/>
      <c r="AP34" s="537"/>
      <c r="AQ34" s="537"/>
      <c r="AR34" s="537"/>
      <c r="AS34" s="537"/>
      <c r="AT34" s="538"/>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row>
    <row r="35" spans="1:80" x14ac:dyDescent="0.3">
      <c r="A35" s="53"/>
      <c r="B35" s="571"/>
      <c r="C35" s="571"/>
      <c r="D35" s="572"/>
      <c r="E35" s="490"/>
      <c r="F35" s="491"/>
      <c r="G35" s="491"/>
      <c r="H35" s="491"/>
      <c r="I35" s="491"/>
      <c r="J35" s="509"/>
      <c r="K35" s="510"/>
      <c r="L35" s="510"/>
      <c r="M35" s="510"/>
      <c r="N35" s="510"/>
      <c r="O35" s="513"/>
      <c r="P35" s="516"/>
      <c r="Q35" s="516"/>
      <c r="R35" s="516"/>
      <c r="S35" s="516"/>
      <c r="T35" s="516"/>
      <c r="U35" s="519"/>
      <c r="V35" s="515"/>
      <c r="W35" s="516"/>
      <c r="X35" s="516"/>
      <c r="Y35" s="516"/>
      <c r="Z35" s="516"/>
      <c r="AA35" s="519"/>
      <c r="AB35" s="497"/>
      <c r="AC35" s="498"/>
      <c r="AD35" s="498"/>
      <c r="AE35" s="498"/>
      <c r="AF35" s="498"/>
      <c r="AG35" s="501"/>
      <c r="AH35" s="503"/>
      <c r="AI35" s="504"/>
      <c r="AJ35" s="504"/>
      <c r="AK35" s="504"/>
      <c r="AL35" s="504"/>
      <c r="AM35" s="507"/>
      <c r="AN35" s="53"/>
      <c r="AO35" s="536"/>
      <c r="AP35" s="537"/>
      <c r="AQ35" s="537"/>
      <c r="AR35" s="537"/>
      <c r="AS35" s="537"/>
      <c r="AT35" s="538"/>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row>
    <row r="36" spans="1:80" x14ac:dyDescent="0.3">
      <c r="A36" s="53"/>
      <c r="B36" s="571"/>
      <c r="C36" s="571"/>
      <c r="D36" s="572"/>
      <c r="E36" s="490"/>
      <c r="F36" s="491"/>
      <c r="G36" s="491"/>
      <c r="H36" s="491"/>
      <c r="I36" s="491"/>
      <c r="J36" s="509" t="str">
        <f>IF(AND('[1]Mapa final'!$K$49="Baja",'[1]Mapa final'!$O$49="Leve"),CONCATENATE("R",'[1]Mapa final'!$A$49),"")</f>
        <v/>
      </c>
      <c r="K36" s="510"/>
      <c r="L36" s="510" t="str">
        <f>IF(AND('[1]Mapa final'!$K$55="Baja",'[1]Mapa final'!$O$55="Leve"),CONCATENATE("R",'[1]Mapa final'!$A$55),"")</f>
        <v/>
      </c>
      <c r="M36" s="510"/>
      <c r="N36" s="510" t="str">
        <f>IF(AND('[1]Mapa final'!$K$61="Baja",'[1]Mapa final'!$O$61="Leve"),CONCATENATE("R",'[1]Mapa final'!$A$61),"")</f>
        <v/>
      </c>
      <c r="O36" s="513"/>
      <c r="P36" s="516" t="str">
        <f>IF(AND('[1]Mapa final'!$K$49="Baja",'[1]Mapa final'!$O$49="Menor"),CONCATENATE("R",'[1]Mapa final'!$A$49),"")</f>
        <v/>
      </c>
      <c r="Q36" s="516"/>
      <c r="R36" s="516" t="str">
        <f>IF(AND('[1]Mapa final'!$K$55="Baja",'[1]Mapa final'!$O$55="Menor"),CONCATENATE("R",'[1]Mapa final'!$A$55),"")</f>
        <v/>
      </c>
      <c r="S36" s="516"/>
      <c r="T36" s="516" t="str">
        <f>IF(AND('[1]Mapa final'!$K$61="Baja",'[1]Mapa final'!$O$61="Menor"),CONCATENATE("R",'[1]Mapa final'!$A$61),"")</f>
        <v/>
      </c>
      <c r="U36" s="519"/>
      <c r="V36" s="515" t="str">
        <f>IF(AND('[1]Mapa final'!$K$49="Baja",'[1]Mapa final'!$O$49="Moderado"),CONCATENATE("R",'[1]Mapa final'!$A$49),"")</f>
        <v/>
      </c>
      <c r="W36" s="516"/>
      <c r="X36" s="516" t="str">
        <f>IF(AND('[1]Mapa final'!$K$55="Baja",'[1]Mapa final'!$O$55="Moderado"),CONCATENATE("R",'[1]Mapa final'!$A$55),"")</f>
        <v/>
      </c>
      <c r="Y36" s="516"/>
      <c r="Z36" s="516" t="str">
        <f>IF(AND('[1]Mapa final'!$K$61="Baja",'[1]Mapa final'!$O$61="Moderado"),CONCATENATE("R",'[1]Mapa final'!$A$61),"")</f>
        <v/>
      </c>
      <c r="AA36" s="519"/>
      <c r="AB36" s="497" t="str">
        <f>IF(AND('[1]Mapa final'!$K$49="Baja",'[1]Mapa final'!$O$49="Mayor"),CONCATENATE("R",'[1]Mapa final'!$A$49),"")</f>
        <v/>
      </c>
      <c r="AC36" s="498"/>
      <c r="AD36" s="498" t="str">
        <f>IF(AND('[1]Mapa final'!$K$55="Baja",'[1]Mapa final'!$O$55="Mayor"),CONCATENATE("R",'[1]Mapa final'!$A$55),"")</f>
        <v/>
      </c>
      <c r="AE36" s="498"/>
      <c r="AF36" s="498" t="str">
        <f>IF(AND('[1]Mapa final'!$K$61="Baja",'[1]Mapa final'!$O$61="Mayor"),CONCATENATE("R",'[1]Mapa final'!$A$61),"")</f>
        <v/>
      </c>
      <c r="AG36" s="501"/>
      <c r="AH36" s="503" t="str">
        <f>IF(AND('[1]Mapa final'!$K$49="Baja",'[1]Mapa final'!$O$49="Catastrófico"),CONCATENATE("R",'[1]Mapa final'!$A$49),"")</f>
        <v/>
      </c>
      <c r="AI36" s="504"/>
      <c r="AJ36" s="504" t="str">
        <f>IF(AND('[1]Mapa final'!$K$55="Baja",'[1]Mapa final'!$O$55="Catastrófico"),CONCATENATE("R",'[1]Mapa final'!$A$55),"")</f>
        <v/>
      </c>
      <c r="AK36" s="504"/>
      <c r="AL36" s="504" t="str">
        <f>IF(AND('[1]Mapa final'!$K$61="Baja",'[1]Mapa final'!$O$61="Catastrófico"),CONCATENATE("R",'[1]Mapa final'!$A$61),"")</f>
        <v/>
      </c>
      <c r="AM36" s="507"/>
      <c r="AN36" s="53"/>
      <c r="AO36" s="536"/>
      <c r="AP36" s="537"/>
      <c r="AQ36" s="537"/>
      <c r="AR36" s="537"/>
      <c r="AS36" s="537"/>
      <c r="AT36" s="538"/>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row>
    <row r="37" spans="1:80" ht="15" thickBot="1" x14ac:dyDescent="0.35">
      <c r="A37" s="53"/>
      <c r="B37" s="571"/>
      <c r="C37" s="571"/>
      <c r="D37" s="572"/>
      <c r="E37" s="493"/>
      <c r="F37" s="494"/>
      <c r="G37" s="494"/>
      <c r="H37" s="494"/>
      <c r="I37" s="494"/>
      <c r="J37" s="511"/>
      <c r="K37" s="512"/>
      <c r="L37" s="512"/>
      <c r="M37" s="512"/>
      <c r="N37" s="512"/>
      <c r="O37" s="514"/>
      <c r="P37" s="518"/>
      <c r="Q37" s="518"/>
      <c r="R37" s="518"/>
      <c r="S37" s="518"/>
      <c r="T37" s="518"/>
      <c r="U37" s="520"/>
      <c r="V37" s="517"/>
      <c r="W37" s="518"/>
      <c r="X37" s="518"/>
      <c r="Y37" s="518"/>
      <c r="Z37" s="518"/>
      <c r="AA37" s="520"/>
      <c r="AB37" s="499"/>
      <c r="AC37" s="500"/>
      <c r="AD37" s="500"/>
      <c r="AE37" s="500"/>
      <c r="AF37" s="500"/>
      <c r="AG37" s="502"/>
      <c r="AH37" s="505"/>
      <c r="AI37" s="506"/>
      <c r="AJ37" s="506"/>
      <c r="AK37" s="506"/>
      <c r="AL37" s="506"/>
      <c r="AM37" s="508"/>
      <c r="AN37" s="53"/>
      <c r="AO37" s="539"/>
      <c r="AP37" s="540"/>
      <c r="AQ37" s="540"/>
      <c r="AR37" s="540"/>
      <c r="AS37" s="540"/>
      <c r="AT37" s="541"/>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row>
    <row r="38" spans="1:80" x14ac:dyDescent="0.3">
      <c r="A38" s="53"/>
      <c r="B38" s="571"/>
      <c r="C38" s="571"/>
      <c r="D38" s="572"/>
      <c r="E38" s="487" t="s">
        <v>108</v>
      </c>
      <c r="F38" s="488"/>
      <c r="G38" s="488"/>
      <c r="H38" s="488"/>
      <c r="I38" s="489"/>
      <c r="J38" s="529" t="str">
        <f>IF(AND('[1]Mapa final'!$K$10="Muy Baja",'[1]Mapa final'!$O$10="Leve"),CONCATENATE("R",'[1]Mapa final'!$A$10),"")</f>
        <v/>
      </c>
      <c r="K38" s="530"/>
      <c r="L38" s="530" t="str">
        <f>IF(AND('[1]Mapa final'!$K$15="Muy Baja",'[1]Mapa final'!$O$15="Leve"),CONCATENATE("R",'[1]Mapa final'!$A$15),"")</f>
        <v/>
      </c>
      <c r="M38" s="530"/>
      <c r="N38" s="530" t="e">
        <f>IF(AND('[1]Mapa final'!#REF!="Muy Baja",'[1]Mapa final'!#REF!="Leve"),CONCATENATE("R",'[1]Mapa final'!#REF!),"")</f>
        <v>#REF!</v>
      </c>
      <c r="O38" s="531"/>
      <c r="P38" s="529" t="str">
        <f>IF(AND('[1]Mapa final'!$K$10="Muy Baja",'[1]Mapa final'!$O$10="Menor"),CONCATENATE("R",'[1]Mapa final'!$A$10),"")</f>
        <v/>
      </c>
      <c r="Q38" s="530"/>
      <c r="R38" s="530" t="str">
        <f>IF(AND('[1]Mapa final'!$K$15="Muy Baja",'[1]Mapa final'!$O$15="Menor"),CONCATENATE("R",'[1]Mapa final'!$A$15),"")</f>
        <v/>
      </c>
      <c r="S38" s="530"/>
      <c r="T38" s="530" t="e">
        <f>IF(AND('[1]Mapa final'!#REF!="Muy Baja",'[1]Mapa final'!#REF!="Menor"),CONCATENATE("R",'[1]Mapa final'!#REF!),"")</f>
        <v>#REF!</v>
      </c>
      <c r="U38" s="531"/>
      <c r="V38" s="523" t="str">
        <f>IF(AND('[1]Mapa final'!$K$10="Muy Baja",'[1]Mapa final'!$O$10="Moderado"),CONCATENATE("R",'[1]Mapa final'!$A$10),"")</f>
        <v/>
      </c>
      <c r="W38" s="524"/>
      <c r="X38" s="524" t="str">
        <f>IF(AND('[1]Mapa final'!$K$15="Muy Baja",'[1]Mapa final'!$O$15="Moderado"),CONCATENATE("R",'[1]Mapa final'!$A$15),"")</f>
        <v/>
      </c>
      <c r="Y38" s="524"/>
      <c r="Z38" s="524" t="e">
        <f>IF(AND('[1]Mapa final'!#REF!="Muy Baja",'[1]Mapa final'!#REF!="Moderado"),CONCATENATE("R",'[1]Mapa final'!#REF!),"")</f>
        <v>#REF!</v>
      </c>
      <c r="AA38" s="525"/>
      <c r="AB38" s="526" t="str">
        <f>IF(AND('[1]Mapa final'!$K$10="Muy Baja",'[1]Mapa final'!$O$10="Mayor"),CONCATENATE("R",'[1]Mapa final'!$A$10),"")</f>
        <v/>
      </c>
      <c r="AC38" s="527"/>
      <c r="AD38" s="527" t="str">
        <f>IF(AND('[1]Mapa final'!$K$15="Muy Baja",'[1]Mapa final'!$O$15="Mayor"),CONCATENATE("R",'[1]Mapa final'!$A$15),"")</f>
        <v/>
      </c>
      <c r="AE38" s="527"/>
      <c r="AF38" s="527" t="e">
        <f>IF(AND('[1]Mapa final'!#REF!="Muy Baja",'[1]Mapa final'!#REF!="Mayor"),CONCATENATE("R",'[1]Mapa final'!#REF!),"")</f>
        <v>#REF!</v>
      </c>
      <c r="AG38" s="528"/>
      <c r="AH38" s="532" t="str">
        <f>IF(AND('[1]Mapa final'!$K$10="Muy Baja",'[1]Mapa final'!$O$10="Catastrófico"),CONCATENATE("R",'[1]Mapa final'!$A$10),"")</f>
        <v/>
      </c>
      <c r="AI38" s="521"/>
      <c r="AJ38" s="521" t="str">
        <f>IF(AND('[1]Mapa final'!$K$15="Muy Baja",'[1]Mapa final'!$O$15="Catastrófico"),CONCATENATE("R",'[1]Mapa final'!$A$15),"")</f>
        <v/>
      </c>
      <c r="AK38" s="521"/>
      <c r="AL38" s="521" t="e">
        <f>IF(AND('[1]Mapa final'!#REF!="Muy Baja",'[1]Mapa final'!#REF!="Catastrófico"),CONCATENATE("R",'[1]Mapa final'!#REF!),"")</f>
        <v>#REF!</v>
      </c>
      <c r="AM38" s="522"/>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row>
    <row r="39" spans="1:80" x14ac:dyDescent="0.3">
      <c r="A39" s="53"/>
      <c r="B39" s="571"/>
      <c r="C39" s="571"/>
      <c r="D39" s="572"/>
      <c r="E39" s="490"/>
      <c r="F39" s="491"/>
      <c r="G39" s="491"/>
      <c r="H39" s="491"/>
      <c r="I39" s="492"/>
      <c r="J39" s="509"/>
      <c r="K39" s="510"/>
      <c r="L39" s="510"/>
      <c r="M39" s="510"/>
      <c r="N39" s="510"/>
      <c r="O39" s="513"/>
      <c r="P39" s="509"/>
      <c r="Q39" s="510"/>
      <c r="R39" s="510"/>
      <c r="S39" s="510"/>
      <c r="T39" s="510"/>
      <c r="U39" s="513"/>
      <c r="V39" s="515"/>
      <c r="W39" s="516"/>
      <c r="X39" s="516"/>
      <c r="Y39" s="516"/>
      <c r="Z39" s="516"/>
      <c r="AA39" s="519"/>
      <c r="AB39" s="497"/>
      <c r="AC39" s="498"/>
      <c r="AD39" s="498"/>
      <c r="AE39" s="498"/>
      <c r="AF39" s="498"/>
      <c r="AG39" s="501"/>
      <c r="AH39" s="503"/>
      <c r="AI39" s="504"/>
      <c r="AJ39" s="504"/>
      <c r="AK39" s="504"/>
      <c r="AL39" s="504"/>
      <c r="AM39" s="507"/>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row>
    <row r="40" spans="1:80" x14ac:dyDescent="0.3">
      <c r="A40" s="53"/>
      <c r="B40" s="571"/>
      <c r="C40" s="571"/>
      <c r="D40" s="572"/>
      <c r="E40" s="490"/>
      <c r="F40" s="491"/>
      <c r="G40" s="491"/>
      <c r="H40" s="491"/>
      <c r="I40" s="492"/>
      <c r="J40" s="509" t="e">
        <f>IF(AND('[1]Mapa final'!#REF!="Muy Baja",'[1]Mapa final'!#REF!="Leve"),CONCATENATE("R",'[1]Mapa final'!#REF!),"")</f>
        <v>#REF!</v>
      </c>
      <c r="K40" s="510"/>
      <c r="L40" s="510" t="str">
        <f>IF(AND('[1]Mapa final'!$K$19="Muy Baja",'[1]Mapa final'!$O$19="Leve"),CONCATENATE("R",'[1]Mapa final'!$A$19),"")</f>
        <v/>
      </c>
      <c r="M40" s="510"/>
      <c r="N40" s="510" t="str">
        <f>IF(AND('[1]Mapa final'!$K$25="Muy Baja",'[1]Mapa final'!$O$25="Leve"),CONCATENATE("R",'[1]Mapa final'!$A$25),"")</f>
        <v/>
      </c>
      <c r="O40" s="513"/>
      <c r="P40" s="509" t="e">
        <f>IF(AND('[1]Mapa final'!#REF!="Muy Baja",'[1]Mapa final'!#REF!="Menor"),CONCATENATE("R",'[1]Mapa final'!#REF!),"")</f>
        <v>#REF!</v>
      </c>
      <c r="Q40" s="510"/>
      <c r="R40" s="510" t="str">
        <f>IF(AND('[1]Mapa final'!$K$19="Muy Baja",'[1]Mapa final'!$O$19="Menor"),CONCATENATE("R",'[1]Mapa final'!$A$19),"")</f>
        <v/>
      </c>
      <c r="S40" s="510"/>
      <c r="T40" s="510" t="str">
        <f>IF(AND('[1]Mapa final'!$K$25="Muy Baja",'[1]Mapa final'!$O$25="Menor"),CONCATENATE("R",'[1]Mapa final'!$A$25),"")</f>
        <v/>
      </c>
      <c r="U40" s="513"/>
      <c r="V40" s="515" t="e">
        <f>IF(AND('[1]Mapa final'!#REF!="Muy Baja",'[1]Mapa final'!#REF!="Moderado"),CONCATENATE("R",'[1]Mapa final'!#REF!),"")</f>
        <v>#REF!</v>
      </c>
      <c r="W40" s="516"/>
      <c r="X40" s="516" t="str">
        <f>IF(AND('[1]Mapa final'!$K$19="Muy Baja",'[1]Mapa final'!$O$19="Moderado"),CONCATENATE("R",'[1]Mapa final'!$A$19),"")</f>
        <v/>
      </c>
      <c r="Y40" s="516"/>
      <c r="Z40" s="516" t="str">
        <f>IF(AND('[1]Mapa final'!$K$25="Muy Baja",'[1]Mapa final'!$O$25="Moderado"),CONCATENATE("R",'[1]Mapa final'!$A$25),"")</f>
        <v/>
      </c>
      <c r="AA40" s="519"/>
      <c r="AB40" s="497" t="e">
        <f>IF(AND('[1]Mapa final'!#REF!="Muy Baja",'[1]Mapa final'!#REF!="Mayor"),CONCATENATE("R",'[1]Mapa final'!#REF!),"")</f>
        <v>#REF!</v>
      </c>
      <c r="AC40" s="498"/>
      <c r="AD40" s="498" t="str">
        <f>IF(AND('[1]Mapa final'!$K$19="Muy Baja",'[1]Mapa final'!$O$19="Mayor"),CONCATENATE("R",'[1]Mapa final'!$A$19),"")</f>
        <v/>
      </c>
      <c r="AE40" s="498"/>
      <c r="AF40" s="498" t="str">
        <f>IF(AND('[1]Mapa final'!$K$25="Muy Baja",'[1]Mapa final'!$O$25="Mayor"),CONCATENATE("R",'[1]Mapa final'!$A$25),"")</f>
        <v/>
      </c>
      <c r="AG40" s="501"/>
      <c r="AH40" s="503" t="e">
        <f>IF(AND('[1]Mapa final'!#REF!="Muy Baja",'[1]Mapa final'!#REF!="Catastrófico"),CONCATENATE("R",'[1]Mapa final'!#REF!),"")</f>
        <v>#REF!</v>
      </c>
      <c r="AI40" s="504"/>
      <c r="AJ40" s="504" t="str">
        <f>IF(AND('[1]Mapa final'!$K$19="Muy Baja",'[1]Mapa final'!$O$19="Catastrófico"),CONCATENATE("R",'[1]Mapa final'!$A$19),"")</f>
        <v/>
      </c>
      <c r="AK40" s="504"/>
      <c r="AL40" s="504" t="str">
        <f>IF(AND('[1]Mapa final'!$K$25="Muy Baja",'[1]Mapa final'!$O$25="Catastrófico"),CONCATENATE("R",'[1]Mapa final'!$A$25),"")</f>
        <v/>
      </c>
      <c r="AM40" s="507"/>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row>
    <row r="41" spans="1:80" x14ac:dyDescent="0.3">
      <c r="A41" s="53"/>
      <c r="B41" s="571"/>
      <c r="C41" s="571"/>
      <c r="D41" s="572"/>
      <c r="E41" s="490"/>
      <c r="F41" s="491"/>
      <c r="G41" s="491"/>
      <c r="H41" s="491"/>
      <c r="I41" s="492"/>
      <c r="J41" s="509"/>
      <c r="K41" s="510"/>
      <c r="L41" s="510"/>
      <c r="M41" s="510"/>
      <c r="N41" s="510"/>
      <c r="O41" s="513"/>
      <c r="P41" s="509"/>
      <c r="Q41" s="510"/>
      <c r="R41" s="510"/>
      <c r="S41" s="510"/>
      <c r="T41" s="510"/>
      <c r="U41" s="513"/>
      <c r="V41" s="515"/>
      <c r="W41" s="516"/>
      <c r="X41" s="516"/>
      <c r="Y41" s="516"/>
      <c r="Z41" s="516"/>
      <c r="AA41" s="519"/>
      <c r="AB41" s="497"/>
      <c r="AC41" s="498"/>
      <c r="AD41" s="498"/>
      <c r="AE41" s="498"/>
      <c r="AF41" s="498"/>
      <c r="AG41" s="501"/>
      <c r="AH41" s="503"/>
      <c r="AI41" s="504"/>
      <c r="AJ41" s="504"/>
      <c r="AK41" s="504"/>
      <c r="AL41" s="504"/>
      <c r="AM41" s="507"/>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row>
    <row r="42" spans="1:80" x14ac:dyDescent="0.3">
      <c r="A42" s="53"/>
      <c r="B42" s="571"/>
      <c r="C42" s="571"/>
      <c r="D42" s="572"/>
      <c r="E42" s="490"/>
      <c r="F42" s="491"/>
      <c r="G42" s="491"/>
      <c r="H42" s="491"/>
      <c r="I42" s="492"/>
      <c r="J42" s="509" t="str">
        <f>IF(AND('[1]Mapa final'!$K$31="Muy Baja",'[1]Mapa final'!$O$31="Leve"),CONCATENATE("R",'[1]Mapa final'!$A$31),"")</f>
        <v/>
      </c>
      <c r="K42" s="510"/>
      <c r="L42" s="510" t="str">
        <f>IF(AND('[1]Mapa final'!$K$37="Muy Baja",'[1]Mapa final'!$O$37="Leve"),CONCATENATE("R",'[1]Mapa final'!$A$37),"")</f>
        <v/>
      </c>
      <c r="M42" s="510"/>
      <c r="N42" s="510" t="str">
        <f>IF(AND('[1]Mapa final'!$K$43="Muy Baja",'[1]Mapa final'!$O$43="Leve"),CONCATENATE("R",'[1]Mapa final'!$A$43),"")</f>
        <v/>
      </c>
      <c r="O42" s="513"/>
      <c r="P42" s="509" t="str">
        <f>IF(AND('[1]Mapa final'!$K$31="Muy Baja",'[1]Mapa final'!$O$31="Menor"),CONCATENATE("R",'[1]Mapa final'!$A$31),"")</f>
        <v/>
      </c>
      <c r="Q42" s="510"/>
      <c r="R42" s="510" t="str">
        <f>IF(AND('[1]Mapa final'!$K$37="Muy Baja",'[1]Mapa final'!$O$37="Menor"),CONCATENATE("R",'[1]Mapa final'!$A$37),"")</f>
        <v/>
      </c>
      <c r="S42" s="510"/>
      <c r="T42" s="510" t="str">
        <f>IF(AND('[1]Mapa final'!$K$43="Muy Baja",'[1]Mapa final'!$O$43="Menor"),CONCATENATE("R",'[1]Mapa final'!$A$43),"")</f>
        <v/>
      </c>
      <c r="U42" s="513"/>
      <c r="V42" s="515" t="str">
        <f>IF(AND('[1]Mapa final'!$K$31="Muy Baja",'[1]Mapa final'!$O$31="Moderado"),CONCATENATE("R",'[1]Mapa final'!$A$31),"")</f>
        <v/>
      </c>
      <c r="W42" s="516"/>
      <c r="X42" s="516" t="str">
        <f>IF(AND('[1]Mapa final'!$K$37="Muy Baja",'[1]Mapa final'!$O$37="Moderado"),CONCATENATE("R",'[1]Mapa final'!$A$37),"")</f>
        <v/>
      </c>
      <c r="Y42" s="516"/>
      <c r="Z42" s="516" t="str">
        <f>IF(AND('[1]Mapa final'!$K$43="Muy Baja",'[1]Mapa final'!$O$43="Moderado"),CONCATENATE("R",'[1]Mapa final'!$A$43),"")</f>
        <v/>
      </c>
      <c r="AA42" s="519"/>
      <c r="AB42" s="497" t="str">
        <f>IF(AND('[1]Mapa final'!$K$31="Muy Baja",'[1]Mapa final'!$O$31="Mayor"),CONCATENATE("R",'[1]Mapa final'!$A$31),"")</f>
        <v/>
      </c>
      <c r="AC42" s="498"/>
      <c r="AD42" s="498" t="str">
        <f>IF(AND('[1]Mapa final'!$K$37="Muy Baja",'[1]Mapa final'!$O$37="Mayor"),CONCATENATE("R",'[1]Mapa final'!$A$37),"")</f>
        <v/>
      </c>
      <c r="AE42" s="498"/>
      <c r="AF42" s="498" t="str">
        <f>IF(AND('[1]Mapa final'!$K$43="Muy Baja",'[1]Mapa final'!$O$43="Mayor"),CONCATENATE("R",'[1]Mapa final'!$A$43),"")</f>
        <v/>
      </c>
      <c r="AG42" s="501"/>
      <c r="AH42" s="503" t="str">
        <f>IF(AND('[1]Mapa final'!$K$31="Muy Baja",'[1]Mapa final'!$O$31="Catastrófico"),CONCATENATE("R",'[1]Mapa final'!$A$31),"")</f>
        <v/>
      </c>
      <c r="AI42" s="504"/>
      <c r="AJ42" s="504" t="str">
        <f>IF(AND('[1]Mapa final'!$K$37="Muy Baja",'[1]Mapa final'!$O$37="Catastrófico"),CONCATENATE("R",'[1]Mapa final'!$A$37),"")</f>
        <v/>
      </c>
      <c r="AK42" s="504"/>
      <c r="AL42" s="504" t="str">
        <f>IF(AND('[1]Mapa final'!$K$43="Muy Baja",'[1]Mapa final'!$O$43="Catastrófico"),CONCATENATE("R",'[1]Mapa final'!$A$43),"")</f>
        <v/>
      </c>
      <c r="AM42" s="507"/>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row>
    <row r="43" spans="1:80" x14ac:dyDescent="0.3">
      <c r="A43" s="53"/>
      <c r="B43" s="571"/>
      <c r="C43" s="571"/>
      <c r="D43" s="572"/>
      <c r="E43" s="490"/>
      <c r="F43" s="491"/>
      <c r="G43" s="491"/>
      <c r="H43" s="491"/>
      <c r="I43" s="492"/>
      <c r="J43" s="509"/>
      <c r="K43" s="510"/>
      <c r="L43" s="510"/>
      <c r="M43" s="510"/>
      <c r="N43" s="510"/>
      <c r="O43" s="513"/>
      <c r="P43" s="509"/>
      <c r="Q43" s="510"/>
      <c r="R43" s="510"/>
      <c r="S43" s="510"/>
      <c r="T43" s="510"/>
      <c r="U43" s="513"/>
      <c r="V43" s="515"/>
      <c r="W43" s="516"/>
      <c r="X43" s="516"/>
      <c r="Y43" s="516"/>
      <c r="Z43" s="516"/>
      <c r="AA43" s="519"/>
      <c r="AB43" s="497"/>
      <c r="AC43" s="498"/>
      <c r="AD43" s="498"/>
      <c r="AE43" s="498"/>
      <c r="AF43" s="498"/>
      <c r="AG43" s="501"/>
      <c r="AH43" s="503"/>
      <c r="AI43" s="504"/>
      <c r="AJ43" s="504"/>
      <c r="AK43" s="504"/>
      <c r="AL43" s="504"/>
      <c r="AM43" s="507"/>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row>
    <row r="44" spans="1:80" x14ac:dyDescent="0.3">
      <c r="A44" s="53"/>
      <c r="B44" s="571"/>
      <c r="C44" s="571"/>
      <c r="D44" s="572"/>
      <c r="E44" s="490"/>
      <c r="F44" s="491"/>
      <c r="G44" s="491"/>
      <c r="H44" s="491"/>
      <c r="I44" s="492"/>
      <c r="J44" s="509" t="str">
        <f>IF(AND('[1]Mapa final'!$K$49="Muy Baja",'[1]Mapa final'!$O$49="Leve"),CONCATENATE("R",'[1]Mapa final'!$A$49),"")</f>
        <v/>
      </c>
      <c r="K44" s="510"/>
      <c r="L44" s="510" t="str">
        <f>IF(AND('[1]Mapa final'!$K$55="Muy Baja",'[1]Mapa final'!$O$55="Leve"),CONCATENATE("R",'[1]Mapa final'!$A$55),"")</f>
        <v/>
      </c>
      <c r="M44" s="510"/>
      <c r="N44" s="510" t="str">
        <f>IF(AND('[1]Mapa final'!$K$61="Muy Baja",'[1]Mapa final'!$O$61="Leve"),CONCATENATE("R",'[1]Mapa final'!$A$61),"")</f>
        <v/>
      </c>
      <c r="O44" s="513"/>
      <c r="P44" s="509" t="str">
        <f>IF(AND('[1]Mapa final'!$K$49="Muy Baja",'[1]Mapa final'!$O$49="Menor"),CONCATENATE("R",'[1]Mapa final'!$A$49),"")</f>
        <v/>
      </c>
      <c r="Q44" s="510"/>
      <c r="R44" s="510" t="str">
        <f>IF(AND('[1]Mapa final'!$K$55="Muy Baja",'[1]Mapa final'!$O$55="Menor"),CONCATENATE("R",'[1]Mapa final'!$A$55),"")</f>
        <v/>
      </c>
      <c r="S44" s="510"/>
      <c r="T44" s="510" t="str">
        <f>IF(AND('[1]Mapa final'!$K$61="Muy Baja",'[1]Mapa final'!$O$61="Menor"),CONCATENATE("R",'[1]Mapa final'!$A$61),"")</f>
        <v/>
      </c>
      <c r="U44" s="513"/>
      <c r="V44" s="515" t="str">
        <f>IF(AND('[1]Mapa final'!$K$49="Muy Baja",'[1]Mapa final'!$O$49="Moderado"),CONCATENATE("R",'[1]Mapa final'!$A$49),"")</f>
        <v/>
      </c>
      <c r="W44" s="516"/>
      <c r="X44" s="516" t="str">
        <f>IF(AND('[1]Mapa final'!$K$55="Muy Baja",'[1]Mapa final'!$O$55="Moderado"),CONCATENATE("R",'[1]Mapa final'!$A$55),"")</f>
        <v/>
      </c>
      <c r="Y44" s="516"/>
      <c r="Z44" s="516" t="str">
        <f>IF(AND('[1]Mapa final'!$K$61="Muy Baja",'[1]Mapa final'!$O$61="Moderado"),CONCATENATE("R",'[1]Mapa final'!$A$61),"")</f>
        <v/>
      </c>
      <c r="AA44" s="519"/>
      <c r="AB44" s="497" t="str">
        <f>IF(AND('[1]Mapa final'!$K$49="Muy Baja",'[1]Mapa final'!$O$49="Mayor"),CONCATENATE("R",'[1]Mapa final'!$A$49),"")</f>
        <v/>
      </c>
      <c r="AC44" s="498"/>
      <c r="AD44" s="498" t="str">
        <f>IF(AND('[1]Mapa final'!$K$55="Muy Baja",'[1]Mapa final'!$O$55="Mayor"),CONCATENATE("R",'[1]Mapa final'!$A$55),"")</f>
        <v/>
      </c>
      <c r="AE44" s="498"/>
      <c r="AF44" s="498" t="str">
        <f>IF(AND('[1]Mapa final'!$K$61="Muy Baja",'[1]Mapa final'!$O$61="Mayor"),CONCATENATE("R",'[1]Mapa final'!$A$61),"")</f>
        <v/>
      </c>
      <c r="AG44" s="501"/>
      <c r="AH44" s="503" t="str">
        <f>IF(AND('[1]Mapa final'!$K$49="Muy Baja",'[1]Mapa final'!$O$49="Catastrófico"),CONCATENATE("R",'[1]Mapa final'!$A$49),"")</f>
        <v/>
      </c>
      <c r="AI44" s="504"/>
      <c r="AJ44" s="504" t="str">
        <f>IF(AND('[1]Mapa final'!$K$55="Muy Baja",'[1]Mapa final'!$O$55="Catastrófico"),CONCATENATE("R",'[1]Mapa final'!$A$55),"")</f>
        <v/>
      </c>
      <c r="AK44" s="504"/>
      <c r="AL44" s="504" t="str">
        <f>IF(AND('[1]Mapa final'!$K$61="Muy Baja",'[1]Mapa final'!$O$61="Catastrófico"),CONCATENATE("R",'[1]Mapa final'!$A$61),"")</f>
        <v/>
      </c>
      <c r="AM44" s="507"/>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row>
    <row r="45" spans="1:80" ht="15" thickBot="1" x14ac:dyDescent="0.35">
      <c r="A45" s="53"/>
      <c r="B45" s="571"/>
      <c r="C45" s="571"/>
      <c r="D45" s="572"/>
      <c r="E45" s="493"/>
      <c r="F45" s="494"/>
      <c r="G45" s="494"/>
      <c r="H45" s="494"/>
      <c r="I45" s="495"/>
      <c r="J45" s="511"/>
      <c r="K45" s="512"/>
      <c r="L45" s="512"/>
      <c r="M45" s="512"/>
      <c r="N45" s="512"/>
      <c r="O45" s="514"/>
      <c r="P45" s="511"/>
      <c r="Q45" s="512"/>
      <c r="R45" s="512"/>
      <c r="S45" s="512"/>
      <c r="T45" s="512"/>
      <c r="U45" s="514"/>
      <c r="V45" s="517"/>
      <c r="W45" s="518"/>
      <c r="X45" s="518"/>
      <c r="Y45" s="518"/>
      <c r="Z45" s="518"/>
      <c r="AA45" s="520"/>
      <c r="AB45" s="499"/>
      <c r="AC45" s="500"/>
      <c r="AD45" s="500"/>
      <c r="AE45" s="500"/>
      <c r="AF45" s="500"/>
      <c r="AG45" s="502"/>
      <c r="AH45" s="505"/>
      <c r="AI45" s="506"/>
      <c r="AJ45" s="506"/>
      <c r="AK45" s="506"/>
      <c r="AL45" s="506"/>
      <c r="AM45" s="508"/>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row>
    <row r="46" spans="1:80" x14ac:dyDescent="0.3">
      <c r="A46" s="53"/>
      <c r="B46" s="53"/>
      <c r="C46" s="53"/>
      <c r="D46" s="53"/>
      <c r="E46" s="53"/>
      <c r="F46" s="53"/>
      <c r="G46" s="53"/>
      <c r="H46" s="53"/>
      <c r="I46" s="53"/>
      <c r="J46" s="487" t="s">
        <v>107</v>
      </c>
      <c r="K46" s="488"/>
      <c r="L46" s="488"/>
      <c r="M46" s="488"/>
      <c r="N46" s="488"/>
      <c r="O46" s="489"/>
      <c r="P46" s="487" t="s">
        <v>106</v>
      </c>
      <c r="Q46" s="488"/>
      <c r="R46" s="488"/>
      <c r="S46" s="488"/>
      <c r="T46" s="488"/>
      <c r="U46" s="489"/>
      <c r="V46" s="487" t="s">
        <v>105</v>
      </c>
      <c r="W46" s="488"/>
      <c r="X46" s="488"/>
      <c r="Y46" s="488"/>
      <c r="Z46" s="488"/>
      <c r="AA46" s="489"/>
      <c r="AB46" s="487" t="s">
        <v>104</v>
      </c>
      <c r="AC46" s="496"/>
      <c r="AD46" s="488"/>
      <c r="AE46" s="488"/>
      <c r="AF46" s="488"/>
      <c r="AG46" s="489"/>
      <c r="AH46" s="487" t="s">
        <v>103</v>
      </c>
      <c r="AI46" s="488"/>
      <c r="AJ46" s="488"/>
      <c r="AK46" s="488"/>
      <c r="AL46" s="488"/>
      <c r="AM46" s="489"/>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x14ac:dyDescent="0.3">
      <c r="A47" s="53"/>
      <c r="B47" s="53"/>
      <c r="C47" s="53"/>
      <c r="D47" s="53"/>
      <c r="E47" s="53"/>
      <c r="F47" s="53"/>
      <c r="G47" s="53"/>
      <c r="H47" s="53"/>
      <c r="I47" s="53"/>
      <c r="J47" s="490"/>
      <c r="K47" s="491"/>
      <c r="L47" s="491"/>
      <c r="M47" s="491"/>
      <c r="N47" s="491"/>
      <c r="O47" s="492"/>
      <c r="P47" s="490"/>
      <c r="Q47" s="491"/>
      <c r="R47" s="491"/>
      <c r="S47" s="491"/>
      <c r="T47" s="491"/>
      <c r="U47" s="492"/>
      <c r="V47" s="490"/>
      <c r="W47" s="491"/>
      <c r="X47" s="491"/>
      <c r="Y47" s="491"/>
      <c r="Z47" s="491"/>
      <c r="AA47" s="492"/>
      <c r="AB47" s="490"/>
      <c r="AC47" s="491"/>
      <c r="AD47" s="491"/>
      <c r="AE47" s="491"/>
      <c r="AF47" s="491"/>
      <c r="AG47" s="492"/>
      <c r="AH47" s="490"/>
      <c r="AI47" s="491"/>
      <c r="AJ47" s="491"/>
      <c r="AK47" s="491"/>
      <c r="AL47" s="491"/>
      <c r="AM47" s="492"/>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x14ac:dyDescent="0.3">
      <c r="A48" s="53"/>
      <c r="B48" s="53"/>
      <c r="C48" s="53"/>
      <c r="D48" s="53"/>
      <c r="E48" s="53"/>
      <c r="F48" s="53"/>
      <c r="G48" s="53"/>
      <c r="H48" s="53"/>
      <c r="I48" s="53"/>
      <c r="J48" s="490"/>
      <c r="K48" s="491"/>
      <c r="L48" s="491"/>
      <c r="M48" s="491"/>
      <c r="N48" s="491"/>
      <c r="O48" s="492"/>
      <c r="P48" s="490"/>
      <c r="Q48" s="491"/>
      <c r="R48" s="491"/>
      <c r="S48" s="491"/>
      <c r="T48" s="491"/>
      <c r="U48" s="492"/>
      <c r="V48" s="490"/>
      <c r="W48" s="491"/>
      <c r="X48" s="491"/>
      <c r="Y48" s="491"/>
      <c r="Z48" s="491"/>
      <c r="AA48" s="492"/>
      <c r="AB48" s="490"/>
      <c r="AC48" s="491"/>
      <c r="AD48" s="491"/>
      <c r="AE48" s="491"/>
      <c r="AF48" s="491"/>
      <c r="AG48" s="492"/>
      <c r="AH48" s="490"/>
      <c r="AI48" s="491"/>
      <c r="AJ48" s="491"/>
      <c r="AK48" s="491"/>
      <c r="AL48" s="491"/>
      <c r="AM48" s="492"/>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x14ac:dyDescent="0.3">
      <c r="A49" s="53"/>
      <c r="B49" s="53"/>
      <c r="C49" s="53"/>
      <c r="D49" s="53"/>
      <c r="E49" s="53"/>
      <c r="F49" s="53"/>
      <c r="G49" s="53"/>
      <c r="H49" s="53"/>
      <c r="I49" s="53"/>
      <c r="J49" s="490"/>
      <c r="K49" s="491"/>
      <c r="L49" s="491"/>
      <c r="M49" s="491"/>
      <c r="N49" s="491"/>
      <c r="O49" s="492"/>
      <c r="P49" s="490"/>
      <c r="Q49" s="491"/>
      <c r="R49" s="491"/>
      <c r="S49" s="491"/>
      <c r="T49" s="491"/>
      <c r="U49" s="492"/>
      <c r="V49" s="490"/>
      <c r="W49" s="491"/>
      <c r="X49" s="491"/>
      <c r="Y49" s="491"/>
      <c r="Z49" s="491"/>
      <c r="AA49" s="492"/>
      <c r="AB49" s="490"/>
      <c r="AC49" s="491"/>
      <c r="AD49" s="491"/>
      <c r="AE49" s="491"/>
      <c r="AF49" s="491"/>
      <c r="AG49" s="492"/>
      <c r="AH49" s="490"/>
      <c r="AI49" s="491"/>
      <c r="AJ49" s="491"/>
      <c r="AK49" s="491"/>
      <c r="AL49" s="491"/>
      <c r="AM49" s="492"/>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x14ac:dyDescent="0.3">
      <c r="A50" s="53"/>
      <c r="B50" s="53"/>
      <c r="C50" s="53"/>
      <c r="D50" s="53"/>
      <c r="E50" s="53"/>
      <c r="F50" s="53"/>
      <c r="G50" s="53"/>
      <c r="H50" s="53"/>
      <c r="I50" s="53"/>
      <c r="J50" s="490"/>
      <c r="K50" s="491"/>
      <c r="L50" s="491"/>
      <c r="M50" s="491"/>
      <c r="N50" s="491"/>
      <c r="O50" s="492"/>
      <c r="P50" s="490"/>
      <c r="Q50" s="491"/>
      <c r="R50" s="491"/>
      <c r="S50" s="491"/>
      <c r="T50" s="491"/>
      <c r="U50" s="492"/>
      <c r="V50" s="490"/>
      <c r="W50" s="491"/>
      <c r="X50" s="491"/>
      <c r="Y50" s="491"/>
      <c r="Z50" s="491"/>
      <c r="AA50" s="492"/>
      <c r="AB50" s="490"/>
      <c r="AC50" s="491"/>
      <c r="AD50" s="491"/>
      <c r="AE50" s="491"/>
      <c r="AF50" s="491"/>
      <c r="AG50" s="492"/>
      <c r="AH50" s="490"/>
      <c r="AI50" s="491"/>
      <c r="AJ50" s="491"/>
      <c r="AK50" s="491"/>
      <c r="AL50" s="491"/>
      <c r="AM50" s="492"/>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thickBot="1" x14ac:dyDescent="0.35">
      <c r="A51" s="53"/>
      <c r="B51" s="53"/>
      <c r="C51" s="53"/>
      <c r="D51" s="53"/>
      <c r="E51" s="53"/>
      <c r="F51" s="53"/>
      <c r="G51" s="53"/>
      <c r="H51" s="53"/>
      <c r="I51" s="53"/>
      <c r="J51" s="493"/>
      <c r="K51" s="494"/>
      <c r="L51" s="494"/>
      <c r="M51" s="494"/>
      <c r="N51" s="494"/>
      <c r="O51" s="495"/>
      <c r="P51" s="493"/>
      <c r="Q51" s="494"/>
      <c r="R51" s="494"/>
      <c r="S51" s="494"/>
      <c r="T51" s="494"/>
      <c r="U51" s="495"/>
      <c r="V51" s="493"/>
      <c r="W51" s="494"/>
      <c r="X51" s="494"/>
      <c r="Y51" s="494"/>
      <c r="Z51" s="494"/>
      <c r="AA51" s="495"/>
      <c r="AB51" s="493"/>
      <c r="AC51" s="494"/>
      <c r="AD51" s="494"/>
      <c r="AE51" s="494"/>
      <c r="AF51" s="494"/>
      <c r="AG51" s="495"/>
      <c r="AH51" s="493"/>
      <c r="AI51" s="494"/>
      <c r="AJ51" s="494"/>
      <c r="AK51" s="494"/>
      <c r="AL51" s="494"/>
      <c r="AM51" s="495"/>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x14ac:dyDescent="0.3">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x14ac:dyDescent="0.3">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x14ac:dyDescent="0.3">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row>
    <row r="63" spans="1:80" x14ac:dyDescent="0.3">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row>
    <row r="64" spans="1:80"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row>
    <row r="65" spans="1:8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row>
    <row r="66" spans="1:8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row>
    <row r="67" spans="1:8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row>
    <row r="68" spans="1:8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row>
    <row r="69" spans="1:8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row>
    <row r="70" spans="1:8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row>
    <row r="71" spans="1:8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row>
    <row r="72" spans="1:8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row>
    <row r="73" spans="1:8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row>
    <row r="74" spans="1:8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row>
    <row r="75" spans="1:8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row>
    <row r="76" spans="1:8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row>
    <row r="77" spans="1:8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row>
    <row r="78" spans="1:8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row>
    <row r="79" spans="1:8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row>
    <row r="80" spans="1:8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row>
    <row r="81" spans="1:63"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row>
    <row r="82" spans="1:63"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row>
    <row r="83" spans="1:63"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row>
    <row r="84" spans="1:63"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row>
    <row r="85" spans="1:63"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row>
    <row r="86" spans="1:63"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row>
    <row r="87" spans="1:63"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row>
    <row r="88" spans="1:63"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row>
    <row r="89" spans="1:63"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row>
    <row r="90" spans="1:63"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row>
    <row r="91" spans="1:63"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row>
    <row r="92" spans="1:63"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row>
    <row r="93" spans="1:63"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row>
    <row r="94" spans="1:63"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row>
    <row r="95" spans="1:63"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row>
    <row r="96" spans="1:63"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row>
    <row r="97" spans="1:63"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row>
    <row r="98" spans="1:63"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row>
    <row r="99" spans="1:63"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row>
    <row r="100" spans="1:63"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row>
    <row r="101" spans="1:63"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row>
    <row r="102" spans="1:63"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row>
    <row r="103" spans="1:63"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row>
    <row r="104" spans="1:63"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row>
    <row r="105" spans="1:63"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row>
    <row r="106" spans="1:63"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row>
    <row r="107" spans="1:63"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row>
    <row r="108" spans="1:63"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row>
    <row r="109" spans="1:63"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row>
    <row r="110" spans="1:63"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row>
    <row r="111" spans="1:63"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row>
    <row r="112" spans="1:63"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row>
    <row r="113" spans="1:63"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row>
    <row r="114" spans="1:63"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row>
    <row r="115" spans="1:63"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row>
    <row r="116" spans="1:63"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row>
    <row r="117" spans="1:63"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row>
    <row r="118" spans="1:63"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row>
    <row r="119" spans="1:63"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row>
    <row r="120" spans="1:63"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row>
    <row r="121" spans="1:63"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row>
    <row r="122" spans="1:63" x14ac:dyDescent="0.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row>
    <row r="123" spans="1:63" x14ac:dyDescent="0.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row>
    <row r="124" spans="1:63" x14ac:dyDescent="0.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row>
    <row r="125" spans="1:63" x14ac:dyDescent="0.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row>
    <row r="126" spans="1:63" x14ac:dyDescent="0.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row>
    <row r="127" spans="1:63" x14ac:dyDescent="0.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row>
    <row r="128" spans="1:63" x14ac:dyDescent="0.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row>
    <row r="129" spans="2:63" x14ac:dyDescent="0.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row>
    <row r="130" spans="2:63" x14ac:dyDescent="0.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row>
    <row r="131" spans="2:63" x14ac:dyDescent="0.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row>
    <row r="132" spans="2:63" x14ac:dyDescent="0.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row>
    <row r="133" spans="2:63" x14ac:dyDescent="0.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row>
    <row r="134" spans="2:63" x14ac:dyDescent="0.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row>
    <row r="135" spans="2:63" x14ac:dyDescent="0.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row>
    <row r="136" spans="2:63" x14ac:dyDescent="0.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row>
    <row r="137" spans="2:63" x14ac:dyDescent="0.3">
      <c r="B137" s="53"/>
      <c r="C137" s="53"/>
      <c r="D137" s="53"/>
      <c r="E137" s="53"/>
      <c r="F137" s="53"/>
      <c r="G137" s="53"/>
      <c r="H137" s="53"/>
      <c r="I137" s="53"/>
    </row>
    <row r="138" spans="2:63" x14ac:dyDescent="0.3">
      <c r="B138" s="53"/>
      <c r="C138" s="53"/>
      <c r="D138" s="53"/>
      <c r="E138" s="53"/>
      <c r="F138" s="53"/>
      <c r="G138" s="53"/>
      <c r="H138" s="53"/>
      <c r="I138" s="53"/>
    </row>
    <row r="139" spans="2:63" x14ac:dyDescent="0.3">
      <c r="B139" s="53"/>
      <c r="C139" s="53"/>
      <c r="D139" s="53"/>
      <c r="E139" s="53"/>
      <c r="F139" s="53"/>
      <c r="G139" s="53"/>
      <c r="H139" s="53"/>
      <c r="I139" s="53"/>
    </row>
    <row r="140" spans="2:63" x14ac:dyDescent="0.3">
      <c r="B140" s="53"/>
      <c r="C140" s="53"/>
      <c r="D140" s="53"/>
      <c r="E140" s="53"/>
      <c r="F140" s="53"/>
      <c r="G140" s="53"/>
      <c r="H140" s="53"/>
      <c r="I140" s="53"/>
    </row>
  </sheetData>
  <sheetProtection algorithmName="SHA-512" hashValue="kpXlidzmWxbP3brn8k4eIEWxhYHkoNV8mMuhH1lPT/xypiCOesm15jiCfvbsOoPDCD8/umcOeC7isQqNzzQXVQ==" saltValue="e8t6+j8RQ+iPDyNDapgnxw==" spinCount="100000" sheet="1" objects="1" scenarios="1"/>
  <mergeCells count="317">
    <mergeCell ref="B2:I4"/>
    <mergeCell ref="J2:AM4"/>
    <mergeCell ref="B6:D45"/>
    <mergeCell ref="E6:I13"/>
    <mergeCell ref="J6:K7"/>
    <mergeCell ref="L6:M7"/>
    <mergeCell ref="N6:O7"/>
    <mergeCell ref="P6:Q7"/>
    <mergeCell ref="R6:S7"/>
    <mergeCell ref="T6:U7"/>
    <mergeCell ref="AH6:AI7"/>
    <mergeCell ref="AJ6:AK7"/>
    <mergeCell ref="AL6:AM7"/>
    <mergeCell ref="X8:Y9"/>
    <mergeCell ref="Z8:AA9"/>
    <mergeCell ref="AB8:AC9"/>
    <mergeCell ref="AD8:AE9"/>
    <mergeCell ref="AF8:AG9"/>
    <mergeCell ref="AJ10:AK11"/>
    <mergeCell ref="AL10:AM11"/>
    <mergeCell ref="J12:K13"/>
    <mergeCell ref="L12:M13"/>
    <mergeCell ref="N12:O13"/>
    <mergeCell ref="P12:Q13"/>
    <mergeCell ref="AO6:AT13"/>
    <mergeCell ref="J8:K9"/>
    <mergeCell ref="L8:M9"/>
    <mergeCell ref="N8:O9"/>
    <mergeCell ref="P8:Q9"/>
    <mergeCell ref="R8:S9"/>
    <mergeCell ref="T8:U9"/>
    <mergeCell ref="V6:W7"/>
    <mergeCell ref="X6:Y7"/>
    <mergeCell ref="Z6:AA7"/>
    <mergeCell ref="AB6:AC7"/>
    <mergeCell ref="AD6:AE7"/>
    <mergeCell ref="AF6:AG7"/>
    <mergeCell ref="AH8:AI9"/>
    <mergeCell ref="AJ8:AK9"/>
    <mergeCell ref="AL8:AM9"/>
    <mergeCell ref="J10:K11"/>
    <mergeCell ref="L10:M11"/>
    <mergeCell ref="N10:O11"/>
    <mergeCell ref="P10:Q11"/>
    <mergeCell ref="R10:S11"/>
    <mergeCell ref="T10:U11"/>
    <mergeCell ref="V10:W11"/>
    <mergeCell ref="V8:W9"/>
    <mergeCell ref="R12:S13"/>
    <mergeCell ref="T12:U13"/>
    <mergeCell ref="V12:W13"/>
    <mergeCell ref="X12:Y13"/>
    <mergeCell ref="X10:Y11"/>
    <mergeCell ref="Z10:AA11"/>
    <mergeCell ref="AB10:AC11"/>
    <mergeCell ref="AD10:AE11"/>
    <mergeCell ref="AF10:AG11"/>
    <mergeCell ref="AH10:AI11"/>
    <mergeCell ref="AL12:AM13"/>
    <mergeCell ref="E14:I21"/>
    <mergeCell ref="J14:K15"/>
    <mergeCell ref="L14:M15"/>
    <mergeCell ref="N14:O15"/>
    <mergeCell ref="P14:Q15"/>
    <mergeCell ref="R14:S15"/>
    <mergeCell ref="T14:U15"/>
    <mergeCell ref="V14:W15"/>
    <mergeCell ref="X14:Y15"/>
    <mergeCell ref="Z12:AA13"/>
    <mergeCell ref="AB12:AC13"/>
    <mergeCell ref="AD12:AE13"/>
    <mergeCell ref="AF12:AG13"/>
    <mergeCell ref="AH12:AI13"/>
    <mergeCell ref="AJ12:AK13"/>
    <mergeCell ref="AL14:AM15"/>
    <mergeCell ref="N18:O19"/>
    <mergeCell ref="P18:Q19"/>
    <mergeCell ref="R18:S19"/>
    <mergeCell ref="T18:U19"/>
    <mergeCell ref="V18:W19"/>
    <mergeCell ref="X18:Y19"/>
    <mergeCell ref="AO14:AT21"/>
    <mergeCell ref="J16:K17"/>
    <mergeCell ref="L16:M17"/>
    <mergeCell ref="N16:O17"/>
    <mergeCell ref="P16:Q17"/>
    <mergeCell ref="R16:S17"/>
    <mergeCell ref="T16:U17"/>
    <mergeCell ref="V16:W17"/>
    <mergeCell ref="X16:Y17"/>
    <mergeCell ref="Z14:AA15"/>
    <mergeCell ref="AB14:AC15"/>
    <mergeCell ref="AD14:AE15"/>
    <mergeCell ref="AF14:AG15"/>
    <mergeCell ref="AH14:AI15"/>
    <mergeCell ref="AJ14:AK15"/>
    <mergeCell ref="AB18:AC19"/>
    <mergeCell ref="AD18:AE19"/>
    <mergeCell ref="AF18:AG19"/>
    <mergeCell ref="AH18:AI19"/>
    <mergeCell ref="AJ18:AK19"/>
    <mergeCell ref="AL18:AM19"/>
    <mergeCell ref="AL16:AM17"/>
    <mergeCell ref="J18:K19"/>
    <mergeCell ref="L18:M19"/>
    <mergeCell ref="Z18:AA19"/>
    <mergeCell ref="Z16:AA17"/>
    <mergeCell ref="AB16:AC17"/>
    <mergeCell ref="AD16:AE17"/>
    <mergeCell ref="AF16:AG17"/>
    <mergeCell ref="AH16:AI17"/>
    <mergeCell ref="AJ16:AK17"/>
    <mergeCell ref="AH20:AI21"/>
    <mergeCell ref="AJ20:AK21"/>
    <mergeCell ref="AL20:AM21"/>
    <mergeCell ref="E22:I29"/>
    <mergeCell ref="J22:K23"/>
    <mergeCell ref="L22:M23"/>
    <mergeCell ref="N22:O23"/>
    <mergeCell ref="P22:Q23"/>
    <mergeCell ref="R22:S23"/>
    <mergeCell ref="T22:U23"/>
    <mergeCell ref="V20:W21"/>
    <mergeCell ref="X20:Y21"/>
    <mergeCell ref="Z20:AA21"/>
    <mergeCell ref="AB20:AC21"/>
    <mergeCell ref="AD20:AE21"/>
    <mergeCell ref="AF20:AG21"/>
    <mergeCell ref="J20:K21"/>
    <mergeCell ref="L20:M21"/>
    <mergeCell ref="N20:O21"/>
    <mergeCell ref="P20:Q21"/>
    <mergeCell ref="R20:S21"/>
    <mergeCell ref="T20:U21"/>
    <mergeCell ref="AH22:AI23"/>
    <mergeCell ref="AJ22:AK23"/>
    <mergeCell ref="AL22:AM23"/>
    <mergeCell ref="X24:Y25"/>
    <mergeCell ref="AO22:AT29"/>
    <mergeCell ref="J24:K25"/>
    <mergeCell ref="L24:M25"/>
    <mergeCell ref="N24:O25"/>
    <mergeCell ref="P24:Q25"/>
    <mergeCell ref="R24:S25"/>
    <mergeCell ref="T24:U25"/>
    <mergeCell ref="V22:W23"/>
    <mergeCell ref="X22:Y23"/>
    <mergeCell ref="Z22:AA23"/>
    <mergeCell ref="AB22:AC23"/>
    <mergeCell ref="AD22:AE23"/>
    <mergeCell ref="AF22:AG23"/>
    <mergeCell ref="AH24:AI25"/>
    <mergeCell ref="AJ24:AK25"/>
    <mergeCell ref="AL24:AM25"/>
    <mergeCell ref="J26:K27"/>
    <mergeCell ref="L26:M27"/>
    <mergeCell ref="N26:O27"/>
    <mergeCell ref="P26:Q27"/>
    <mergeCell ref="R26:S27"/>
    <mergeCell ref="T26:U27"/>
    <mergeCell ref="V26:W27"/>
    <mergeCell ref="V24:W25"/>
    <mergeCell ref="Z24:AA25"/>
    <mergeCell ref="AB24:AC25"/>
    <mergeCell ref="AD24:AE25"/>
    <mergeCell ref="AF24:AG25"/>
    <mergeCell ref="AJ26:AK27"/>
    <mergeCell ref="AL26:AM27"/>
    <mergeCell ref="J28:K29"/>
    <mergeCell ref="L28:M29"/>
    <mergeCell ref="N28:O29"/>
    <mergeCell ref="P28:Q29"/>
    <mergeCell ref="R28:S29"/>
    <mergeCell ref="T28:U29"/>
    <mergeCell ref="V28:W29"/>
    <mergeCell ref="X28:Y29"/>
    <mergeCell ref="X26:Y27"/>
    <mergeCell ref="Z26:AA27"/>
    <mergeCell ref="AB26:AC27"/>
    <mergeCell ref="AD26:AE27"/>
    <mergeCell ref="AF26:AG27"/>
    <mergeCell ref="AH26:AI27"/>
    <mergeCell ref="AL28:AM29"/>
    <mergeCell ref="Z28:AA29"/>
    <mergeCell ref="AB28:AC29"/>
    <mergeCell ref="AD28:AE29"/>
    <mergeCell ref="E30:I37"/>
    <mergeCell ref="J30:K31"/>
    <mergeCell ref="L30:M31"/>
    <mergeCell ref="N30:O31"/>
    <mergeCell ref="P30:Q31"/>
    <mergeCell ref="R30:S31"/>
    <mergeCell ref="T30:U31"/>
    <mergeCell ref="V30:W31"/>
    <mergeCell ref="X30:Y31"/>
    <mergeCell ref="AF28:AG29"/>
    <mergeCell ref="AH28:AI29"/>
    <mergeCell ref="AJ28:AK29"/>
    <mergeCell ref="AL30:AM31"/>
    <mergeCell ref="AO30:AT37"/>
    <mergeCell ref="J32:K33"/>
    <mergeCell ref="L32:M33"/>
    <mergeCell ref="N32:O33"/>
    <mergeCell ref="P32:Q33"/>
    <mergeCell ref="R32:S33"/>
    <mergeCell ref="T32:U33"/>
    <mergeCell ref="V32:W33"/>
    <mergeCell ref="X32:Y33"/>
    <mergeCell ref="Z30:AA31"/>
    <mergeCell ref="AB30:AC31"/>
    <mergeCell ref="AD30:AE31"/>
    <mergeCell ref="AF30:AG31"/>
    <mergeCell ref="AH30:AI31"/>
    <mergeCell ref="AJ30:AK31"/>
    <mergeCell ref="AB34:AC35"/>
    <mergeCell ref="AD34:AE35"/>
    <mergeCell ref="AF34:AG35"/>
    <mergeCell ref="AH34:AI35"/>
    <mergeCell ref="AJ34:AK35"/>
    <mergeCell ref="AL34:AM35"/>
    <mergeCell ref="AL32:AM33"/>
    <mergeCell ref="J34:K35"/>
    <mergeCell ref="L34:M35"/>
    <mergeCell ref="N34:O35"/>
    <mergeCell ref="P34:Q35"/>
    <mergeCell ref="R34:S35"/>
    <mergeCell ref="T34:U35"/>
    <mergeCell ref="V34:W35"/>
    <mergeCell ref="X34:Y35"/>
    <mergeCell ref="Z34:AA35"/>
    <mergeCell ref="Z32:AA33"/>
    <mergeCell ref="AB32:AC33"/>
    <mergeCell ref="AD32:AE33"/>
    <mergeCell ref="AF32:AG33"/>
    <mergeCell ref="AH32:AI33"/>
    <mergeCell ref="AJ32:AK33"/>
    <mergeCell ref="AH36:AI37"/>
    <mergeCell ref="AJ36:AK37"/>
    <mergeCell ref="AL36:AM37"/>
    <mergeCell ref="E38:I45"/>
    <mergeCell ref="J38:K39"/>
    <mergeCell ref="L38:M39"/>
    <mergeCell ref="N38:O39"/>
    <mergeCell ref="P38:Q39"/>
    <mergeCell ref="R38:S39"/>
    <mergeCell ref="T38:U39"/>
    <mergeCell ref="V36:W37"/>
    <mergeCell ref="X36:Y37"/>
    <mergeCell ref="Z36:AA37"/>
    <mergeCell ref="AB36:AC37"/>
    <mergeCell ref="AD36:AE37"/>
    <mergeCell ref="AF36:AG37"/>
    <mergeCell ref="J36:K37"/>
    <mergeCell ref="L36:M37"/>
    <mergeCell ref="N36:O37"/>
    <mergeCell ref="P36:Q37"/>
    <mergeCell ref="R36:S37"/>
    <mergeCell ref="T36:U37"/>
    <mergeCell ref="AH38:AI39"/>
    <mergeCell ref="AJ38:AK39"/>
    <mergeCell ref="X40:Y41"/>
    <mergeCell ref="AL38:AM39"/>
    <mergeCell ref="J40:K41"/>
    <mergeCell ref="L40:M41"/>
    <mergeCell ref="N40:O41"/>
    <mergeCell ref="P40:Q41"/>
    <mergeCell ref="R40:S41"/>
    <mergeCell ref="T40:U41"/>
    <mergeCell ref="V40:W41"/>
    <mergeCell ref="V38:W39"/>
    <mergeCell ref="X38:Y39"/>
    <mergeCell ref="Z38:AA39"/>
    <mergeCell ref="AB38:AC39"/>
    <mergeCell ref="AD38:AE39"/>
    <mergeCell ref="AF38:AG39"/>
    <mergeCell ref="AJ40:AK41"/>
    <mergeCell ref="AL40:AM41"/>
    <mergeCell ref="Z40:AA41"/>
    <mergeCell ref="AB40:AC41"/>
    <mergeCell ref="AD40:AE41"/>
    <mergeCell ref="AF40:AG41"/>
    <mergeCell ref="AH40:AI41"/>
    <mergeCell ref="AL42:AM43"/>
    <mergeCell ref="J44:K45"/>
    <mergeCell ref="L44:M45"/>
    <mergeCell ref="N44:O45"/>
    <mergeCell ref="P44:Q45"/>
    <mergeCell ref="R44:S45"/>
    <mergeCell ref="T44:U45"/>
    <mergeCell ref="V44:W45"/>
    <mergeCell ref="X44:Y45"/>
    <mergeCell ref="Z44:AA45"/>
    <mergeCell ref="Z42:AA43"/>
    <mergeCell ref="AB42:AC43"/>
    <mergeCell ref="AD42:AE43"/>
    <mergeCell ref="AF42:AG43"/>
    <mergeCell ref="AH42:AI43"/>
    <mergeCell ref="AJ42:AK43"/>
    <mergeCell ref="J42:K43"/>
    <mergeCell ref="L42:M43"/>
    <mergeCell ref="N42:O43"/>
    <mergeCell ref="P42:Q43"/>
    <mergeCell ref="R42:S43"/>
    <mergeCell ref="T42:U43"/>
    <mergeCell ref="V42:W43"/>
    <mergeCell ref="X42:Y43"/>
    <mergeCell ref="J46:O51"/>
    <mergeCell ref="P46:U51"/>
    <mergeCell ref="V46:AA51"/>
    <mergeCell ref="AB46:AG51"/>
    <mergeCell ref="AH46:AM51"/>
    <mergeCell ref="AB44:AC45"/>
    <mergeCell ref="AD44:AE45"/>
    <mergeCell ref="AF44:AG45"/>
    <mergeCell ref="AH44:AI45"/>
    <mergeCell ref="AJ44:AK45"/>
    <mergeCell ref="AL44:AM4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17AFE-55AD-4841-B5B3-76E0A68B1A51}">
  <dimension ref="A1:CM248"/>
  <sheetViews>
    <sheetView topLeftCell="A17" zoomScale="70" zoomScaleNormal="70" workbookViewId="0">
      <selection activeCell="AE30" sqref="AE30"/>
    </sheetView>
  </sheetViews>
  <sheetFormatPr baseColWidth="10" defaultColWidth="11.5546875"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row>
    <row r="2" spans="1:91" ht="18" customHeight="1" x14ac:dyDescent="0.3">
      <c r="A2" s="53"/>
      <c r="B2" s="583" t="s">
        <v>148</v>
      </c>
      <c r="C2" s="584"/>
      <c r="D2" s="584"/>
      <c r="E2" s="584"/>
      <c r="F2" s="584"/>
      <c r="G2" s="584"/>
      <c r="H2" s="584"/>
      <c r="I2" s="584"/>
      <c r="J2" s="570" t="s">
        <v>2</v>
      </c>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row>
    <row r="3" spans="1:91" ht="18.75" customHeight="1" x14ac:dyDescent="0.3">
      <c r="A3" s="53"/>
      <c r="B3" s="584"/>
      <c r="C3" s="584"/>
      <c r="D3" s="584"/>
      <c r="E3" s="584"/>
      <c r="F3" s="584"/>
      <c r="G3" s="584"/>
      <c r="H3" s="584"/>
      <c r="I3" s="584"/>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row>
    <row r="4" spans="1:91" ht="15" customHeight="1" x14ac:dyDescent="0.3">
      <c r="A4" s="53"/>
      <c r="B4" s="584"/>
      <c r="C4" s="584"/>
      <c r="D4" s="584"/>
      <c r="E4" s="584"/>
      <c r="F4" s="584"/>
      <c r="G4" s="584"/>
      <c r="H4" s="584"/>
      <c r="I4" s="584"/>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c r="AK4" s="570"/>
      <c r="AL4" s="570"/>
      <c r="AM4" s="570"/>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row>
    <row r="5" spans="1:91"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row>
    <row r="6" spans="1:91" ht="15" customHeight="1" x14ac:dyDescent="0.3">
      <c r="A6" s="53"/>
      <c r="B6" s="571" t="s">
        <v>4</v>
      </c>
      <c r="C6" s="571"/>
      <c r="D6" s="572"/>
      <c r="E6" s="573" t="s">
        <v>111</v>
      </c>
      <c r="F6" s="574"/>
      <c r="G6" s="574"/>
      <c r="H6" s="574"/>
      <c r="I6" s="575"/>
      <c r="J6" s="16" t="str">
        <f>IF(AND('[1]Mapa final'!$AB$10="Muy Alta",'[1]Mapa final'!$AD$10="Leve"),CONCATENATE("R1C",'[1]Mapa final'!$R$10),"")</f>
        <v/>
      </c>
      <c r="K6" s="17" t="str">
        <f>IF(AND('[1]Mapa final'!$AB$11="Muy Alta",'[1]Mapa final'!$AD$11="Leve"),CONCATENATE("R1C",'[1]Mapa final'!$R$11),"")</f>
        <v/>
      </c>
      <c r="L6" s="17" t="str">
        <f>IF(AND('[1]Mapa final'!$AB$12="Muy Alta",'[1]Mapa final'!$AD$12="Leve"),CONCATENATE("R1C",'[1]Mapa final'!$R$12),"")</f>
        <v/>
      </c>
      <c r="M6" s="17" t="str">
        <f>IF(AND('[1]Mapa final'!$AB$13="Muy Alta",'[1]Mapa final'!$AD$13="Leve"),CONCATENATE("R1C",'[1]Mapa final'!$R$13),"")</f>
        <v/>
      </c>
      <c r="N6" s="17" t="str">
        <f>IF(AND('[1]Mapa final'!$AB$14="Muy Alta",'[1]Mapa final'!$AD$14="Leve"),CONCATENATE("R1C",'[1]Mapa final'!$R$14),"")</f>
        <v/>
      </c>
      <c r="O6" s="18" t="e">
        <f>IF(AND('[1]Mapa final'!#REF!="Muy Alta",'[1]Mapa final'!#REF!="Leve"),CONCATENATE("R1C",'[1]Mapa final'!#REF!),"")</f>
        <v>#REF!</v>
      </c>
      <c r="P6" s="16" t="str">
        <f>IF(AND('[1]Mapa final'!$AB$10="Muy Alta",'[1]Mapa final'!$AD$10="Menor"),CONCATENATE("R1C",'[1]Mapa final'!$R$10),"")</f>
        <v/>
      </c>
      <c r="Q6" s="17" t="str">
        <f>IF(AND('[1]Mapa final'!$AB$11="Muy Alta",'[1]Mapa final'!$AD$11="Menor"),CONCATENATE("R1C",'[1]Mapa final'!$R$11),"")</f>
        <v/>
      </c>
      <c r="R6" s="17" t="str">
        <f>IF(AND('[1]Mapa final'!$AB$12="Muy Alta",'[1]Mapa final'!$AD$12="Menor"),CONCATENATE("R1C",'[1]Mapa final'!$R$12),"")</f>
        <v/>
      </c>
      <c r="S6" s="17" t="str">
        <f>IF(AND('[1]Mapa final'!$AB$13="Muy Alta",'[1]Mapa final'!$AD$13="Menor"),CONCATENATE("R1C",'[1]Mapa final'!$R$13),"")</f>
        <v/>
      </c>
      <c r="T6" s="17" t="str">
        <f>IF(AND('[1]Mapa final'!$AB$14="Muy Alta",'[1]Mapa final'!$AD$14="Menor"),CONCATENATE("R1C",'[1]Mapa final'!$R$14),"")</f>
        <v/>
      </c>
      <c r="U6" s="18" t="e">
        <f>IF(AND('[1]Mapa final'!#REF!="Muy Alta",'[1]Mapa final'!#REF!="Menor"),CONCATENATE("R1C",'[1]Mapa final'!#REF!),"")</f>
        <v>#REF!</v>
      </c>
      <c r="V6" s="16" t="str">
        <f>IF(AND('[1]Mapa final'!$AB$10="Muy Alta",'[1]Mapa final'!$AD$10="Moderado"),CONCATENATE("R1C",'[1]Mapa final'!$R$10),"")</f>
        <v/>
      </c>
      <c r="W6" s="17" t="str">
        <f>IF(AND('[1]Mapa final'!$AB$11="Muy Alta",'[1]Mapa final'!$AD$11="Moderado"),CONCATENATE("R1C",'[1]Mapa final'!$R$11),"")</f>
        <v/>
      </c>
      <c r="X6" s="17" t="str">
        <f>IF(AND('[1]Mapa final'!$AB$12="Muy Alta",'[1]Mapa final'!$AD$12="Moderado"),CONCATENATE("R1C",'[1]Mapa final'!$R$12),"")</f>
        <v/>
      </c>
      <c r="Y6" s="17" t="str">
        <f>IF(AND('[1]Mapa final'!$AB$13="Muy Alta",'[1]Mapa final'!$AD$13="Moderado"),CONCATENATE("R1C",'[1]Mapa final'!$R$13),"")</f>
        <v/>
      </c>
      <c r="Z6" s="17" t="str">
        <f>IF(AND('[1]Mapa final'!$AB$14="Muy Alta",'[1]Mapa final'!$AD$14="Moderado"),CONCATENATE("R1C",'[1]Mapa final'!$R$14),"")</f>
        <v/>
      </c>
      <c r="AA6" s="18" t="e">
        <f>IF(AND('[1]Mapa final'!#REF!="Muy Alta",'[1]Mapa final'!#REF!="Moderado"),CONCATENATE("R1C",'[1]Mapa final'!#REF!),"")</f>
        <v>#REF!</v>
      </c>
      <c r="AB6" s="16" t="str">
        <f>IF(AND('[1]Mapa final'!$AB$10="Muy Alta",'[1]Mapa final'!$AD$10="Mayor"),CONCATENATE("R1C",'[1]Mapa final'!$R$10),"")</f>
        <v/>
      </c>
      <c r="AC6" s="17" t="str">
        <f>IF(AND('[1]Mapa final'!$AB$11="Muy Alta",'[1]Mapa final'!$AD$11="Mayor"),CONCATENATE("R1C",'[1]Mapa final'!$R$11),"")</f>
        <v/>
      </c>
      <c r="AD6" s="17" t="str">
        <f>IF(AND('[1]Mapa final'!$AB$12="Muy Alta",'[1]Mapa final'!$AD$12="Mayor"),CONCATENATE("R1C",'[1]Mapa final'!$R$12),"")</f>
        <v/>
      </c>
      <c r="AE6" s="17" t="str">
        <f>IF(AND('[1]Mapa final'!$AB$13="Muy Alta",'[1]Mapa final'!$AD$13="Mayor"),CONCATENATE("R1C",'[1]Mapa final'!$R$13),"")</f>
        <v/>
      </c>
      <c r="AF6" s="17" t="str">
        <f>IF(AND('[1]Mapa final'!$AB$14="Muy Alta",'[1]Mapa final'!$AD$14="Mayor"),CONCATENATE("R1C",'[1]Mapa final'!$R$14),"")</f>
        <v/>
      </c>
      <c r="AG6" s="18" t="e">
        <f>IF(AND('[1]Mapa final'!#REF!="Muy Alta",'[1]Mapa final'!#REF!="Mayor"),CONCATENATE("R1C",'[1]Mapa final'!#REF!),"")</f>
        <v>#REF!</v>
      </c>
      <c r="AH6" s="19" t="str">
        <f>IF(AND('[1]Mapa final'!$AB$10="Muy Alta",'[1]Mapa final'!$AD$10="Catastrófico"),CONCATENATE("R1C",'[1]Mapa final'!$R$10),"")</f>
        <v/>
      </c>
      <c r="AI6" s="20" t="str">
        <f>IF(AND('[1]Mapa final'!$AB$11="Muy Alta",'[1]Mapa final'!$AD$11="Catastrófico"),CONCATENATE("R1C",'[1]Mapa final'!$R$11),"")</f>
        <v/>
      </c>
      <c r="AJ6" s="20" t="str">
        <f>IF(AND('[1]Mapa final'!$AB$12="Muy Alta",'[1]Mapa final'!$AD$12="Catastrófico"),CONCATENATE("R1C",'[1]Mapa final'!$R$12),"")</f>
        <v/>
      </c>
      <c r="AK6" s="20" t="str">
        <f>IF(AND('[1]Mapa final'!$AB$13="Muy Alta",'[1]Mapa final'!$AD$13="Catastrófico"),CONCATENATE("R1C",'[1]Mapa final'!$R$13),"")</f>
        <v/>
      </c>
      <c r="AL6" s="20" t="str">
        <f>IF(AND('[1]Mapa final'!$AB$14="Muy Alta",'[1]Mapa final'!$AD$14="Catastrófico"),CONCATENATE("R1C",'[1]Mapa final'!$R$14),"")</f>
        <v/>
      </c>
      <c r="AM6" s="21" t="e">
        <f>IF(AND('[1]Mapa final'!#REF!="Muy Alta",'[1]Mapa final'!#REF!="Catastrófico"),CONCATENATE("R1C",'[1]Mapa final'!#REF!),"")</f>
        <v>#REF!</v>
      </c>
      <c r="AN6" s="53"/>
      <c r="AO6" s="585" t="s">
        <v>78</v>
      </c>
      <c r="AP6" s="586"/>
      <c r="AQ6" s="586"/>
      <c r="AR6" s="586"/>
      <c r="AS6" s="586"/>
      <c r="AT6" s="587"/>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row>
    <row r="7" spans="1:91" ht="15" customHeight="1" x14ac:dyDescent="0.3">
      <c r="A7" s="53"/>
      <c r="B7" s="571"/>
      <c r="C7" s="571"/>
      <c r="D7" s="572"/>
      <c r="E7" s="576"/>
      <c r="F7" s="577"/>
      <c r="G7" s="577"/>
      <c r="H7" s="577"/>
      <c r="I7" s="578"/>
      <c r="J7" s="22" t="str">
        <f>IF(AND('[1]Mapa final'!$AB$15="Muy Alta",'[1]Mapa final'!$AD$15="Leve"),CONCATENATE("R2C",'[1]Mapa final'!$R$15),"")</f>
        <v/>
      </c>
      <c r="K7" s="23" t="str">
        <f>IF(AND('[1]Mapa final'!$AB$16="Muy Alta",'[1]Mapa final'!$AD$16="Leve"),CONCATENATE("R2C",'[1]Mapa final'!$R$16),"")</f>
        <v/>
      </c>
      <c r="L7" s="23" t="e">
        <f>IF(AND('[1]Mapa final'!#REF!="Muy Alta",'[1]Mapa final'!#REF!="Leve"),CONCATENATE("R2C",'[1]Mapa final'!$R$17),"")</f>
        <v>#REF!</v>
      </c>
      <c r="M7" s="23" t="e">
        <f>IF(AND('[1]Mapa final'!#REF!="Muy Alta",'[1]Mapa final'!#REF!="Leve"),CONCATENATE("R2C",'[1]Mapa final'!#REF!),"")</f>
        <v>#REF!</v>
      </c>
      <c r="N7" s="23" t="e">
        <f>IF(AND('[1]Mapa final'!#REF!="Muy Alta",'[1]Mapa final'!#REF!="Leve"),CONCATENATE("R2C",'[1]Mapa final'!#REF!),"")</f>
        <v>#REF!</v>
      </c>
      <c r="O7" s="24" t="e">
        <f>IF(AND('[1]Mapa final'!#REF!="Muy Alta",'[1]Mapa final'!#REF!="Leve"),CONCATENATE("R2C",'[1]Mapa final'!#REF!),"")</f>
        <v>#REF!</v>
      </c>
      <c r="P7" s="22" t="str">
        <f>IF(AND('[1]Mapa final'!$AB$15="Muy Alta",'[1]Mapa final'!$AD$15="Menor"),CONCATENATE("R2C",'[1]Mapa final'!$R$15),"")</f>
        <v/>
      </c>
      <c r="Q7" s="23" t="str">
        <f>IF(AND('[1]Mapa final'!$AB$16="Muy Alta",'[1]Mapa final'!$AD$16="Menor"),CONCATENATE("R2C",'[1]Mapa final'!$R$16),"")</f>
        <v/>
      </c>
      <c r="R7" s="23" t="e">
        <f>IF(AND('[1]Mapa final'!#REF!="Muy Alta",'[1]Mapa final'!#REF!="Menor"),CONCATENATE("R2C",'[1]Mapa final'!$R$17),"")</f>
        <v>#REF!</v>
      </c>
      <c r="S7" s="23" t="e">
        <f>IF(AND('[1]Mapa final'!#REF!="Muy Alta",'[1]Mapa final'!#REF!="Menor"),CONCATENATE("R2C",'[1]Mapa final'!#REF!),"")</f>
        <v>#REF!</v>
      </c>
      <c r="T7" s="23" t="e">
        <f>IF(AND('[1]Mapa final'!#REF!="Muy Alta",'[1]Mapa final'!#REF!="Menor"),CONCATENATE("R2C",'[1]Mapa final'!#REF!),"")</f>
        <v>#REF!</v>
      </c>
      <c r="U7" s="24" t="e">
        <f>IF(AND('[1]Mapa final'!#REF!="Muy Alta",'[1]Mapa final'!#REF!="Menor"),CONCATENATE("R2C",'[1]Mapa final'!#REF!),"")</f>
        <v>#REF!</v>
      </c>
      <c r="V7" s="22" t="str">
        <f>IF(AND('[1]Mapa final'!$AB$15="Muy Alta",'[1]Mapa final'!$AD$15="Moderado"),CONCATENATE("R2C",'[1]Mapa final'!$R$15),"")</f>
        <v/>
      </c>
      <c r="W7" s="23" t="str">
        <f>IF(AND('[1]Mapa final'!$AB$16="Muy Alta",'[1]Mapa final'!$AD$16="Moderado"),CONCATENATE("R2C",'[1]Mapa final'!$R$16),"")</f>
        <v/>
      </c>
      <c r="X7" s="23" t="e">
        <f>IF(AND('[1]Mapa final'!#REF!="Muy Alta",'[1]Mapa final'!#REF!="Moderado"),CONCATENATE("R2C",'[1]Mapa final'!$R$17),"")</f>
        <v>#REF!</v>
      </c>
      <c r="Y7" s="23" t="e">
        <f>IF(AND('[1]Mapa final'!#REF!="Muy Alta",'[1]Mapa final'!#REF!="Moderado"),CONCATENATE("R2C",'[1]Mapa final'!#REF!),"")</f>
        <v>#REF!</v>
      </c>
      <c r="Z7" s="23" t="e">
        <f>IF(AND('[1]Mapa final'!#REF!="Muy Alta",'[1]Mapa final'!#REF!="Moderado"),CONCATENATE("R2C",'[1]Mapa final'!#REF!),"")</f>
        <v>#REF!</v>
      </c>
      <c r="AA7" s="24" t="e">
        <f>IF(AND('[1]Mapa final'!#REF!="Muy Alta",'[1]Mapa final'!#REF!="Moderado"),CONCATENATE("R2C",'[1]Mapa final'!#REF!),"")</f>
        <v>#REF!</v>
      </c>
      <c r="AB7" s="22" t="str">
        <f>IF(AND('[1]Mapa final'!$AB$15="Muy Alta",'[1]Mapa final'!$AD$15="Mayor"),CONCATENATE("R2C",'[1]Mapa final'!$R$15),"")</f>
        <v/>
      </c>
      <c r="AC7" s="23" t="str">
        <f>IF(AND('[1]Mapa final'!$AB$16="Muy Alta",'[1]Mapa final'!$AD$16="Mayor"),CONCATENATE("R2C",'[1]Mapa final'!$R$16),"")</f>
        <v/>
      </c>
      <c r="AD7" s="23" t="e">
        <f>IF(AND('[1]Mapa final'!#REF!="Muy Alta",'[1]Mapa final'!#REF!="Mayor"),CONCATENATE("R2C",'[1]Mapa final'!$R$17),"")</f>
        <v>#REF!</v>
      </c>
      <c r="AE7" s="23" t="e">
        <f>IF(AND('[1]Mapa final'!#REF!="Muy Alta",'[1]Mapa final'!#REF!="Mayor"),CONCATENATE("R2C",'[1]Mapa final'!#REF!),"")</f>
        <v>#REF!</v>
      </c>
      <c r="AF7" s="23" t="e">
        <f>IF(AND('[1]Mapa final'!#REF!="Muy Alta",'[1]Mapa final'!#REF!="Mayor"),CONCATENATE("R2C",'[1]Mapa final'!#REF!),"")</f>
        <v>#REF!</v>
      </c>
      <c r="AG7" s="24" t="e">
        <f>IF(AND('[1]Mapa final'!#REF!="Muy Alta",'[1]Mapa final'!#REF!="Mayor"),CONCATENATE("R2C",'[1]Mapa final'!#REF!),"")</f>
        <v>#REF!</v>
      </c>
      <c r="AH7" s="25" t="str">
        <f>IF(AND('[1]Mapa final'!$AB$15="Muy Alta",'[1]Mapa final'!$AD$15="Catastrófico"),CONCATENATE("R2C",'[1]Mapa final'!$R$15),"")</f>
        <v/>
      </c>
      <c r="AI7" s="26" t="str">
        <f>IF(AND('[1]Mapa final'!$AB$16="Muy Alta",'[1]Mapa final'!$AD$16="Catastrófico"),CONCATENATE("R2C",'[1]Mapa final'!$R$16),"")</f>
        <v/>
      </c>
      <c r="AJ7" s="26" t="e">
        <f>IF(AND('[1]Mapa final'!#REF!="Muy Alta",'[1]Mapa final'!#REF!="Catastrófico"),CONCATENATE("R2C",'[1]Mapa final'!$R$17),"")</f>
        <v>#REF!</v>
      </c>
      <c r="AK7" s="26" t="e">
        <f>IF(AND('[1]Mapa final'!#REF!="Muy Alta",'[1]Mapa final'!#REF!="Catastrófico"),CONCATENATE("R2C",'[1]Mapa final'!#REF!),"")</f>
        <v>#REF!</v>
      </c>
      <c r="AL7" s="26" t="e">
        <f>IF(AND('[1]Mapa final'!#REF!="Muy Alta",'[1]Mapa final'!#REF!="Catastrófico"),CONCATENATE("R2C",'[1]Mapa final'!#REF!),"")</f>
        <v>#REF!</v>
      </c>
      <c r="AM7" s="27" t="e">
        <f>IF(AND('[1]Mapa final'!#REF!="Muy Alta",'[1]Mapa final'!#REF!="Catastrófico"),CONCATENATE("R2C",'[1]Mapa final'!#REF!),"")</f>
        <v>#REF!</v>
      </c>
      <c r="AN7" s="53"/>
      <c r="AO7" s="588"/>
      <c r="AP7" s="589"/>
      <c r="AQ7" s="589"/>
      <c r="AR7" s="589"/>
      <c r="AS7" s="589"/>
      <c r="AT7" s="590"/>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row>
    <row r="8" spans="1:91" ht="15" customHeight="1" x14ac:dyDescent="0.3">
      <c r="A8" s="53"/>
      <c r="B8" s="571"/>
      <c r="C8" s="571"/>
      <c r="D8" s="572"/>
      <c r="E8" s="576"/>
      <c r="F8" s="577"/>
      <c r="G8" s="577"/>
      <c r="H8" s="577"/>
      <c r="I8" s="578"/>
      <c r="J8" s="22" t="e">
        <f>IF(AND('[1]Mapa final'!#REF!="Muy Alta",'[1]Mapa final'!#REF!="Leve"),CONCATENATE("R3C",'[1]Mapa final'!#REF!),"")</f>
        <v>#REF!</v>
      </c>
      <c r="K8" s="23" t="e">
        <f>IF(AND('[1]Mapa final'!#REF!="Muy Alta",'[1]Mapa final'!#REF!="Leve"),CONCATENATE("R3C",'[1]Mapa final'!#REF!),"")</f>
        <v>#REF!</v>
      </c>
      <c r="L8" s="23" t="e">
        <f>IF(AND('[1]Mapa final'!#REF!="Muy Alta",'[1]Mapa final'!#REF!="Leve"),CONCATENATE("R3C",'[1]Mapa final'!#REF!),"")</f>
        <v>#REF!</v>
      </c>
      <c r="M8" s="23" t="e">
        <f>IF(AND('[1]Mapa final'!#REF!="Muy Alta",'[1]Mapa final'!#REF!="Leve"),CONCATENATE("R3C",'[1]Mapa final'!#REF!),"")</f>
        <v>#REF!</v>
      </c>
      <c r="N8" s="23" t="e">
        <f>IF(AND('[1]Mapa final'!#REF!="Muy Alta",'[1]Mapa final'!#REF!="Leve"),CONCATENATE("R3C",'[1]Mapa final'!#REF!),"")</f>
        <v>#REF!</v>
      </c>
      <c r="O8" s="24" t="e">
        <f>IF(AND('[1]Mapa final'!#REF!="Muy Alta",'[1]Mapa final'!#REF!="Leve"),CONCATENATE("R3C",'[1]Mapa final'!#REF!),"")</f>
        <v>#REF!</v>
      </c>
      <c r="P8" s="22" t="e">
        <f>IF(AND('[1]Mapa final'!#REF!="Muy Alta",'[1]Mapa final'!#REF!="Menor"),CONCATENATE("R3C",'[1]Mapa final'!#REF!),"")</f>
        <v>#REF!</v>
      </c>
      <c r="Q8" s="23" t="e">
        <f>IF(AND('[1]Mapa final'!#REF!="Muy Alta",'[1]Mapa final'!#REF!="Menor"),CONCATENATE("R3C",'[1]Mapa final'!#REF!),"")</f>
        <v>#REF!</v>
      </c>
      <c r="R8" s="23" t="e">
        <f>IF(AND('[1]Mapa final'!#REF!="Muy Alta",'[1]Mapa final'!#REF!="Menor"),CONCATENATE("R3C",'[1]Mapa final'!#REF!),"")</f>
        <v>#REF!</v>
      </c>
      <c r="S8" s="23" t="e">
        <f>IF(AND('[1]Mapa final'!#REF!="Muy Alta",'[1]Mapa final'!#REF!="Menor"),CONCATENATE("R3C",'[1]Mapa final'!#REF!),"")</f>
        <v>#REF!</v>
      </c>
      <c r="T8" s="23" t="e">
        <f>IF(AND('[1]Mapa final'!#REF!="Muy Alta",'[1]Mapa final'!#REF!="Menor"),CONCATENATE("R3C",'[1]Mapa final'!#REF!),"")</f>
        <v>#REF!</v>
      </c>
      <c r="U8" s="24" t="e">
        <f>IF(AND('[1]Mapa final'!#REF!="Muy Alta",'[1]Mapa final'!#REF!="Menor"),CONCATENATE("R3C",'[1]Mapa final'!#REF!),"")</f>
        <v>#REF!</v>
      </c>
      <c r="V8" s="22" t="e">
        <f>IF(AND('[1]Mapa final'!#REF!="Muy Alta",'[1]Mapa final'!#REF!="Moderado"),CONCATENATE("R3C",'[1]Mapa final'!#REF!),"")</f>
        <v>#REF!</v>
      </c>
      <c r="W8" s="23" t="e">
        <f>IF(AND('[1]Mapa final'!#REF!="Muy Alta",'[1]Mapa final'!#REF!="Moderado"),CONCATENATE("R3C",'[1]Mapa final'!#REF!),"")</f>
        <v>#REF!</v>
      </c>
      <c r="X8" s="23" t="e">
        <f>IF(AND('[1]Mapa final'!#REF!="Muy Alta",'[1]Mapa final'!#REF!="Moderado"),CONCATENATE("R3C",'[1]Mapa final'!#REF!),"")</f>
        <v>#REF!</v>
      </c>
      <c r="Y8" s="23" t="e">
        <f>IF(AND('[1]Mapa final'!#REF!="Muy Alta",'[1]Mapa final'!#REF!="Moderado"),CONCATENATE("R3C",'[1]Mapa final'!#REF!),"")</f>
        <v>#REF!</v>
      </c>
      <c r="Z8" s="23" t="e">
        <f>IF(AND('[1]Mapa final'!#REF!="Muy Alta",'[1]Mapa final'!#REF!="Moderado"),CONCATENATE("R3C",'[1]Mapa final'!#REF!),"")</f>
        <v>#REF!</v>
      </c>
      <c r="AA8" s="24" t="e">
        <f>IF(AND('[1]Mapa final'!#REF!="Muy Alta",'[1]Mapa final'!#REF!="Moderado"),CONCATENATE("R3C",'[1]Mapa final'!#REF!),"")</f>
        <v>#REF!</v>
      </c>
      <c r="AB8" s="22" t="e">
        <f>IF(AND('[1]Mapa final'!#REF!="Muy Alta",'[1]Mapa final'!#REF!="Mayor"),CONCATENATE("R3C",'[1]Mapa final'!#REF!),"")</f>
        <v>#REF!</v>
      </c>
      <c r="AC8" s="23" t="e">
        <f>IF(AND('[1]Mapa final'!#REF!="Muy Alta",'[1]Mapa final'!#REF!="Mayor"),CONCATENATE("R3C",'[1]Mapa final'!#REF!),"")</f>
        <v>#REF!</v>
      </c>
      <c r="AD8" s="23" t="e">
        <f>IF(AND('[1]Mapa final'!#REF!="Muy Alta",'[1]Mapa final'!#REF!="Mayor"),CONCATENATE("R3C",'[1]Mapa final'!#REF!),"")</f>
        <v>#REF!</v>
      </c>
      <c r="AE8" s="23" t="e">
        <f>IF(AND('[1]Mapa final'!#REF!="Muy Alta",'[1]Mapa final'!#REF!="Mayor"),CONCATENATE("R3C",'[1]Mapa final'!#REF!),"")</f>
        <v>#REF!</v>
      </c>
      <c r="AF8" s="23" t="e">
        <f>IF(AND('[1]Mapa final'!#REF!="Muy Alta",'[1]Mapa final'!#REF!="Mayor"),CONCATENATE("R3C",'[1]Mapa final'!#REF!),"")</f>
        <v>#REF!</v>
      </c>
      <c r="AG8" s="24" t="e">
        <f>IF(AND('[1]Mapa final'!#REF!="Muy Alta",'[1]Mapa final'!#REF!="Mayor"),CONCATENATE("R3C",'[1]Mapa final'!#REF!),"")</f>
        <v>#REF!</v>
      </c>
      <c r="AH8" s="25" t="e">
        <f>IF(AND('[1]Mapa final'!#REF!="Muy Alta",'[1]Mapa final'!#REF!="Catastrófico"),CONCATENATE("R3C",'[1]Mapa final'!#REF!),"")</f>
        <v>#REF!</v>
      </c>
      <c r="AI8" s="26" t="e">
        <f>IF(AND('[1]Mapa final'!#REF!="Muy Alta",'[1]Mapa final'!#REF!="Catastrófico"),CONCATENATE("R3C",'[1]Mapa final'!#REF!),"")</f>
        <v>#REF!</v>
      </c>
      <c r="AJ8" s="26" t="e">
        <f>IF(AND('[1]Mapa final'!#REF!="Muy Alta",'[1]Mapa final'!#REF!="Catastrófico"),CONCATENATE("R3C",'[1]Mapa final'!#REF!),"")</f>
        <v>#REF!</v>
      </c>
      <c r="AK8" s="26" t="e">
        <f>IF(AND('[1]Mapa final'!#REF!="Muy Alta",'[1]Mapa final'!#REF!="Catastrófico"),CONCATENATE("R3C",'[1]Mapa final'!#REF!),"")</f>
        <v>#REF!</v>
      </c>
      <c r="AL8" s="26" t="e">
        <f>IF(AND('[1]Mapa final'!#REF!="Muy Alta",'[1]Mapa final'!#REF!="Catastrófico"),CONCATENATE("R3C",'[1]Mapa final'!#REF!),"")</f>
        <v>#REF!</v>
      </c>
      <c r="AM8" s="27" t="e">
        <f>IF(AND('[1]Mapa final'!#REF!="Muy Alta",'[1]Mapa final'!#REF!="Catastrófico"),CONCATENATE("R3C",'[1]Mapa final'!#REF!),"")</f>
        <v>#REF!</v>
      </c>
      <c r="AN8" s="53"/>
      <c r="AO8" s="588"/>
      <c r="AP8" s="589"/>
      <c r="AQ8" s="589"/>
      <c r="AR8" s="589"/>
      <c r="AS8" s="589"/>
      <c r="AT8" s="590"/>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91" ht="15" customHeight="1" x14ac:dyDescent="0.3">
      <c r="A9" s="53"/>
      <c r="B9" s="571"/>
      <c r="C9" s="571"/>
      <c r="D9" s="572"/>
      <c r="E9" s="576"/>
      <c r="F9" s="577"/>
      <c r="G9" s="577"/>
      <c r="H9" s="577"/>
      <c r="I9" s="578"/>
      <c r="J9" s="22" t="e">
        <f>IF(AND('[1]Mapa final'!#REF!="Muy Alta",'[1]Mapa final'!#REF!="Leve"),CONCATENATE("R4C",'[1]Mapa final'!#REF!),"")</f>
        <v>#REF!</v>
      </c>
      <c r="K9" s="23" t="e">
        <f>IF(AND('[1]Mapa final'!#REF!="Muy Alta",'[1]Mapa final'!#REF!="Leve"),CONCATENATE("R4C",'[1]Mapa final'!#REF!),"")</f>
        <v>#REF!</v>
      </c>
      <c r="L9" s="23" t="e">
        <f>IF(AND('[1]Mapa final'!#REF!="Muy Alta",'[1]Mapa final'!#REF!="Leve"),CONCATENATE("R4C",'[1]Mapa final'!#REF!),"")</f>
        <v>#REF!</v>
      </c>
      <c r="M9" s="23" t="e">
        <f>IF(AND('[1]Mapa final'!#REF!="Muy Alta",'[1]Mapa final'!#REF!="Leve"),CONCATENATE("R4C",'[1]Mapa final'!#REF!),"")</f>
        <v>#REF!</v>
      </c>
      <c r="N9" s="23" t="e">
        <f>IF(AND('[1]Mapa final'!#REF!="Muy Alta",'[1]Mapa final'!#REF!="Leve"),CONCATENATE("R4C",'[1]Mapa final'!#REF!),"")</f>
        <v>#REF!</v>
      </c>
      <c r="O9" s="24" t="e">
        <f>IF(AND('[1]Mapa final'!#REF!="Muy Alta",'[1]Mapa final'!#REF!="Leve"),CONCATENATE("R4C",'[1]Mapa final'!#REF!),"")</f>
        <v>#REF!</v>
      </c>
      <c r="P9" s="22" t="e">
        <f>IF(AND('[1]Mapa final'!#REF!="Muy Alta",'[1]Mapa final'!#REF!="Menor"),CONCATENATE("R4C",'[1]Mapa final'!#REF!),"")</f>
        <v>#REF!</v>
      </c>
      <c r="Q9" s="23" t="e">
        <f>IF(AND('[1]Mapa final'!#REF!="Muy Alta",'[1]Mapa final'!#REF!="Menor"),CONCATENATE("R4C",'[1]Mapa final'!#REF!),"")</f>
        <v>#REF!</v>
      </c>
      <c r="R9" s="23" t="e">
        <f>IF(AND('[1]Mapa final'!#REF!="Muy Alta",'[1]Mapa final'!#REF!="Menor"),CONCATENATE("R4C",'[1]Mapa final'!#REF!),"")</f>
        <v>#REF!</v>
      </c>
      <c r="S9" s="23" t="e">
        <f>IF(AND('[1]Mapa final'!#REF!="Muy Alta",'[1]Mapa final'!#REF!="Menor"),CONCATENATE("R4C",'[1]Mapa final'!#REF!),"")</f>
        <v>#REF!</v>
      </c>
      <c r="T9" s="23" t="e">
        <f>IF(AND('[1]Mapa final'!#REF!="Muy Alta",'[1]Mapa final'!#REF!="Menor"),CONCATENATE("R4C",'[1]Mapa final'!#REF!),"")</f>
        <v>#REF!</v>
      </c>
      <c r="U9" s="24" t="e">
        <f>IF(AND('[1]Mapa final'!#REF!="Muy Alta",'[1]Mapa final'!#REF!="Menor"),CONCATENATE("R4C",'[1]Mapa final'!#REF!),"")</f>
        <v>#REF!</v>
      </c>
      <c r="V9" s="22" t="e">
        <f>IF(AND('[1]Mapa final'!#REF!="Muy Alta",'[1]Mapa final'!#REF!="Moderado"),CONCATENATE("R4C",'[1]Mapa final'!#REF!),"")</f>
        <v>#REF!</v>
      </c>
      <c r="W9" s="23" t="e">
        <f>IF(AND('[1]Mapa final'!#REF!="Muy Alta",'[1]Mapa final'!#REF!="Moderado"),CONCATENATE("R4C",'[1]Mapa final'!#REF!),"")</f>
        <v>#REF!</v>
      </c>
      <c r="X9" s="23" t="e">
        <f>IF(AND('[1]Mapa final'!#REF!="Muy Alta",'[1]Mapa final'!#REF!="Moderado"),CONCATENATE("R4C",'[1]Mapa final'!#REF!),"")</f>
        <v>#REF!</v>
      </c>
      <c r="Y9" s="23" t="e">
        <f>IF(AND('[1]Mapa final'!#REF!="Muy Alta",'[1]Mapa final'!#REF!="Moderado"),CONCATENATE("R4C",'[1]Mapa final'!#REF!),"")</f>
        <v>#REF!</v>
      </c>
      <c r="Z9" s="23" t="e">
        <f>IF(AND('[1]Mapa final'!#REF!="Muy Alta",'[1]Mapa final'!#REF!="Moderado"),CONCATENATE("R4C",'[1]Mapa final'!#REF!),"")</f>
        <v>#REF!</v>
      </c>
      <c r="AA9" s="24" t="e">
        <f>IF(AND('[1]Mapa final'!#REF!="Muy Alta",'[1]Mapa final'!#REF!="Moderado"),CONCATENATE("R4C",'[1]Mapa final'!#REF!),"")</f>
        <v>#REF!</v>
      </c>
      <c r="AB9" s="22" t="e">
        <f>IF(AND('[1]Mapa final'!#REF!="Muy Alta",'[1]Mapa final'!#REF!="Mayor"),CONCATENATE("R4C",'[1]Mapa final'!#REF!),"")</f>
        <v>#REF!</v>
      </c>
      <c r="AC9" s="23" t="e">
        <f>IF(AND('[1]Mapa final'!#REF!="Muy Alta",'[1]Mapa final'!#REF!="Mayor"),CONCATENATE("R4C",'[1]Mapa final'!#REF!),"")</f>
        <v>#REF!</v>
      </c>
      <c r="AD9" s="23" t="e">
        <f>IF(AND('[1]Mapa final'!#REF!="Muy Alta",'[1]Mapa final'!#REF!="Mayor"),CONCATENATE("R4C",'[1]Mapa final'!#REF!),"")</f>
        <v>#REF!</v>
      </c>
      <c r="AE9" s="23" t="e">
        <f>IF(AND('[1]Mapa final'!#REF!="Muy Alta",'[1]Mapa final'!#REF!="Mayor"),CONCATENATE("R4C",'[1]Mapa final'!#REF!),"")</f>
        <v>#REF!</v>
      </c>
      <c r="AF9" s="23" t="e">
        <f>IF(AND('[1]Mapa final'!#REF!="Muy Alta",'[1]Mapa final'!#REF!="Mayor"),CONCATENATE("R4C",'[1]Mapa final'!#REF!),"")</f>
        <v>#REF!</v>
      </c>
      <c r="AG9" s="24" t="e">
        <f>IF(AND('[1]Mapa final'!#REF!="Muy Alta",'[1]Mapa final'!#REF!="Mayor"),CONCATENATE("R4C",'[1]Mapa final'!#REF!),"")</f>
        <v>#REF!</v>
      </c>
      <c r="AH9" s="25" t="e">
        <f>IF(AND('[1]Mapa final'!#REF!="Muy Alta",'[1]Mapa final'!#REF!="Catastrófico"),CONCATENATE("R4C",'[1]Mapa final'!#REF!),"")</f>
        <v>#REF!</v>
      </c>
      <c r="AI9" s="26" t="e">
        <f>IF(AND('[1]Mapa final'!#REF!="Muy Alta",'[1]Mapa final'!#REF!="Catastrófico"),CONCATENATE("R4C",'[1]Mapa final'!#REF!),"")</f>
        <v>#REF!</v>
      </c>
      <c r="AJ9" s="26" t="e">
        <f>IF(AND('[1]Mapa final'!#REF!="Muy Alta",'[1]Mapa final'!#REF!="Catastrófico"),CONCATENATE("R4C",'[1]Mapa final'!#REF!),"")</f>
        <v>#REF!</v>
      </c>
      <c r="AK9" s="26" t="e">
        <f>IF(AND('[1]Mapa final'!#REF!="Muy Alta",'[1]Mapa final'!#REF!="Catastrófico"),CONCATENATE("R4C",'[1]Mapa final'!#REF!),"")</f>
        <v>#REF!</v>
      </c>
      <c r="AL9" s="26" t="e">
        <f>IF(AND('[1]Mapa final'!#REF!="Muy Alta",'[1]Mapa final'!#REF!="Catastrófico"),CONCATENATE("R4C",'[1]Mapa final'!#REF!),"")</f>
        <v>#REF!</v>
      </c>
      <c r="AM9" s="27" t="e">
        <f>IF(AND('[1]Mapa final'!#REF!="Muy Alta",'[1]Mapa final'!#REF!="Catastrófico"),CONCATENATE("R4C",'[1]Mapa final'!#REF!),"")</f>
        <v>#REF!</v>
      </c>
      <c r="AN9" s="53"/>
      <c r="AO9" s="588"/>
      <c r="AP9" s="589"/>
      <c r="AQ9" s="589"/>
      <c r="AR9" s="589"/>
      <c r="AS9" s="589"/>
      <c r="AT9" s="590"/>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91" ht="15" customHeight="1" x14ac:dyDescent="0.3">
      <c r="A10" s="53"/>
      <c r="B10" s="571"/>
      <c r="C10" s="571"/>
      <c r="D10" s="572"/>
      <c r="E10" s="576"/>
      <c r="F10" s="577"/>
      <c r="G10" s="577"/>
      <c r="H10" s="577"/>
      <c r="I10" s="578"/>
      <c r="J10" s="22" t="str">
        <f>IF(AND('[1]Mapa final'!$AB$19="Muy Alta",'[1]Mapa final'!$AD$19="Leve"),CONCATENATE("R5C",'[1]Mapa final'!$R$19),"")</f>
        <v/>
      </c>
      <c r="K10" s="23" t="str">
        <f>IF(AND('[1]Mapa final'!$AB$20="Muy Alta",'[1]Mapa final'!$AD$20="Leve"),CONCATENATE("R5C",'[1]Mapa final'!$R$20),"")</f>
        <v/>
      </c>
      <c r="L10" s="23" t="str">
        <f>IF(AND('[1]Mapa final'!$AB$21="Muy Alta",'[1]Mapa final'!$AD$21="Leve"),CONCATENATE("R5C",'[1]Mapa final'!$R$21),"")</f>
        <v/>
      </c>
      <c r="M10" s="23" t="str">
        <f>IF(AND('[1]Mapa final'!$AB$22="Muy Alta",'[1]Mapa final'!$AD$22="Leve"),CONCATENATE("R5C",'[1]Mapa final'!$R$22),"")</f>
        <v/>
      </c>
      <c r="N10" s="23" t="str">
        <f>IF(AND('[1]Mapa final'!$AB$23="Muy Alta",'[1]Mapa final'!$AD$23="Leve"),CONCATENATE("R5C",'[1]Mapa final'!$R$23),"")</f>
        <v/>
      </c>
      <c r="O10" s="24" t="str">
        <f>IF(AND('[1]Mapa final'!$AB$24="Muy Alta",'[1]Mapa final'!$AD$24="Leve"),CONCATENATE("R5C",'[1]Mapa final'!$R$24),"")</f>
        <v/>
      </c>
      <c r="P10" s="22" t="str">
        <f>IF(AND('[1]Mapa final'!$AB$19="Muy Alta",'[1]Mapa final'!$AD$19="Menor"),CONCATENATE("R5C",'[1]Mapa final'!$R$19),"")</f>
        <v/>
      </c>
      <c r="Q10" s="23" t="str">
        <f>IF(AND('[1]Mapa final'!$AB$20="Muy Alta",'[1]Mapa final'!$AD$20="Menor"),CONCATENATE("R5C",'[1]Mapa final'!$R$20),"")</f>
        <v/>
      </c>
      <c r="R10" s="23" t="str">
        <f>IF(AND('[1]Mapa final'!$AB$21="Muy Alta",'[1]Mapa final'!$AD$21="Menor"),CONCATENATE("R5C",'[1]Mapa final'!$R$21),"")</f>
        <v/>
      </c>
      <c r="S10" s="23" t="str">
        <f>IF(AND('[1]Mapa final'!$AB$22="Muy Alta",'[1]Mapa final'!$AD$22="Menor"),CONCATENATE("R5C",'[1]Mapa final'!$R$22),"")</f>
        <v/>
      </c>
      <c r="T10" s="23" t="str">
        <f>IF(AND('[1]Mapa final'!$AB$23="Muy Alta",'[1]Mapa final'!$AD$23="Menor"),CONCATENATE("R5C",'[1]Mapa final'!$R$23),"")</f>
        <v/>
      </c>
      <c r="U10" s="24" t="str">
        <f>IF(AND('[1]Mapa final'!$AB$24="Muy Alta",'[1]Mapa final'!$AD$24="Menor"),CONCATENATE("R5C",'[1]Mapa final'!$R$24),"")</f>
        <v/>
      </c>
      <c r="V10" s="22" t="str">
        <f>IF(AND('[1]Mapa final'!$AB$19="Muy Alta",'[1]Mapa final'!$AD$19="Moderado"),CONCATENATE("R5C",'[1]Mapa final'!$R$19),"")</f>
        <v/>
      </c>
      <c r="W10" s="23" t="str">
        <f>IF(AND('[1]Mapa final'!$AB$20="Muy Alta",'[1]Mapa final'!$AD$20="Moderado"),CONCATENATE("R5C",'[1]Mapa final'!$R$20),"")</f>
        <v/>
      </c>
      <c r="X10" s="23" t="str">
        <f>IF(AND('[1]Mapa final'!$AB$21="Muy Alta",'[1]Mapa final'!$AD$21="Moderado"),CONCATENATE("R5C",'[1]Mapa final'!$R$21),"")</f>
        <v/>
      </c>
      <c r="Y10" s="23" t="str">
        <f>IF(AND('[1]Mapa final'!$AB$22="Muy Alta",'[1]Mapa final'!$AD$22="Moderado"),CONCATENATE("R5C",'[1]Mapa final'!$R$22),"")</f>
        <v/>
      </c>
      <c r="Z10" s="23" t="str">
        <f>IF(AND('[1]Mapa final'!$AB$23="Muy Alta",'[1]Mapa final'!$AD$23="Moderado"),CONCATENATE("R5C",'[1]Mapa final'!$R$23),"")</f>
        <v/>
      </c>
      <c r="AA10" s="24" t="str">
        <f>IF(AND('[1]Mapa final'!$AB$24="Muy Alta",'[1]Mapa final'!$AD$24="Moderado"),CONCATENATE("R5C",'[1]Mapa final'!$R$24),"")</f>
        <v/>
      </c>
      <c r="AB10" s="22" t="str">
        <f>IF(AND('[1]Mapa final'!$AB$19="Muy Alta",'[1]Mapa final'!$AD$19="Mayor"),CONCATENATE("R5C",'[1]Mapa final'!$R$19),"")</f>
        <v/>
      </c>
      <c r="AC10" s="23" t="str">
        <f>IF(AND('[1]Mapa final'!$AB$20="Muy Alta",'[1]Mapa final'!$AD$20="Mayor"),CONCATENATE("R5C",'[1]Mapa final'!$R$20),"")</f>
        <v/>
      </c>
      <c r="AD10" s="23" t="str">
        <f>IF(AND('[1]Mapa final'!$AB$21="Muy Alta",'[1]Mapa final'!$AD$21="Mayor"),CONCATENATE("R5C",'[1]Mapa final'!$R$21),"")</f>
        <v/>
      </c>
      <c r="AE10" s="23" t="str">
        <f>IF(AND('[1]Mapa final'!$AB$22="Muy Alta",'[1]Mapa final'!$AD$22="Mayor"),CONCATENATE("R5C",'[1]Mapa final'!$R$22),"")</f>
        <v/>
      </c>
      <c r="AF10" s="23" t="str">
        <f>IF(AND('[1]Mapa final'!$AB$23="Muy Alta",'[1]Mapa final'!$AD$23="Mayor"),CONCATENATE("R5C",'[1]Mapa final'!$R$23),"")</f>
        <v/>
      </c>
      <c r="AG10" s="24" t="str">
        <f>IF(AND('[1]Mapa final'!$AB$24="Muy Alta",'[1]Mapa final'!$AD$24="Mayor"),CONCATENATE("R5C",'[1]Mapa final'!$R$24),"")</f>
        <v/>
      </c>
      <c r="AH10" s="25" t="str">
        <f>IF(AND('[1]Mapa final'!$AB$19="Muy Alta",'[1]Mapa final'!$AD$19="Catastrófico"),CONCATENATE("R5C",'[1]Mapa final'!$R$19),"")</f>
        <v/>
      </c>
      <c r="AI10" s="26" t="str">
        <f>IF(AND('[1]Mapa final'!$AB$20="Muy Alta",'[1]Mapa final'!$AD$20="Catastrófico"),CONCATENATE("R5C",'[1]Mapa final'!$R$20),"")</f>
        <v/>
      </c>
      <c r="AJ10" s="26" t="str">
        <f>IF(AND('[1]Mapa final'!$AB$21="Muy Alta",'[1]Mapa final'!$AD$21="Catastrófico"),CONCATENATE("R5C",'[1]Mapa final'!$R$21),"")</f>
        <v/>
      </c>
      <c r="AK10" s="26" t="str">
        <f>IF(AND('[1]Mapa final'!$AB$22="Muy Alta",'[1]Mapa final'!$AD$22="Catastrófico"),CONCATENATE("R5C",'[1]Mapa final'!$R$22),"")</f>
        <v/>
      </c>
      <c r="AL10" s="26" t="str">
        <f>IF(AND('[1]Mapa final'!$AB$23="Muy Alta",'[1]Mapa final'!$AD$23="Catastrófico"),CONCATENATE("R5C",'[1]Mapa final'!$R$23),"")</f>
        <v/>
      </c>
      <c r="AM10" s="27" t="str">
        <f>IF(AND('[1]Mapa final'!$AB$24="Muy Alta",'[1]Mapa final'!$AD$24="Catastrófico"),CONCATENATE("R5C",'[1]Mapa final'!$R$24),"")</f>
        <v/>
      </c>
      <c r="AN10" s="53"/>
      <c r="AO10" s="588"/>
      <c r="AP10" s="589"/>
      <c r="AQ10" s="589"/>
      <c r="AR10" s="589"/>
      <c r="AS10" s="589"/>
      <c r="AT10" s="590"/>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91" ht="15" customHeight="1" x14ac:dyDescent="0.3">
      <c r="A11" s="53"/>
      <c r="B11" s="571"/>
      <c r="C11" s="571"/>
      <c r="D11" s="572"/>
      <c r="E11" s="576"/>
      <c r="F11" s="577"/>
      <c r="G11" s="577"/>
      <c r="H11" s="577"/>
      <c r="I11" s="578"/>
      <c r="J11" s="22" t="str">
        <f>IF(AND('[1]Mapa final'!$AB$25="Muy Alta",'[1]Mapa final'!$AD$25="Leve"),CONCATENATE("R6C",'[1]Mapa final'!$R$25),"")</f>
        <v/>
      </c>
      <c r="K11" s="23" t="str">
        <f>IF(AND('[1]Mapa final'!$AB$26="Muy Alta",'[1]Mapa final'!$AD$26="Leve"),CONCATENATE("R6C",'[1]Mapa final'!$R$26),"")</f>
        <v/>
      </c>
      <c r="L11" s="23" t="str">
        <f>IF(AND('[1]Mapa final'!$AB$27="Muy Alta",'[1]Mapa final'!$AD$27="Leve"),CONCATENATE("R6C",'[1]Mapa final'!$R$27),"")</f>
        <v/>
      </c>
      <c r="M11" s="23" t="str">
        <f>IF(AND('[1]Mapa final'!$AB$28="Muy Alta",'[1]Mapa final'!$AD$28="Leve"),CONCATENATE("R6C",'[1]Mapa final'!$R$28),"")</f>
        <v/>
      </c>
      <c r="N11" s="23" t="str">
        <f>IF(AND('[1]Mapa final'!$AB$29="Muy Alta",'[1]Mapa final'!$AD$29="Leve"),CONCATENATE("R6C",'[1]Mapa final'!$R$29),"")</f>
        <v/>
      </c>
      <c r="O11" s="24" t="str">
        <f>IF(AND('[1]Mapa final'!$AB$30="Muy Alta",'[1]Mapa final'!$AD$30="Leve"),CONCATENATE("R6C",'[1]Mapa final'!$R$30),"")</f>
        <v/>
      </c>
      <c r="P11" s="22" t="str">
        <f>IF(AND('[1]Mapa final'!$AB$25="Muy Alta",'[1]Mapa final'!$AD$25="Menor"),CONCATENATE("R6C",'[1]Mapa final'!$R$25),"")</f>
        <v/>
      </c>
      <c r="Q11" s="23" t="str">
        <f>IF(AND('[1]Mapa final'!$AB$26="Muy Alta",'[1]Mapa final'!$AD$26="Menor"),CONCATENATE("R6C",'[1]Mapa final'!$R$26),"")</f>
        <v/>
      </c>
      <c r="R11" s="23" t="str">
        <f>IF(AND('[1]Mapa final'!$AB$27="Muy Alta",'[1]Mapa final'!$AD$27="Menor"),CONCATENATE("R6C",'[1]Mapa final'!$R$27),"")</f>
        <v/>
      </c>
      <c r="S11" s="23" t="str">
        <f>IF(AND('[1]Mapa final'!$AB$28="Muy Alta",'[1]Mapa final'!$AD$28="Menor"),CONCATENATE("R6C",'[1]Mapa final'!$R$28),"")</f>
        <v/>
      </c>
      <c r="T11" s="23" t="str">
        <f>IF(AND('[1]Mapa final'!$AB$29="Muy Alta",'[1]Mapa final'!$AD$29="Menor"),CONCATENATE("R6C",'[1]Mapa final'!$R$29),"")</f>
        <v/>
      </c>
      <c r="U11" s="24" t="str">
        <f>IF(AND('[1]Mapa final'!$AB$30="Muy Alta",'[1]Mapa final'!$AD$30="Menor"),CONCATENATE("R6C",'[1]Mapa final'!$R$30),"")</f>
        <v/>
      </c>
      <c r="V11" s="22" t="str">
        <f>IF(AND('[1]Mapa final'!$AB$25="Muy Alta",'[1]Mapa final'!$AD$25="Moderado"),CONCATENATE("R6C",'[1]Mapa final'!$R$25),"")</f>
        <v/>
      </c>
      <c r="W11" s="23" t="str">
        <f>IF(AND('[1]Mapa final'!$AB$26="Muy Alta",'[1]Mapa final'!$AD$26="Moderado"),CONCATENATE("R6C",'[1]Mapa final'!$R$26),"")</f>
        <v/>
      </c>
      <c r="X11" s="23" t="str">
        <f>IF(AND('[1]Mapa final'!$AB$27="Muy Alta",'[1]Mapa final'!$AD$27="Moderado"),CONCATENATE("R6C",'[1]Mapa final'!$R$27),"")</f>
        <v/>
      </c>
      <c r="Y11" s="23" t="str">
        <f>IF(AND('[1]Mapa final'!$AB$28="Muy Alta",'[1]Mapa final'!$AD$28="Moderado"),CONCATENATE("R6C",'[1]Mapa final'!$R$28),"")</f>
        <v/>
      </c>
      <c r="Z11" s="23" t="str">
        <f>IF(AND('[1]Mapa final'!$AB$29="Muy Alta",'[1]Mapa final'!$AD$29="Moderado"),CONCATENATE("R6C",'[1]Mapa final'!$R$29),"")</f>
        <v/>
      </c>
      <c r="AA11" s="24" t="str">
        <f>IF(AND('[1]Mapa final'!$AB$30="Muy Alta",'[1]Mapa final'!$AD$30="Moderado"),CONCATENATE("R6C",'[1]Mapa final'!$R$30),"")</f>
        <v/>
      </c>
      <c r="AB11" s="22" t="str">
        <f>IF(AND('[1]Mapa final'!$AB$25="Muy Alta",'[1]Mapa final'!$AD$25="Mayor"),CONCATENATE("R6C",'[1]Mapa final'!$R$25),"")</f>
        <v/>
      </c>
      <c r="AC11" s="23" t="str">
        <f>IF(AND('[1]Mapa final'!$AB$26="Muy Alta",'[1]Mapa final'!$AD$26="Mayor"),CONCATENATE("R6C",'[1]Mapa final'!$R$26),"")</f>
        <v/>
      </c>
      <c r="AD11" s="23" t="str">
        <f>IF(AND('[1]Mapa final'!$AB$27="Muy Alta",'[1]Mapa final'!$AD$27="Mayor"),CONCATENATE("R6C",'[1]Mapa final'!$R$27),"")</f>
        <v/>
      </c>
      <c r="AE11" s="23" t="str">
        <f>IF(AND('[1]Mapa final'!$AB$28="Muy Alta",'[1]Mapa final'!$AD$28="Mayor"),CONCATENATE("R6C",'[1]Mapa final'!$R$28),"")</f>
        <v/>
      </c>
      <c r="AF11" s="23" t="str">
        <f>IF(AND('[1]Mapa final'!$AB$29="Muy Alta",'[1]Mapa final'!$AD$29="Mayor"),CONCATENATE("R6C",'[1]Mapa final'!$R$29),"")</f>
        <v/>
      </c>
      <c r="AG11" s="24" t="str">
        <f>IF(AND('[1]Mapa final'!$AB$30="Muy Alta",'[1]Mapa final'!$AD$30="Mayor"),CONCATENATE("R6C",'[1]Mapa final'!$R$30),"")</f>
        <v/>
      </c>
      <c r="AH11" s="25" t="str">
        <f>IF(AND('[1]Mapa final'!$AB$25="Muy Alta",'[1]Mapa final'!$AD$25="Catastrófico"),CONCATENATE("R6C",'[1]Mapa final'!$R$25),"")</f>
        <v/>
      </c>
      <c r="AI11" s="26" t="str">
        <f>IF(AND('[1]Mapa final'!$AB$26="Muy Alta",'[1]Mapa final'!$AD$26="Catastrófico"),CONCATENATE("R6C",'[1]Mapa final'!$R$26),"")</f>
        <v/>
      </c>
      <c r="AJ11" s="26" t="str">
        <f>IF(AND('[1]Mapa final'!$AB$27="Muy Alta",'[1]Mapa final'!$AD$27="Catastrófico"),CONCATENATE("R6C",'[1]Mapa final'!$R$27),"")</f>
        <v/>
      </c>
      <c r="AK11" s="26" t="str">
        <f>IF(AND('[1]Mapa final'!$AB$28="Muy Alta",'[1]Mapa final'!$AD$28="Catastrófico"),CONCATENATE("R6C",'[1]Mapa final'!$R$28),"")</f>
        <v/>
      </c>
      <c r="AL11" s="26" t="str">
        <f>IF(AND('[1]Mapa final'!$AB$29="Muy Alta",'[1]Mapa final'!$AD$29="Catastrófico"),CONCATENATE("R6C",'[1]Mapa final'!$R$29),"")</f>
        <v/>
      </c>
      <c r="AM11" s="27" t="str">
        <f>IF(AND('[1]Mapa final'!$AB$30="Muy Alta",'[1]Mapa final'!$AD$30="Catastrófico"),CONCATENATE("R6C",'[1]Mapa final'!$R$30),"")</f>
        <v/>
      </c>
      <c r="AN11" s="53"/>
      <c r="AO11" s="588"/>
      <c r="AP11" s="589"/>
      <c r="AQ11" s="589"/>
      <c r="AR11" s="589"/>
      <c r="AS11" s="589"/>
      <c r="AT11" s="590"/>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91" ht="15" customHeight="1" x14ac:dyDescent="0.3">
      <c r="A12" s="53"/>
      <c r="B12" s="571"/>
      <c r="C12" s="571"/>
      <c r="D12" s="572"/>
      <c r="E12" s="576"/>
      <c r="F12" s="577"/>
      <c r="G12" s="577"/>
      <c r="H12" s="577"/>
      <c r="I12" s="578"/>
      <c r="J12" s="22" t="str">
        <f>IF(AND('[1]Mapa final'!$AB$31="Muy Alta",'[1]Mapa final'!$AD$31="Leve"),CONCATENATE("R7C",'[1]Mapa final'!$R$31),"")</f>
        <v/>
      </c>
      <c r="K12" s="23" t="str">
        <f>IF(AND('[1]Mapa final'!$AB$32="Muy Alta",'[1]Mapa final'!$AD$32="Leve"),CONCATENATE("R7C",'[1]Mapa final'!$R$32),"")</f>
        <v/>
      </c>
      <c r="L12" s="23" t="str">
        <f>IF(AND('[1]Mapa final'!$AB$33="Muy Alta",'[1]Mapa final'!$AD$33="Leve"),CONCATENATE("R7C",'[1]Mapa final'!$R$33),"")</f>
        <v/>
      </c>
      <c r="M12" s="23" t="str">
        <f>IF(AND('[1]Mapa final'!$AB$34="Muy Alta",'[1]Mapa final'!$AD$34="Leve"),CONCATENATE("R7C",'[1]Mapa final'!$R$34),"")</f>
        <v/>
      </c>
      <c r="N12" s="23" t="str">
        <f>IF(AND('[1]Mapa final'!$AB$35="Muy Alta",'[1]Mapa final'!$AD$35="Leve"),CONCATENATE("R7C",'[1]Mapa final'!$R$35),"")</f>
        <v/>
      </c>
      <c r="O12" s="24" t="str">
        <f>IF(AND('[1]Mapa final'!$AB$36="Muy Alta",'[1]Mapa final'!$AD$36="Leve"),CONCATENATE("R7C",'[1]Mapa final'!$R$36),"")</f>
        <v/>
      </c>
      <c r="P12" s="22" t="str">
        <f>IF(AND('[1]Mapa final'!$AB$31="Muy Alta",'[1]Mapa final'!$AD$31="Menor"),CONCATENATE("R7C",'[1]Mapa final'!$R$31),"")</f>
        <v/>
      </c>
      <c r="Q12" s="23" t="str">
        <f>IF(AND('[1]Mapa final'!$AB$32="Muy Alta",'[1]Mapa final'!$AD$32="Menor"),CONCATENATE("R7C",'[1]Mapa final'!$R$32),"")</f>
        <v/>
      </c>
      <c r="R12" s="23" t="str">
        <f>IF(AND('[1]Mapa final'!$AB$33="Muy Alta",'[1]Mapa final'!$AD$33="Menor"),CONCATENATE("R7C",'[1]Mapa final'!$R$33),"")</f>
        <v/>
      </c>
      <c r="S12" s="23" t="str">
        <f>IF(AND('[1]Mapa final'!$AB$34="Muy Alta",'[1]Mapa final'!$AD$34="Menor"),CONCATENATE("R7C",'[1]Mapa final'!$R$34),"")</f>
        <v/>
      </c>
      <c r="T12" s="23" t="str">
        <f>IF(AND('[1]Mapa final'!$AB$35="Muy Alta",'[1]Mapa final'!$AD$35="Menor"),CONCATENATE("R7C",'[1]Mapa final'!$R$35),"")</f>
        <v/>
      </c>
      <c r="U12" s="24" t="str">
        <f>IF(AND('[1]Mapa final'!$AB$36="Muy Alta",'[1]Mapa final'!$AD$36="Menor"),CONCATENATE("R7C",'[1]Mapa final'!$R$36),"")</f>
        <v/>
      </c>
      <c r="V12" s="22" t="str">
        <f>IF(AND('[1]Mapa final'!$AB$31="Muy Alta",'[1]Mapa final'!$AD$31="Moderado"),CONCATENATE("R7C",'[1]Mapa final'!$R$31),"")</f>
        <v/>
      </c>
      <c r="W12" s="23" t="str">
        <f>IF(AND('[1]Mapa final'!$AB$32="Muy Alta",'[1]Mapa final'!$AD$32="Moderado"),CONCATENATE("R7C",'[1]Mapa final'!$R$32),"")</f>
        <v/>
      </c>
      <c r="X12" s="23" t="str">
        <f>IF(AND('[1]Mapa final'!$AB$33="Muy Alta",'[1]Mapa final'!$AD$33="Moderado"),CONCATENATE("R7C",'[1]Mapa final'!$R$33),"")</f>
        <v/>
      </c>
      <c r="Y12" s="23" t="str">
        <f>IF(AND('[1]Mapa final'!$AB$34="Muy Alta",'[1]Mapa final'!$AD$34="Moderado"),CONCATENATE("R7C",'[1]Mapa final'!$R$34),"")</f>
        <v/>
      </c>
      <c r="Z12" s="23" t="str">
        <f>IF(AND('[1]Mapa final'!$AB$35="Muy Alta",'[1]Mapa final'!$AD$35="Moderado"),CONCATENATE("R7C",'[1]Mapa final'!$R$35),"")</f>
        <v/>
      </c>
      <c r="AA12" s="24" t="str">
        <f>IF(AND('[1]Mapa final'!$AB$36="Muy Alta",'[1]Mapa final'!$AD$36="Moderado"),CONCATENATE("R7C",'[1]Mapa final'!$R$36),"")</f>
        <v/>
      </c>
      <c r="AB12" s="22" t="str">
        <f>IF(AND('[1]Mapa final'!$AB$31="Muy Alta",'[1]Mapa final'!$AD$31="Mayor"),CONCATENATE("R7C",'[1]Mapa final'!$R$31),"")</f>
        <v/>
      </c>
      <c r="AC12" s="23" t="str">
        <f>IF(AND('[1]Mapa final'!$AB$32="Muy Alta",'[1]Mapa final'!$AD$32="Mayor"),CONCATENATE("R7C",'[1]Mapa final'!$R$32),"")</f>
        <v/>
      </c>
      <c r="AD12" s="23" t="str">
        <f>IF(AND('[1]Mapa final'!$AB$33="Muy Alta",'[1]Mapa final'!$AD$33="Mayor"),CONCATENATE("R7C",'[1]Mapa final'!$R$33),"")</f>
        <v/>
      </c>
      <c r="AE12" s="23" t="str">
        <f>IF(AND('[1]Mapa final'!$AB$34="Muy Alta",'[1]Mapa final'!$AD$34="Mayor"),CONCATENATE("R7C",'[1]Mapa final'!$R$34),"")</f>
        <v/>
      </c>
      <c r="AF12" s="23" t="str">
        <f>IF(AND('[1]Mapa final'!$AB$35="Muy Alta",'[1]Mapa final'!$AD$35="Mayor"),CONCATENATE("R7C",'[1]Mapa final'!$R$35),"")</f>
        <v/>
      </c>
      <c r="AG12" s="24" t="str">
        <f>IF(AND('[1]Mapa final'!$AB$36="Muy Alta",'[1]Mapa final'!$AD$36="Mayor"),CONCATENATE("R7C",'[1]Mapa final'!$R$36),"")</f>
        <v/>
      </c>
      <c r="AH12" s="25" t="str">
        <f>IF(AND('[1]Mapa final'!$AB$31="Muy Alta",'[1]Mapa final'!$AD$31="Catastrófico"),CONCATENATE("R7C",'[1]Mapa final'!$R$31),"")</f>
        <v/>
      </c>
      <c r="AI12" s="26" t="str">
        <f>IF(AND('[1]Mapa final'!$AB$32="Muy Alta",'[1]Mapa final'!$AD$32="Catastrófico"),CONCATENATE("R7C",'[1]Mapa final'!$R$32),"")</f>
        <v/>
      </c>
      <c r="AJ12" s="26" t="str">
        <f>IF(AND('[1]Mapa final'!$AB$33="Muy Alta",'[1]Mapa final'!$AD$33="Catastrófico"),CONCATENATE("R7C",'[1]Mapa final'!$R$33),"")</f>
        <v/>
      </c>
      <c r="AK12" s="26" t="str">
        <f>IF(AND('[1]Mapa final'!$AB$34="Muy Alta",'[1]Mapa final'!$AD$34="Catastrófico"),CONCATENATE("R7C",'[1]Mapa final'!$R$34),"")</f>
        <v/>
      </c>
      <c r="AL12" s="26" t="str">
        <f>IF(AND('[1]Mapa final'!$AB$35="Muy Alta",'[1]Mapa final'!$AD$35="Catastrófico"),CONCATENATE("R7C",'[1]Mapa final'!$R$35),"")</f>
        <v/>
      </c>
      <c r="AM12" s="27" t="str">
        <f>IF(AND('[1]Mapa final'!$AB$36="Muy Alta",'[1]Mapa final'!$AD$36="Catastrófico"),CONCATENATE("R7C",'[1]Mapa final'!$R$36),"")</f>
        <v/>
      </c>
      <c r="AN12" s="53"/>
      <c r="AO12" s="588"/>
      <c r="AP12" s="589"/>
      <c r="AQ12" s="589"/>
      <c r="AR12" s="589"/>
      <c r="AS12" s="589"/>
      <c r="AT12" s="590"/>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row>
    <row r="13" spans="1:91" ht="15" customHeight="1" x14ac:dyDescent="0.3">
      <c r="A13" s="53"/>
      <c r="B13" s="571"/>
      <c r="C13" s="571"/>
      <c r="D13" s="572"/>
      <c r="E13" s="576"/>
      <c r="F13" s="577"/>
      <c r="G13" s="577"/>
      <c r="H13" s="577"/>
      <c r="I13" s="578"/>
      <c r="J13" s="22" t="str">
        <f>IF(AND('[1]Mapa final'!$AB$37="Muy Alta",'[1]Mapa final'!$AD$37="Leve"),CONCATENATE("R8C",'[1]Mapa final'!$R$37),"")</f>
        <v/>
      </c>
      <c r="K13" s="23" t="str">
        <f>IF(AND('[1]Mapa final'!$AB$38="Muy Alta",'[1]Mapa final'!$AD$38="Leve"),CONCATENATE("R8C",'[1]Mapa final'!$R$38),"")</f>
        <v/>
      </c>
      <c r="L13" s="23" t="str">
        <f>IF(AND('[1]Mapa final'!$AB$39="Muy Alta",'[1]Mapa final'!$AD$39="Leve"),CONCATENATE("R8C",'[1]Mapa final'!$R$39),"")</f>
        <v/>
      </c>
      <c r="M13" s="23" t="str">
        <f>IF(AND('[1]Mapa final'!$AB$40="Muy Alta",'[1]Mapa final'!$AD$40="Leve"),CONCATENATE("R8C",'[1]Mapa final'!$R$40),"")</f>
        <v/>
      </c>
      <c r="N13" s="23" t="str">
        <f>IF(AND('[1]Mapa final'!$AB$41="Muy Alta",'[1]Mapa final'!$AD$41="Leve"),CONCATENATE("R8C",'[1]Mapa final'!$R$41),"")</f>
        <v/>
      </c>
      <c r="O13" s="24" t="str">
        <f>IF(AND('[1]Mapa final'!$AB$42="Muy Alta",'[1]Mapa final'!$AD$42="Leve"),CONCATENATE("R8C",'[1]Mapa final'!$R$42),"")</f>
        <v/>
      </c>
      <c r="P13" s="22" t="str">
        <f>IF(AND('[1]Mapa final'!$AB$37="Muy Alta",'[1]Mapa final'!$AD$37="Menor"),CONCATENATE("R8C",'[1]Mapa final'!$R$37),"")</f>
        <v/>
      </c>
      <c r="Q13" s="23" t="str">
        <f>IF(AND('[1]Mapa final'!$AB$38="Muy Alta",'[1]Mapa final'!$AD$38="Menor"),CONCATENATE("R8C",'[1]Mapa final'!$R$38),"")</f>
        <v/>
      </c>
      <c r="R13" s="23" t="str">
        <f>IF(AND('[1]Mapa final'!$AB$39="Muy Alta",'[1]Mapa final'!$AD$39="Menor"),CONCATENATE("R8C",'[1]Mapa final'!$R$39),"")</f>
        <v/>
      </c>
      <c r="S13" s="23" t="str">
        <f>IF(AND('[1]Mapa final'!$AB$40="Muy Alta",'[1]Mapa final'!$AD$40="Menor"),CONCATENATE("R8C",'[1]Mapa final'!$R$40),"")</f>
        <v/>
      </c>
      <c r="T13" s="23" t="str">
        <f>IF(AND('[1]Mapa final'!$AB$41="Muy Alta",'[1]Mapa final'!$AD$41="Menor"),CONCATENATE("R8C",'[1]Mapa final'!$R$41),"")</f>
        <v/>
      </c>
      <c r="U13" s="24" t="str">
        <f>IF(AND('[1]Mapa final'!$AB$42="Muy Alta",'[1]Mapa final'!$AD$42="Menor"),CONCATENATE("R8C",'[1]Mapa final'!$R$42),"")</f>
        <v/>
      </c>
      <c r="V13" s="22" t="str">
        <f>IF(AND('[1]Mapa final'!$AB$37="Muy Alta",'[1]Mapa final'!$AD$37="Moderado"),CONCATENATE("R8C",'[1]Mapa final'!$R$37),"")</f>
        <v/>
      </c>
      <c r="W13" s="23" t="str">
        <f>IF(AND('[1]Mapa final'!$AB$38="Muy Alta",'[1]Mapa final'!$AD$38="Moderado"),CONCATENATE("R8C",'[1]Mapa final'!$R$38),"")</f>
        <v/>
      </c>
      <c r="X13" s="23" t="str">
        <f>IF(AND('[1]Mapa final'!$AB$39="Muy Alta",'[1]Mapa final'!$AD$39="Moderado"),CONCATENATE("R8C",'[1]Mapa final'!$R$39),"")</f>
        <v/>
      </c>
      <c r="Y13" s="23" t="str">
        <f>IF(AND('[1]Mapa final'!$AB$40="Muy Alta",'[1]Mapa final'!$AD$40="Moderado"),CONCATENATE("R8C",'[1]Mapa final'!$R$40),"")</f>
        <v/>
      </c>
      <c r="Z13" s="23" t="str">
        <f>IF(AND('[1]Mapa final'!$AB$41="Muy Alta",'[1]Mapa final'!$AD$41="Moderado"),CONCATENATE("R8C",'[1]Mapa final'!$R$41),"")</f>
        <v/>
      </c>
      <c r="AA13" s="24" t="str">
        <f>IF(AND('[1]Mapa final'!$AB$42="Muy Alta",'[1]Mapa final'!$AD$42="Moderado"),CONCATENATE("R8C",'[1]Mapa final'!$R$42),"")</f>
        <v/>
      </c>
      <c r="AB13" s="22" t="str">
        <f>IF(AND('[1]Mapa final'!$AB$37="Muy Alta",'[1]Mapa final'!$AD$37="Mayor"),CONCATENATE("R8C",'[1]Mapa final'!$R$37),"")</f>
        <v/>
      </c>
      <c r="AC13" s="23" t="str">
        <f>IF(AND('[1]Mapa final'!$AB$38="Muy Alta",'[1]Mapa final'!$AD$38="Mayor"),CONCATENATE("R8C",'[1]Mapa final'!$R$38),"")</f>
        <v/>
      </c>
      <c r="AD13" s="23" t="str">
        <f>IF(AND('[1]Mapa final'!$AB$39="Muy Alta",'[1]Mapa final'!$AD$39="Mayor"),CONCATENATE("R8C",'[1]Mapa final'!$R$39),"")</f>
        <v/>
      </c>
      <c r="AE13" s="23" t="str">
        <f>IF(AND('[1]Mapa final'!$AB$40="Muy Alta",'[1]Mapa final'!$AD$40="Mayor"),CONCATENATE("R8C",'[1]Mapa final'!$R$40),"")</f>
        <v/>
      </c>
      <c r="AF13" s="23" t="str">
        <f>IF(AND('[1]Mapa final'!$AB$41="Muy Alta",'[1]Mapa final'!$AD$41="Mayor"),CONCATENATE("R8C",'[1]Mapa final'!$R$41),"")</f>
        <v/>
      </c>
      <c r="AG13" s="24" t="str">
        <f>IF(AND('[1]Mapa final'!$AB$42="Muy Alta",'[1]Mapa final'!$AD$42="Mayor"),CONCATENATE("R8C",'[1]Mapa final'!$R$42),"")</f>
        <v/>
      </c>
      <c r="AH13" s="25" t="str">
        <f>IF(AND('[1]Mapa final'!$AB$37="Muy Alta",'[1]Mapa final'!$AD$37="Catastrófico"),CONCATENATE("R8C",'[1]Mapa final'!$R$37),"")</f>
        <v/>
      </c>
      <c r="AI13" s="26" t="str">
        <f>IF(AND('[1]Mapa final'!$AB$38="Muy Alta",'[1]Mapa final'!$AD$38="Catastrófico"),CONCATENATE("R8C",'[1]Mapa final'!$R$38),"")</f>
        <v/>
      </c>
      <c r="AJ13" s="26" t="str">
        <f>IF(AND('[1]Mapa final'!$AB$39="Muy Alta",'[1]Mapa final'!$AD$39="Catastrófico"),CONCATENATE("R8C",'[1]Mapa final'!$R$39),"")</f>
        <v/>
      </c>
      <c r="AK13" s="26" t="str">
        <f>IF(AND('[1]Mapa final'!$AB$40="Muy Alta",'[1]Mapa final'!$AD$40="Catastrófico"),CONCATENATE("R8C",'[1]Mapa final'!$R$40),"")</f>
        <v/>
      </c>
      <c r="AL13" s="26" t="str">
        <f>IF(AND('[1]Mapa final'!$AB$41="Muy Alta",'[1]Mapa final'!$AD$41="Catastrófico"),CONCATENATE("R8C",'[1]Mapa final'!$R$41),"")</f>
        <v/>
      </c>
      <c r="AM13" s="27" t="str">
        <f>IF(AND('[1]Mapa final'!$AB$42="Muy Alta",'[1]Mapa final'!$AD$42="Catastrófico"),CONCATENATE("R8C",'[1]Mapa final'!$R$42),"")</f>
        <v/>
      </c>
      <c r="AN13" s="53"/>
      <c r="AO13" s="588"/>
      <c r="AP13" s="589"/>
      <c r="AQ13" s="589"/>
      <c r="AR13" s="589"/>
      <c r="AS13" s="589"/>
      <c r="AT13" s="590"/>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91" ht="15" customHeight="1" x14ac:dyDescent="0.3">
      <c r="A14" s="53"/>
      <c r="B14" s="571"/>
      <c r="C14" s="571"/>
      <c r="D14" s="572"/>
      <c r="E14" s="576"/>
      <c r="F14" s="577"/>
      <c r="G14" s="577"/>
      <c r="H14" s="577"/>
      <c r="I14" s="578"/>
      <c r="J14" s="22" t="str">
        <f>IF(AND('[1]Mapa final'!$AB$43="Muy Alta",'[1]Mapa final'!$AD$43="Leve"),CONCATENATE("R9C",'[1]Mapa final'!$R$43),"")</f>
        <v/>
      </c>
      <c r="K14" s="23" t="str">
        <f>IF(AND('[1]Mapa final'!$AB$44="Muy Alta",'[1]Mapa final'!$AD$44="Leve"),CONCATENATE("R9C",'[1]Mapa final'!$R$44),"")</f>
        <v/>
      </c>
      <c r="L14" s="23" t="str">
        <f>IF(AND('[1]Mapa final'!$AB$45="Muy Alta",'[1]Mapa final'!$AD$45="Leve"),CONCATENATE("R9C",'[1]Mapa final'!$R$45),"")</f>
        <v/>
      </c>
      <c r="M14" s="23" t="str">
        <f>IF(AND('[1]Mapa final'!$AB$46="Muy Alta",'[1]Mapa final'!$AD$46="Leve"),CONCATENATE("R9C",'[1]Mapa final'!$R$46),"")</f>
        <v/>
      </c>
      <c r="N14" s="23" t="str">
        <f>IF(AND('[1]Mapa final'!$AB$47="Muy Alta",'[1]Mapa final'!$AD$47="Leve"),CONCATENATE("R9C",'[1]Mapa final'!$R$47),"")</f>
        <v/>
      </c>
      <c r="O14" s="24" t="str">
        <f>IF(AND('[1]Mapa final'!$AB$48="Muy Alta",'[1]Mapa final'!$AD$48="Leve"),CONCATENATE("R9C",'[1]Mapa final'!$R$48),"")</f>
        <v/>
      </c>
      <c r="P14" s="22" t="str">
        <f>IF(AND('[1]Mapa final'!$AB$43="Muy Alta",'[1]Mapa final'!$AD$43="Menor"),CONCATENATE("R9C",'[1]Mapa final'!$R$43),"")</f>
        <v/>
      </c>
      <c r="Q14" s="23" t="str">
        <f>IF(AND('[1]Mapa final'!$AB$44="Muy Alta",'[1]Mapa final'!$AD$44="Menor"),CONCATENATE("R9C",'[1]Mapa final'!$R$44),"")</f>
        <v/>
      </c>
      <c r="R14" s="23" t="str">
        <f>IF(AND('[1]Mapa final'!$AB$45="Muy Alta",'[1]Mapa final'!$AD$45="Menor"),CONCATENATE("R9C",'[1]Mapa final'!$R$45),"")</f>
        <v/>
      </c>
      <c r="S14" s="23" t="str">
        <f>IF(AND('[1]Mapa final'!$AB$46="Muy Alta",'[1]Mapa final'!$AD$46="Menor"),CONCATENATE("R9C",'[1]Mapa final'!$R$46),"")</f>
        <v/>
      </c>
      <c r="T14" s="23" t="str">
        <f>IF(AND('[1]Mapa final'!$AB$47="Muy Alta",'[1]Mapa final'!$AD$47="Menor"),CONCATENATE("R9C",'[1]Mapa final'!$R$47),"")</f>
        <v/>
      </c>
      <c r="U14" s="24" t="str">
        <f>IF(AND('[1]Mapa final'!$AB$48="Muy Alta",'[1]Mapa final'!$AD$48="Menor"),CONCATENATE("R9C",'[1]Mapa final'!$R$48),"")</f>
        <v/>
      </c>
      <c r="V14" s="22" t="str">
        <f>IF(AND('[1]Mapa final'!$AB$43="Muy Alta",'[1]Mapa final'!$AD$43="Moderado"),CONCATENATE("R9C",'[1]Mapa final'!$R$43),"")</f>
        <v/>
      </c>
      <c r="W14" s="23" t="str">
        <f>IF(AND('[1]Mapa final'!$AB$44="Muy Alta",'[1]Mapa final'!$AD$44="Moderado"),CONCATENATE("R9C",'[1]Mapa final'!$R$44),"")</f>
        <v/>
      </c>
      <c r="X14" s="23" t="str">
        <f>IF(AND('[1]Mapa final'!$AB$45="Muy Alta",'[1]Mapa final'!$AD$45="Moderado"),CONCATENATE("R9C",'[1]Mapa final'!$R$45),"")</f>
        <v/>
      </c>
      <c r="Y14" s="23" t="str">
        <f>IF(AND('[1]Mapa final'!$AB$46="Muy Alta",'[1]Mapa final'!$AD$46="Moderado"),CONCATENATE("R9C",'[1]Mapa final'!$R$46),"")</f>
        <v/>
      </c>
      <c r="Z14" s="23" t="str">
        <f>IF(AND('[1]Mapa final'!$AB$47="Muy Alta",'[1]Mapa final'!$AD$47="Moderado"),CONCATENATE("R9C",'[1]Mapa final'!$R$47),"")</f>
        <v/>
      </c>
      <c r="AA14" s="24" t="str">
        <f>IF(AND('[1]Mapa final'!$AB$48="Muy Alta",'[1]Mapa final'!$AD$48="Moderado"),CONCATENATE("R9C",'[1]Mapa final'!$R$48),"")</f>
        <v/>
      </c>
      <c r="AB14" s="22" t="str">
        <f>IF(AND('[1]Mapa final'!$AB$43="Muy Alta",'[1]Mapa final'!$AD$43="Mayor"),CONCATENATE("R9C",'[1]Mapa final'!$R$43),"")</f>
        <v/>
      </c>
      <c r="AC14" s="23" t="str">
        <f>IF(AND('[1]Mapa final'!$AB$44="Muy Alta",'[1]Mapa final'!$AD$44="Mayor"),CONCATENATE("R9C",'[1]Mapa final'!$R$44),"")</f>
        <v/>
      </c>
      <c r="AD14" s="23" t="str">
        <f>IF(AND('[1]Mapa final'!$AB$45="Muy Alta",'[1]Mapa final'!$AD$45="Mayor"),CONCATENATE("R9C",'[1]Mapa final'!$R$45),"")</f>
        <v/>
      </c>
      <c r="AE14" s="23" t="str">
        <f>IF(AND('[1]Mapa final'!$AB$46="Muy Alta",'[1]Mapa final'!$AD$46="Mayor"),CONCATENATE("R9C",'[1]Mapa final'!$R$46),"")</f>
        <v/>
      </c>
      <c r="AF14" s="23" t="str">
        <f>IF(AND('[1]Mapa final'!$AB$47="Muy Alta",'[1]Mapa final'!$AD$47="Mayor"),CONCATENATE("R9C",'[1]Mapa final'!$R$47),"")</f>
        <v/>
      </c>
      <c r="AG14" s="24" t="str">
        <f>IF(AND('[1]Mapa final'!$AB$48="Muy Alta",'[1]Mapa final'!$AD$48="Mayor"),CONCATENATE("R9C",'[1]Mapa final'!$R$48),"")</f>
        <v/>
      </c>
      <c r="AH14" s="25" t="str">
        <f>IF(AND('[1]Mapa final'!$AB$43="Muy Alta",'[1]Mapa final'!$AD$43="Catastrófico"),CONCATENATE("R9C",'[1]Mapa final'!$R$43),"")</f>
        <v/>
      </c>
      <c r="AI14" s="26" t="str">
        <f>IF(AND('[1]Mapa final'!$AB$44="Muy Alta",'[1]Mapa final'!$AD$44="Catastrófico"),CONCATENATE("R9C",'[1]Mapa final'!$R$44),"")</f>
        <v/>
      </c>
      <c r="AJ14" s="26" t="str">
        <f>IF(AND('[1]Mapa final'!$AB$45="Muy Alta",'[1]Mapa final'!$AD$45="Catastrófico"),CONCATENATE("R9C",'[1]Mapa final'!$R$45),"")</f>
        <v/>
      </c>
      <c r="AK14" s="26" t="str">
        <f>IF(AND('[1]Mapa final'!$AB$46="Muy Alta",'[1]Mapa final'!$AD$46="Catastrófico"),CONCATENATE("R9C",'[1]Mapa final'!$R$46),"")</f>
        <v/>
      </c>
      <c r="AL14" s="26" t="str">
        <f>IF(AND('[1]Mapa final'!$AB$47="Muy Alta",'[1]Mapa final'!$AD$47="Catastrófico"),CONCATENATE("R9C",'[1]Mapa final'!$R$47),"")</f>
        <v/>
      </c>
      <c r="AM14" s="27" t="str">
        <f>IF(AND('[1]Mapa final'!$AB$48="Muy Alta",'[1]Mapa final'!$AD$48="Catastrófico"),CONCATENATE("R9C",'[1]Mapa final'!$R$48),"")</f>
        <v/>
      </c>
      <c r="AN14" s="53"/>
      <c r="AO14" s="588"/>
      <c r="AP14" s="589"/>
      <c r="AQ14" s="589"/>
      <c r="AR14" s="589"/>
      <c r="AS14" s="589"/>
      <c r="AT14" s="590"/>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91" ht="15.75" customHeight="1" thickBot="1" x14ac:dyDescent="0.35">
      <c r="A15" s="53"/>
      <c r="B15" s="571"/>
      <c r="C15" s="571"/>
      <c r="D15" s="572"/>
      <c r="E15" s="579"/>
      <c r="F15" s="580"/>
      <c r="G15" s="580"/>
      <c r="H15" s="580"/>
      <c r="I15" s="581"/>
      <c r="J15" s="28" t="str">
        <f>IF(AND('[1]Mapa final'!$AB$49="Muy Alta",'[1]Mapa final'!$AD$49="Leve"),CONCATENATE("R10C",'[1]Mapa final'!$R$49),"")</f>
        <v/>
      </c>
      <c r="K15" s="29" t="str">
        <f>IF(AND('[1]Mapa final'!$AB$50="Muy Alta",'[1]Mapa final'!$AD$50="Leve"),CONCATENATE("R10C",'[1]Mapa final'!$R$50),"")</f>
        <v/>
      </c>
      <c r="L15" s="29" t="str">
        <f>IF(AND('[1]Mapa final'!$AB$51="Muy Alta",'[1]Mapa final'!$AD$51="Leve"),CONCATENATE("R10C",'[1]Mapa final'!$R$51),"")</f>
        <v/>
      </c>
      <c r="M15" s="29" t="str">
        <f>IF(AND('[1]Mapa final'!$AB$52="Muy Alta",'[1]Mapa final'!$AD$52="Leve"),CONCATENATE("R10C",'[1]Mapa final'!$R$52),"")</f>
        <v/>
      </c>
      <c r="N15" s="29" t="str">
        <f>IF(AND('[1]Mapa final'!$AB$53="Muy Alta",'[1]Mapa final'!$AD$53="Leve"),CONCATENATE("R10C",'[1]Mapa final'!$R$53),"")</f>
        <v/>
      </c>
      <c r="O15" s="30" t="str">
        <f>IF(AND('[1]Mapa final'!$AB$54="Muy Alta",'[1]Mapa final'!$AD$54="Leve"),CONCATENATE("R10C",'[1]Mapa final'!$R$54),"")</f>
        <v/>
      </c>
      <c r="P15" s="22" t="str">
        <f>IF(AND('[1]Mapa final'!$AB$49="Muy Alta",'[1]Mapa final'!$AD$49="Menor"),CONCATENATE("R10C",'[1]Mapa final'!$R$49),"")</f>
        <v/>
      </c>
      <c r="Q15" s="23" t="str">
        <f>IF(AND('[1]Mapa final'!$AB$50="Muy Alta",'[1]Mapa final'!$AD$50="Menor"),CONCATENATE("R10C",'[1]Mapa final'!$R$50),"")</f>
        <v/>
      </c>
      <c r="R15" s="23" t="str">
        <f>IF(AND('[1]Mapa final'!$AB$51="Muy Alta",'[1]Mapa final'!$AD$51="Menor"),CONCATENATE("R10C",'[1]Mapa final'!$R$51),"")</f>
        <v/>
      </c>
      <c r="S15" s="23" t="str">
        <f>IF(AND('[1]Mapa final'!$AB$52="Muy Alta",'[1]Mapa final'!$AD$52="Menor"),CONCATENATE("R10C",'[1]Mapa final'!$R$52),"")</f>
        <v/>
      </c>
      <c r="T15" s="23" t="str">
        <f>IF(AND('[1]Mapa final'!$AB$53="Muy Alta",'[1]Mapa final'!$AD$53="Menor"),CONCATENATE("R10C",'[1]Mapa final'!$R$53),"")</f>
        <v/>
      </c>
      <c r="U15" s="24" t="str">
        <f>IF(AND('[1]Mapa final'!$AB$54="Muy Alta",'[1]Mapa final'!$AD$54="Menor"),CONCATENATE("R10C",'[1]Mapa final'!$R$54),"")</f>
        <v/>
      </c>
      <c r="V15" s="28" t="str">
        <f>IF(AND('[1]Mapa final'!$AB$49="Muy Alta",'[1]Mapa final'!$AD$49="Moderado"),CONCATENATE("R10C",'[1]Mapa final'!$R$49),"")</f>
        <v/>
      </c>
      <c r="W15" s="29" t="str">
        <f>IF(AND('[1]Mapa final'!$AB$50="Muy Alta",'[1]Mapa final'!$AD$50="Moderado"),CONCATENATE("R10C",'[1]Mapa final'!$R$50),"")</f>
        <v/>
      </c>
      <c r="X15" s="29" t="str">
        <f>IF(AND('[1]Mapa final'!$AB$51="Muy Alta",'[1]Mapa final'!$AD$51="Moderado"),CONCATENATE("R10C",'[1]Mapa final'!$R$51),"")</f>
        <v/>
      </c>
      <c r="Y15" s="29" t="str">
        <f>IF(AND('[1]Mapa final'!$AB$52="Muy Alta",'[1]Mapa final'!$AD$52="Moderado"),CONCATENATE("R10C",'[1]Mapa final'!$R$52),"")</f>
        <v/>
      </c>
      <c r="Z15" s="29" t="str">
        <f>IF(AND('[1]Mapa final'!$AB$53="Muy Alta",'[1]Mapa final'!$AD$53="Moderado"),CONCATENATE("R10C",'[1]Mapa final'!$R$53),"")</f>
        <v/>
      </c>
      <c r="AA15" s="30" t="str">
        <f>IF(AND('[1]Mapa final'!$AB$54="Muy Alta",'[1]Mapa final'!$AD$54="Moderado"),CONCATENATE("R10C",'[1]Mapa final'!$R$54),"")</f>
        <v/>
      </c>
      <c r="AB15" s="22" t="str">
        <f>IF(AND('[1]Mapa final'!$AB$49="Muy Alta",'[1]Mapa final'!$AD$49="Mayor"),CONCATENATE("R10C",'[1]Mapa final'!$R$49),"")</f>
        <v/>
      </c>
      <c r="AC15" s="23" t="str">
        <f>IF(AND('[1]Mapa final'!$AB$50="Muy Alta",'[1]Mapa final'!$AD$50="Mayor"),CONCATENATE("R10C",'[1]Mapa final'!$R$50),"")</f>
        <v/>
      </c>
      <c r="AD15" s="23" t="str">
        <f>IF(AND('[1]Mapa final'!$AB$51="Muy Alta",'[1]Mapa final'!$AD$51="Mayor"),CONCATENATE("R10C",'[1]Mapa final'!$R$51),"")</f>
        <v/>
      </c>
      <c r="AE15" s="23" t="str">
        <f>IF(AND('[1]Mapa final'!$AB$52="Muy Alta",'[1]Mapa final'!$AD$52="Mayor"),CONCATENATE("R10C",'[1]Mapa final'!$R$52),"")</f>
        <v/>
      </c>
      <c r="AF15" s="23" t="str">
        <f>IF(AND('[1]Mapa final'!$AB$53="Muy Alta",'[1]Mapa final'!$AD$53="Mayor"),CONCATENATE("R10C",'[1]Mapa final'!$R$53),"")</f>
        <v/>
      </c>
      <c r="AG15" s="24" t="str">
        <f>IF(AND('[1]Mapa final'!$AB$54="Muy Alta",'[1]Mapa final'!$AD$54="Mayor"),CONCATENATE("R10C",'[1]Mapa final'!$R$54),"")</f>
        <v/>
      </c>
      <c r="AH15" s="31" t="str">
        <f>IF(AND('[1]Mapa final'!$AB$49="Muy Alta",'[1]Mapa final'!$AD$49="Catastrófico"),CONCATENATE("R10C",'[1]Mapa final'!$R$49),"")</f>
        <v/>
      </c>
      <c r="AI15" s="32" t="str">
        <f>IF(AND('[1]Mapa final'!$AB$50="Muy Alta",'[1]Mapa final'!$AD$50="Catastrófico"),CONCATENATE("R10C",'[1]Mapa final'!$R$50),"")</f>
        <v/>
      </c>
      <c r="AJ15" s="32" t="str">
        <f>IF(AND('[1]Mapa final'!$AB$51="Muy Alta",'[1]Mapa final'!$AD$51="Catastrófico"),CONCATENATE("R10C",'[1]Mapa final'!$R$51),"")</f>
        <v/>
      </c>
      <c r="AK15" s="32" t="str">
        <f>IF(AND('[1]Mapa final'!$AB$52="Muy Alta",'[1]Mapa final'!$AD$52="Catastrófico"),CONCATENATE("R10C",'[1]Mapa final'!$R$52),"")</f>
        <v/>
      </c>
      <c r="AL15" s="32" t="str">
        <f>IF(AND('[1]Mapa final'!$AB$53="Muy Alta",'[1]Mapa final'!$AD$53="Catastrófico"),CONCATENATE("R10C",'[1]Mapa final'!$R$53),"")</f>
        <v/>
      </c>
      <c r="AM15" s="33" t="str">
        <f>IF(AND('[1]Mapa final'!$AB$54="Muy Alta",'[1]Mapa final'!$AD$54="Catastrófico"),CONCATENATE("R10C",'[1]Mapa final'!$R$54),"")</f>
        <v/>
      </c>
      <c r="AN15" s="53"/>
      <c r="AO15" s="591"/>
      <c r="AP15" s="592"/>
      <c r="AQ15" s="592"/>
      <c r="AR15" s="592"/>
      <c r="AS15" s="592"/>
      <c r="AT15" s="59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91" ht="15" customHeight="1" x14ac:dyDescent="0.3">
      <c r="A16" s="53"/>
      <c r="B16" s="571"/>
      <c r="C16" s="571"/>
      <c r="D16" s="572"/>
      <c r="E16" s="573" t="s">
        <v>110</v>
      </c>
      <c r="F16" s="574"/>
      <c r="G16" s="574"/>
      <c r="H16" s="574"/>
      <c r="I16" s="574"/>
      <c r="J16" s="34" t="str">
        <f>IF(AND('[1]Mapa final'!$AB$10="Alta",'[1]Mapa final'!$AD$10="Leve"),CONCATENATE("R1C",'[1]Mapa final'!$R$10),"")</f>
        <v/>
      </c>
      <c r="K16" s="35" t="str">
        <f>IF(AND('[1]Mapa final'!$AB$11="Alta",'[1]Mapa final'!$AD$11="Leve"),CONCATENATE("R1C",'[1]Mapa final'!$R$11),"")</f>
        <v/>
      </c>
      <c r="L16" s="35" t="str">
        <f>IF(AND('[1]Mapa final'!$AB$12="Alta",'[1]Mapa final'!$AD$12="Leve"),CONCATENATE("R1C",'[1]Mapa final'!$R$12),"")</f>
        <v/>
      </c>
      <c r="M16" s="35" t="str">
        <f>IF(AND('[1]Mapa final'!$AB$13="Alta",'[1]Mapa final'!$AD$13="Leve"),CONCATENATE("R1C",'[1]Mapa final'!$R$13),"")</f>
        <v/>
      </c>
      <c r="N16" s="35" t="str">
        <f>IF(AND('[1]Mapa final'!$AB$14="Alta",'[1]Mapa final'!$AD$14="Leve"),CONCATENATE("R1C",'[1]Mapa final'!$R$14),"")</f>
        <v/>
      </c>
      <c r="O16" s="36" t="e">
        <f>IF(AND('[1]Mapa final'!#REF!="Alta",'[1]Mapa final'!#REF!="Leve"),CONCATENATE("R1C",'[1]Mapa final'!#REF!),"")</f>
        <v>#REF!</v>
      </c>
      <c r="P16" s="34" t="str">
        <f>IF(AND('[1]Mapa final'!$AB$10="Alta",'[1]Mapa final'!$AD$10="Menor"),CONCATENATE("R1C",'[1]Mapa final'!$R$10),"")</f>
        <v/>
      </c>
      <c r="Q16" s="35" t="str">
        <f>IF(AND('[1]Mapa final'!$AB$11="Alta",'[1]Mapa final'!$AD$11="Menor"),CONCATENATE("R1C",'[1]Mapa final'!$R$11),"")</f>
        <v/>
      </c>
      <c r="R16" s="35" t="str">
        <f>IF(AND('[1]Mapa final'!$AB$12="Alta",'[1]Mapa final'!$AD$12="Menor"),CONCATENATE("R1C",'[1]Mapa final'!$R$12),"")</f>
        <v/>
      </c>
      <c r="S16" s="35" t="str">
        <f>IF(AND('[1]Mapa final'!$AB$13="Alta",'[1]Mapa final'!$AD$13="Menor"),CONCATENATE("R1C",'[1]Mapa final'!$R$13),"")</f>
        <v/>
      </c>
      <c r="T16" s="35" t="str">
        <f>IF(AND('[1]Mapa final'!$AB$14="Alta",'[1]Mapa final'!$AD$14="Menor"),CONCATENATE("R1C",'[1]Mapa final'!$R$14),"")</f>
        <v/>
      </c>
      <c r="U16" s="36" t="e">
        <f>IF(AND('[1]Mapa final'!#REF!="Alta",'[1]Mapa final'!#REF!="Menor"),CONCATENATE("R1C",'[1]Mapa final'!#REF!),"")</f>
        <v>#REF!</v>
      </c>
      <c r="V16" s="16" t="str">
        <f>IF(AND('[1]Mapa final'!$AB$10="Alta",'[1]Mapa final'!$AD$10="Moderado"),CONCATENATE("R1C",'[1]Mapa final'!$R$10),"")</f>
        <v/>
      </c>
      <c r="W16" s="17" t="str">
        <f>IF(AND('[1]Mapa final'!$AB$11="Alta",'[1]Mapa final'!$AD$11="Moderado"),CONCATENATE("R1C",'[1]Mapa final'!$R$11),"")</f>
        <v/>
      </c>
      <c r="X16" s="17" t="str">
        <f>IF(AND('[1]Mapa final'!$AB$12="Alta",'[1]Mapa final'!$AD$12="Moderado"),CONCATENATE("R1C",'[1]Mapa final'!$R$12),"")</f>
        <v/>
      </c>
      <c r="Y16" s="17" t="str">
        <f>IF(AND('[1]Mapa final'!$AB$13="Alta",'[1]Mapa final'!$AD$13="Moderado"),CONCATENATE("R1C",'[1]Mapa final'!$R$13),"")</f>
        <v/>
      </c>
      <c r="Z16" s="17" t="str">
        <f>IF(AND('[1]Mapa final'!$AB$14="Alta",'[1]Mapa final'!$AD$14="Moderado"),CONCATENATE("R1C",'[1]Mapa final'!$R$14),"")</f>
        <v/>
      </c>
      <c r="AA16" s="18" t="e">
        <f>IF(AND('[1]Mapa final'!#REF!="Alta",'[1]Mapa final'!#REF!="Moderado"),CONCATENATE("R1C",'[1]Mapa final'!#REF!),"")</f>
        <v>#REF!</v>
      </c>
      <c r="AB16" s="16" t="str">
        <f>IF(AND('[1]Mapa final'!$AB$10="Alta",'[1]Mapa final'!$AD$10="Mayor"),CONCATENATE("R1C",'[1]Mapa final'!$R$10),"")</f>
        <v/>
      </c>
      <c r="AC16" s="17" t="str">
        <f>IF(AND('[1]Mapa final'!$AB$11="Alta",'[1]Mapa final'!$AD$11="Mayor"),CONCATENATE("R1C",'[1]Mapa final'!$R$11),"")</f>
        <v/>
      </c>
      <c r="AD16" s="17" t="str">
        <f>IF(AND('[1]Mapa final'!$AB$12="Alta",'[1]Mapa final'!$AD$12="Mayor"),CONCATENATE("R1C",'[1]Mapa final'!$R$12),"")</f>
        <v/>
      </c>
      <c r="AE16" s="17" t="str">
        <f>IF(AND('[1]Mapa final'!$AB$13="Alta",'[1]Mapa final'!$AD$13="Mayor"),CONCATENATE("R1C",'[1]Mapa final'!$R$13),"")</f>
        <v/>
      </c>
      <c r="AF16" s="17" t="str">
        <f>IF(AND('[1]Mapa final'!$AB$14="Alta",'[1]Mapa final'!$AD$14="Mayor"),CONCATENATE("R1C",'[1]Mapa final'!$R$14),"")</f>
        <v/>
      </c>
      <c r="AG16" s="18" t="e">
        <f>IF(AND('[1]Mapa final'!#REF!="Alta",'[1]Mapa final'!#REF!="Mayor"),CONCATENATE("R1C",'[1]Mapa final'!#REF!),"")</f>
        <v>#REF!</v>
      </c>
      <c r="AH16" s="19" t="str">
        <f>IF(AND('[1]Mapa final'!$AB$10="Alta",'[1]Mapa final'!$AD$10="Catastrófico"),CONCATENATE("R1C",'[1]Mapa final'!$R$10),"")</f>
        <v/>
      </c>
      <c r="AI16" s="20" t="str">
        <f>IF(AND('[1]Mapa final'!$AB$11="Alta",'[1]Mapa final'!$AD$11="Catastrófico"),CONCATENATE("R1C",'[1]Mapa final'!$R$11),"")</f>
        <v/>
      </c>
      <c r="AJ16" s="20" t="str">
        <f>IF(AND('[1]Mapa final'!$AB$12="Alta",'[1]Mapa final'!$AD$12="Catastrófico"),CONCATENATE("R1C",'[1]Mapa final'!$R$12),"")</f>
        <v/>
      </c>
      <c r="AK16" s="20" t="str">
        <f>IF(AND('[1]Mapa final'!$AB$13="Alta",'[1]Mapa final'!$AD$13="Catastrófico"),CONCATENATE("R1C",'[1]Mapa final'!$R$13),"")</f>
        <v/>
      </c>
      <c r="AL16" s="20" t="str">
        <f>IF(AND('[1]Mapa final'!$AB$14="Alta",'[1]Mapa final'!$AD$14="Catastrófico"),CONCATENATE("R1C",'[1]Mapa final'!$R$14),"")</f>
        <v/>
      </c>
      <c r="AM16" s="21" t="e">
        <f>IF(AND('[1]Mapa final'!#REF!="Alta",'[1]Mapa final'!#REF!="Catastrófico"),CONCATENATE("R1C",'[1]Mapa final'!#REF!),"")</f>
        <v>#REF!</v>
      </c>
      <c r="AN16" s="53"/>
      <c r="AO16" s="595" t="s">
        <v>79</v>
      </c>
      <c r="AP16" s="596"/>
      <c r="AQ16" s="596"/>
      <c r="AR16" s="596"/>
      <c r="AS16" s="596"/>
      <c r="AT16" s="597"/>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15" customHeight="1" x14ac:dyDescent="0.3">
      <c r="A17" s="53"/>
      <c r="B17" s="571"/>
      <c r="C17" s="571"/>
      <c r="D17" s="572"/>
      <c r="E17" s="594"/>
      <c r="F17" s="577"/>
      <c r="G17" s="577"/>
      <c r="H17" s="577"/>
      <c r="I17" s="577"/>
      <c r="J17" s="37" t="str">
        <f>IF(AND('[1]Mapa final'!$AB$15="Alta",'[1]Mapa final'!$AD$15="Leve"),CONCATENATE("R2C",'[1]Mapa final'!$R$15),"")</f>
        <v/>
      </c>
      <c r="K17" s="38" t="str">
        <f>IF(AND('[1]Mapa final'!$AB$16="Alta",'[1]Mapa final'!$AD$16="Leve"),CONCATENATE("R2C",'[1]Mapa final'!$R$16),"")</f>
        <v/>
      </c>
      <c r="L17" s="38" t="e">
        <f>IF(AND('[1]Mapa final'!#REF!="Alta",'[1]Mapa final'!#REF!="Leve"),CONCATENATE("R2C",'[1]Mapa final'!$R$17),"")</f>
        <v>#REF!</v>
      </c>
      <c r="M17" s="38" t="e">
        <f>IF(AND('[1]Mapa final'!#REF!="Alta",'[1]Mapa final'!#REF!="Leve"),CONCATENATE("R2C",'[1]Mapa final'!#REF!),"")</f>
        <v>#REF!</v>
      </c>
      <c r="N17" s="38" t="e">
        <f>IF(AND('[1]Mapa final'!#REF!="Alta",'[1]Mapa final'!#REF!="Leve"),CONCATENATE("R2C",'[1]Mapa final'!#REF!),"")</f>
        <v>#REF!</v>
      </c>
      <c r="O17" s="39" t="e">
        <f>IF(AND('[1]Mapa final'!#REF!="Alta",'[1]Mapa final'!#REF!="Leve"),CONCATENATE("R2C",'[1]Mapa final'!#REF!),"")</f>
        <v>#REF!</v>
      </c>
      <c r="P17" s="37" t="str">
        <f>IF(AND('[1]Mapa final'!$AB$15="Alta",'[1]Mapa final'!$AD$15="Menor"),CONCATENATE("R2C",'[1]Mapa final'!$R$15),"")</f>
        <v/>
      </c>
      <c r="Q17" s="38" t="str">
        <f>IF(AND('[1]Mapa final'!$AB$16="Alta",'[1]Mapa final'!$AD$16="Menor"),CONCATENATE("R2C",'[1]Mapa final'!$R$16),"")</f>
        <v/>
      </c>
      <c r="R17" s="38" t="e">
        <f>IF(AND('[1]Mapa final'!#REF!="Alta",'[1]Mapa final'!#REF!="Menor"),CONCATENATE("R2C",'[1]Mapa final'!$R$17),"")</f>
        <v>#REF!</v>
      </c>
      <c r="S17" s="38" t="e">
        <f>IF(AND('[1]Mapa final'!#REF!="Alta",'[1]Mapa final'!#REF!="Menor"),CONCATENATE("R2C",'[1]Mapa final'!#REF!),"")</f>
        <v>#REF!</v>
      </c>
      <c r="T17" s="38" t="e">
        <f>IF(AND('[1]Mapa final'!#REF!="Alta",'[1]Mapa final'!#REF!="Menor"),CONCATENATE("R2C",'[1]Mapa final'!#REF!),"")</f>
        <v>#REF!</v>
      </c>
      <c r="U17" s="39" t="e">
        <f>IF(AND('[1]Mapa final'!#REF!="Alta",'[1]Mapa final'!#REF!="Menor"),CONCATENATE("R2C",'[1]Mapa final'!#REF!),"")</f>
        <v>#REF!</v>
      </c>
      <c r="V17" s="22" t="str">
        <f>IF(AND('[1]Mapa final'!$AB$15="Alta",'[1]Mapa final'!$AD$15="Moderado"),CONCATENATE("R2C",'[1]Mapa final'!$R$15),"")</f>
        <v/>
      </c>
      <c r="W17" s="23" t="str">
        <f>IF(AND('[1]Mapa final'!$AB$16="Alta",'[1]Mapa final'!$AD$16="Moderado"),CONCATENATE("R2C",'[1]Mapa final'!$R$16),"")</f>
        <v/>
      </c>
      <c r="X17" s="23" t="e">
        <f>IF(AND('[1]Mapa final'!#REF!="Alta",'[1]Mapa final'!#REF!="Moderado"),CONCATENATE("R2C",'[1]Mapa final'!$R$17),"")</f>
        <v>#REF!</v>
      </c>
      <c r="Y17" s="23" t="e">
        <f>IF(AND('[1]Mapa final'!#REF!="Alta",'[1]Mapa final'!#REF!="Moderado"),CONCATENATE("R2C",'[1]Mapa final'!#REF!),"")</f>
        <v>#REF!</v>
      </c>
      <c r="Z17" s="23" t="e">
        <f>IF(AND('[1]Mapa final'!#REF!="Alta",'[1]Mapa final'!#REF!="Moderado"),CONCATENATE("R2C",'[1]Mapa final'!#REF!),"")</f>
        <v>#REF!</v>
      </c>
      <c r="AA17" s="24" t="e">
        <f>IF(AND('[1]Mapa final'!#REF!="Alta",'[1]Mapa final'!#REF!="Moderado"),CONCATENATE("R2C",'[1]Mapa final'!#REF!),"")</f>
        <v>#REF!</v>
      </c>
      <c r="AB17" s="22" t="str">
        <f>IF(AND('[1]Mapa final'!$AB$15="Alta",'[1]Mapa final'!$AD$15="Mayor"),CONCATENATE("R2C",'[1]Mapa final'!$R$15),"")</f>
        <v/>
      </c>
      <c r="AC17" s="23" t="str">
        <f>IF(AND('[1]Mapa final'!$AB$16="Alta",'[1]Mapa final'!$AD$16="Mayor"),CONCATENATE("R2C",'[1]Mapa final'!$R$16),"")</f>
        <v/>
      </c>
      <c r="AD17" s="23" t="e">
        <f>IF(AND('[1]Mapa final'!#REF!="Alta",'[1]Mapa final'!#REF!="Mayor"),CONCATENATE("R2C",'[1]Mapa final'!$R$17),"")</f>
        <v>#REF!</v>
      </c>
      <c r="AE17" s="23" t="e">
        <f>IF(AND('[1]Mapa final'!#REF!="Alta",'[1]Mapa final'!#REF!="Mayor"),CONCATENATE("R2C",'[1]Mapa final'!#REF!),"")</f>
        <v>#REF!</v>
      </c>
      <c r="AF17" s="23" t="e">
        <f>IF(AND('[1]Mapa final'!#REF!="Alta",'[1]Mapa final'!#REF!="Mayor"),CONCATENATE("R2C",'[1]Mapa final'!#REF!),"")</f>
        <v>#REF!</v>
      </c>
      <c r="AG17" s="24" t="e">
        <f>IF(AND('[1]Mapa final'!#REF!="Alta",'[1]Mapa final'!#REF!="Mayor"),CONCATENATE("R2C",'[1]Mapa final'!#REF!),"")</f>
        <v>#REF!</v>
      </c>
      <c r="AH17" s="25" t="str">
        <f>IF(AND('[1]Mapa final'!$AB$15="Alta",'[1]Mapa final'!$AD$15="Catastrófico"),CONCATENATE("R2C",'[1]Mapa final'!$R$15),"")</f>
        <v/>
      </c>
      <c r="AI17" s="26" t="str">
        <f>IF(AND('[1]Mapa final'!$AB$16="Alta",'[1]Mapa final'!$AD$16="Catastrófico"),CONCATENATE("R2C",'[1]Mapa final'!$R$16),"")</f>
        <v/>
      </c>
      <c r="AJ17" s="26" t="e">
        <f>IF(AND('[1]Mapa final'!#REF!="Alta",'[1]Mapa final'!#REF!="Catastrófico"),CONCATENATE("R2C",'[1]Mapa final'!$R$17),"")</f>
        <v>#REF!</v>
      </c>
      <c r="AK17" s="26" t="e">
        <f>IF(AND('[1]Mapa final'!#REF!="Alta",'[1]Mapa final'!#REF!="Catastrófico"),CONCATENATE("R2C",'[1]Mapa final'!#REF!),"")</f>
        <v>#REF!</v>
      </c>
      <c r="AL17" s="26" t="e">
        <f>IF(AND('[1]Mapa final'!#REF!="Alta",'[1]Mapa final'!#REF!="Catastrófico"),CONCATENATE("R2C",'[1]Mapa final'!#REF!),"")</f>
        <v>#REF!</v>
      </c>
      <c r="AM17" s="27" t="e">
        <f>IF(AND('[1]Mapa final'!#REF!="Alta",'[1]Mapa final'!#REF!="Catastrófico"),CONCATENATE("R2C",'[1]Mapa final'!#REF!),"")</f>
        <v>#REF!</v>
      </c>
      <c r="AN17" s="53"/>
      <c r="AO17" s="598"/>
      <c r="AP17" s="599"/>
      <c r="AQ17" s="599"/>
      <c r="AR17" s="599"/>
      <c r="AS17" s="599"/>
      <c r="AT17" s="600"/>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15" customHeight="1" x14ac:dyDescent="0.3">
      <c r="A18" s="53"/>
      <c r="B18" s="571"/>
      <c r="C18" s="571"/>
      <c r="D18" s="572"/>
      <c r="E18" s="576"/>
      <c r="F18" s="577"/>
      <c r="G18" s="577"/>
      <c r="H18" s="577"/>
      <c r="I18" s="577"/>
      <c r="J18" s="37" t="e">
        <f>IF(AND('[1]Mapa final'!#REF!="Alta",'[1]Mapa final'!#REF!="Leve"),CONCATENATE("R3C",'[1]Mapa final'!#REF!),"")</f>
        <v>#REF!</v>
      </c>
      <c r="K18" s="38" t="e">
        <f>IF(AND('[1]Mapa final'!#REF!="Alta",'[1]Mapa final'!#REF!="Leve"),CONCATENATE("R3C",'[1]Mapa final'!#REF!),"")</f>
        <v>#REF!</v>
      </c>
      <c r="L18" s="38" t="e">
        <f>IF(AND('[1]Mapa final'!#REF!="Alta",'[1]Mapa final'!#REF!="Leve"),CONCATENATE("R3C",'[1]Mapa final'!#REF!),"")</f>
        <v>#REF!</v>
      </c>
      <c r="M18" s="38" t="e">
        <f>IF(AND('[1]Mapa final'!#REF!="Alta",'[1]Mapa final'!#REF!="Leve"),CONCATENATE("R3C",'[1]Mapa final'!#REF!),"")</f>
        <v>#REF!</v>
      </c>
      <c r="N18" s="38" t="e">
        <f>IF(AND('[1]Mapa final'!#REF!="Alta",'[1]Mapa final'!#REF!="Leve"),CONCATENATE("R3C",'[1]Mapa final'!#REF!),"")</f>
        <v>#REF!</v>
      </c>
      <c r="O18" s="39" t="e">
        <f>IF(AND('[1]Mapa final'!#REF!="Alta",'[1]Mapa final'!#REF!="Leve"),CONCATENATE("R3C",'[1]Mapa final'!#REF!),"")</f>
        <v>#REF!</v>
      </c>
      <c r="P18" s="37" t="e">
        <f>IF(AND('[1]Mapa final'!#REF!="Alta",'[1]Mapa final'!#REF!="Menor"),CONCATENATE("R3C",'[1]Mapa final'!#REF!),"")</f>
        <v>#REF!</v>
      </c>
      <c r="Q18" s="38" t="e">
        <f>IF(AND('[1]Mapa final'!#REF!="Alta",'[1]Mapa final'!#REF!="Menor"),CONCATENATE("R3C",'[1]Mapa final'!#REF!),"")</f>
        <v>#REF!</v>
      </c>
      <c r="R18" s="38" t="e">
        <f>IF(AND('[1]Mapa final'!#REF!="Alta",'[1]Mapa final'!#REF!="Menor"),CONCATENATE("R3C",'[1]Mapa final'!#REF!),"")</f>
        <v>#REF!</v>
      </c>
      <c r="S18" s="38" t="e">
        <f>IF(AND('[1]Mapa final'!#REF!="Alta",'[1]Mapa final'!#REF!="Menor"),CONCATENATE("R3C",'[1]Mapa final'!#REF!),"")</f>
        <v>#REF!</v>
      </c>
      <c r="T18" s="38" t="e">
        <f>IF(AND('[1]Mapa final'!#REF!="Alta",'[1]Mapa final'!#REF!="Menor"),CONCATENATE("R3C",'[1]Mapa final'!#REF!),"")</f>
        <v>#REF!</v>
      </c>
      <c r="U18" s="39" t="e">
        <f>IF(AND('[1]Mapa final'!#REF!="Alta",'[1]Mapa final'!#REF!="Menor"),CONCATENATE("R3C",'[1]Mapa final'!#REF!),"")</f>
        <v>#REF!</v>
      </c>
      <c r="V18" s="22" t="e">
        <f>IF(AND('[1]Mapa final'!#REF!="Alta",'[1]Mapa final'!#REF!="Moderado"),CONCATENATE("R3C",'[1]Mapa final'!#REF!),"")</f>
        <v>#REF!</v>
      </c>
      <c r="W18" s="23" t="e">
        <f>IF(AND('[1]Mapa final'!#REF!="Alta",'[1]Mapa final'!#REF!="Moderado"),CONCATENATE("R3C",'[1]Mapa final'!#REF!),"")</f>
        <v>#REF!</v>
      </c>
      <c r="X18" s="23" t="e">
        <f>IF(AND('[1]Mapa final'!#REF!="Alta",'[1]Mapa final'!#REF!="Moderado"),CONCATENATE("R3C",'[1]Mapa final'!#REF!),"")</f>
        <v>#REF!</v>
      </c>
      <c r="Y18" s="23" t="e">
        <f>IF(AND('[1]Mapa final'!#REF!="Alta",'[1]Mapa final'!#REF!="Moderado"),CONCATENATE("R3C",'[1]Mapa final'!#REF!),"")</f>
        <v>#REF!</v>
      </c>
      <c r="Z18" s="23" t="e">
        <f>IF(AND('[1]Mapa final'!#REF!="Alta",'[1]Mapa final'!#REF!="Moderado"),CONCATENATE("R3C",'[1]Mapa final'!#REF!),"")</f>
        <v>#REF!</v>
      </c>
      <c r="AA18" s="24" t="e">
        <f>IF(AND('[1]Mapa final'!#REF!="Alta",'[1]Mapa final'!#REF!="Moderado"),CONCATENATE("R3C",'[1]Mapa final'!#REF!),"")</f>
        <v>#REF!</v>
      </c>
      <c r="AB18" s="22" t="e">
        <f>IF(AND('[1]Mapa final'!#REF!="Alta",'[1]Mapa final'!#REF!="Mayor"),CONCATENATE("R3C",'[1]Mapa final'!#REF!),"")</f>
        <v>#REF!</v>
      </c>
      <c r="AC18" s="23" t="e">
        <f>IF(AND('[1]Mapa final'!#REF!="Alta",'[1]Mapa final'!#REF!="Mayor"),CONCATENATE("R3C",'[1]Mapa final'!#REF!),"")</f>
        <v>#REF!</v>
      </c>
      <c r="AD18" s="23" t="e">
        <f>IF(AND('[1]Mapa final'!#REF!="Alta",'[1]Mapa final'!#REF!="Mayor"),CONCATENATE("R3C",'[1]Mapa final'!#REF!),"")</f>
        <v>#REF!</v>
      </c>
      <c r="AE18" s="23" t="e">
        <f>IF(AND('[1]Mapa final'!#REF!="Alta",'[1]Mapa final'!#REF!="Mayor"),CONCATENATE("R3C",'[1]Mapa final'!#REF!),"")</f>
        <v>#REF!</v>
      </c>
      <c r="AF18" s="23" t="e">
        <f>IF(AND('[1]Mapa final'!#REF!="Alta",'[1]Mapa final'!#REF!="Mayor"),CONCATENATE("R3C",'[1]Mapa final'!#REF!),"")</f>
        <v>#REF!</v>
      </c>
      <c r="AG18" s="24" t="e">
        <f>IF(AND('[1]Mapa final'!#REF!="Alta",'[1]Mapa final'!#REF!="Mayor"),CONCATENATE("R3C",'[1]Mapa final'!#REF!),"")</f>
        <v>#REF!</v>
      </c>
      <c r="AH18" s="25" t="e">
        <f>IF(AND('[1]Mapa final'!#REF!="Alta",'[1]Mapa final'!#REF!="Catastrófico"),CONCATENATE("R3C",'[1]Mapa final'!#REF!),"")</f>
        <v>#REF!</v>
      </c>
      <c r="AI18" s="26" t="e">
        <f>IF(AND('[1]Mapa final'!#REF!="Alta",'[1]Mapa final'!#REF!="Catastrófico"),CONCATENATE("R3C",'[1]Mapa final'!#REF!),"")</f>
        <v>#REF!</v>
      </c>
      <c r="AJ18" s="26" t="e">
        <f>IF(AND('[1]Mapa final'!#REF!="Alta",'[1]Mapa final'!#REF!="Catastrófico"),CONCATENATE("R3C",'[1]Mapa final'!#REF!),"")</f>
        <v>#REF!</v>
      </c>
      <c r="AK18" s="26" t="e">
        <f>IF(AND('[1]Mapa final'!#REF!="Alta",'[1]Mapa final'!#REF!="Catastrófico"),CONCATENATE("R3C",'[1]Mapa final'!#REF!),"")</f>
        <v>#REF!</v>
      </c>
      <c r="AL18" s="26" t="e">
        <f>IF(AND('[1]Mapa final'!#REF!="Alta",'[1]Mapa final'!#REF!="Catastrófico"),CONCATENATE("R3C",'[1]Mapa final'!#REF!),"")</f>
        <v>#REF!</v>
      </c>
      <c r="AM18" s="27" t="e">
        <f>IF(AND('[1]Mapa final'!#REF!="Alta",'[1]Mapa final'!#REF!="Catastrófico"),CONCATENATE("R3C",'[1]Mapa final'!#REF!),"")</f>
        <v>#REF!</v>
      </c>
      <c r="AN18" s="53"/>
      <c r="AO18" s="598"/>
      <c r="AP18" s="599"/>
      <c r="AQ18" s="599"/>
      <c r="AR18" s="599"/>
      <c r="AS18" s="599"/>
      <c r="AT18" s="600"/>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5" customHeight="1" x14ac:dyDescent="0.3">
      <c r="A19" s="53"/>
      <c r="B19" s="571"/>
      <c r="C19" s="571"/>
      <c r="D19" s="572"/>
      <c r="E19" s="576"/>
      <c r="F19" s="577"/>
      <c r="G19" s="577"/>
      <c r="H19" s="577"/>
      <c r="I19" s="577"/>
      <c r="J19" s="37" t="e">
        <f>IF(AND('[1]Mapa final'!#REF!="Alta",'[1]Mapa final'!#REF!="Leve"),CONCATENATE("R4C",'[1]Mapa final'!#REF!),"")</f>
        <v>#REF!</v>
      </c>
      <c r="K19" s="38" t="e">
        <f>IF(AND('[1]Mapa final'!#REF!="Alta",'[1]Mapa final'!#REF!="Leve"),CONCATENATE("R4C",'[1]Mapa final'!#REF!),"")</f>
        <v>#REF!</v>
      </c>
      <c r="L19" s="38" t="e">
        <f>IF(AND('[1]Mapa final'!#REF!="Alta",'[1]Mapa final'!#REF!="Leve"),CONCATENATE("R4C",'[1]Mapa final'!#REF!),"")</f>
        <v>#REF!</v>
      </c>
      <c r="M19" s="38" t="e">
        <f>IF(AND('[1]Mapa final'!#REF!="Alta",'[1]Mapa final'!#REF!="Leve"),CONCATENATE("R4C",'[1]Mapa final'!#REF!),"")</f>
        <v>#REF!</v>
      </c>
      <c r="N19" s="38" t="e">
        <f>IF(AND('[1]Mapa final'!#REF!="Alta",'[1]Mapa final'!#REF!="Leve"),CONCATENATE("R4C",'[1]Mapa final'!#REF!),"")</f>
        <v>#REF!</v>
      </c>
      <c r="O19" s="39" t="e">
        <f>IF(AND('[1]Mapa final'!#REF!="Alta",'[1]Mapa final'!#REF!="Leve"),CONCATENATE("R4C",'[1]Mapa final'!#REF!),"")</f>
        <v>#REF!</v>
      </c>
      <c r="P19" s="37" t="e">
        <f>IF(AND('[1]Mapa final'!#REF!="Alta",'[1]Mapa final'!#REF!="Menor"),CONCATENATE("R4C",'[1]Mapa final'!#REF!),"")</f>
        <v>#REF!</v>
      </c>
      <c r="Q19" s="38" t="e">
        <f>IF(AND('[1]Mapa final'!#REF!="Alta",'[1]Mapa final'!#REF!="Menor"),CONCATENATE("R4C",'[1]Mapa final'!#REF!),"")</f>
        <v>#REF!</v>
      </c>
      <c r="R19" s="38" t="e">
        <f>IF(AND('[1]Mapa final'!#REF!="Alta",'[1]Mapa final'!#REF!="Menor"),CONCATENATE("R4C",'[1]Mapa final'!#REF!),"")</f>
        <v>#REF!</v>
      </c>
      <c r="S19" s="38" t="e">
        <f>IF(AND('[1]Mapa final'!#REF!="Alta",'[1]Mapa final'!#REF!="Menor"),CONCATENATE("R4C",'[1]Mapa final'!#REF!),"")</f>
        <v>#REF!</v>
      </c>
      <c r="T19" s="38" t="e">
        <f>IF(AND('[1]Mapa final'!#REF!="Alta",'[1]Mapa final'!#REF!="Menor"),CONCATENATE("R4C",'[1]Mapa final'!#REF!),"")</f>
        <v>#REF!</v>
      </c>
      <c r="U19" s="39" t="e">
        <f>IF(AND('[1]Mapa final'!#REF!="Alta",'[1]Mapa final'!#REF!="Menor"),CONCATENATE("R4C",'[1]Mapa final'!#REF!),"")</f>
        <v>#REF!</v>
      </c>
      <c r="V19" s="22" t="e">
        <f>IF(AND('[1]Mapa final'!#REF!="Alta",'[1]Mapa final'!#REF!="Moderado"),CONCATENATE("R4C",'[1]Mapa final'!#REF!),"")</f>
        <v>#REF!</v>
      </c>
      <c r="W19" s="23" t="e">
        <f>IF(AND('[1]Mapa final'!#REF!="Alta",'[1]Mapa final'!#REF!="Moderado"),CONCATENATE("R4C",'[1]Mapa final'!#REF!),"")</f>
        <v>#REF!</v>
      </c>
      <c r="X19" s="23" t="e">
        <f>IF(AND('[1]Mapa final'!#REF!="Alta",'[1]Mapa final'!#REF!="Moderado"),CONCATENATE("R4C",'[1]Mapa final'!#REF!),"")</f>
        <v>#REF!</v>
      </c>
      <c r="Y19" s="23" t="e">
        <f>IF(AND('[1]Mapa final'!#REF!="Alta",'[1]Mapa final'!#REF!="Moderado"),CONCATENATE("R4C",'[1]Mapa final'!#REF!),"")</f>
        <v>#REF!</v>
      </c>
      <c r="Z19" s="23" t="e">
        <f>IF(AND('[1]Mapa final'!#REF!="Alta",'[1]Mapa final'!#REF!="Moderado"),CONCATENATE("R4C",'[1]Mapa final'!#REF!),"")</f>
        <v>#REF!</v>
      </c>
      <c r="AA19" s="24" t="e">
        <f>IF(AND('[1]Mapa final'!#REF!="Alta",'[1]Mapa final'!#REF!="Moderado"),CONCATENATE("R4C",'[1]Mapa final'!#REF!),"")</f>
        <v>#REF!</v>
      </c>
      <c r="AB19" s="22" t="e">
        <f>IF(AND('[1]Mapa final'!#REF!="Alta",'[1]Mapa final'!#REF!="Mayor"),CONCATENATE("R4C",'[1]Mapa final'!#REF!),"")</f>
        <v>#REF!</v>
      </c>
      <c r="AC19" s="23" t="e">
        <f>IF(AND('[1]Mapa final'!#REF!="Alta",'[1]Mapa final'!#REF!="Mayor"),CONCATENATE("R4C",'[1]Mapa final'!#REF!),"")</f>
        <v>#REF!</v>
      </c>
      <c r="AD19" s="23" t="e">
        <f>IF(AND('[1]Mapa final'!#REF!="Alta",'[1]Mapa final'!#REF!="Mayor"),CONCATENATE("R4C",'[1]Mapa final'!#REF!),"")</f>
        <v>#REF!</v>
      </c>
      <c r="AE19" s="23" t="e">
        <f>IF(AND('[1]Mapa final'!#REF!="Alta",'[1]Mapa final'!#REF!="Mayor"),CONCATENATE("R4C",'[1]Mapa final'!#REF!),"")</f>
        <v>#REF!</v>
      </c>
      <c r="AF19" s="23" t="e">
        <f>IF(AND('[1]Mapa final'!#REF!="Alta",'[1]Mapa final'!#REF!="Mayor"),CONCATENATE("R4C",'[1]Mapa final'!#REF!),"")</f>
        <v>#REF!</v>
      </c>
      <c r="AG19" s="24" t="e">
        <f>IF(AND('[1]Mapa final'!#REF!="Alta",'[1]Mapa final'!#REF!="Mayor"),CONCATENATE("R4C",'[1]Mapa final'!#REF!),"")</f>
        <v>#REF!</v>
      </c>
      <c r="AH19" s="25" t="e">
        <f>IF(AND('[1]Mapa final'!#REF!="Alta",'[1]Mapa final'!#REF!="Catastrófico"),CONCATENATE("R4C",'[1]Mapa final'!#REF!),"")</f>
        <v>#REF!</v>
      </c>
      <c r="AI19" s="26" t="e">
        <f>IF(AND('[1]Mapa final'!#REF!="Alta",'[1]Mapa final'!#REF!="Catastrófico"),CONCATENATE("R4C",'[1]Mapa final'!#REF!),"")</f>
        <v>#REF!</v>
      </c>
      <c r="AJ19" s="26" t="e">
        <f>IF(AND('[1]Mapa final'!#REF!="Alta",'[1]Mapa final'!#REF!="Catastrófico"),CONCATENATE("R4C",'[1]Mapa final'!#REF!),"")</f>
        <v>#REF!</v>
      </c>
      <c r="AK19" s="26" t="e">
        <f>IF(AND('[1]Mapa final'!#REF!="Alta",'[1]Mapa final'!#REF!="Catastrófico"),CONCATENATE("R4C",'[1]Mapa final'!#REF!),"")</f>
        <v>#REF!</v>
      </c>
      <c r="AL19" s="26" t="e">
        <f>IF(AND('[1]Mapa final'!#REF!="Alta",'[1]Mapa final'!#REF!="Catastrófico"),CONCATENATE("R4C",'[1]Mapa final'!#REF!),"")</f>
        <v>#REF!</v>
      </c>
      <c r="AM19" s="27" t="e">
        <f>IF(AND('[1]Mapa final'!#REF!="Alta",'[1]Mapa final'!#REF!="Catastrófico"),CONCATENATE("R4C",'[1]Mapa final'!#REF!),"")</f>
        <v>#REF!</v>
      </c>
      <c r="AN19" s="53"/>
      <c r="AO19" s="598"/>
      <c r="AP19" s="599"/>
      <c r="AQ19" s="599"/>
      <c r="AR19" s="599"/>
      <c r="AS19" s="599"/>
      <c r="AT19" s="600"/>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15" customHeight="1" x14ac:dyDescent="0.3">
      <c r="A20" s="53"/>
      <c r="B20" s="571"/>
      <c r="C20" s="571"/>
      <c r="D20" s="572"/>
      <c r="E20" s="576"/>
      <c r="F20" s="577"/>
      <c r="G20" s="577"/>
      <c r="H20" s="577"/>
      <c r="I20" s="577"/>
      <c r="J20" s="37" t="str">
        <f>IF(AND('[1]Mapa final'!$AB$19="Alta",'[1]Mapa final'!$AD$19="Leve"),CONCATENATE("R5C",'[1]Mapa final'!$R$19),"")</f>
        <v/>
      </c>
      <c r="K20" s="38" t="str">
        <f>IF(AND('[1]Mapa final'!$AB$20="Alta",'[1]Mapa final'!$AD$20="Leve"),CONCATENATE("R5C",'[1]Mapa final'!$R$20),"")</f>
        <v/>
      </c>
      <c r="L20" s="38" t="str">
        <f>IF(AND('[1]Mapa final'!$AB$21="Alta",'[1]Mapa final'!$AD$21="Leve"),CONCATENATE("R5C",'[1]Mapa final'!$R$21),"")</f>
        <v/>
      </c>
      <c r="M20" s="38" t="str">
        <f>IF(AND('[1]Mapa final'!$AB$22="Alta",'[1]Mapa final'!$AD$22="Leve"),CONCATENATE("R5C",'[1]Mapa final'!$R$22),"")</f>
        <v/>
      </c>
      <c r="N20" s="38" t="str">
        <f>IF(AND('[1]Mapa final'!$AB$23="Alta",'[1]Mapa final'!$AD$23="Leve"),CONCATENATE("R5C",'[1]Mapa final'!$R$23),"")</f>
        <v/>
      </c>
      <c r="O20" s="39" t="str">
        <f>IF(AND('[1]Mapa final'!$AB$24="Alta",'[1]Mapa final'!$AD$24="Leve"),CONCATENATE("R5C",'[1]Mapa final'!$R$24),"")</f>
        <v/>
      </c>
      <c r="P20" s="37" t="str">
        <f>IF(AND('[1]Mapa final'!$AB$19="Alta",'[1]Mapa final'!$AD$19="Menor"),CONCATENATE("R5C",'[1]Mapa final'!$R$19),"")</f>
        <v/>
      </c>
      <c r="Q20" s="38" t="str">
        <f>IF(AND('[1]Mapa final'!$AB$20="Alta",'[1]Mapa final'!$AD$20="Menor"),CONCATENATE("R5C",'[1]Mapa final'!$R$20),"")</f>
        <v/>
      </c>
      <c r="R20" s="38" t="str">
        <f>IF(AND('[1]Mapa final'!$AB$21="Alta",'[1]Mapa final'!$AD$21="Menor"),CONCATENATE("R5C",'[1]Mapa final'!$R$21),"")</f>
        <v/>
      </c>
      <c r="S20" s="38" t="str">
        <f>IF(AND('[1]Mapa final'!$AB$22="Alta",'[1]Mapa final'!$AD$22="Menor"),CONCATENATE("R5C",'[1]Mapa final'!$R$22),"")</f>
        <v/>
      </c>
      <c r="T20" s="38" t="str">
        <f>IF(AND('[1]Mapa final'!$AB$23="Alta",'[1]Mapa final'!$AD$23="Menor"),CONCATENATE("R5C",'[1]Mapa final'!$R$23),"")</f>
        <v/>
      </c>
      <c r="U20" s="39" t="str">
        <f>IF(AND('[1]Mapa final'!$AB$24="Alta",'[1]Mapa final'!$AD$24="Menor"),CONCATENATE("R5C",'[1]Mapa final'!$R$24),"")</f>
        <v/>
      </c>
      <c r="V20" s="22" t="str">
        <f>IF(AND('[1]Mapa final'!$AB$19="Alta",'[1]Mapa final'!$AD$19="Moderado"),CONCATENATE("R5C",'[1]Mapa final'!$R$19),"")</f>
        <v/>
      </c>
      <c r="W20" s="23" t="str">
        <f>IF(AND('[1]Mapa final'!$AB$20="Alta",'[1]Mapa final'!$AD$20="Moderado"),CONCATENATE("R5C",'[1]Mapa final'!$R$20),"")</f>
        <v/>
      </c>
      <c r="X20" s="23" t="str">
        <f>IF(AND('[1]Mapa final'!$AB$21="Alta",'[1]Mapa final'!$AD$21="Moderado"),CONCATENATE("R5C",'[1]Mapa final'!$R$21),"")</f>
        <v/>
      </c>
      <c r="Y20" s="23" t="str">
        <f>IF(AND('[1]Mapa final'!$AB$22="Alta",'[1]Mapa final'!$AD$22="Moderado"),CONCATENATE("R5C",'[1]Mapa final'!$R$22),"")</f>
        <v/>
      </c>
      <c r="Z20" s="23" t="str">
        <f>IF(AND('[1]Mapa final'!$AB$23="Alta",'[1]Mapa final'!$AD$23="Moderado"),CONCATENATE("R5C",'[1]Mapa final'!$R$23),"")</f>
        <v/>
      </c>
      <c r="AA20" s="24" t="str">
        <f>IF(AND('[1]Mapa final'!$AB$24="Alta",'[1]Mapa final'!$AD$24="Moderado"),CONCATENATE("R5C",'[1]Mapa final'!$R$24),"")</f>
        <v/>
      </c>
      <c r="AB20" s="22" t="str">
        <f>IF(AND('[1]Mapa final'!$AB$19="Alta",'[1]Mapa final'!$AD$19="Mayor"),CONCATENATE("R5C",'[1]Mapa final'!$R$19),"")</f>
        <v/>
      </c>
      <c r="AC20" s="23" t="str">
        <f>IF(AND('[1]Mapa final'!$AB$20="Alta",'[1]Mapa final'!$AD$20="Mayor"),CONCATENATE("R5C",'[1]Mapa final'!$R$20),"")</f>
        <v/>
      </c>
      <c r="AD20" s="23" t="str">
        <f>IF(AND('[1]Mapa final'!$AB$21="Alta",'[1]Mapa final'!$AD$21="Mayor"),CONCATENATE("R5C",'[1]Mapa final'!$R$21),"")</f>
        <v/>
      </c>
      <c r="AE20" s="23" t="str">
        <f>IF(AND('[1]Mapa final'!$AB$22="Alta",'[1]Mapa final'!$AD$22="Mayor"),CONCATENATE("R5C",'[1]Mapa final'!$R$22),"")</f>
        <v/>
      </c>
      <c r="AF20" s="23" t="str">
        <f>IF(AND('[1]Mapa final'!$AB$23="Alta",'[1]Mapa final'!$AD$23="Mayor"),CONCATENATE("R5C",'[1]Mapa final'!$R$23),"")</f>
        <v/>
      </c>
      <c r="AG20" s="24" t="str">
        <f>IF(AND('[1]Mapa final'!$AB$24="Alta",'[1]Mapa final'!$AD$24="Mayor"),CONCATENATE("R5C",'[1]Mapa final'!$R$24),"")</f>
        <v/>
      </c>
      <c r="AH20" s="25" t="str">
        <f>IF(AND('[1]Mapa final'!$AB$19="Alta",'[1]Mapa final'!$AD$19="Catastrófico"),CONCATENATE("R5C",'[1]Mapa final'!$R$19),"")</f>
        <v/>
      </c>
      <c r="AI20" s="26" t="str">
        <f>IF(AND('[1]Mapa final'!$AB$20="Alta",'[1]Mapa final'!$AD$20="Catastrófico"),CONCATENATE("R5C",'[1]Mapa final'!$R$20),"")</f>
        <v/>
      </c>
      <c r="AJ20" s="26" t="str">
        <f>IF(AND('[1]Mapa final'!$AB$21="Alta",'[1]Mapa final'!$AD$21="Catastrófico"),CONCATENATE("R5C",'[1]Mapa final'!$R$21),"")</f>
        <v/>
      </c>
      <c r="AK20" s="26" t="str">
        <f>IF(AND('[1]Mapa final'!$AB$22="Alta",'[1]Mapa final'!$AD$22="Catastrófico"),CONCATENATE("R5C",'[1]Mapa final'!$R$22),"")</f>
        <v/>
      </c>
      <c r="AL20" s="26" t="str">
        <f>IF(AND('[1]Mapa final'!$AB$23="Alta",'[1]Mapa final'!$AD$23="Catastrófico"),CONCATENATE("R5C",'[1]Mapa final'!$R$23),"")</f>
        <v/>
      </c>
      <c r="AM20" s="27" t="str">
        <f>IF(AND('[1]Mapa final'!$AB$24="Alta",'[1]Mapa final'!$AD$24="Catastrófico"),CONCATENATE("R5C",'[1]Mapa final'!$R$24),"")</f>
        <v/>
      </c>
      <c r="AN20" s="53"/>
      <c r="AO20" s="598"/>
      <c r="AP20" s="599"/>
      <c r="AQ20" s="599"/>
      <c r="AR20" s="599"/>
      <c r="AS20" s="599"/>
      <c r="AT20" s="600"/>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5" customHeight="1" x14ac:dyDescent="0.3">
      <c r="A21" s="53"/>
      <c r="B21" s="571"/>
      <c r="C21" s="571"/>
      <c r="D21" s="572"/>
      <c r="E21" s="576"/>
      <c r="F21" s="577"/>
      <c r="G21" s="577"/>
      <c r="H21" s="577"/>
      <c r="I21" s="577"/>
      <c r="J21" s="37" t="str">
        <f>IF(AND('[1]Mapa final'!$AB$25="Alta",'[1]Mapa final'!$AD$25="Leve"),CONCATENATE("R6C",'[1]Mapa final'!$R$25),"")</f>
        <v/>
      </c>
      <c r="K21" s="38" t="str">
        <f>IF(AND('[1]Mapa final'!$AB$26="Alta",'[1]Mapa final'!$AD$26="Leve"),CONCATENATE("R6C",'[1]Mapa final'!$R$26),"")</f>
        <v/>
      </c>
      <c r="L21" s="38" t="str">
        <f>IF(AND('[1]Mapa final'!$AB$27="Alta",'[1]Mapa final'!$AD$27="Leve"),CONCATENATE("R6C",'[1]Mapa final'!$R$27),"")</f>
        <v/>
      </c>
      <c r="M21" s="38" t="str">
        <f>IF(AND('[1]Mapa final'!$AB$28="Alta",'[1]Mapa final'!$AD$28="Leve"),CONCATENATE("R6C",'[1]Mapa final'!$R$28),"")</f>
        <v/>
      </c>
      <c r="N21" s="38" t="str">
        <f>IF(AND('[1]Mapa final'!$AB$29="Alta",'[1]Mapa final'!$AD$29="Leve"),CONCATENATE("R6C",'[1]Mapa final'!$R$29),"")</f>
        <v/>
      </c>
      <c r="O21" s="39" t="str">
        <f>IF(AND('[1]Mapa final'!$AB$30="Alta",'[1]Mapa final'!$AD$30="Leve"),CONCATENATE("R6C",'[1]Mapa final'!$R$30),"")</f>
        <v/>
      </c>
      <c r="P21" s="37" t="str">
        <f>IF(AND('[1]Mapa final'!$AB$25="Alta",'[1]Mapa final'!$AD$25="Menor"),CONCATENATE("R6C",'[1]Mapa final'!$R$25),"")</f>
        <v/>
      </c>
      <c r="Q21" s="38" t="str">
        <f>IF(AND('[1]Mapa final'!$AB$26="Alta",'[1]Mapa final'!$AD$26="Menor"),CONCATENATE("R6C",'[1]Mapa final'!$R$26),"")</f>
        <v/>
      </c>
      <c r="R21" s="38" t="str">
        <f>IF(AND('[1]Mapa final'!$AB$27="Alta",'[1]Mapa final'!$AD$27="Menor"),CONCATENATE("R6C",'[1]Mapa final'!$R$27),"")</f>
        <v/>
      </c>
      <c r="S21" s="38" t="str">
        <f>IF(AND('[1]Mapa final'!$AB$28="Alta",'[1]Mapa final'!$AD$28="Menor"),CONCATENATE("R6C",'[1]Mapa final'!$R$28),"")</f>
        <v/>
      </c>
      <c r="T21" s="38" t="str">
        <f>IF(AND('[1]Mapa final'!$AB$29="Alta",'[1]Mapa final'!$AD$29="Menor"),CONCATENATE("R6C",'[1]Mapa final'!$R$29),"")</f>
        <v/>
      </c>
      <c r="U21" s="39" t="str">
        <f>IF(AND('[1]Mapa final'!$AB$30="Alta",'[1]Mapa final'!$AD$30="Menor"),CONCATENATE("R6C",'[1]Mapa final'!$R$30),"")</f>
        <v/>
      </c>
      <c r="V21" s="22" t="str">
        <f>IF(AND('[1]Mapa final'!$AB$25="Alta",'[1]Mapa final'!$AD$25="Moderado"),CONCATENATE("R6C",'[1]Mapa final'!$R$25),"")</f>
        <v/>
      </c>
      <c r="W21" s="23" t="str">
        <f>IF(AND('[1]Mapa final'!$AB$26="Alta",'[1]Mapa final'!$AD$26="Moderado"),CONCATENATE("R6C",'[1]Mapa final'!$R$26),"")</f>
        <v/>
      </c>
      <c r="X21" s="23" t="str">
        <f>IF(AND('[1]Mapa final'!$AB$27="Alta",'[1]Mapa final'!$AD$27="Moderado"),CONCATENATE("R6C",'[1]Mapa final'!$R$27),"")</f>
        <v/>
      </c>
      <c r="Y21" s="23" t="str">
        <f>IF(AND('[1]Mapa final'!$AB$28="Alta",'[1]Mapa final'!$AD$28="Moderado"),CONCATENATE("R6C",'[1]Mapa final'!$R$28),"")</f>
        <v/>
      </c>
      <c r="Z21" s="23" t="str">
        <f>IF(AND('[1]Mapa final'!$AB$29="Alta",'[1]Mapa final'!$AD$29="Moderado"),CONCATENATE("R6C",'[1]Mapa final'!$R$29),"")</f>
        <v/>
      </c>
      <c r="AA21" s="24" t="str">
        <f>IF(AND('[1]Mapa final'!$AB$30="Alta",'[1]Mapa final'!$AD$30="Moderado"),CONCATENATE("R6C",'[1]Mapa final'!$R$30),"")</f>
        <v/>
      </c>
      <c r="AB21" s="22" t="str">
        <f>IF(AND('[1]Mapa final'!$AB$25="Alta",'[1]Mapa final'!$AD$25="Mayor"),CONCATENATE("R6C",'[1]Mapa final'!$R$25),"")</f>
        <v/>
      </c>
      <c r="AC21" s="23" t="str">
        <f>IF(AND('[1]Mapa final'!$AB$26="Alta",'[1]Mapa final'!$AD$26="Mayor"),CONCATENATE("R6C",'[1]Mapa final'!$R$26),"")</f>
        <v/>
      </c>
      <c r="AD21" s="23" t="str">
        <f>IF(AND('[1]Mapa final'!$AB$27="Alta",'[1]Mapa final'!$AD$27="Mayor"),CONCATENATE("R6C",'[1]Mapa final'!$R$27),"")</f>
        <v/>
      </c>
      <c r="AE21" s="23" t="str">
        <f>IF(AND('[1]Mapa final'!$AB$28="Alta",'[1]Mapa final'!$AD$28="Mayor"),CONCATENATE("R6C",'[1]Mapa final'!$R$28),"")</f>
        <v/>
      </c>
      <c r="AF21" s="23" t="str">
        <f>IF(AND('[1]Mapa final'!$AB$29="Alta",'[1]Mapa final'!$AD$29="Mayor"),CONCATENATE("R6C",'[1]Mapa final'!$R$29),"")</f>
        <v/>
      </c>
      <c r="AG21" s="24" t="str">
        <f>IF(AND('[1]Mapa final'!$AB$30="Alta",'[1]Mapa final'!$AD$30="Mayor"),CONCATENATE("R6C",'[1]Mapa final'!$R$30),"")</f>
        <v/>
      </c>
      <c r="AH21" s="25" t="str">
        <f>IF(AND('[1]Mapa final'!$AB$25="Alta",'[1]Mapa final'!$AD$25="Catastrófico"),CONCATENATE("R6C",'[1]Mapa final'!$R$25),"")</f>
        <v/>
      </c>
      <c r="AI21" s="26" t="str">
        <f>IF(AND('[1]Mapa final'!$AB$26="Alta",'[1]Mapa final'!$AD$26="Catastrófico"),CONCATENATE("R6C",'[1]Mapa final'!$R$26),"")</f>
        <v/>
      </c>
      <c r="AJ21" s="26" t="str">
        <f>IF(AND('[1]Mapa final'!$AB$27="Alta",'[1]Mapa final'!$AD$27="Catastrófico"),CONCATENATE("R6C",'[1]Mapa final'!$R$27),"")</f>
        <v/>
      </c>
      <c r="AK21" s="26" t="str">
        <f>IF(AND('[1]Mapa final'!$AB$28="Alta",'[1]Mapa final'!$AD$28="Catastrófico"),CONCATENATE("R6C",'[1]Mapa final'!$R$28),"")</f>
        <v/>
      </c>
      <c r="AL21" s="26" t="str">
        <f>IF(AND('[1]Mapa final'!$AB$29="Alta",'[1]Mapa final'!$AD$29="Catastrófico"),CONCATENATE("R6C",'[1]Mapa final'!$R$29),"")</f>
        <v/>
      </c>
      <c r="AM21" s="27" t="str">
        <f>IF(AND('[1]Mapa final'!$AB$30="Alta",'[1]Mapa final'!$AD$30="Catastrófico"),CONCATENATE("R6C",'[1]Mapa final'!$R$30),"")</f>
        <v/>
      </c>
      <c r="AN21" s="53"/>
      <c r="AO21" s="598"/>
      <c r="AP21" s="599"/>
      <c r="AQ21" s="599"/>
      <c r="AR21" s="599"/>
      <c r="AS21" s="599"/>
      <c r="AT21" s="600"/>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5" customHeight="1" x14ac:dyDescent="0.3">
      <c r="A22" s="53"/>
      <c r="B22" s="571"/>
      <c r="C22" s="571"/>
      <c r="D22" s="572"/>
      <c r="E22" s="576"/>
      <c r="F22" s="577"/>
      <c r="G22" s="577"/>
      <c r="H22" s="577"/>
      <c r="I22" s="577"/>
      <c r="J22" s="37" t="str">
        <f>IF(AND('[1]Mapa final'!$AB$31="Alta",'[1]Mapa final'!$AD$31="Leve"),CONCATENATE("R7C",'[1]Mapa final'!$R$31),"")</f>
        <v/>
      </c>
      <c r="K22" s="38" t="str">
        <f>IF(AND('[1]Mapa final'!$AB$32="Alta",'[1]Mapa final'!$AD$32="Leve"),CONCATENATE("R7C",'[1]Mapa final'!$R$32),"")</f>
        <v/>
      </c>
      <c r="L22" s="38" t="str">
        <f>IF(AND('[1]Mapa final'!$AB$33="Alta",'[1]Mapa final'!$AD$33="Leve"),CONCATENATE("R7C",'[1]Mapa final'!$R$33),"")</f>
        <v/>
      </c>
      <c r="M22" s="38" t="str">
        <f>IF(AND('[1]Mapa final'!$AB$34="Alta",'[1]Mapa final'!$AD$34="Leve"),CONCATENATE("R7C",'[1]Mapa final'!$R$34),"")</f>
        <v/>
      </c>
      <c r="N22" s="38" t="str">
        <f>IF(AND('[1]Mapa final'!$AB$35="Alta",'[1]Mapa final'!$AD$35="Leve"),CONCATENATE("R7C",'[1]Mapa final'!$R$35),"")</f>
        <v/>
      </c>
      <c r="O22" s="39" t="str">
        <f>IF(AND('[1]Mapa final'!$AB$36="Alta",'[1]Mapa final'!$AD$36="Leve"),CONCATENATE("R7C",'[1]Mapa final'!$R$36),"")</f>
        <v/>
      </c>
      <c r="P22" s="37" t="str">
        <f>IF(AND('[1]Mapa final'!$AB$31="Alta",'[1]Mapa final'!$AD$31="Menor"),CONCATENATE("R7C",'[1]Mapa final'!$R$31),"")</f>
        <v/>
      </c>
      <c r="Q22" s="38" t="str">
        <f>IF(AND('[1]Mapa final'!$AB$32="Alta",'[1]Mapa final'!$AD$32="Menor"),CONCATENATE("R7C",'[1]Mapa final'!$R$32),"")</f>
        <v/>
      </c>
      <c r="R22" s="38" t="str">
        <f>IF(AND('[1]Mapa final'!$AB$33="Alta",'[1]Mapa final'!$AD$33="Menor"),CONCATENATE("R7C",'[1]Mapa final'!$R$33),"")</f>
        <v/>
      </c>
      <c r="S22" s="38" t="str">
        <f>IF(AND('[1]Mapa final'!$AB$34="Alta",'[1]Mapa final'!$AD$34="Menor"),CONCATENATE("R7C",'[1]Mapa final'!$R$34),"")</f>
        <v/>
      </c>
      <c r="T22" s="38" t="str">
        <f>IF(AND('[1]Mapa final'!$AB$35="Alta",'[1]Mapa final'!$AD$35="Menor"),CONCATENATE("R7C",'[1]Mapa final'!$R$35),"")</f>
        <v/>
      </c>
      <c r="U22" s="39" t="str">
        <f>IF(AND('[1]Mapa final'!$AB$36="Alta",'[1]Mapa final'!$AD$36="Menor"),CONCATENATE("R7C",'[1]Mapa final'!$R$36),"")</f>
        <v/>
      </c>
      <c r="V22" s="22" t="str">
        <f>IF(AND('[1]Mapa final'!$AB$31="Alta",'[1]Mapa final'!$AD$31="Moderado"),CONCATENATE("R7C",'[1]Mapa final'!$R$31),"")</f>
        <v/>
      </c>
      <c r="W22" s="23" t="str">
        <f>IF(AND('[1]Mapa final'!$AB$32="Alta",'[1]Mapa final'!$AD$32="Moderado"),CONCATENATE("R7C",'[1]Mapa final'!$R$32),"")</f>
        <v/>
      </c>
      <c r="X22" s="23" t="str">
        <f>IF(AND('[1]Mapa final'!$AB$33="Alta",'[1]Mapa final'!$AD$33="Moderado"),CONCATENATE("R7C",'[1]Mapa final'!$R$33),"")</f>
        <v/>
      </c>
      <c r="Y22" s="23" t="str">
        <f>IF(AND('[1]Mapa final'!$AB$34="Alta",'[1]Mapa final'!$AD$34="Moderado"),CONCATENATE("R7C",'[1]Mapa final'!$R$34),"")</f>
        <v/>
      </c>
      <c r="Z22" s="23" t="str">
        <f>IF(AND('[1]Mapa final'!$AB$35="Alta",'[1]Mapa final'!$AD$35="Moderado"),CONCATENATE("R7C",'[1]Mapa final'!$R$35),"")</f>
        <v/>
      </c>
      <c r="AA22" s="24" t="str">
        <f>IF(AND('[1]Mapa final'!$AB$36="Alta",'[1]Mapa final'!$AD$36="Moderado"),CONCATENATE("R7C",'[1]Mapa final'!$R$36),"")</f>
        <v/>
      </c>
      <c r="AB22" s="22" t="str">
        <f>IF(AND('[1]Mapa final'!$AB$31="Alta",'[1]Mapa final'!$AD$31="Mayor"),CONCATENATE("R7C",'[1]Mapa final'!$R$31),"")</f>
        <v/>
      </c>
      <c r="AC22" s="23" t="str">
        <f>IF(AND('[1]Mapa final'!$AB$32="Alta",'[1]Mapa final'!$AD$32="Mayor"),CONCATENATE("R7C",'[1]Mapa final'!$R$32),"")</f>
        <v/>
      </c>
      <c r="AD22" s="23" t="str">
        <f>IF(AND('[1]Mapa final'!$AB$33="Alta",'[1]Mapa final'!$AD$33="Mayor"),CONCATENATE("R7C",'[1]Mapa final'!$R$33),"")</f>
        <v/>
      </c>
      <c r="AE22" s="23" t="str">
        <f>IF(AND('[1]Mapa final'!$AB$34="Alta",'[1]Mapa final'!$AD$34="Mayor"),CONCATENATE("R7C",'[1]Mapa final'!$R$34),"")</f>
        <v/>
      </c>
      <c r="AF22" s="23" t="str">
        <f>IF(AND('[1]Mapa final'!$AB$35="Alta",'[1]Mapa final'!$AD$35="Mayor"),CONCATENATE("R7C",'[1]Mapa final'!$R$35),"")</f>
        <v/>
      </c>
      <c r="AG22" s="24" t="str">
        <f>IF(AND('[1]Mapa final'!$AB$36="Alta",'[1]Mapa final'!$AD$36="Mayor"),CONCATENATE("R7C",'[1]Mapa final'!$R$36),"")</f>
        <v/>
      </c>
      <c r="AH22" s="25" t="str">
        <f>IF(AND('[1]Mapa final'!$AB$31="Alta",'[1]Mapa final'!$AD$31="Catastrófico"),CONCATENATE("R7C",'[1]Mapa final'!$R$31),"")</f>
        <v/>
      </c>
      <c r="AI22" s="26" t="str">
        <f>IF(AND('[1]Mapa final'!$AB$32="Alta",'[1]Mapa final'!$AD$32="Catastrófico"),CONCATENATE("R7C",'[1]Mapa final'!$R$32),"")</f>
        <v/>
      </c>
      <c r="AJ22" s="26" t="str">
        <f>IF(AND('[1]Mapa final'!$AB$33="Alta",'[1]Mapa final'!$AD$33="Catastrófico"),CONCATENATE("R7C",'[1]Mapa final'!$R$33),"")</f>
        <v/>
      </c>
      <c r="AK22" s="26" t="str">
        <f>IF(AND('[1]Mapa final'!$AB$34="Alta",'[1]Mapa final'!$AD$34="Catastrófico"),CONCATENATE("R7C",'[1]Mapa final'!$R$34),"")</f>
        <v/>
      </c>
      <c r="AL22" s="26" t="str">
        <f>IF(AND('[1]Mapa final'!$AB$35="Alta",'[1]Mapa final'!$AD$35="Catastrófico"),CONCATENATE("R7C",'[1]Mapa final'!$R$35),"")</f>
        <v/>
      </c>
      <c r="AM22" s="27" t="str">
        <f>IF(AND('[1]Mapa final'!$AB$36="Alta",'[1]Mapa final'!$AD$36="Catastrófico"),CONCATENATE("R7C",'[1]Mapa final'!$R$36),"")</f>
        <v/>
      </c>
      <c r="AN22" s="53"/>
      <c r="AO22" s="598"/>
      <c r="AP22" s="599"/>
      <c r="AQ22" s="599"/>
      <c r="AR22" s="599"/>
      <c r="AS22" s="599"/>
      <c r="AT22" s="600"/>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5" customHeight="1" x14ac:dyDescent="0.3">
      <c r="A23" s="53"/>
      <c r="B23" s="571"/>
      <c r="C23" s="571"/>
      <c r="D23" s="572"/>
      <c r="E23" s="576"/>
      <c r="F23" s="577"/>
      <c r="G23" s="577"/>
      <c r="H23" s="577"/>
      <c r="I23" s="577"/>
      <c r="J23" s="37" t="str">
        <f>IF(AND('[1]Mapa final'!$AB$37="Alta",'[1]Mapa final'!$AD$37="Leve"),CONCATENATE("R8C",'[1]Mapa final'!$R$37),"")</f>
        <v/>
      </c>
      <c r="K23" s="38" t="str">
        <f>IF(AND('[1]Mapa final'!$AB$38="Alta",'[1]Mapa final'!$AD$38="Leve"),CONCATENATE("R8C",'[1]Mapa final'!$R$38),"")</f>
        <v/>
      </c>
      <c r="L23" s="38" t="str">
        <f>IF(AND('[1]Mapa final'!$AB$39="Alta",'[1]Mapa final'!$AD$39="Leve"),CONCATENATE("R8C",'[1]Mapa final'!$R$39),"")</f>
        <v/>
      </c>
      <c r="M23" s="38" t="str">
        <f>IF(AND('[1]Mapa final'!$AB$40="Alta",'[1]Mapa final'!$AD$40="Leve"),CONCATENATE("R8C",'[1]Mapa final'!$R$40),"")</f>
        <v/>
      </c>
      <c r="N23" s="38" t="str">
        <f>IF(AND('[1]Mapa final'!$AB$41="Alta",'[1]Mapa final'!$AD$41="Leve"),CONCATENATE("R8C",'[1]Mapa final'!$R$41),"")</f>
        <v/>
      </c>
      <c r="O23" s="39" t="str">
        <f>IF(AND('[1]Mapa final'!$AB$42="Alta",'[1]Mapa final'!$AD$42="Leve"),CONCATENATE("R8C",'[1]Mapa final'!$R$42),"")</f>
        <v/>
      </c>
      <c r="P23" s="37" t="str">
        <f>IF(AND('[1]Mapa final'!$AB$37="Alta",'[1]Mapa final'!$AD$37="Menor"),CONCATENATE("R8C",'[1]Mapa final'!$R$37),"")</f>
        <v/>
      </c>
      <c r="Q23" s="38" t="str">
        <f>IF(AND('[1]Mapa final'!$AB$38="Alta",'[1]Mapa final'!$AD$38="Menor"),CONCATENATE("R8C",'[1]Mapa final'!$R$38),"")</f>
        <v/>
      </c>
      <c r="R23" s="38" t="str">
        <f>IF(AND('[1]Mapa final'!$AB$39="Alta",'[1]Mapa final'!$AD$39="Menor"),CONCATENATE("R8C",'[1]Mapa final'!$R$39),"")</f>
        <v/>
      </c>
      <c r="S23" s="38" t="str">
        <f>IF(AND('[1]Mapa final'!$AB$40="Alta",'[1]Mapa final'!$AD$40="Menor"),CONCATENATE("R8C",'[1]Mapa final'!$R$40),"")</f>
        <v/>
      </c>
      <c r="T23" s="38" t="str">
        <f>IF(AND('[1]Mapa final'!$AB$41="Alta",'[1]Mapa final'!$AD$41="Menor"),CONCATENATE("R8C",'[1]Mapa final'!$R$41),"")</f>
        <v/>
      </c>
      <c r="U23" s="39" t="str">
        <f>IF(AND('[1]Mapa final'!$AB$42="Alta",'[1]Mapa final'!$AD$42="Menor"),CONCATENATE("R8C",'[1]Mapa final'!$R$42),"")</f>
        <v/>
      </c>
      <c r="V23" s="22" t="str">
        <f>IF(AND('[1]Mapa final'!$AB$37="Alta",'[1]Mapa final'!$AD$37="Moderado"),CONCATENATE("R8C",'[1]Mapa final'!$R$37),"")</f>
        <v/>
      </c>
      <c r="W23" s="23" t="str">
        <f>IF(AND('[1]Mapa final'!$AB$38="Alta",'[1]Mapa final'!$AD$38="Moderado"),CONCATENATE("R8C",'[1]Mapa final'!$R$38),"")</f>
        <v/>
      </c>
      <c r="X23" s="23" t="str">
        <f>IF(AND('[1]Mapa final'!$AB$39="Alta",'[1]Mapa final'!$AD$39="Moderado"),CONCATENATE("R8C",'[1]Mapa final'!$R$39),"")</f>
        <v/>
      </c>
      <c r="Y23" s="23" t="str">
        <f>IF(AND('[1]Mapa final'!$AB$40="Alta",'[1]Mapa final'!$AD$40="Moderado"),CONCATENATE("R8C",'[1]Mapa final'!$R$40),"")</f>
        <v/>
      </c>
      <c r="Z23" s="23" t="str">
        <f>IF(AND('[1]Mapa final'!$AB$41="Alta",'[1]Mapa final'!$AD$41="Moderado"),CONCATENATE("R8C",'[1]Mapa final'!$R$41),"")</f>
        <v/>
      </c>
      <c r="AA23" s="24" t="str">
        <f>IF(AND('[1]Mapa final'!$AB$42="Alta",'[1]Mapa final'!$AD$42="Moderado"),CONCATENATE("R8C",'[1]Mapa final'!$R$42),"")</f>
        <v/>
      </c>
      <c r="AB23" s="22" t="str">
        <f>IF(AND('[1]Mapa final'!$AB$37="Alta",'[1]Mapa final'!$AD$37="Mayor"),CONCATENATE("R8C",'[1]Mapa final'!$R$37),"")</f>
        <v/>
      </c>
      <c r="AC23" s="23" t="str">
        <f>IF(AND('[1]Mapa final'!$AB$38="Alta",'[1]Mapa final'!$AD$38="Mayor"),CONCATENATE("R8C",'[1]Mapa final'!$R$38),"")</f>
        <v/>
      </c>
      <c r="AD23" s="23" t="str">
        <f>IF(AND('[1]Mapa final'!$AB$39="Alta",'[1]Mapa final'!$AD$39="Mayor"),CONCATENATE("R8C",'[1]Mapa final'!$R$39),"")</f>
        <v/>
      </c>
      <c r="AE23" s="23" t="str">
        <f>IF(AND('[1]Mapa final'!$AB$40="Alta",'[1]Mapa final'!$AD$40="Mayor"),CONCATENATE("R8C",'[1]Mapa final'!$R$40),"")</f>
        <v/>
      </c>
      <c r="AF23" s="23" t="str">
        <f>IF(AND('[1]Mapa final'!$AB$41="Alta",'[1]Mapa final'!$AD$41="Mayor"),CONCATENATE("R8C",'[1]Mapa final'!$R$41),"")</f>
        <v/>
      </c>
      <c r="AG23" s="24" t="str">
        <f>IF(AND('[1]Mapa final'!$AB$42="Alta",'[1]Mapa final'!$AD$42="Mayor"),CONCATENATE("R8C",'[1]Mapa final'!$R$42),"")</f>
        <v/>
      </c>
      <c r="AH23" s="25" t="str">
        <f>IF(AND('[1]Mapa final'!$AB$37="Alta",'[1]Mapa final'!$AD$37="Catastrófico"),CONCATENATE("R8C",'[1]Mapa final'!$R$37),"")</f>
        <v/>
      </c>
      <c r="AI23" s="26" t="str">
        <f>IF(AND('[1]Mapa final'!$AB$38="Alta",'[1]Mapa final'!$AD$38="Catastrófico"),CONCATENATE("R8C",'[1]Mapa final'!$R$38),"")</f>
        <v/>
      </c>
      <c r="AJ23" s="26" t="str">
        <f>IF(AND('[1]Mapa final'!$AB$39="Alta",'[1]Mapa final'!$AD$39="Catastrófico"),CONCATENATE("R8C",'[1]Mapa final'!$R$39),"")</f>
        <v/>
      </c>
      <c r="AK23" s="26" t="str">
        <f>IF(AND('[1]Mapa final'!$AB$40="Alta",'[1]Mapa final'!$AD$40="Catastrófico"),CONCATENATE("R8C",'[1]Mapa final'!$R$40),"")</f>
        <v/>
      </c>
      <c r="AL23" s="26" t="str">
        <f>IF(AND('[1]Mapa final'!$AB$41="Alta",'[1]Mapa final'!$AD$41="Catastrófico"),CONCATENATE("R8C",'[1]Mapa final'!$R$41),"")</f>
        <v/>
      </c>
      <c r="AM23" s="27" t="str">
        <f>IF(AND('[1]Mapa final'!$AB$42="Alta",'[1]Mapa final'!$AD$42="Catastrófico"),CONCATENATE("R8C",'[1]Mapa final'!$R$42),"")</f>
        <v/>
      </c>
      <c r="AN23" s="53"/>
      <c r="AO23" s="598"/>
      <c r="AP23" s="599"/>
      <c r="AQ23" s="599"/>
      <c r="AR23" s="599"/>
      <c r="AS23" s="599"/>
      <c r="AT23" s="600"/>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15" customHeight="1" x14ac:dyDescent="0.3">
      <c r="A24" s="53"/>
      <c r="B24" s="571"/>
      <c r="C24" s="571"/>
      <c r="D24" s="572"/>
      <c r="E24" s="576"/>
      <c r="F24" s="577"/>
      <c r="G24" s="577"/>
      <c r="H24" s="577"/>
      <c r="I24" s="577"/>
      <c r="J24" s="37" t="str">
        <f>IF(AND('[1]Mapa final'!$AB$43="Alta",'[1]Mapa final'!$AD$43="Leve"),CONCATENATE("R9C",'[1]Mapa final'!$R$43),"")</f>
        <v/>
      </c>
      <c r="K24" s="38" t="str">
        <f>IF(AND('[1]Mapa final'!$AB$44="Alta",'[1]Mapa final'!$AD$44="Leve"),CONCATENATE("R9C",'[1]Mapa final'!$R$44),"")</f>
        <v/>
      </c>
      <c r="L24" s="38" t="str">
        <f>IF(AND('[1]Mapa final'!$AB$45="Alta",'[1]Mapa final'!$AD$45="Leve"),CONCATENATE("R9C",'[1]Mapa final'!$R$45),"")</f>
        <v/>
      </c>
      <c r="M24" s="38" t="str">
        <f>IF(AND('[1]Mapa final'!$AB$46="Alta",'[1]Mapa final'!$AD$46="Leve"),CONCATENATE("R9C",'[1]Mapa final'!$R$46),"")</f>
        <v/>
      </c>
      <c r="N24" s="38" t="str">
        <f>IF(AND('[1]Mapa final'!$AB$47="Alta",'[1]Mapa final'!$AD$47="Leve"),CONCATENATE("R9C",'[1]Mapa final'!$R$47),"")</f>
        <v/>
      </c>
      <c r="O24" s="39" t="str">
        <f>IF(AND('[1]Mapa final'!$AB$48="Alta",'[1]Mapa final'!$AD$48="Leve"),CONCATENATE("R9C",'[1]Mapa final'!$R$48),"")</f>
        <v/>
      </c>
      <c r="P24" s="37" t="str">
        <f>IF(AND('[1]Mapa final'!$AB$43="Alta",'[1]Mapa final'!$AD$43="Menor"),CONCATENATE("R9C",'[1]Mapa final'!$R$43),"")</f>
        <v/>
      </c>
      <c r="Q24" s="38" t="str">
        <f>IF(AND('[1]Mapa final'!$AB$44="Alta",'[1]Mapa final'!$AD$44="Menor"),CONCATENATE("R9C",'[1]Mapa final'!$R$44),"")</f>
        <v/>
      </c>
      <c r="R24" s="38" t="str">
        <f>IF(AND('[1]Mapa final'!$AB$45="Alta",'[1]Mapa final'!$AD$45="Menor"),CONCATENATE("R9C",'[1]Mapa final'!$R$45),"")</f>
        <v/>
      </c>
      <c r="S24" s="38" t="str">
        <f>IF(AND('[1]Mapa final'!$AB$46="Alta",'[1]Mapa final'!$AD$46="Menor"),CONCATENATE("R9C",'[1]Mapa final'!$R$46),"")</f>
        <v/>
      </c>
      <c r="T24" s="38" t="str">
        <f>IF(AND('[1]Mapa final'!$AB$47="Alta",'[1]Mapa final'!$AD$47="Menor"),CONCATENATE("R9C",'[1]Mapa final'!$R$47),"")</f>
        <v/>
      </c>
      <c r="U24" s="39" t="str">
        <f>IF(AND('[1]Mapa final'!$AB$48="Alta",'[1]Mapa final'!$AD$48="Menor"),CONCATENATE("R9C",'[1]Mapa final'!$R$48),"")</f>
        <v/>
      </c>
      <c r="V24" s="22" t="str">
        <f>IF(AND('[1]Mapa final'!$AB$43="Alta",'[1]Mapa final'!$AD$43="Moderado"),CONCATENATE("R9C",'[1]Mapa final'!$R$43),"")</f>
        <v/>
      </c>
      <c r="W24" s="23" t="str">
        <f>IF(AND('[1]Mapa final'!$AB$44="Alta",'[1]Mapa final'!$AD$44="Moderado"),CONCATENATE("R9C",'[1]Mapa final'!$R$44),"")</f>
        <v/>
      </c>
      <c r="X24" s="23" t="str">
        <f>IF(AND('[1]Mapa final'!$AB$45="Alta",'[1]Mapa final'!$AD$45="Moderado"),CONCATENATE("R9C",'[1]Mapa final'!$R$45),"")</f>
        <v/>
      </c>
      <c r="Y24" s="23" t="str">
        <f>IF(AND('[1]Mapa final'!$AB$46="Alta",'[1]Mapa final'!$AD$46="Moderado"),CONCATENATE("R9C",'[1]Mapa final'!$R$46),"")</f>
        <v/>
      </c>
      <c r="Z24" s="23" t="str">
        <f>IF(AND('[1]Mapa final'!$AB$47="Alta",'[1]Mapa final'!$AD$47="Moderado"),CONCATENATE("R9C",'[1]Mapa final'!$R$47),"")</f>
        <v/>
      </c>
      <c r="AA24" s="24" t="str">
        <f>IF(AND('[1]Mapa final'!$AB$48="Alta",'[1]Mapa final'!$AD$48="Moderado"),CONCATENATE("R9C",'[1]Mapa final'!$R$48),"")</f>
        <v/>
      </c>
      <c r="AB24" s="22" t="str">
        <f>IF(AND('[1]Mapa final'!$AB$43="Alta",'[1]Mapa final'!$AD$43="Mayor"),CONCATENATE("R9C",'[1]Mapa final'!$R$43),"")</f>
        <v/>
      </c>
      <c r="AC24" s="23" t="str">
        <f>IF(AND('[1]Mapa final'!$AB$44="Alta",'[1]Mapa final'!$AD$44="Mayor"),CONCATENATE("R9C",'[1]Mapa final'!$R$44),"")</f>
        <v/>
      </c>
      <c r="AD24" s="23" t="str">
        <f>IF(AND('[1]Mapa final'!$AB$45="Alta",'[1]Mapa final'!$AD$45="Mayor"),CONCATENATE("R9C",'[1]Mapa final'!$R$45),"")</f>
        <v/>
      </c>
      <c r="AE24" s="23" t="str">
        <f>IF(AND('[1]Mapa final'!$AB$46="Alta",'[1]Mapa final'!$AD$46="Mayor"),CONCATENATE("R9C",'[1]Mapa final'!$R$46),"")</f>
        <v/>
      </c>
      <c r="AF24" s="23" t="str">
        <f>IF(AND('[1]Mapa final'!$AB$47="Alta",'[1]Mapa final'!$AD$47="Mayor"),CONCATENATE("R9C",'[1]Mapa final'!$R$47),"")</f>
        <v/>
      </c>
      <c r="AG24" s="24" t="str">
        <f>IF(AND('[1]Mapa final'!$AB$48="Alta",'[1]Mapa final'!$AD$48="Mayor"),CONCATENATE("R9C",'[1]Mapa final'!$R$48),"")</f>
        <v/>
      </c>
      <c r="AH24" s="25" t="str">
        <f>IF(AND('[1]Mapa final'!$AB$43="Alta",'[1]Mapa final'!$AD$43="Catastrófico"),CONCATENATE("R9C",'[1]Mapa final'!$R$43),"")</f>
        <v/>
      </c>
      <c r="AI24" s="26" t="str">
        <f>IF(AND('[1]Mapa final'!$AB$44="Alta",'[1]Mapa final'!$AD$44="Catastrófico"),CONCATENATE("R9C",'[1]Mapa final'!$R$44),"")</f>
        <v/>
      </c>
      <c r="AJ24" s="26" t="str">
        <f>IF(AND('[1]Mapa final'!$AB$45="Alta",'[1]Mapa final'!$AD$45="Catastrófico"),CONCATENATE("R9C",'[1]Mapa final'!$R$45),"")</f>
        <v/>
      </c>
      <c r="AK24" s="26" t="str">
        <f>IF(AND('[1]Mapa final'!$AB$46="Alta",'[1]Mapa final'!$AD$46="Catastrófico"),CONCATENATE("R9C",'[1]Mapa final'!$R$46),"")</f>
        <v/>
      </c>
      <c r="AL24" s="26" t="str">
        <f>IF(AND('[1]Mapa final'!$AB$47="Alta",'[1]Mapa final'!$AD$47="Catastrófico"),CONCATENATE("R9C",'[1]Mapa final'!$R$47),"")</f>
        <v/>
      </c>
      <c r="AM24" s="27" t="str">
        <f>IF(AND('[1]Mapa final'!$AB$48="Alta",'[1]Mapa final'!$AD$48="Catastrófico"),CONCATENATE("R9C",'[1]Mapa final'!$R$48),"")</f>
        <v/>
      </c>
      <c r="AN24" s="53"/>
      <c r="AO24" s="598"/>
      <c r="AP24" s="599"/>
      <c r="AQ24" s="599"/>
      <c r="AR24" s="599"/>
      <c r="AS24" s="599"/>
      <c r="AT24" s="600"/>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5.75" customHeight="1" thickBot="1" x14ac:dyDescent="0.35">
      <c r="A25" s="53"/>
      <c r="B25" s="571"/>
      <c r="C25" s="571"/>
      <c r="D25" s="572"/>
      <c r="E25" s="579"/>
      <c r="F25" s="580"/>
      <c r="G25" s="580"/>
      <c r="H25" s="580"/>
      <c r="I25" s="580"/>
      <c r="J25" s="40" t="str">
        <f>IF(AND('[1]Mapa final'!$AB$49="Alta",'[1]Mapa final'!$AD$49="Leve"),CONCATENATE("R10C",'[1]Mapa final'!$R$49),"")</f>
        <v/>
      </c>
      <c r="K25" s="41" t="str">
        <f>IF(AND('[1]Mapa final'!$AB$50="Alta",'[1]Mapa final'!$AD$50="Leve"),CONCATENATE("R10C",'[1]Mapa final'!$R$50),"")</f>
        <v/>
      </c>
      <c r="L25" s="41" t="str">
        <f>IF(AND('[1]Mapa final'!$AB$51="Alta",'[1]Mapa final'!$AD$51="Leve"),CONCATENATE("R10C",'[1]Mapa final'!$R$51),"")</f>
        <v/>
      </c>
      <c r="M25" s="41" t="str">
        <f>IF(AND('[1]Mapa final'!$AB$52="Alta",'[1]Mapa final'!$AD$52="Leve"),CONCATENATE("R10C",'[1]Mapa final'!$R$52),"")</f>
        <v/>
      </c>
      <c r="N25" s="41" t="str">
        <f>IF(AND('[1]Mapa final'!$AB$53="Alta",'[1]Mapa final'!$AD$53="Leve"),CONCATENATE("R10C",'[1]Mapa final'!$R$53),"")</f>
        <v/>
      </c>
      <c r="O25" s="42" t="str">
        <f>IF(AND('[1]Mapa final'!$AB$54="Alta",'[1]Mapa final'!$AD$54="Leve"),CONCATENATE("R10C",'[1]Mapa final'!$R$54),"")</f>
        <v/>
      </c>
      <c r="P25" s="40" t="str">
        <f>IF(AND('[1]Mapa final'!$AB$49="Alta",'[1]Mapa final'!$AD$49="Menor"),CONCATENATE("R10C",'[1]Mapa final'!$R$49),"")</f>
        <v/>
      </c>
      <c r="Q25" s="41" t="str">
        <f>IF(AND('[1]Mapa final'!$AB$50="Alta",'[1]Mapa final'!$AD$50="Menor"),CONCATENATE("R10C",'[1]Mapa final'!$R$50),"")</f>
        <v/>
      </c>
      <c r="R25" s="41" t="str">
        <f>IF(AND('[1]Mapa final'!$AB$51="Alta",'[1]Mapa final'!$AD$51="Menor"),CONCATENATE("R10C",'[1]Mapa final'!$R$51),"")</f>
        <v/>
      </c>
      <c r="S25" s="41" t="str">
        <f>IF(AND('[1]Mapa final'!$AB$52="Alta",'[1]Mapa final'!$AD$52="Menor"),CONCATENATE("R10C",'[1]Mapa final'!$R$52),"")</f>
        <v/>
      </c>
      <c r="T25" s="41" t="str">
        <f>IF(AND('[1]Mapa final'!$AB$53="Alta",'[1]Mapa final'!$AD$53="Menor"),CONCATENATE("R10C",'[1]Mapa final'!$R$53),"")</f>
        <v/>
      </c>
      <c r="U25" s="42" t="str">
        <f>IF(AND('[1]Mapa final'!$AB$54="Alta",'[1]Mapa final'!$AD$54="Menor"),CONCATENATE("R10C",'[1]Mapa final'!$R$54),"")</f>
        <v/>
      </c>
      <c r="V25" s="28" t="str">
        <f>IF(AND('[1]Mapa final'!$AB$49="Alta",'[1]Mapa final'!$AD$49="Moderado"),CONCATENATE("R10C",'[1]Mapa final'!$R$49),"")</f>
        <v/>
      </c>
      <c r="W25" s="29" t="str">
        <f>IF(AND('[1]Mapa final'!$AB$50="Alta",'[1]Mapa final'!$AD$50="Moderado"),CONCATENATE("R10C",'[1]Mapa final'!$R$50),"")</f>
        <v/>
      </c>
      <c r="X25" s="29" t="str">
        <f>IF(AND('[1]Mapa final'!$AB$51="Alta",'[1]Mapa final'!$AD$51="Moderado"),CONCATENATE("R10C",'[1]Mapa final'!$R$51),"")</f>
        <v/>
      </c>
      <c r="Y25" s="29" t="str">
        <f>IF(AND('[1]Mapa final'!$AB$52="Alta",'[1]Mapa final'!$AD$52="Moderado"),CONCATENATE("R10C",'[1]Mapa final'!$R$52),"")</f>
        <v/>
      </c>
      <c r="Z25" s="29" t="str">
        <f>IF(AND('[1]Mapa final'!$AB$53="Alta",'[1]Mapa final'!$AD$53="Moderado"),CONCATENATE("R10C",'[1]Mapa final'!$R$53),"")</f>
        <v/>
      </c>
      <c r="AA25" s="30" t="str">
        <f>IF(AND('[1]Mapa final'!$AB$54="Alta",'[1]Mapa final'!$AD$54="Moderado"),CONCATENATE("R10C",'[1]Mapa final'!$R$54),"")</f>
        <v/>
      </c>
      <c r="AB25" s="28" t="str">
        <f>IF(AND('[1]Mapa final'!$AB$49="Alta",'[1]Mapa final'!$AD$49="Mayor"),CONCATENATE("R10C",'[1]Mapa final'!$R$49),"")</f>
        <v/>
      </c>
      <c r="AC25" s="29" t="str">
        <f>IF(AND('[1]Mapa final'!$AB$50="Alta",'[1]Mapa final'!$AD$50="Mayor"),CONCATENATE("R10C",'[1]Mapa final'!$R$50),"")</f>
        <v/>
      </c>
      <c r="AD25" s="29" t="str">
        <f>IF(AND('[1]Mapa final'!$AB$51="Alta",'[1]Mapa final'!$AD$51="Mayor"),CONCATENATE("R10C",'[1]Mapa final'!$R$51),"")</f>
        <v/>
      </c>
      <c r="AE25" s="29" t="str">
        <f>IF(AND('[1]Mapa final'!$AB$52="Alta",'[1]Mapa final'!$AD$52="Mayor"),CONCATENATE("R10C",'[1]Mapa final'!$R$52),"")</f>
        <v/>
      </c>
      <c r="AF25" s="29" t="str">
        <f>IF(AND('[1]Mapa final'!$AB$53="Alta",'[1]Mapa final'!$AD$53="Mayor"),CONCATENATE("R10C",'[1]Mapa final'!$R$53),"")</f>
        <v/>
      </c>
      <c r="AG25" s="30" t="str">
        <f>IF(AND('[1]Mapa final'!$AB$54="Alta",'[1]Mapa final'!$AD$54="Mayor"),CONCATENATE("R10C",'[1]Mapa final'!$R$54),"")</f>
        <v/>
      </c>
      <c r="AH25" s="31" t="str">
        <f>IF(AND('[1]Mapa final'!$AB$49="Alta",'[1]Mapa final'!$AD$49="Catastrófico"),CONCATENATE("R10C",'[1]Mapa final'!$R$49),"")</f>
        <v/>
      </c>
      <c r="AI25" s="32" t="str">
        <f>IF(AND('[1]Mapa final'!$AB$50="Alta",'[1]Mapa final'!$AD$50="Catastrófico"),CONCATENATE("R10C",'[1]Mapa final'!$R$50),"")</f>
        <v/>
      </c>
      <c r="AJ25" s="32" t="str">
        <f>IF(AND('[1]Mapa final'!$AB$51="Alta",'[1]Mapa final'!$AD$51="Catastrófico"),CONCATENATE("R10C",'[1]Mapa final'!$R$51),"")</f>
        <v/>
      </c>
      <c r="AK25" s="32" t="str">
        <f>IF(AND('[1]Mapa final'!$AB$52="Alta",'[1]Mapa final'!$AD$52="Catastrófico"),CONCATENATE("R10C",'[1]Mapa final'!$R$52),"")</f>
        <v/>
      </c>
      <c r="AL25" s="32" t="str">
        <f>IF(AND('[1]Mapa final'!$AB$53="Alta",'[1]Mapa final'!$AD$53="Catastrófico"),CONCATENATE("R10C",'[1]Mapa final'!$R$53),"")</f>
        <v/>
      </c>
      <c r="AM25" s="33" t="str">
        <f>IF(AND('[1]Mapa final'!$AB$54="Alta",'[1]Mapa final'!$AD$54="Catastrófico"),CONCATENATE("R10C",'[1]Mapa final'!$R$54),"")</f>
        <v/>
      </c>
      <c r="AN25" s="53"/>
      <c r="AO25" s="601"/>
      <c r="AP25" s="602"/>
      <c r="AQ25" s="602"/>
      <c r="AR25" s="602"/>
      <c r="AS25" s="602"/>
      <c r="AT25" s="60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15" customHeight="1" x14ac:dyDescent="0.3">
      <c r="A26" s="53"/>
      <c r="B26" s="571"/>
      <c r="C26" s="571"/>
      <c r="D26" s="572"/>
      <c r="E26" s="573" t="s">
        <v>112</v>
      </c>
      <c r="F26" s="574"/>
      <c r="G26" s="574"/>
      <c r="H26" s="574"/>
      <c r="I26" s="575"/>
      <c r="J26" s="34" t="str">
        <f>IF(AND('[1]Mapa final'!$AB$10="Media",'[1]Mapa final'!$AD$10="Leve"),CONCATENATE("R1C",'[1]Mapa final'!$R$10),"")</f>
        <v/>
      </c>
      <c r="K26" s="35" t="str">
        <f>IF(AND('[1]Mapa final'!$AB$11="Media",'[1]Mapa final'!$AD$11="Leve"),CONCATENATE("R1C",'[1]Mapa final'!$R$11),"")</f>
        <v/>
      </c>
      <c r="L26" s="35" t="str">
        <f>IF(AND('[1]Mapa final'!$AB$12="Media",'[1]Mapa final'!$AD$12="Leve"),CONCATENATE("R1C",'[1]Mapa final'!$R$12),"")</f>
        <v/>
      </c>
      <c r="M26" s="35" t="str">
        <f>IF(AND('[1]Mapa final'!$AB$13="Media",'[1]Mapa final'!$AD$13="Leve"),CONCATENATE("R1C",'[1]Mapa final'!$R$13),"")</f>
        <v/>
      </c>
      <c r="N26" s="35" t="str">
        <f>IF(AND('[1]Mapa final'!$AB$14="Media",'[1]Mapa final'!$AD$14="Leve"),CONCATENATE("R1C",'[1]Mapa final'!$R$14),"")</f>
        <v/>
      </c>
      <c r="O26" s="36" t="e">
        <f>IF(AND('[1]Mapa final'!#REF!="Media",'[1]Mapa final'!#REF!="Leve"),CONCATENATE("R1C",'[1]Mapa final'!#REF!),"")</f>
        <v>#REF!</v>
      </c>
      <c r="P26" s="34" t="str">
        <f>IF(AND('[1]Mapa final'!$AB$10="Media",'[1]Mapa final'!$AD$10="Menor"),CONCATENATE("R1C",'[1]Mapa final'!$R$10),"")</f>
        <v/>
      </c>
      <c r="Q26" s="35" t="str">
        <f>IF(AND('[1]Mapa final'!$AB$11="Media",'[1]Mapa final'!$AD$11="Menor"),CONCATENATE("R1C",'[1]Mapa final'!$R$11),"")</f>
        <v/>
      </c>
      <c r="R26" s="35" t="str">
        <f>IF(AND('[1]Mapa final'!$AB$12="Media",'[1]Mapa final'!$AD$12="Menor"),CONCATENATE("R1C",'[1]Mapa final'!$R$12),"")</f>
        <v/>
      </c>
      <c r="S26" s="35" t="str">
        <f>IF(AND('[1]Mapa final'!$AB$13="Media",'[1]Mapa final'!$AD$13="Menor"),CONCATENATE("R1C",'[1]Mapa final'!$R$13),"")</f>
        <v/>
      </c>
      <c r="T26" s="35" t="str">
        <f>IF(AND('[1]Mapa final'!$AB$14="Media",'[1]Mapa final'!$AD$14="Menor"),CONCATENATE("R1C",'[1]Mapa final'!$R$14),"")</f>
        <v/>
      </c>
      <c r="U26" s="36" t="e">
        <f>IF(AND('[1]Mapa final'!#REF!="Media",'[1]Mapa final'!#REF!="Menor"),CONCATENATE("R1C",'[1]Mapa final'!#REF!),"")</f>
        <v>#REF!</v>
      </c>
      <c r="V26" s="34" t="str">
        <f>IF(AND('[1]Mapa final'!$AB$10="Media",'[1]Mapa final'!$AD$10="Moderado"),CONCATENATE("R1C",'[1]Mapa final'!$R$10),"")</f>
        <v/>
      </c>
      <c r="W26" s="35" t="str">
        <f>IF(AND('[1]Mapa final'!$AB$11="Media",'[1]Mapa final'!$AD$11="Moderado"),CONCATENATE("R1C",'[1]Mapa final'!$R$11),"")</f>
        <v/>
      </c>
      <c r="X26" s="35" t="str">
        <f>IF(AND('[1]Mapa final'!$AB$12="Media",'[1]Mapa final'!$AD$12="Moderado"),CONCATENATE("R1C",'[1]Mapa final'!$R$12),"")</f>
        <v/>
      </c>
      <c r="Y26" s="35" t="str">
        <f>IF(AND('[1]Mapa final'!$AB$13="Media",'[1]Mapa final'!$AD$13="Moderado"),CONCATENATE("R1C",'[1]Mapa final'!$R$13),"")</f>
        <v/>
      </c>
      <c r="Z26" s="35" t="str">
        <f>IF(AND('[1]Mapa final'!$AB$14="Media",'[1]Mapa final'!$AD$14="Moderado"),CONCATENATE("R1C",'[1]Mapa final'!$R$14),"")</f>
        <v/>
      </c>
      <c r="AA26" s="36" t="e">
        <f>IF(AND('[1]Mapa final'!#REF!="Media",'[1]Mapa final'!#REF!="Moderado"),CONCATENATE("R1C",'[1]Mapa final'!#REF!),"")</f>
        <v>#REF!</v>
      </c>
      <c r="AB26" s="16" t="str">
        <f>IF(AND('[1]Mapa final'!$AB$10="Media",'[1]Mapa final'!$AD$10="Mayor"),CONCATENATE("R1C",'[1]Mapa final'!$R$10),"")</f>
        <v>R1C1</v>
      </c>
      <c r="AC26" s="17" t="str">
        <f>IF(AND('[1]Mapa final'!$AB$11="Media",'[1]Mapa final'!$AD$11="Mayor"),CONCATENATE("R1C",'[1]Mapa final'!$R$11),"")</f>
        <v/>
      </c>
      <c r="AD26" s="17" t="str">
        <f>IF(AND('[1]Mapa final'!$AB$12="Media",'[1]Mapa final'!$AD$12="Mayor"),CONCATENATE("R1C",'[1]Mapa final'!$R$12),"")</f>
        <v/>
      </c>
      <c r="AE26" s="17" t="str">
        <f>IF(AND('[1]Mapa final'!$AB$13="Media",'[1]Mapa final'!$AD$13="Mayor"),CONCATENATE("R1C",'[1]Mapa final'!$R$13),"")</f>
        <v/>
      </c>
      <c r="AF26" s="17" t="str">
        <f>IF(AND('[1]Mapa final'!$AB$14="Media",'[1]Mapa final'!$AD$14="Mayor"),CONCATENATE("R1C",'[1]Mapa final'!$R$14),"")</f>
        <v/>
      </c>
      <c r="AG26" s="18" t="e">
        <f>IF(AND('[1]Mapa final'!#REF!="Media",'[1]Mapa final'!#REF!="Mayor"),CONCATENATE("R1C",'[1]Mapa final'!#REF!),"")</f>
        <v>#REF!</v>
      </c>
      <c r="AH26" s="19" t="str">
        <f>IF(AND('[1]Mapa final'!$AB$10="Media",'[1]Mapa final'!$AD$10="Catastrófico"),CONCATENATE("R1C",'[1]Mapa final'!$R$10),"")</f>
        <v/>
      </c>
      <c r="AI26" s="20" t="str">
        <f>IF(AND('[1]Mapa final'!$AB$11="Media",'[1]Mapa final'!$AD$11="Catastrófico"),CONCATENATE("R1C",'[1]Mapa final'!$R$11),"")</f>
        <v/>
      </c>
      <c r="AJ26" s="20" t="str">
        <f>IF(AND('[1]Mapa final'!$AB$12="Media",'[1]Mapa final'!$AD$12="Catastrófico"),CONCATENATE("R1C",'[1]Mapa final'!$R$12),"")</f>
        <v/>
      </c>
      <c r="AK26" s="20" t="str">
        <f>IF(AND('[1]Mapa final'!$AB$13="Media",'[1]Mapa final'!$AD$13="Catastrófico"),CONCATENATE("R1C",'[1]Mapa final'!$R$13),"")</f>
        <v/>
      </c>
      <c r="AL26" s="20" t="str">
        <f>IF(AND('[1]Mapa final'!$AB$14="Media",'[1]Mapa final'!$AD$14="Catastrófico"),CONCATENATE("R1C",'[1]Mapa final'!$R$14),"")</f>
        <v/>
      </c>
      <c r="AM26" s="21" t="e">
        <f>IF(AND('[1]Mapa final'!#REF!="Media",'[1]Mapa final'!#REF!="Catastrófico"),CONCATENATE("R1C",'[1]Mapa final'!#REF!),"")</f>
        <v>#REF!</v>
      </c>
      <c r="AN26" s="53"/>
      <c r="AO26" s="604" t="s">
        <v>80</v>
      </c>
      <c r="AP26" s="605"/>
      <c r="AQ26" s="605"/>
      <c r="AR26" s="605"/>
      <c r="AS26" s="605"/>
      <c r="AT26" s="606"/>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5" customHeight="1" x14ac:dyDescent="0.3">
      <c r="A27" s="53"/>
      <c r="B27" s="571"/>
      <c r="C27" s="571"/>
      <c r="D27" s="572"/>
      <c r="E27" s="594"/>
      <c r="F27" s="577"/>
      <c r="G27" s="577"/>
      <c r="H27" s="577"/>
      <c r="I27" s="578"/>
      <c r="J27" s="37" t="str">
        <f>IF(AND('[1]Mapa final'!$AB$15="Media",'[1]Mapa final'!$AD$15="Leve"),CONCATENATE("R2C",'[1]Mapa final'!$R$15),"")</f>
        <v/>
      </c>
      <c r="K27" s="38" t="str">
        <f>IF(AND('[1]Mapa final'!$AB$16="Media",'[1]Mapa final'!$AD$16="Leve"),CONCATENATE("R2C",'[1]Mapa final'!$R$16),"")</f>
        <v/>
      </c>
      <c r="L27" s="38" t="e">
        <f>IF(AND('[1]Mapa final'!#REF!="Media",'[1]Mapa final'!#REF!="Leve"),CONCATENATE("R2C",'[1]Mapa final'!$R$17),"")</f>
        <v>#REF!</v>
      </c>
      <c r="M27" s="38" t="e">
        <f>IF(AND('[1]Mapa final'!#REF!="Media",'[1]Mapa final'!#REF!="Leve"),CONCATENATE("R2C",'[1]Mapa final'!#REF!),"")</f>
        <v>#REF!</v>
      </c>
      <c r="N27" s="38" t="e">
        <f>IF(AND('[1]Mapa final'!#REF!="Media",'[1]Mapa final'!#REF!="Leve"),CONCATENATE("R2C",'[1]Mapa final'!#REF!),"")</f>
        <v>#REF!</v>
      </c>
      <c r="O27" s="39" t="e">
        <f>IF(AND('[1]Mapa final'!#REF!="Media",'[1]Mapa final'!#REF!="Leve"),CONCATENATE("R2C",'[1]Mapa final'!#REF!),"")</f>
        <v>#REF!</v>
      </c>
      <c r="P27" s="37" t="str">
        <f>IF(AND('[1]Mapa final'!$AB$15="Media",'[1]Mapa final'!$AD$15="Menor"),CONCATENATE("R2C",'[1]Mapa final'!$R$15),"")</f>
        <v/>
      </c>
      <c r="Q27" s="38" t="str">
        <f>IF(AND('[1]Mapa final'!$AB$16="Media",'[1]Mapa final'!$AD$16="Menor"),CONCATENATE("R2C",'[1]Mapa final'!$R$16),"")</f>
        <v/>
      </c>
      <c r="R27" s="38" t="e">
        <f>IF(AND('[1]Mapa final'!#REF!="Media",'[1]Mapa final'!#REF!="Menor"),CONCATENATE("R2C",'[1]Mapa final'!$R$17),"")</f>
        <v>#REF!</v>
      </c>
      <c r="S27" s="38" t="e">
        <f>IF(AND('[1]Mapa final'!#REF!="Media",'[1]Mapa final'!#REF!="Menor"),CONCATENATE("R2C",'[1]Mapa final'!#REF!),"")</f>
        <v>#REF!</v>
      </c>
      <c r="T27" s="38" t="e">
        <f>IF(AND('[1]Mapa final'!#REF!="Media",'[1]Mapa final'!#REF!="Menor"),CONCATENATE("R2C",'[1]Mapa final'!#REF!),"")</f>
        <v>#REF!</v>
      </c>
      <c r="U27" s="39" t="e">
        <f>IF(AND('[1]Mapa final'!#REF!="Media",'[1]Mapa final'!#REF!="Menor"),CONCATENATE("R2C",'[1]Mapa final'!#REF!),"")</f>
        <v>#REF!</v>
      </c>
      <c r="V27" s="37" t="str">
        <f>IF(AND('[1]Mapa final'!$AB$15="Media",'[1]Mapa final'!$AD$15="Moderado"),CONCATENATE("R2C",'[1]Mapa final'!$R$15),"")</f>
        <v/>
      </c>
      <c r="W27" s="38" t="str">
        <f>IF(AND('[1]Mapa final'!$AB$16="Media",'[1]Mapa final'!$AD$16="Moderado"),CONCATENATE("R2C",'[1]Mapa final'!$R$16),"")</f>
        <v/>
      </c>
      <c r="X27" s="38" t="e">
        <f>IF(AND('[1]Mapa final'!#REF!="Media",'[1]Mapa final'!#REF!="Moderado"),CONCATENATE("R2C",'[1]Mapa final'!$R$17),"")</f>
        <v>#REF!</v>
      </c>
      <c r="Y27" s="38" t="e">
        <f>IF(AND('[1]Mapa final'!#REF!="Media",'[1]Mapa final'!#REF!="Moderado"),CONCATENATE("R2C",'[1]Mapa final'!#REF!),"")</f>
        <v>#REF!</v>
      </c>
      <c r="Z27" s="38" t="e">
        <f>IF(AND('[1]Mapa final'!#REF!="Media",'[1]Mapa final'!#REF!="Moderado"),CONCATENATE("R2C",'[1]Mapa final'!#REF!),"")</f>
        <v>#REF!</v>
      </c>
      <c r="AA27" s="39" t="e">
        <f>IF(AND('[1]Mapa final'!#REF!="Media",'[1]Mapa final'!#REF!="Moderado"),CONCATENATE("R2C",'[1]Mapa final'!#REF!),"")</f>
        <v>#REF!</v>
      </c>
      <c r="AB27" s="22" t="str">
        <f>IF(AND('[1]Mapa final'!$AB$15="Media",'[1]Mapa final'!$AD$15="Mayor"),CONCATENATE("R2C",'[1]Mapa final'!$R$15),"")</f>
        <v/>
      </c>
      <c r="AC27" s="23" t="str">
        <f>IF(AND('[1]Mapa final'!$AB$16="Media",'[1]Mapa final'!$AD$16="Mayor"),CONCATENATE("R2C",'[1]Mapa final'!$R$16),"")</f>
        <v/>
      </c>
      <c r="AD27" s="23" t="e">
        <f>IF(AND('[1]Mapa final'!#REF!="Media",'[1]Mapa final'!#REF!="Mayor"),CONCATENATE("R2C",'[1]Mapa final'!$R$17),"")</f>
        <v>#REF!</v>
      </c>
      <c r="AE27" s="23" t="e">
        <f>IF(AND('[1]Mapa final'!#REF!="Media",'[1]Mapa final'!#REF!="Mayor"),CONCATENATE("R2C",'[1]Mapa final'!#REF!),"")</f>
        <v>#REF!</v>
      </c>
      <c r="AF27" s="23" t="e">
        <f>IF(AND('[1]Mapa final'!#REF!="Media",'[1]Mapa final'!#REF!="Mayor"),CONCATENATE("R2C",'[1]Mapa final'!#REF!),"")</f>
        <v>#REF!</v>
      </c>
      <c r="AG27" s="24" t="e">
        <f>IF(AND('[1]Mapa final'!#REF!="Media",'[1]Mapa final'!#REF!="Mayor"),CONCATENATE("R2C",'[1]Mapa final'!#REF!),"")</f>
        <v>#REF!</v>
      </c>
      <c r="AH27" s="25" t="str">
        <f>IF(AND('[1]Mapa final'!$AB$15="Media",'[1]Mapa final'!$AD$15="Catastrófico"),CONCATENATE("R2C",'[1]Mapa final'!$R$15),"")</f>
        <v/>
      </c>
      <c r="AI27" s="26" t="str">
        <f>IF(AND('[1]Mapa final'!$AB$16="Media",'[1]Mapa final'!$AD$16="Catastrófico"),CONCATENATE("R2C",'[1]Mapa final'!$R$16),"")</f>
        <v/>
      </c>
      <c r="AJ27" s="26" t="e">
        <f>IF(AND('[1]Mapa final'!#REF!="Media",'[1]Mapa final'!#REF!="Catastrófico"),CONCATENATE("R2C",'[1]Mapa final'!$R$17),"")</f>
        <v>#REF!</v>
      </c>
      <c r="AK27" s="26" t="e">
        <f>IF(AND('[1]Mapa final'!#REF!="Media",'[1]Mapa final'!#REF!="Catastrófico"),CONCATENATE("R2C",'[1]Mapa final'!#REF!),"")</f>
        <v>#REF!</v>
      </c>
      <c r="AL27" s="26" t="e">
        <f>IF(AND('[1]Mapa final'!#REF!="Media",'[1]Mapa final'!#REF!="Catastrófico"),CONCATENATE("R2C",'[1]Mapa final'!#REF!),"")</f>
        <v>#REF!</v>
      </c>
      <c r="AM27" s="27" t="e">
        <f>IF(AND('[1]Mapa final'!#REF!="Media",'[1]Mapa final'!#REF!="Catastrófico"),CONCATENATE("R2C",'[1]Mapa final'!#REF!),"")</f>
        <v>#REF!</v>
      </c>
      <c r="AN27" s="53"/>
      <c r="AO27" s="607"/>
      <c r="AP27" s="608"/>
      <c r="AQ27" s="608"/>
      <c r="AR27" s="608"/>
      <c r="AS27" s="608"/>
      <c r="AT27" s="609"/>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5" customHeight="1" x14ac:dyDescent="0.3">
      <c r="A28" s="53"/>
      <c r="B28" s="571"/>
      <c r="C28" s="571"/>
      <c r="D28" s="572"/>
      <c r="E28" s="576"/>
      <c r="F28" s="577"/>
      <c r="G28" s="577"/>
      <c r="H28" s="577"/>
      <c r="I28" s="578"/>
      <c r="J28" s="37" t="e">
        <f>IF(AND('[1]Mapa final'!#REF!="Media",'[1]Mapa final'!#REF!="Leve"),CONCATENATE("R3C",'[1]Mapa final'!#REF!),"")</f>
        <v>#REF!</v>
      </c>
      <c r="K28" s="38" t="e">
        <f>IF(AND('[1]Mapa final'!#REF!="Media",'[1]Mapa final'!#REF!="Leve"),CONCATENATE("R3C",'[1]Mapa final'!#REF!),"")</f>
        <v>#REF!</v>
      </c>
      <c r="L28" s="38" t="e">
        <f>IF(AND('[1]Mapa final'!#REF!="Media",'[1]Mapa final'!#REF!="Leve"),CONCATENATE("R3C",'[1]Mapa final'!#REF!),"")</f>
        <v>#REF!</v>
      </c>
      <c r="M28" s="38" t="e">
        <f>IF(AND('[1]Mapa final'!#REF!="Media",'[1]Mapa final'!#REF!="Leve"),CONCATENATE("R3C",'[1]Mapa final'!#REF!),"")</f>
        <v>#REF!</v>
      </c>
      <c r="N28" s="38" t="e">
        <f>IF(AND('[1]Mapa final'!#REF!="Media",'[1]Mapa final'!#REF!="Leve"),CONCATENATE("R3C",'[1]Mapa final'!#REF!),"")</f>
        <v>#REF!</v>
      </c>
      <c r="O28" s="39" t="e">
        <f>IF(AND('[1]Mapa final'!#REF!="Media",'[1]Mapa final'!#REF!="Leve"),CONCATENATE("R3C",'[1]Mapa final'!#REF!),"")</f>
        <v>#REF!</v>
      </c>
      <c r="P28" s="37" t="e">
        <f>IF(AND('[1]Mapa final'!#REF!="Media",'[1]Mapa final'!#REF!="Menor"),CONCATENATE("R3C",'[1]Mapa final'!#REF!),"")</f>
        <v>#REF!</v>
      </c>
      <c r="Q28" s="38" t="e">
        <f>IF(AND('[1]Mapa final'!#REF!="Media",'[1]Mapa final'!#REF!="Menor"),CONCATENATE("R3C",'[1]Mapa final'!#REF!),"")</f>
        <v>#REF!</v>
      </c>
      <c r="R28" s="38" t="e">
        <f>IF(AND('[1]Mapa final'!#REF!="Media",'[1]Mapa final'!#REF!="Menor"),CONCATENATE("R3C",'[1]Mapa final'!#REF!),"")</f>
        <v>#REF!</v>
      </c>
      <c r="S28" s="38" t="e">
        <f>IF(AND('[1]Mapa final'!#REF!="Media",'[1]Mapa final'!#REF!="Menor"),CONCATENATE("R3C",'[1]Mapa final'!#REF!),"")</f>
        <v>#REF!</v>
      </c>
      <c r="T28" s="38" t="e">
        <f>IF(AND('[1]Mapa final'!#REF!="Media",'[1]Mapa final'!#REF!="Menor"),CONCATENATE("R3C",'[1]Mapa final'!#REF!),"")</f>
        <v>#REF!</v>
      </c>
      <c r="U28" s="39" t="e">
        <f>IF(AND('[1]Mapa final'!#REF!="Media",'[1]Mapa final'!#REF!="Menor"),CONCATENATE("R3C",'[1]Mapa final'!#REF!),"")</f>
        <v>#REF!</v>
      </c>
      <c r="V28" s="37" t="e">
        <f>IF(AND('[1]Mapa final'!#REF!="Media",'[1]Mapa final'!#REF!="Moderado"),CONCATENATE("R3C",'[1]Mapa final'!#REF!),"")</f>
        <v>#REF!</v>
      </c>
      <c r="W28" s="38" t="e">
        <f>IF(AND('[1]Mapa final'!#REF!="Media",'[1]Mapa final'!#REF!="Moderado"),CONCATENATE("R3C",'[1]Mapa final'!#REF!),"")</f>
        <v>#REF!</v>
      </c>
      <c r="X28" s="38" t="e">
        <f>IF(AND('[1]Mapa final'!#REF!="Media",'[1]Mapa final'!#REF!="Moderado"),CONCATENATE("R3C",'[1]Mapa final'!#REF!),"")</f>
        <v>#REF!</v>
      </c>
      <c r="Y28" s="38" t="e">
        <f>IF(AND('[1]Mapa final'!#REF!="Media",'[1]Mapa final'!#REF!="Moderado"),CONCATENATE("R3C",'[1]Mapa final'!#REF!),"")</f>
        <v>#REF!</v>
      </c>
      <c r="Z28" s="38" t="e">
        <f>IF(AND('[1]Mapa final'!#REF!="Media",'[1]Mapa final'!#REF!="Moderado"),CONCATENATE("R3C",'[1]Mapa final'!#REF!),"")</f>
        <v>#REF!</v>
      </c>
      <c r="AA28" s="39" t="e">
        <f>IF(AND('[1]Mapa final'!#REF!="Media",'[1]Mapa final'!#REF!="Moderado"),CONCATENATE("R3C",'[1]Mapa final'!#REF!),"")</f>
        <v>#REF!</v>
      </c>
      <c r="AB28" s="22" t="e">
        <f>IF(AND('[1]Mapa final'!#REF!="Media",'[1]Mapa final'!#REF!="Mayor"),CONCATENATE("R3C",'[1]Mapa final'!#REF!),"")</f>
        <v>#REF!</v>
      </c>
      <c r="AC28" s="23" t="e">
        <f>IF(AND('[1]Mapa final'!#REF!="Media",'[1]Mapa final'!#REF!="Mayor"),CONCATENATE("R3C",'[1]Mapa final'!#REF!),"")</f>
        <v>#REF!</v>
      </c>
      <c r="AD28" s="23" t="e">
        <f>IF(AND('[1]Mapa final'!#REF!="Media",'[1]Mapa final'!#REF!="Mayor"),CONCATENATE("R3C",'[1]Mapa final'!#REF!),"")</f>
        <v>#REF!</v>
      </c>
      <c r="AE28" s="23" t="e">
        <f>IF(AND('[1]Mapa final'!#REF!="Media",'[1]Mapa final'!#REF!="Mayor"),CONCATENATE("R3C",'[1]Mapa final'!#REF!),"")</f>
        <v>#REF!</v>
      </c>
      <c r="AF28" s="23" t="e">
        <f>IF(AND('[1]Mapa final'!#REF!="Media",'[1]Mapa final'!#REF!="Mayor"),CONCATENATE("R3C",'[1]Mapa final'!#REF!),"")</f>
        <v>#REF!</v>
      </c>
      <c r="AG28" s="24" t="e">
        <f>IF(AND('[1]Mapa final'!#REF!="Media",'[1]Mapa final'!#REF!="Mayor"),CONCATENATE("R3C",'[1]Mapa final'!#REF!),"")</f>
        <v>#REF!</v>
      </c>
      <c r="AH28" s="25" t="e">
        <f>IF(AND('[1]Mapa final'!#REF!="Media",'[1]Mapa final'!#REF!="Catastrófico"),CONCATENATE("R3C",'[1]Mapa final'!#REF!),"")</f>
        <v>#REF!</v>
      </c>
      <c r="AI28" s="26" t="e">
        <f>IF(AND('[1]Mapa final'!#REF!="Media",'[1]Mapa final'!#REF!="Catastrófico"),CONCATENATE("R3C",'[1]Mapa final'!#REF!),"")</f>
        <v>#REF!</v>
      </c>
      <c r="AJ28" s="26" t="e">
        <f>IF(AND('[1]Mapa final'!#REF!="Media",'[1]Mapa final'!#REF!="Catastrófico"),CONCATENATE("R3C",'[1]Mapa final'!#REF!),"")</f>
        <v>#REF!</v>
      </c>
      <c r="AK28" s="26" t="e">
        <f>IF(AND('[1]Mapa final'!#REF!="Media",'[1]Mapa final'!#REF!="Catastrófico"),CONCATENATE("R3C",'[1]Mapa final'!#REF!),"")</f>
        <v>#REF!</v>
      </c>
      <c r="AL28" s="26" t="e">
        <f>IF(AND('[1]Mapa final'!#REF!="Media",'[1]Mapa final'!#REF!="Catastrófico"),CONCATENATE("R3C",'[1]Mapa final'!#REF!),"")</f>
        <v>#REF!</v>
      </c>
      <c r="AM28" s="27" t="e">
        <f>IF(AND('[1]Mapa final'!#REF!="Media",'[1]Mapa final'!#REF!="Catastrófico"),CONCATENATE("R3C",'[1]Mapa final'!#REF!),"")</f>
        <v>#REF!</v>
      </c>
      <c r="AN28" s="53"/>
      <c r="AO28" s="607"/>
      <c r="AP28" s="608"/>
      <c r="AQ28" s="608"/>
      <c r="AR28" s="608"/>
      <c r="AS28" s="608"/>
      <c r="AT28" s="609"/>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15" customHeight="1" x14ac:dyDescent="0.3">
      <c r="A29" s="53"/>
      <c r="B29" s="571"/>
      <c r="C29" s="571"/>
      <c r="D29" s="572"/>
      <c r="E29" s="576"/>
      <c r="F29" s="577"/>
      <c r="G29" s="577"/>
      <c r="H29" s="577"/>
      <c r="I29" s="578"/>
      <c r="J29" s="37" t="e">
        <f>IF(AND('[1]Mapa final'!#REF!="Media",'[1]Mapa final'!#REF!="Leve"),CONCATENATE("R4C",'[1]Mapa final'!#REF!),"")</f>
        <v>#REF!</v>
      </c>
      <c r="K29" s="38" t="e">
        <f>IF(AND('[1]Mapa final'!#REF!="Media",'[1]Mapa final'!#REF!="Leve"),CONCATENATE("R4C",'[1]Mapa final'!#REF!),"")</f>
        <v>#REF!</v>
      </c>
      <c r="L29" s="38" t="e">
        <f>IF(AND('[1]Mapa final'!#REF!="Media",'[1]Mapa final'!#REF!="Leve"),CONCATENATE("R4C",'[1]Mapa final'!#REF!),"")</f>
        <v>#REF!</v>
      </c>
      <c r="M29" s="38" t="e">
        <f>IF(AND('[1]Mapa final'!#REF!="Media",'[1]Mapa final'!#REF!="Leve"),CONCATENATE("R4C",'[1]Mapa final'!#REF!),"")</f>
        <v>#REF!</v>
      </c>
      <c r="N29" s="38" t="e">
        <f>IF(AND('[1]Mapa final'!#REF!="Media",'[1]Mapa final'!#REF!="Leve"),CONCATENATE("R4C",'[1]Mapa final'!#REF!),"")</f>
        <v>#REF!</v>
      </c>
      <c r="O29" s="39" t="e">
        <f>IF(AND('[1]Mapa final'!#REF!="Media",'[1]Mapa final'!#REF!="Leve"),CONCATENATE("R4C",'[1]Mapa final'!#REF!),"")</f>
        <v>#REF!</v>
      </c>
      <c r="P29" s="37" t="e">
        <f>IF(AND('[1]Mapa final'!#REF!="Media",'[1]Mapa final'!#REF!="Menor"),CONCATENATE("R4C",'[1]Mapa final'!#REF!),"")</f>
        <v>#REF!</v>
      </c>
      <c r="Q29" s="38" t="e">
        <f>IF(AND('[1]Mapa final'!#REF!="Media",'[1]Mapa final'!#REF!="Menor"),CONCATENATE("R4C",'[1]Mapa final'!#REF!),"")</f>
        <v>#REF!</v>
      </c>
      <c r="R29" s="38" t="e">
        <f>IF(AND('[1]Mapa final'!#REF!="Media",'[1]Mapa final'!#REF!="Menor"),CONCATENATE("R4C",'[1]Mapa final'!#REF!),"")</f>
        <v>#REF!</v>
      </c>
      <c r="S29" s="38" t="e">
        <f>IF(AND('[1]Mapa final'!#REF!="Media",'[1]Mapa final'!#REF!="Menor"),CONCATENATE("R4C",'[1]Mapa final'!#REF!),"")</f>
        <v>#REF!</v>
      </c>
      <c r="T29" s="38" t="e">
        <f>IF(AND('[1]Mapa final'!#REF!="Media",'[1]Mapa final'!#REF!="Menor"),CONCATENATE("R4C",'[1]Mapa final'!#REF!),"")</f>
        <v>#REF!</v>
      </c>
      <c r="U29" s="39" t="e">
        <f>IF(AND('[1]Mapa final'!#REF!="Media",'[1]Mapa final'!#REF!="Menor"),CONCATENATE("R4C",'[1]Mapa final'!#REF!),"")</f>
        <v>#REF!</v>
      </c>
      <c r="V29" s="37" t="e">
        <f>IF(AND('[1]Mapa final'!#REF!="Media",'[1]Mapa final'!#REF!="Moderado"),CONCATENATE("R4C",'[1]Mapa final'!#REF!),"")</f>
        <v>#REF!</v>
      </c>
      <c r="W29" s="38" t="e">
        <f>IF(AND('[1]Mapa final'!#REF!="Media",'[1]Mapa final'!#REF!="Moderado"),CONCATENATE("R4C",'[1]Mapa final'!#REF!),"")</f>
        <v>#REF!</v>
      </c>
      <c r="X29" s="38" t="e">
        <f>IF(AND('[1]Mapa final'!#REF!="Media",'[1]Mapa final'!#REF!="Moderado"),CONCATENATE("R4C",'[1]Mapa final'!#REF!),"")</f>
        <v>#REF!</v>
      </c>
      <c r="Y29" s="38" t="e">
        <f>IF(AND('[1]Mapa final'!#REF!="Media",'[1]Mapa final'!#REF!="Moderado"),CONCATENATE("R4C",'[1]Mapa final'!#REF!),"")</f>
        <v>#REF!</v>
      </c>
      <c r="Z29" s="38" t="e">
        <f>IF(AND('[1]Mapa final'!#REF!="Media",'[1]Mapa final'!#REF!="Moderado"),CONCATENATE("R4C",'[1]Mapa final'!#REF!),"")</f>
        <v>#REF!</v>
      </c>
      <c r="AA29" s="39" t="e">
        <f>IF(AND('[1]Mapa final'!#REF!="Media",'[1]Mapa final'!#REF!="Moderado"),CONCATENATE("R4C",'[1]Mapa final'!#REF!),"")</f>
        <v>#REF!</v>
      </c>
      <c r="AB29" s="22" t="e">
        <f>IF(AND('[1]Mapa final'!#REF!="Media",'[1]Mapa final'!#REF!="Mayor"),CONCATENATE("R4C",'[1]Mapa final'!#REF!),"")</f>
        <v>#REF!</v>
      </c>
      <c r="AC29" s="23" t="e">
        <f>IF(AND('[1]Mapa final'!#REF!="Media",'[1]Mapa final'!#REF!="Mayor"),CONCATENATE("R4C",'[1]Mapa final'!#REF!),"")</f>
        <v>#REF!</v>
      </c>
      <c r="AD29" s="23" t="e">
        <f>IF(AND('[1]Mapa final'!#REF!="Media",'[1]Mapa final'!#REF!="Mayor"),CONCATENATE("R4C",'[1]Mapa final'!#REF!),"")</f>
        <v>#REF!</v>
      </c>
      <c r="AE29" s="23" t="e">
        <f>IF(AND('[1]Mapa final'!#REF!="Media",'[1]Mapa final'!#REF!="Mayor"),CONCATENATE("R4C",'[1]Mapa final'!#REF!),"")</f>
        <v>#REF!</v>
      </c>
      <c r="AF29" s="23" t="e">
        <f>IF(AND('[1]Mapa final'!#REF!="Media",'[1]Mapa final'!#REF!="Mayor"),CONCATENATE("R4C",'[1]Mapa final'!#REF!),"")</f>
        <v>#REF!</v>
      </c>
      <c r="AG29" s="24" t="e">
        <f>IF(AND('[1]Mapa final'!#REF!="Media",'[1]Mapa final'!#REF!="Mayor"),CONCATENATE("R4C",'[1]Mapa final'!#REF!),"")</f>
        <v>#REF!</v>
      </c>
      <c r="AH29" s="25" t="e">
        <f>IF(AND('[1]Mapa final'!#REF!="Media",'[1]Mapa final'!#REF!="Catastrófico"),CONCATENATE("R4C",'[1]Mapa final'!#REF!),"")</f>
        <v>#REF!</v>
      </c>
      <c r="AI29" s="26" t="e">
        <f>IF(AND('[1]Mapa final'!#REF!="Media",'[1]Mapa final'!#REF!="Catastrófico"),CONCATENATE("R4C",'[1]Mapa final'!#REF!),"")</f>
        <v>#REF!</v>
      </c>
      <c r="AJ29" s="26" t="e">
        <f>IF(AND('[1]Mapa final'!#REF!="Media",'[1]Mapa final'!#REF!="Catastrófico"),CONCATENATE("R4C",'[1]Mapa final'!#REF!),"")</f>
        <v>#REF!</v>
      </c>
      <c r="AK29" s="26" t="e">
        <f>IF(AND('[1]Mapa final'!#REF!="Media",'[1]Mapa final'!#REF!="Catastrófico"),CONCATENATE("R4C",'[1]Mapa final'!#REF!),"")</f>
        <v>#REF!</v>
      </c>
      <c r="AL29" s="26" t="e">
        <f>IF(AND('[1]Mapa final'!#REF!="Media",'[1]Mapa final'!#REF!="Catastrófico"),CONCATENATE("R4C",'[1]Mapa final'!#REF!),"")</f>
        <v>#REF!</v>
      </c>
      <c r="AM29" s="27" t="e">
        <f>IF(AND('[1]Mapa final'!#REF!="Media",'[1]Mapa final'!#REF!="Catastrófico"),CONCATENATE("R4C",'[1]Mapa final'!#REF!),"")</f>
        <v>#REF!</v>
      </c>
      <c r="AN29" s="53"/>
      <c r="AO29" s="607"/>
      <c r="AP29" s="608"/>
      <c r="AQ29" s="608"/>
      <c r="AR29" s="608"/>
      <c r="AS29" s="608"/>
      <c r="AT29" s="609"/>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row>
    <row r="30" spans="1:76" ht="15" customHeight="1" x14ac:dyDescent="0.3">
      <c r="A30" s="53"/>
      <c r="B30" s="571"/>
      <c r="C30" s="571"/>
      <c r="D30" s="572"/>
      <c r="E30" s="576"/>
      <c r="F30" s="577"/>
      <c r="G30" s="577"/>
      <c r="H30" s="577"/>
      <c r="I30" s="578"/>
      <c r="J30" s="37" t="str">
        <f>IF(AND('[1]Mapa final'!$AB$19="Media",'[1]Mapa final'!$AD$19="Leve"),CONCATENATE("R5C",'[1]Mapa final'!$R$19),"")</f>
        <v/>
      </c>
      <c r="K30" s="38" t="str">
        <f>IF(AND('[1]Mapa final'!$AB$20="Media",'[1]Mapa final'!$AD$20="Leve"),CONCATENATE("R5C",'[1]Mapa final'!$R$20),"")</f>
        <v/>
      </c>
      <c r="L30" s="38" t="str">
        <f>IF(AND('[1]Mapa final'!$AB$21="Media",'[1]Mapa final'!$AD$21="Leve"),CONCATENATE("R5C",'[1]Mapa final'!$R$21),"")</f>
        <v/>
      </c>
      <c r="M30" s="38" t="str">
        <f>IF(AND('[1]Mapa final'!$AB$22="Media",'[1]Mapa final'!$AD$22="Leve"),CONCATENATE("R5C",'[1]Mapa final'!$R$22),"")</f>
        <v/>
      </c>
      <c r="N30" s="38" t="str">
        <f>IF(AND('[1]Mapa final'!$AB$23="Media",'[1]Mapa final'!$AD$23="Leve"),CONCATENATE("R5C",'[1]Mapa final'!$R$23),"")</f>
        <v/>
      </c>
      <c r="O30" s="39" t="str">
        <f>IF(AND('[1]Mapa final'!$AB$24="Media",'[1]Mapa final'!$AD$24="Leve"),CONCATENATE("R5C",'[1]Mapa final'!$R$24),"")</f>
        <v/>
      </c>
      <c r="P30" s="37" t="str">
        <f>IF(AND('[1]Mapa final'!$AB$19="Media",'[1]Mapa final'!$AD$19="Menor"),CONCATENATE("R5C",'[1]Mapa final'!$R$19),"")</f>
        <v/>
      </c>
      <c r="Q30" s="38" t="str">
        <f>IF(AND('[1]Mapa final'!$AB$20="Media",'[1]Mapa final'!$AD$20="Menor"),CONCATENATE("R5C",'[1]Mapa final'!$R$20),"")</f>
        <v/>
      </c>
      <c r="R30" s="38" t="str">
        <f>IF(AND('[1]Mapa final'!$AB$21="Media",'[1]Mapa final'!$AD$21="Menor"),CONCATENATE("R5C",'[1]Mapa final'!$R$21),"")</f>
        <v/>
      </c>
      <c r="S30" s="38" t="str">
        <f>IF(AND('[1]Mapa final'!$AB$22="Media",'[1]Mapa final'!$AD$22="Menor"),CONCATENATE("R5C",'[1]Mapa final'!$R$22),"")</f>
        <v/>
      </c>
      <c r="T30" s="38" t="str">
        <f>IF(AND('[1]Mapa final'!$AB$23="Media",'[1]Mapa final'!$AD$23="Menor"),CONCATENATE("R5C",'[1]Mapa final'!$R$23),"")</f>
        <v/>
      </c>
      <c r="U30" s="39" t="str">
        <f>IF(AND('[1]Mapa final'!$AB$24="Media",'[1]Mapa final'!$AD$24="Menor"),CONCATENATE("R5C",'[1]Mapa final'!$R$24),"")</f>
        <v/>
      </c>
      <c r="V30" s="37" t="str">
        <f>IF(AND('[1]Mapa final'!$AB$19="Media",'[1]Mapa final'!$AD$19="Moderado"),CONCATENATE("R5C",'[1]Mapa final'!$R$19),"")</f>
        <v/>
      </c>
      <c r="W30" s="38" t="str">
        <f>IF(AND('[1]Mapa final'!$AB$20="Media",'[1]Mapa final'!$AD$20="Moderado"),CONCATENATE("R5C",'[1]Mapa final'!$R$20),"")</f>
        <v/>
      </c>
      <c r="X30" s="38" t="str">
        <f>IF(AND('[1]Mapa final'!$AB$21="Media",'[1]Mapa final'!$AD$21="Moderado"),CONCATENATE("R5C",'[1]Mapa final'!$R$21),"")</f>
        <v/>
      </c>
      <c r="Y30" s="38" t="str">
        <f>IF(AND('[1]Mapa final'!$AB$22="Media",'[1]Mapa final'!$AD$22="Moderado"),CONCATENATE("R5C",'[1]Mapa final'!$R$22),"")</f>
        <v/>
      </c>
      <c r="Z30" s="38" t="str">
        <f>IF(AND('[1]Mapa final'!$AB$23="Media",'[1]Mapa final'!$AD$23="Moderado"),CONCATENATE("R5C",'[1]Mapa final'!$R$23),"")</f>
        <v/>
      </c>
      <c r="AA30" s="39" t="str">
        <f>IF(AND('[1]Mapa final'!$AB$24="Media",'[1]Mapa final'!$AD$24="Moderado"),CONCATENATE("R5C",'[1]Mapa final'!$R$24),"")</f>
        <v/>
      </c>
      <c r="AB30" s="22" t="str">
        <f>IF(AND('[1]Mapa final'!$AB$19="Media",'[1]Mapa final'!$AD$19="Mayor"),CONCATENATE("R5C",'[1]Mapa final'!$R$19),"")</f>
        <v/>
      </c>
      <c r="AC30" s="23" t="str">
        <f>IF(AND('[1]Mapa final'!$AB$20="Media",'[1]Mapa final'!$AD$20="Mayor"),CONCATENATE("R5C",'[1]Mapa final'!$R$20),"")</f>
        <v/>
      </c>
      <c r="AD30" s="23" t="str">
        <f>IF(AND('[1]Mapa final'!$AB$21="Media",'[1]Mapa final'!$AD$21="Mayor"),CONCATENATE("R5C",'[1]Mapa final'!$R$21),"")</f>
        <v/>
      </c>
      <c r="AE30" s="23" t="str">
        <f>IF(AND('[1]Mapa final'!$AB$22="Media",'[1]Mapa final'!$AD$22="Mayor"),CONCATENATE("R5C",'[1]Mapa final'!$R$22),"")</f>
        <v/>
      </c>
      <c r="AF30" s="23" t="str">
        <f>IF(AND('[1]Mapa final'!$AB$23="Media",'[1]Mapa final'!$AD$23="Mayor"),CONCATENATE("R5C",'[1]Mapa final'!$R$23),"")</f>
        <v/>
      </c>
      <c r="AG30" s="24" t="str">
        <f>IF(AND('[1]Mapa final'!$AB$24="Media",'[1]Mapa final'!$AD$24="Mayor"),CONCATENATE("R5C",'[1]Mapa final'!$R$24),"")</f>
        <v/>
      </c>
      <c r="AH30" s="25" t="str">
        <f>IF(AND('[1]Mapa final'!$AB$19="Media",'[1]Mapa final'!$AD$19="Catastrófico"),CONCATENATE("R5C",'[1]Mapa final'!$R$19),"")</f>
        <v/>
      </c>
      <c r="AI30" s="26" t="str">
        <f>IF(AND('[1]Mapa final'!$AB$20="Media",'[1]Mapa final'!$AD$20="Catastrófico"),CONCATENATE("R5C",'[1]Mapa final'!$R$20),"")</f>
        <v/>
      </c>
      <c r="AJ30" s="26" t="str">
        <f>IF(AND('[1]Mapa final'!$AB$21="Media",'[1]Mapa final'!$AD$21="Catastrófico"),CONCATENATE("R5C",'[1]Mapa final'!$R$21),"")</f>
        <v/>
      </c>
      <c r="AK30" s="26" t="str">
        <f>IF(AND('[1]Mapa final'!$AB$22="Media",'[1]Mapa final'!$AD$22="Catastrófico"),CONCATENATE("R5C",'[1]Mapa final'!$R$22),"")</f>
        <v/>
      </c>
      <c r="AL30" s="26" t="str">
        <f>IF(AND('[1]Mapa final'!$AB$23="Media",'[1]Mapa final'!$AD$23="Catastrófico"),CONCATENATE("R5C",'[1]Mapa final'!$R$23),"")</f>
        <v/>
      </c>
      <c r="AM30" s="27" t="str">
        <f>IF(AND('[1]Mapa final'!$AB$24="Media",'[1]Mapa final'!$AD$24="Catastrófico"),CONCATENATE("R5C",'[1]Mapa final'!$R$24),"")</f>
        <v/>
      </c>
      <c r="AN30" s="53"/>
      <c r="AO30" s="607"/>
      <c r="AP30" s="608"/>
      <c r="AQ30" s="608"/>
      <c r="AR30" s="608"/>
      <c r="AS30" s="608"/>
      <c r="AT30" s="609"/>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row>
    <row r="31" spans="1:76" ht="15" customHeight="1" x14ac:dyDescent="0.3">
      <c r="A31" s="53"/>
      <c r="B31" s="571"/>
      <c r="C31" s="571"/>
      <c r="D31" s="572"/>
      <c r="E31" s="576"/>
      <c r="F31" s="577"/>
      <c r="G31" s="577"/>
      <c r="H31" s="577"/>
      <c r="I31" s="578"/>
      <c r="J31" s="37" t="str">
        <f>IF(AND('[1]Mapa final'!$AB$25="Media",'[1]Mapa final'!$AD$25="Leve"),CONCATENATE("R6C",'[1]Mapa final'!$R$25),"")</f>
        <v/>
      </c>
      <c r="K31" s="38" t="str">
        <f>IF(AND('[1]Mapa final'!$AB$26="Media",'[1]Mapa final'!$AD$26="Leve"),CONCATENATE("R6C",'[1]Mapa final'!$R$26),"")</f>
        <v/>
      </c>
      <c r="L31" s="38" t="str">
        <f>IF(AND('[1]Mapa final'!$AB$27="Media",'[1]Mapa final'!$AD$27="Leve"),CONCATENATE("R6C",'[1]Mapa final'!$R$27),"")</f>
        <v/>
      </c>
      <c r="M31" s="38" t="str">
        <f>IF(AND('[1]Mapa final'!$AB$28="Media",'[1]Mapa final'!$AD$28="Leve"),CONCATENATE("R6C",'[1]Mapa final'!$R$28),"")</f>
        <v/>
      </c>
      <c r="N31" s="38" t="str">
        <f>IF(AND('[1]Mapa final'!$AB$29="Media",'[1]Mapa final'!$AD$29="Leve"),CONCATENATE("R6C",'[1]Mapa final'!$R$29),"")</f>
        <v/>
      </c>
      <c r="O31" s="39" t="str">
        <f>IF(AND('[1]Mapa final'!$AB$30="Media",'[1]Mapa final'!$AD$30="Leve"),CONCATENATE("R6C",'[1]Mapa final'!$R$30),"")</f>
        <v/>
      </c>
      <c r="P31" s="37" t="str">
        <f>IF(AND('[1]Mapa final'!$AB$25="Media",'[1]Mapa final'!$AD$25="Menor"),CONCATENATE("R6C",'[1]Mapa final'!$R$25),"")</f>
        <v/>
      </c>
      <c r="Q31" s="38" t="str">
        <f>IF(AND('[1]Mapa final'!$AB$26="Media",'[1]Mapa final'!$AD$26="Menor"),CONCATENATE("R6C",'[1]Mapa final'!$R$26),"")</f>
        <v/>
      </c>
      <c r="R31" s="38" t="str">
        <f>IF(AND('[1]Mapa final'!$AB$27="Media",'[1]Mapa final'!$AD$27="Menor"),CONCATENATE("R6C",'[1]Mapa final'!$R$27),"")</f>
        <v/>
      </c>
      <c r="S31" s="38" t="str">
        <f>IF(AND('[1]Mapa final'!$AB$28="Media",'[1]Mapa final'!$AD$28="Menor"),CONCATENATE("R6C",'[1]Mapa final'!$R$28),"")</f>
        <v/>
      </c>
      <c r="T31" s="38" t="str">
        <f>IF(AND('[1]Mapa final'!$AB$29="Media",'[1]Mapa final'!$AD$29="Menor"),CONCATENATE("R6C",'[1]Mapa final'!$R$29),"")</f>
        <v/>
      </c>
      <c r="U31" s="39" t="str">
        <f>IF(AND('[1]Mapa final'!$AB$30="Media",'[1]Mapa final'!$AD$30="Menor"),CONCATENATE("R6C",'[1]Mapa final'!$R$30),"")</f>
        <v/>
      </c>
      <c r="V31" s="37" t="str">
        <f>IF(AND('[1]Mapa final'!$AB$25="Media",'[1]Mapa final'!$AD$25="Moderado"),CONCATENATE("R6C",'[1]Mapa final'!$R$25),"")</f>
        <v/>
      </c>
      <c r="W31" s="38" t="str">
        <f>IF(AND('[1]Mapa final'!$AB$26="Media",'[1]Mapa final'!$AD$26="Moderado"),CONCATENATE("R6C",'[1]Mapa final'!$R$26),"")</f>
        <v/>
      </c>
      <c r="X31" s="38" t="str">
        <f>IF(AND('[1]Mapa final'!$AB$27="Media",'[1]Mapa final'!$AD$27="Moderado"),CONCATENATE("R6C",'[1]Mapa final'!$R$27),"")</f>
        <v/>
      </c>
      <c r="Y31" s="38" t="str">
        <f>IF(AND('[1]Mapa final'!$AB$28="Media",'[1]Mapa final'!$AD$28="Moderado"),CONCATENATE("R6C",'[1]Mapa final'!$R$28),"")</f>
        <v/>
      </c>
      <c r="Z31" s="38" t="str">
        <f>IF(AND('[1]Mapa final'!$AB$29="Media",'[1]Mapa final'!$AD$29="Moderado"),CONCATENATE("R6C",'[1]Mapa final'!$R$29),"")</f>
        <v/>
      </c>
      <c r="AA31" s="39" t="str">
        <f>IF(AND('[1]Mapa final'!$AB$30="Media",'[1]Mapa final'!$AD$30="Moderado"),CONCATENATE("R6C",'[1]Mapa final'!$R$30),"")</f>
        <v/>
      </c>
      <c r="AB31" s="22" t="str">
        <f>IF(AND('[1]Mapa final'!$AB$25="Media",'[1]Mapa final'!$AD$25="Mayor"),CONCATENATE("R6C",'[1]Mapa final'!$R$25),"")</f>
        <v/>
      </c>
      <c r="AC31" s="23" t="str">
        <f>IF(AND('[1]Mapa final'!$AB$26="Media",'[1]Mapa final'!$AD$26="Mayor"),CONCATENATE("R6C",'[1]Mapa final'!$R$26),"")</f>
        <v/>
      </c>
      <c r="AD31" s="23" t="str">
        <f>IF(AND('[1]Mapa final'!$AB$27="Media",'[1]Mapa final'!$AD$27="Mayor"),CONCATENATE("R6C",'[1]Mapa final'!$R$27),"")</f>
        <v/>
      </c>
      <c r="AE31" s="23" t="str">
        <f>IF(AND('[1]Mapa final'!$AB$28="Media",'[1]Mapa final'!$AD$28="Mayor"),CONCATENATE("R6C",'[1]Mapa final'!$R$28),"")</f>
        <v/>
      </c>
      <c r="AF31" s="23" t="str">
        <f>IF(AND('[1]Mapa final'!$AB$29="Media",'[1]Mapa final'!$AD$29="Mayor"),CONCATENATE("R6C",'[1]Mapa final'!$R$29),"")</f>
        <v/>
      </c>
      <c r="AG31" s="24" t="str">
        <f>IF(AND('[1]Mapa final'!$AB$30="Media",'[1]Mapa final'!$AD$30="Mayor"),CONCATENATE("R6C",'[1]Mapa final'!$R$30),"")</f>
        <v/>
      </c>
      <c r="AH31" s="25" t="str">
        <f>IF(AND('[1]Mapa final'!$AB$25="Media",'[1]Mapa final'!$AD$25="Catastrófico"),CONCATENATE("R6C",'[1]Mapa final'!$R$25),"")</f>
        <v/>
      </c>
      <c r="AI31" s="26" t="str">
        <f>IF(AND('[1]Mapa final'!$AB$26="Media",'[1]Mapa final'!$AD$26="Catastrófico"),CONCATENATE("R6C",'[1]Mapa final'!$R$26),"")</f>
        <v/>
      </c>
      <c r="AJ31" s="26" t="str">
        <f>IF(AND('[1]Mapa final'!$AB$27="Media",'[1]Mapa final'!$AD$27="Catastrófico"),CONCATENATE("R6C",'[1]Mapa final'!$R$27),"")</f>
        <v/>
      </c>
      <c r="AK31" s="26" t="str">
        <f>IF(AND('[1]Mapa final'!$AB$28="Media",'[1]Mapa final'!$AD$28="Catastrófico"),CONCATENATE("R6C",'[1]Mapa final'!$R$28),"")</f>
        <v/>
      </c>
      <c r="AL31" s="26" t="str">
        <f>IF(AND('[1]Mapa final'!$AB$29="Media",'[1]Mapa final'!$AD$29="Catastrófico"),CONCATENATE("R6C",'[1]Mapa final'!$R$29),"")</f>
        <v/>
      </c>
      <c r="AM31" s="27" t="str">
        <f>IF(AND('[1]Mapa final'!$AB$30="Media",'[1]Mapa final'!$AD$30="Catastrófico"),CONCATENATE("R6C",'[1]Mapa final'!$R$30),"")</f>
        <v/>
      </c>
      <c r="AN31" s="53"/>
      <c r="AO31" s="607"/>
      <c r="AP31" s="608"/>
      <c r="AQ31" s="608"/>
      <c r="AR31" s="608"/>
      <c r="AS31" s="608"/>
      <c r="AT31" s="609"/>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15" customHeight="1" x14ac:dyDescent="0.3">
      <c r="A32" s="53"/>
      <c r="B32" s="571"/>
      <c r="C32" s="571"/>
      <c r="D32" s="572"/>
      <c r="E32" s="576"/>
      <c r="F32" s="577"/>
      <c r="G32" s="577"/>
      <c r="H32" s="577"/>
      <c r="I32" s="578"/>
      <c r="J32" s="37" t="str">
        <f>IF(AND('[1]Mapa final'!$AB$31="Media",'[1]Mapa final'!$AD$31="Leve"),CONCATENATE("R7C",'[1]Mapa final'!$R$31),"")</f>
        <v/>
      </c>
      <c r="K32" s="38" t="str">
        <f>IF(AND('[1]Mapa final'!$AB$32="Media",'[1]Mapa final'!$AD$32="Leve"),CONCATENATE("R7C",'[1]Mapa final'!$R$32),"")</f>
        <v/>
      </c>
      <c r="L32" s="38" t="str">
        <f>IF(AND('[1]Mapa final'!$AB$33="Media",'[1]Mapa final'!$AD$33="Leve"),CONCATENATE("R7C",'[1]Mapa final'!$R$33),"")</f>
        <v/>
      </c>
      <c r="M32" s="38" t="str">
        <f>IF(AND('[1]Mapa final'!$AB$34="Media",'[1]Mapa final'!$AD$34="Leve"),CONCATENATE("R7C",'[1]Mapa final'!$R$34),"")</f>
        <v/>
      </c>
      <c r="N32" s="38" t="str">
        <f>IF(AND('[1]Mapa final'!$AB$35="Media",'[1]Mapa final'!$AD$35="Leve"),CONCATENATE("R7C",'[1]Mapa final'!$R$35),"")</f>
        <v/>
      </c>
      <c r="O32" s="39" t="str">
        <f>IF(AND('[1]Mapa final'!$AB$36="Media",'[1]Mapa final'!$AD$36="Leve"),CONCATENATE("R7C",'[1]Mapa final'!$R$36),"")</f>
        <v/>
      </c>
      <c r="P32" s="37" t="str">
        <f>IF(AND('[1]Mapa final'!$AB$31="Media",'[1]Mapa final'!$AD$31="Menor"),CONCATENATE("R7C",'[1]Mapa final'!$R$31),"")</f>
        <v/>
      </c>
      <c r="Q32" s="38" t="str">
        <f>IF(AND('[1]Mapa final'!$AB$32="Media",'[1]Mapa final'!$AD$32="Menor"),CONCATENATE("R7C",'[1]Mapa final'!$R$32),"")</f>
        <v/>
      </c>
      <c r="R32" s="38" t="str">
        <f>IF(AND('[1]Mapa final'!$AB$33="Media",'[1]Mapa final'!$AD$33="Menor"),CONCATENATE("R7C",'[1]Mapa final'!$R$33),"")</f>
        <v/>
      </c>
      <c r="S32" s="38" t="str">
        <f>IF(AND('[1]Mapa final'!$AB$34="Media",'[1]Mapa final'!$AD$34="Menor"),CONCATENATE("R7C",'[1]Mapa final'!$R$34),"")</f>
        <v/>
      </c>
      <c r="T32" s="38" t="str">
        <f>IF(AND('[1]Mapa final'!$AB$35="Media",'[1]Mapa final'!$AD$35="Menor"),CONCATENATE("R7C",'[1]Mapa final'!$R$35),"")</f>
        <v/>
      </c>
      <c r="U32" s="39" t="str">
        <f>IF(AND('[1]Mapa final'!$AB$36="Media",'[1]Mapa final'!$AD$36="Menor"),CONCATENATE("R7C",'[1]Mapa final'!$R$36),"")</f>
        <v/>
      </c>
      <c r="V32" s="37" t="str">
        <f>IF(AND('[1]Mapa final'!$AB$31="Media",'[1]Mapa final'!$AD$31="Moderado"),CONCATENATE("R7C",'[1]Mapa final'!$R$31),"")</f>
        <v/>
      </c>
      <c r="W32" s="38" t="str">
        <f>IF(AND('[1]Mapa final'!$AB$32="Media",'[1]Mapa final'!$AD$32="Moderado"),CONCATENATE("R7C",'[1]Mapa final'!$R$32),"")</f>
        <v/>
      </c>
      <c r="X32" s="38" t="str">
        <f>IF(AND('[1]Mapa final'!$AB$33="Media",'[1]Mapa final'!$AD$33="Moderado"),CONCATENATE("R7C",'[1]Mapa final'!$R$33),"")</f>
        <v/>
      </c>
      <c r="Y32" s="38" t="str">
        <f>IF(AND('[1]Mapa final'!$AB$34="Media",'[1]Mapa final'!$AD$34="Moderado"),CONCATENATE("R7C",'[1]Mapa final'!$R$34),"")</f>
        <v/>
      </c>
      <c r="Z32" s="38" t="str">
        <f>IF(AND('[1]Mapa final'!$AB$35="Media",'[1]Mapa final'!$AD$35="Moderado"),CONCATENATE("R7C",'[1]Mapa final'!$R$35),"")</f>
        <v/>
      </c>
      <c r="AA32" s="39" t="str">
        <f>IF(AND('[1]Mapa final'!$AB$36="Media",'[1]Mapa final'!$AD$36="Moderado"),CONCATENATE("R7C",'[1]Mapa final'!$R$36),"")</f>
        <v/>
      </c>
      <c r="AB32" s="22" t="str">
        <f>IF(AND('[1]Mapa final'!$AB$31="Media",'[1]Mapa final'!$AD$31="Mayor"),CONCATENATE("R7C",'[1]Mapa final'!$R$31),"")</f>
        <v/>
      </c>
      <c r="AC32" s="23" t="str">
        <f>IF(AND('[1]Mapa final'!$AB$32="Media",'[1]Mapa final'!$AD$32="Mayor"),CONCATENATE("R7C",'[1]Mapa final'!$R$32),"")</f>
        <v/>
      </c>
      <c r="AD32" s="23" t="str">
        <f>IF(AND('[1]Mapa final'!$AB$33="Media",'[1]Mapa final'!$AD$33="Mayor"),CONCATENATE("R7C",'[1]Mapa final'!$R$33),"")</f>
        <v/>
      </c>
      <c r="AE32" s="23" t="str">
        <f>IF(AND('[1]Mapa final'!$AB$34="Media",'[1]Mapa final'!$AD$34="Mayor"),CONCATENATE("R7C",'[1]Mapa final'!$R$34),"")</f>
        <v/>
      </c>
      <c r="AF32" s="23" t="str">
        <f>IF(AND('[1]Mapa final'!$AB$35="Media",'[1]Mapa final'!$AD$35="Mayor"),CONCATENATE("R7C",'[1]Mapa final'!$R$35),"")</f>
        <v/>
      </c>
      <c r="AG32" s="24" t="str">
        <f>IF(AND('[1]Mapa final'!$AB$36="Media",'[1]Mapa final'!$AD$36="Mayor"),CONCATENATE("R7C",'[1]Mapa final'!$R$36),"")</f>
        <v/>
      </c>
      <c r="AH32" s="25" t="str">
        <f>IF(AND('[1]Mapa final'!$AB$31="Media",'[1]Mapa final'!$AD$31="Catastrófico"),CONCATENATE("R7C",'[1]Mapa final'!$R$31),"")</f>
        <v/>
      </c>
      <c r="AI32" s="26" t="str">
        <f>IF(AND('[1]Mapa final'!$AB$32="Media",'[1]Mapa final'!$AD$32="Catastrófico"),CONCATENATE("R7C",'[1]Mapa final'!$R$32),"")</f>
        <v/>
      </c>
      <c r="AJ32" s="26" t="str">
        <f>IF(AND('[1]Mapa final'!$AB$33="Media",'[1]Mapa final'!$AD$33="Catastrófico"),CONCATENATE("R7C",'[1]Mapa final'!$R$33),"")</f>
        <v/>
      </c>
      <c r="AK32" s="26" t="str">
        <f>IF(AND('[1]Mapa final'!$AB$34="Media",'[1]Mapa final'!$AD$34="Catastrófico"),CONCATENATE("R7C",'[1]Mapa final'!$R$34),"")</f>
        <v/>
      </c>
      <c r="AL32" s="26" t="str">
        <f>IF(AND('[1]Mapa final'!$AB$35="Media",'[1]Mapa final'!$AD$35="Catastrófico"),CONCATENATE("R7C",'[1]Mapa final'!$R$35),"")</f>
        <v/>
      </c>
      <c r="AM32" s="27" t="str">
        <f>IF(AND('[1]Mapa final'!$AB$36="Media",'[1]Mapa final'!$AD$36="Catastrófico"),CONCATENATE("R7C",'[1]Mapa final'!$R$36),"")</f>
        <v/>
      </c>
      <c r="AN32" s="53"/>
      <c r="AO32" s="607"/>
      <c r="AP32" s="608"/>
      <c r="AQ32" s="608"/>
      <c r="AR32" s="608"/>
      <c r="AS32" s="608"/>
      <c r="AT32" s="609"/>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80" ht="15" customHeight="1" x14ac:dyDescent="0.3">
      <c r="A33" s="53"/>
      <c r="B33" s="571"/>
      <c r="C33" s="571"/>
      <c r="D33" s="572"/>
      <c r="E33" s="576"/>
      <c r="F33" s="577"/>
      <c r="G33" s="577"/>
      <c r="H33" s="577"/>
      <c r="I33" s="578"/>
      <c r="J33" s="37" t="str">
        <f>IF(AND('[1]Mapa final'!$AB$37="Media",'[1]Mapa final'!$AD$37="Leve"),CONCATENATE("R8C",'[1]Mapa final'!$R$37),"")</f>
        <v/>
      </c>
      <c r="K33" s="38" t="str">
        <f>IF(AND('[1]Mapa final'!$AB$38="Media",'[1]Mapa final'!$AD$38="Leve"),CONCATENATE("R8C",'[1]Mapa final'!$R$38),"")</f>
        <v/>
      </c>
      <c r="L33" s="38" t="str">
        <f>IF(AND('[1]Mapa final'!$AB$39="Media",'[1]Mapa final'!$AD$39="Leve"),CONCATENATE("R8C",'[1]Mapa final'!$R$39),"")</f>
        <v/>
      </c>
      <c r="M33" s="38" t="str">
        <f>IF(AND('[1]Mapa final'!$AB$40="Media",'[1]Mapa final'!$AD$40="Leve"),CONCATENATE("R8C",'[1]Mapa final'!$R$40),"")</f>
        <v/>
      </c>
      <c r="N33" s="38" t="str">
        <f>IF(AND('[1]Mapa final'!$AB$41="Media",'[1]Mapa final'!$AD$41="Leve"),CONCATENATE("R8C",'[1]Mapa final'!$R$41),"")</f>
        <v/>
      </c>
      <c r="O33" s="39" t="str">
        <f>IF(AND('[1]Mapa final'!$AB$42="Media",'[1]Mapa final'!$AD$42="Leve"),CONCATENATE("R8C",'[1]Mapa final'!$R$42),"")</f>
        <v/>
      </c>
      <c r="P33" s="37" t="str">
        <f>IF(AND('[1]Mapa final'!$AB$37="Media",'[1]Mapa final'!$AD$37="Menor"),CONCATENATE("R8C",'[1]Mapa final'!$R$37),"")</f>
        <v/>
      </c>
      <c r="Q33" s="38" t="str">
        <f>IF(AND('[1]Mapa final'!$AB$38="Media",'[1]Mapa final'!$AD$38="Menor"),CONCATENATE("R8C",'[1]Mapa final'!$R$38),"")</f>
        <v/>
      </c>
      <c r="R33" s="38" t="str">
        <f>IF(AND('[1]Mapa final'!$AB$39="Media",'[1]Mapa final'!$AD$39="Menor"),CONCATENATE("R8C",'[1]Mapa final'!$R$39),"")</f>
        <v/>
      </c>
      <c r="S33" s="38" t="str">
        <f>IF(AND('[1]Mapa final'!$AB$40="Media",'[1]Mapa final'!$AD$40="Menor"),CONCATENATE("R8C",'[1]Mapa final'!$R$40),"")</f>
        <v/>
      </c>
      <c r="T33" s="38" t="str">
        <f>IF(AND('[1]Mapa final'!$AB$41="Media",'[1]Mapa final'!$AD$41="Menor"),CONCATENATE("R8C",'[1]Mapa final'!$R$41),"")</f>
        <v/>
      </c>
      <c r="U33" s="39" t="str">
        <f>IF(AND('[1]Mapa final'!$AB$42="Media",'[1]Mapa final'!$AD$42="Menor"),CONCATENATE("R8C",'[1]Mapa final'!$R$42),"")</f>
        <v/>
      </c>
      <c r="V33" s="37" t="str">
        <f>IF(AND('[1]Mapa final'!$AB$37="Media",'[1]Mapa final'!$AD$37="Moderado"),CONCATENATE("R8C",'[1]Mapa final'!$R$37),"")</f>
        <v/>
      </c>
      <c r="W33" s="38" t="str">
        <f>IF(AND('[1]Mapa final'!$AB$38="Media",'[1]Mapa final'!$AD$38="Moderado"),CONCATENATE("R8C",'[1]Mapa final'!$R$38),"")</f>
        <v/>
      </c>
      <c r="X33" s="38" t="str">
        <f>IF(AND('[1]Mapa final'!$AB$39="Media",'[1]Mapa final'!$AD$39="Moderado"),CONCATENATE("R8C",'[1]Mapa final'!$R$39),"")</f>
        <v/>
      </c>
      <c r="Y33" s="38" t="str">
        <f>IF(AND('[1]Mapa final'!$AB$40="Media",'[1]Mapa final'!$AD$40="Moderado"),CONCATENATE("R8C",'[1]Mapa final'!$R$40),"")</f>
        <v/>
      </c>
      <c r="Z33" s="38" t="str">
        <f>IF(AND('[1]Mapa final'!$AB$41="Media",'[1]Mapa final'!$AD$41="Moderado"),CONCATENATE("R8C",'[1]Mapa final'!$R$41),"")</f>
        <v/>
      </c>
      <c r="AA33" s="39" t="str">
        <f>IF(AND('[1]Mapa final'!$AB$42="Media",'[1]Mapa final'!$AD$42="Moderado"),CONCATENATE("R8C",'[1]Mapa final'!$R$42),"")</f>
        <v/>
      </c>
      <c r="AB33" s="22" t="str">
        <f>IF(AND('[1]Mapa final'!$AB$37="Media",'[1]Mapa final'!$AD$37="Mayor"),CONCATENATE("R8C",'[1]Mapa final'!$R$37),"")</f>
        <v/>
      </c>
      <c r="AC33" s="23" t="str">
        <f>IF(AND('[1]Mapa final'!$AB$38="Media",'[1]Mapa final'!$AD$38="Mayor"),CONCATENATE("R8C",'[1]Mapa final'!$R$38),"")</f>
        <v/>
      </c>
      <c r="AD33" s="23" t="str">
        <f>IF(AND('[1]Mapa final'!$AB$39="Media",'[1]Mapa final'!$AD$39="Mayor"),CONCATENATE("R8C",'[1]Mapa final'!$R$39),"")</f>
        <v/>
      </c>
      <c r="AE33" s="23" t="str">
        <f>IF(AND('[1]Mapa final'!$AB$40="Media",'[1]Mapa final'!$AD$40="Mayor"),CONCATENATE("R8C",'[1]Mapa final'!$R$40),"")</f>
        <v/>
      </c>
      <c r="AF33" s="23" t="str">
        <f>IF(AND('[1]Mapa final'!$AB$41="Media",'[1]Mapa final'!$AD$41="Mayor"),CONCATENATE("R8C",'[1]Mapa final'!$R$41),"")</f>
        <v/>
      </c>
      <c r="AG33" s="24" t="str">
        <f>IF(AND('[1]Mapa final'!$AB$42="Media",'[1]Mapa final'!$AD$42="Mayor"),CONCATENATE("R8C",'[1]Mapa final'!$R$42),"")</f>
        <v/>
      </c>
      <c r="AH33" s="25" t="str">
        <f>IF(AND('[1]Mapa final'!$AB$37="Media",'[1]Mapa final'!$AD$37="Catastrófico"),CONCATENATE("R8C",'[1]Mapa final'!$R$37),"")</f>
        <v/>
      </c>
      <c r="AI33" s="26" t="str">
        <f>IF(AND('[1]Mapa final'!$AB$38="Media",'[1]Mapa final'!$AD$38="Catastrófico"),CONCATENATE("R8C",'[1]Mapa final'!$R$38),"")</f>
        <v/>
      </c>
      <c r="AJ33" s="26" t="str">
        <f>IF(AND('[1]Mapa final'!$AB$39="Media",'[1]Mapa final'!$AD$39="Catastrófico"),CONCATENATE("R8C",'[1]Mapa final'!$R$39),"")</f>
        <v/>
      </c>
      <c r="AK33" s="26" t="str">
        <f>IF(AND('[1]Mapa final'!$AB$40="Media",'[1]Mapa final'!$AD$40="Catastrófico"),CONCATENATE("R8C",'[1]Mapa final'!$R$40),"")</f>
        <v/>
      </c>
      <c r="AL33" s="26" t="str">
        <f>IF(AND('[1]Mapa final'!$AB$41="Media",'[1]Mapa final'!$AD$41="Catastrófico"),CONCATENATE("R8C",'[1]Mapa final'!$R$41),"")</f>
        <v/>
      </c>
      <c r="AM33" s="27" t="str">
        <f>IF(AND('[1]Mapa final'!$AB$42="Media",'[1]Mapa final'!$AD$42="Catastrófico"),CONCATENATE("R8C",'[1]Mapa final'!$R$42),"")</f>
        <v/>
      </c>
      <c r="AN33" s="53"/>
      <c r="AO33" s="607"/>
      <c r="AP33" s="608"/>
      <c r="AQ33" s="608"/>
      <c r="AR33" s="608"/>
      <c r="AS33" s="608"/>
      <c r="AT33" s="609"/>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80" ht="15" customHeight="1" x14ac:dyDescent="0.3">
      <c r="A34" s="53"/>
      <c r="B34" s="571"/>
      <c r="C34" s="571"/>
      <c r="D34" s="572"/>
      <c r="E34" s="576"/>
      <c r="F34" s="577"/>
      <c r="G34" s="577"/>
      <c r="H34" s="577"/>
      <c r="I34" s="578"/>
      <c r="J34" s="37" t="str">
        <f>IF(AND('[1]Mapa final'!$AB$43="Media",'[1]Mapa final'!$AD$43="Leve"),CONCATENATE("R9C",'[1]Mapa final'!$R$43),"")</f>
        <v/>
      </c>
      <c r="K34" s="38" t="str">
        <f>IF(AND('[1]Mapa final'!$AB$44="Media",'[1]Mapa final'!$AD$44="Leve"),CONCATENATE("R9C",'[1]Mapa final'!$R$44),"")</f>
        <v/>
      </c>
      <c r="L34" s="38" t="str">
        <f>IF(AND('[1]Mapa final'!$AB$45="Media",'[1]Mapa final'!$AD$45="Leve"),CONCATENATE("R9C",'[1]Mapa final'!$R$45),"")</f>
        <v/>
      </c>
      <c r="M34" s="38" t="str">
        <f>IF(AND('[1]Mapa final'!$AB$46="Media",'[1]Mapa final'!$AD$46="Leve"),CONCATENATE("R9C",'[1]Mapa final'!$R$46),"")</f>
        <v/>
      </c>
      <c r="N34" s="38" t="str">
        <f>IF(AND('[1]Mapa final'!$AB$47="Media",'[1]Mapa final'!$AD$47="Leve"),CONCATENATE("R9C",'[1]Mapa final'!$R$47),"")</f>
        <v/>
      </c>
      <c r="O34" s="39" t="str">
        <f>IF(AND('[1]Mapa final'!$AB$48="Media",'[1]Mapa final'!$AD$48="Leve"),CONCATENATE("R9C",'[1]Mapa final'!$R$48),"")</f>
        <v/>
      </c>
      <c r="P34" s="37" t="str">
        <f>IF(AND('[1]Mapa final'!$AB$43="Media",'[1]Mapa final'!$AD$43="Menor"),CONCATENATE("R9C",'[1]Mapa final'!$R$43),"")</f>
        <v/>
      </c>
      <c r="Q34" s="38" t="str">
        <f>IF(AND('[1]Mapa final'!$AB$44="Media",'[1]Mapa final'!$AD$44="Menor"),CONCATENATE("R9C",'[1]Mapa final'!$R$44),"")</f>
        <v/>
      </c>
      <c r="R34" s="38" t="str">
        <f>IF(AND('[1]Mapa final'!$AB$45="Media",'[1]Mapa final'!$AD$45="Menor"),CONCATENATE("R9C",'[1]Mapa final'!$R$45),"")</f>
        <v/>
      </c>
      <c r="S34" s="38" t="str">
        <f>IF(AND('[1]Mapa final'!$AB$46="Media",'[1]Mapa final'!$AD$46="Menor"),CONCATENATE("R9C",'[1]Mapa final'!$R$46),"")</f>
        <v/>
      </c>
      <c r="T34" s="38" t="str">
        <f>IF(AND('[1]Mapa final'!$AB$47="Media",'[1]Mapa final'!$AD$47="Menor"),CONCATENATE("R9C",'[1]Mapa final'!$R$47),"")</f>
        <v/>
      </c>
      <c r="U34" s="39" t="str">
        <f>IF(AND('[1]Mapa final'!$AB$48="Media",'[1]Mapa final'!$AD$48="Menor"),CONCATENATE("R9C",'[1]Mapa final'!$R$48),"")</f>
        <v/>
      </c>
      <c r="V34" s="37" t="str">
        <f>IF(AND('[1]Mapa final'!$AB$43="Media",'[1]Mapa final'!$AD$43="Moderado"),CONCATENATE("R9C",'[1]Mapa final'!$R$43),"")</f>
        <v/>
      </c>
      <c r="W34" s="38" t="str">
        <f>IF(AND('[1]Mapa final'!$AB$44="Media",'[1]Mapa final'!$AD$44="Moderado"),CONCATENATE("R9C",'[1]Mapa final'!$R$44),"")</f>
        <v/>
      </c>
      <c r="X34" s="38" t="str">
        <f>IF(AND('[1]Mapa final'!$AB$45="Media",'[1]Mapa final'!$AD$45="Moderado"),CONCATENATE("R9C",'[1]Mapa final'!$R$45),"")</f>
        <v/>
      </c>
      <c r="Y34" s="38" t="str">
        <f>IF(AND('[1]Mapa final'!$AB$46="Media",'[1]Mapa final'!$AD$46="Moderado"),CONCATENATE("R9C",'[1]Mapa final'!$R$46),"")</f>
        <v/>
      </c>
      <c r="Z34" s="38" t="str">
        <f>IF(AND('[1]Mapa final'!$AB$47="Media",'[1]Mapa final'!$AD$47="Moderado"),CONCATENATE("R9C",'[1]Mapa final'!$R$47),"")</f>
        <v/>
      </c>
      <c r="AA34" s="39" t="str">
        <f>IF(AND('[1]Mapa final'!$AB$48="Media",'[1]Mapa final'!$AD$48="Moderado"),CONCATENATE("R9C",'[1]Mapa final'!$R$48),"")</f>
        <v/>
      </c>
      <c r="AB34" s="22" t="str">
        <f>IF(AND('[1]Mapa final'!$AB$43="Media",'[1]Mapa final'!$AD$43="Mayor"),CONCATENATE("R9C",'[1]Mapa final'!$R$43),"")</f>
        <v/>
      </c>
      <c r="AC34" s="23" t="str">
        <f>IF(AND('[1]Mapa final'!$AB$44="Media",'[1]Mapa final'!$AD$44="Mayor"),CONCATENATE("R9C",'[1]Mapa final'!$R$44),"")</f>
        <v/>
      </c>
      <c r="AD34" s="23" t="str">
        <f>IF(AND('[1]Mapa final'!$AB$45="Media",'[1]Mapa final'!$AD$45="Mayor"),CONCATENATE("R9C",'[1]Mapa final'!$R$45),"")</f>
        <v/>
      </c>
      <c r="AE34" s="23" t="str">
        <f>IF(AND('[1]Mapa final'!$AB$46="Media",'[1]Mapa final'!$AD$46="Mayor"),CONCATENATE("R9C",'[1]Mapa final'!$R$46),"")</f>
        <v/>
      </c>
      <c r="AF34" s="23" t="str">
        <f>IF(AND('[1]Mapa final'!$AB$47="Media",'[1]Mapa final'!$AD$47="Mayor"),CONCATENATE("R9C",'[1]Mapa final'!$R$47),"")</f>
        <v/>
      </c>
      <c r="AG34" s="24" t="str">
        <f>IF(AND('[1]Mapa final'!$AB$48="Media",'[1]Mapa final'!$AD$48="Mayor"),CONCATENATE("R9C",'[1]Mapa final'!$R$48),"")</f>
        <v/>
      </c>
      <c r="AH34" s="25" t="str">
        <f>IF(AND('[1]Mapa final'!$AB$43="Media",'[1]Mapa final'!$AD$43="Catastrófico"),CONCATENATE("R9C",'[1]Mapa final'!$R$43),"")</f>
        <v/>
      </c>
      <c r="AI34" s="26" t="str">
        <f>IF(AND('[1]Mapa final'!$AB$44="Media",'[1]Mapa final'!$AD$44="Catastrófico"),CONCATENATE("R9C",'[1]Mapa final'!$R$44),"")</f>
        <v/>
      </c>
      <c r="AJ34" s="26" t="str">
        <f>IF(AND('[1]Mapa final'!$AB$45="Media",'[1]Mapa final'!$AD$45="Catastrófico"),CONCATENATE("R9C",'[1]Mapa final'!$R$45),"")</f>
        <v/>
      </c>
      <c r="AK34" s="26" t="str">
        <f>IF(AND('[1]Mapa final'!$AB$46="Media",'[1]Mapa final'!$AD$46="Catastrófico"),CONCATENATE("R9C",'[1]Mapa final'!$R$46),"")</f>
        <v/>
      </c>
      <c r="AL34" s="26" t="str">
        <f>IF(AND('[1]Mapa final'!$AB$47="Media",'[1]Mapa final'!$AD$47="Catastrófico"),CONCATENATE("R9C",'[1]Mapa final'!$R$47),"")</f>
        <v/>
      </c>
      <c r="AM34" s="27" t="str">
        <f>IF(AND('[1]Mapa final'!$AB$48="Media",'[1]Mapa final'!$AD$48="Catastrófico"),CONCATENATE("R9C",'[1]Mapa final'!$R$48),"")</f>
        <v/>
      </c>
      <c r="AN34" s="53"/>
      <c r="AO34" s="607"/>
      <c r="AP34" s="608"/>
      <c r="AQ34" s="608"/>
      <c r="AR34" s="608"/>
      <c r="AS34" s="608"/>
      <c r="AT34" s="609"/>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80" ht="15.75" customHeight="1" thickBot="1" x14ac:dyDescent="0.35">
      <c r="A35" s="53"/>
      <c r="B35" s="571"/>
      <c r="C35" s="571"/>
      <c r="D35" s="572"/>
      <c r="E35" s="579"/>
      <c r="F35" s="580"/>
      <c r="G35" s="580"/>
      <c r="H35" s="580"/>
      <c r="I35" s="581"/>
      <c r="J35" s="37" t="str">
        <f>IF(AND('[1]Mapa final'!$AB$49="Media",'[1]Mapa final'!$AD$49="Leve"),CONCATENATE("R10C",'[1]Mapa final'!$R$49),"")</f>
        <v/>
      </c>
      <c r="K35" s="38" t="str">
        <f>IF(AND('[1]Mapa final'!$AB$50="Media",'[1]Mapa final'!$AD$50="Leve"),CONCATENATE("R10C",'[1]Mapa final'!$R$50),"")</f>
        <v/>
      </c>
      <c r="L35" s="38" t="str">
        <f>IF(AND('[1]Mapa final'!$AB$51="Media",'[1]Mapa final'!$AD$51="Leve"),CONCATENATE("R10C",'[1]Mapa final'!$R$51),"")</f>
        <v/>
      </c>
      <c r="M35" s="38" t="str">
        <f>IF(AND('[1]Mapa final'!$AB$52="Media",'[1]Mapa final'!$AD$52="Leve"),CONCATENATE("R10C",'[1]Mapa final'!$R$52),"")</f>
        <v/>
      </c>
      <c r="N35" s="38" t="str">
        <f>IF(AND('[1]Mapa final'!$AB$53="Media",'[1]Mapa final'!$AD$53="Leve"),CONCATENATE("R10C",'[1]Mapa final'!$R$53),"")</f>
        <v/>
      </c>
      <c r="O35" s="39" t="str">
        <f>IF(AND('[1]Mapa final'!$AB$54="Media",'[1]Mapa final'!$AD$54="Leve"),CONCATENATE("R10C",'[1]Mapa final'!$R$54),"")</f>
        <v/>
      </c>
      <c r="P35" s="37" t="str">
        <f>IF(AND('[1]Mapa final'!$AB$49="Media",'[1]Mapa final'!$AD$49="Menor"),CONCATENATE("R10C",'[1]Mapa final'!$R$49),"")</f>
        <v/>
      </c>
      <c r="Q35" s="38" t="str">
        <f>IF(AND('[1]Mapa final'!$AB$50="Media",'[1]Mapa final'!$AD$50="Menor"),CONCATENATE("R10C",'[1]Mapa final'!$R$50),"")</f>
        <v/>
      </c>
      <c r="R35" s="38" t="str">
        <f>IF(AND('[1]Mapa final'!$AB$51="Media",'[1]Mapa final'!$AD$51="Menor"),CONCATENATE("R10C",'[1]Mapa final'!$R$51),"")</f>
        <v/>
      </c>
      <c r="S35" s="38" t="str">
        <f>IF(AND('[1]Mapa final'!$AB$52="Media",'[1]Mapa final'!$AD$52="Menor"),CONCATENATE("R10C",'[1]Mapa final'!$R$52),"")</f>
        <v/>
      </c>
      <c r="T35" s="38" t="str">
        <f>IF(AND('[1]Mapa final'!$AB$53="Media",'[1]Mapa final'!$AD$53="Menor"),CONCATENATE("R10C",'[1]Mapa final'!$R$53),"")</f>
        <v/>
      </c>
      <c r="U35" s="39" t="str">
        <f>IF(AND('[1]Mapa final'!$AB$54="Media",'[1]Mapa final'!$AD$54="Menor"),CONCATENATE("R10C",'[1]Mapa final'!$R$54),"")</f>
        <v/>
      </c>
      <c r="V35" s="37" t="str">
        <f>IF(AND('[1]Mapa final'!$AB$49="Media",'[1]Mapa final'!$AD$49="Moderado"),CONCATENATE("R10C",'[1]Mapa final'!$R$49),"")</f>
        <v/>
      </c>
      <c r="W35" s="38" t="str">
        <f>IF(AND('[1]Mapa final'!$AB$50="Media",'[1]Mapa final'!$AD$50="Moderado"),CONCATENATE("R10C",'[1]Mapa final'!$R$50),"")</f>
        <v/>
      </c>
      <c r="X35" s="38" t="str">
        <f>IF(AND('[1]Mapa final'!$AB$51="Media",'[1]Mapa final'!$AD$51="Moderado"),CONCATENATE("R10C",'[1]Mapa final'!$R$51),"")</f>
        <v/>
      </c>
      <c r="Y35" s="38" t="str">
        <f>IF(AND('[1]Mapa final'!$AB$52="Media",'[1]Mapa final'!$AD$52="Moderado"),CONCATENATE("R10C",'[1]Mapa final'!$R$52),"")</f>
        <v/>
      </c>
      <c r="Z35" s="38" t="str">
        <f>IF(AND('[1]Mapa final'!$AB$53="Media",'[1]Mapa final'!$AD$53="Moderado"),CONCATENATE("R10C",'[1]Mapa final'!$R$53),"")</f>
        <v/>
      </c>
      <c r="AA35" s="39" t="str">
        <f>IF(AND('[1]Mapa final'!$AB$54="Media",'[1]Mapa final'!$AD$54="Moderado"),CONCATENATE("R10C",'[1]Mapa final'!$R$54),"")</f>
        <v/>
      </c>
      <c r="AB35" s="28" t="str">
        <f>IF(AND('[1]Mapa final'!$AB$49="Media",'[1]Mapa final'!$AD$49="Mayor"),CONCATENATE("R10C",'[1]Mapa final'!$R$49),"")</f>
        <v/>
      </c>
      <c r="AC35" s="29" t="str">
        <f>IF(AND('[1]Mapa final'!$AB$50="Media",'[1]Mapa final'!$AD$50="Mayor"),CONCATENATE("R10C",'[1]Mapa final'!$R$50),"")</f>
        <v/>
      </c>
      <c r="AD35" s="29" t="str">
        <f>IF(AND('[1]Mapa final'!$AB$51="Media",'[1]Mapa final'!$AD$51="Mayor"),CONCATENATE("R10C",'[1]Mapa final'!$R$51),"")</f>
        <v/>
      </c>
      <c r="AE35" s="29" t="str">
        <f>IF(AND('[1]Mapa final'!$AB$52="Media",'[1]Mapa final'!$AD$52="Mayor"),CONCATENATE("R10C",'[1]Mapa final'!$R$52),"")</f>
        <v/>
      </c>
      <c r="AF35" s="29" t="str">
        <f>IF(AND('[1]Mapa final'!$AB$53="Media",'[1]Mapa final'!$AD$53="Mayor"),CONCATENATE("R10C",'[1]Mapa final'!$R$53),"")</f>
        <v/>
      </c>
      <c r="AG35" s="30" t="str">
        <f>IF(AND('[1]Mapa final'!$AB$54="Media",'[1]Mapa final'!$AD$54="Mayor"),CONCATENATE("R10C",'[1]Mapa final'!$R$54),"")</f>
        <v/>
      </c>
      <c r="AH35" s="31" t="str">
        <f>IF(AND('[1]Mapa final'!$AB$49="Media",'[1]Mapa final'!$AD$49="Catastrófico"),CONCATENATE("R10C",'[1]Mapa final'!$R$49),"")</f>
        <v/>
      </c>
      <c r="AI35" s="32" t="str">
        <f>IF(AND('[1]Mapa final'!$AB$50="Media",'[1]Mapa final'!$AD$50="Catastrófico"),CONCATENATE("R10C",'[1]Mapa final'!$R$50),"")</f>
        <v/>
      </c>
      <c r="AJ35" s="32" t="str">
        <f>IF(AND('[1]Mapa final'!$AB$51="Media",'[1]Mapa final'!$AD$51="Catastrófico"),CONCATENATE("R10C",'[1]Mapa final'!$R$51),"")</f>
        <v/>
      </c>
      <c r="AK35" s="32" t="str">
        <f>IF(AND('[1]Mapa final'!$AB$52="Media",'[1]Mapa final'!$AD$52="Catastrófico"),CONCATENATE("R10C",'[1]Mapa final'!$R$52),"")</f>
        <v/>
      </c>
      <c r="AL35" s="32" t="str">
        <f>IF(AND('[1]Mapa final'!$AB$53="Media",'[1]Mapa final'!$AD$53="Catastrófico"),CONCATENATE("R10C",'[1]Mapa final'!$R$53),"")</f>
        <v/>
      </c>
      <c r="AM35" s="33" t="str">
        <f>IF(AND('[1]Mapa final'!$AB$54="Media",'[1]Mapa final'!$AD$54="Catastrófico"),CONCATENATE("R10C",'[1]Mapa final'!$R$54),"")</f>
        <v/>
      </c>
      <c r="AN35" s="53"/>
      <c r="AO35" s="610"/>
      <c r="AP35" s="611"/>
      <c r="AQ35" s="611"/>
      <c r="AR35" s="611"/>
      <c r="AS35" s="611"/>
      <c r="AT35" s="612"/>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80" ht="15" customHeight="1" x14ac:dyDescent="0.3">
      <c r="A36" s="53"/>
      <c r="B36" s="571"/>
      <c r="C36" s="571"/>
      <c r="D36" s="572"/>
      <c r="E36" s="573" t="s">
        <v>109</v>
      </c>
      <c r="F36" s="574"/>
      <c r="G36" s="574"/>
      <c r="H36" s="574"/>
      <c r="I36" s="574"/>
      <c r="J36" s="43" t="str">
        <f>IF(AND('[1]Mapa final'!$AB$10="Baja",'[1]Mapa final'!$AD$10="Leve"),CONCATENATE("R1C",'[1]Mapa final'!$R$10),"")</f>
        <v/>
      </c>
      <c r="K36" s="44" t="str">
        <f>IF(AND('[1]Mapa final'!$AB$11="Baja",'[1]Mapa final'!$AD$11="Leve"),CONCATENATE("R1C",'[1]Mapa final'!$R$11),"")</f>
        <v/>
      </c>
      <c r="L36" s="44" t="str">
        <f>IF(AND('[1]Mapa final'!$AB$12="Baja",'[1]Mapa final'!$AD$12="Leve"),CONCATENATE("R1C",'[1]Mapa final'!$R$12),"")</f>
        <v/>
      </c>
      <c r="M36" s="44" t="str">
        <f>IF(AND('[1]Mapa final'!$AB$13="Baja",'[1]Mapa final'!$AD$13="Leve"),CONCATENATE("R1C",'[1]Mapa final'!$R$13),"")</f>
        <v/>
      </c>
      <c r="N36" s="44" t="str">
        <f>IF(AND('[1]Mapa final'!$AB$14="Baja",'[1]Mapa final'!$AD$14="Leve"),CONCATENATE("R1C",'[1]Mapa final'!$R$14),"")</f>
        <v/>
      </c>
      <c r="O36" s="45" t="e">
        <f>IF(AND('[1]Mapa final'!#REF!="Baja",'[1]Mapa final'!#REF!="Leve"),CONCATENATE("R1C",'[1]Mapa final'!#REF!),"")</f>
        <v>#REF!</v>
      </c>
      <c r="P36" s="34" t="str">
        <f>IF(AND('[1]Mapa final'!$AB$10="Baja",'[1]Mapa final'!$AD$10="Menor"),CONCATENATE("R1C",'[1]Mapa final'!$R$10),"")</f>
        <v/>
      </c>
      <c r="Q36" s="35" t="str">
        <f>IF(AND('[1]Mapa final'!$AB$11="Baja",'[1]Mapa final'!$AD$11="Menor"),CONCATENATE("R1C",'[1]Mapa final'!$R$11),"")</f>
        <v/>
      </c>
      <c r="R36" s="35" t="str">
        <f>IF(AND('[1]Mapa final'!$AB$12="Baja",'[1]Mapa final'!$AD$12="Menor"),CONCATENATE("R1C",'[1]Mapa final'!$R$12),"")</f>
        <v/>
      </c>
      <c r="S36" s="35" t="str">
        <f>IF(AND('[1]Mapa final'!$AB$13="Baja",'[1]Mapa final'!$AD$13="Menor"),CONCATENATE("R1C",'[1]Mapa final'!$R$13),"")</f>
        <v/>
      </c>
      <c r="T36" s="35" t="str">
        <f>IF(AND('[1]Mapa final'!$AB$14="Baja",'[1]Mapa final'!$AD$14="Menor"),CONCATENATE("R1C",'[1]Mapa final'!$R$14),"")</f>
        <v/>
      </c>
      <c r="U36" s="36" t="e">
        <f>IF(AND('[1]Mapa final'!#REF!="Baja",'[1]Mapa final'!#REF!="Menor"),CONCATENATE("R1C",'[1]Mapa final'!#REF!),"")</f>
        <v>#REF!</v>
      </c>
      <c r="V36" s="34" t="str">
        <f>IF(AND('[1]Mapa final'!$AB$10="Baja",'[1]Mapa final'!$AD$10="Moderado"),CONCATENATE("R1C",'[1]Mapa final'!$R$10),"")</f>
        <v/>
      </c>
      <c r="W36" s="35" t="str">
        <f>IF(AND('[1]Mapa final'!$AB$11="Baja",'[1]Mapa final'!$AD$11="Moderado"),CONCATENATE("R1C",'[1]Mapa final'!$R$11),"")</f>
        <v/>
      </c>
      <c r="X36" s="35" t="str">
        <f>IF(AND('[1]Mapa final'!$AB$12="Baja",'[1]Mapa final'!$AD$12="Moderado"),CONCATENATE("R1C",'[1]Mapa final'!$R$12),"")</f>
        <v/>
      </c>
      <c r="Y36" s="35" t="str">
        <f>IF(AND('[1]Mapa final'!$AB$13="Baja",'[1]Mapa final'!$AD$13="Moderado"),CONCATENATE("R1C",'[1]Mapa final'!$R$13),"")</f>
        <v/>
      </c>
      <c r="Z36" s="35" t="str">
        <f>IF(AND('[1]Mapa final'!$AB$14="Baja",'[1]Mapa final'!$AD$14="Moderado"),CONCATENATE("R1C",'[1]Mapa final'!$R$14),"")</f>
        <v/>
      </c>
      <c r="AA36" s="36" t="e">
        <f>IF(AND('[1]Mapa final'!#REF!="Baja",'[1]Mapa final'!#REF!="Moderado"),CONCATENATE("R1C",'[1]Mapa final'!#REF!),"")</f>
        <v>#REF!</v>
      </c>
      <c r="AB36" s="16" t="str">
        <f>IF(AND('[1]Mapa final'!$AB$10="Baja",'[1]Mapa final'!$AD$10="Mayor"),CONCATENATE("R1C",'[1]Mapa final'!$R$10),"")</f>
        <v/>
      </c>
      <c r="AC36" s="17" t="str">
        <f>IF(AND('[1]Mapa final'!$AB$11="Baja",'[1]Mapa final'!$AD$11="Mayor"),CONCATENATE("R1C",'[1]Mapa final'!$R$11),"")</f>
        <v>R1C2</v>
      </c>
      <c r="AD36" s="17" t="str">
        <f>IF(AND('[1]Mapa final'!$AB$12="Baja",'[1]Mapa final'!$AD$12="Mayor"),CONCATENATE("R1C",'[1]Mapa final'!$R$12),"")</f>
        <v/>
      </c>
      <c r="AE36" s="17" t="str">
        <f>IF(AND('[1]Mapa final'!$AB$13="Baja",'[1]Mapa final'!$AD$13="Mayor"),CONCATENATE("R1C",'[1]Mapa final'!$R$13),"")</f>
        <v/>
      </c>
      <c r="AF36" s="17" t="str">
        <f>IF(AND('[1]Mapa final'!$AB$14="Baja",'[1]Mapa final'!$AD$14="Mayor"),CONCATENATE("R1C",'[1]Mapa final'!$R$14),"")</f>
        <v/>
      </c>
      <c r="AG36" s="18" t="e">
        <f>IF(AND('[1]Mapa final'!#REF!="Baja",'[1]Mapa final'!#REF!="Mayor"),CONCATENATE("R1C",'[1]Mapa final'!#REF!),"")</f>
        <v>#REF!</v>
      </c>
      <c r="AH36" s="19" t="str">
        <f>IF(AND('[1]Mapa final'!$AB$10="Baja",'[1]Mapa final'!$AD$10="Catastrófico"),CONCATENATE("R1C",'[1]Mapa final'!$R$10),"")</f>
        <v/>
      </c>
      <c r="AI36" s="20" t="str">
        <f>IF(AND('[1]Mapa final'!$AB$11="Baja",'[1]Mapa final'!$AD$11="Catastrófico"),CONCATENATE("R1C",'[1]Mapa final'!$R$11),"")</f>
        <v/>
      </c>
      <c r="AJ36" s="20" t="str">
        <f>IF(AND('[1]Mapa final'!$AB$12="Baja",'[1]Mapa final'!$AD$12="Catastrófico"),CONCATENATE("R1C",'[1]Mapa final'!$R$12),"")</f>
        <v/>
      </c>
      <c r="AK36" s="20" t="str">
        <f>IF(AND('[1]Mapa final'!$AB$13="Baja",'[1]Mapa final'!$AD$13="Catastrófico"),CONCATENATE("R1C",'[1]Mapa final'!$R$13),"")</f>
        <v/>
      </c>
      <c r="AL36" s="20" t="str">
        <f>IF(AND('[1]Mapa final'!$AB$14="Baja",'[1]Mapa final'!$AD$14="Catastrófico"),CONCATENATE("R1C",'[1]Mapa final'!$R$14),"")</f>
        <v/>
      </c>
      <c r="AM36" s="21" t="e">
        <f>IF(AND('[1]Mapa final'!#REF!="Baja",'[1]Mapa final'!#REF!="Catastrófico"),CONCATENATE("R1C",'[1]Mapa final'!#REF!),"")</f>
        <v>#REF!</v>
      </c>
      <c r="AN36" s="53"/>
      <c r="AO36" s="613" t="s">
        <v>81</v>
      </c>
      <c r="AP36" s="614"/>
      <c r="AQ36" s="614"/>
      <c r="AR36" s="614"/>
      <c r="AS36" s="614"/>
      <c r="AT36" s="615"/>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80" ht="15" customHeight="1" x14ac:dyDescent="0.3">
      <c r="A37" s="53"/>
      <c r="B37" s="571"/>
      <c r="C37" s="571"/>
      <c r="D37" s="572"/>
      <c r="E37" s="594"/>
      <c r="F37" s="577"/>
      <c r="G37" s="577"/>
      <c r="H37" s="577"/>
      <c r="I37" s="577"/>
      <c r="J37" s="46" t="str">
        <f>IF(AND('[1]Mapa final'!$AB$15="Baja",'[1]Mapa final'!$AD$15="Leve"),CONCATENATE("R2C",'[1]Mapa final'!$R$15),"")</f>
        <v/>
      </c>
      <c r="K37" s="47" t="str">
        <f>IF(AND('[1]Mapa final'!$AB$16="Baja",'[1]Mapa final'!$AD$16="Leve"),CONCATENATE("R2C",'[1]Mapa final'!$R$16),"")</f>
        <v/>
      </c>
      <c r="L37" s="47" t="e">
        <f>IF(AND('[1]Mapa final'!#REF!="Baja",'[1]Mapa final'!#REF!="Leve"),CONCATENATE("R2C",'[1]Mapa final'!$R$17),"")</f>
        <v>#REF!</v>
      </c>
      <c r="M37" s="47" t="e">
        <f>IF(AND('[1]Mapa final'!#REF!="Baja",'[1]Mapa final'!#REF!="Leve"),CONCATENATE("R2C",'[1]Mapa final'!#REF!),"")</f>
        <v>#REF!</v>
      </c>
      <c r="N37" s="47" t="e">
        <f>IF(AND('[1]Mapa final'!#REF!="Baja",'[1]Mapa final'!#REF!="Leve"),CONCATENATE("R2C",'[1]Mapa final'!#REF!),"")</f>
        <v>#REF!</v>
      </c>
      <c r="O37" s="48" t="e">
        <f>IF(AND('[1]Mapa final'!#REF!="Baja",'[1]Mapa final'!#REF!="Leve"),CONCATENATE("R2C",'[1]Mapa final'!#REF!),"")</f>
        <v>#REF!</v>
      </c>
      <c r="P37" s="37" t="str">
        <f>IF(AND('[1]Mapa final'!$AB$15="Baja",'[1]Mapa final'!$AD$15="Menor"),CONCATENATE("R2C",'[1]Mapa final'!$R$15),"")</f>
        <v/>
      </c>
      <c r="Q37" s="38" t="str">
        <f>IF(AND('[1]Mapa final'!$AB$16="Baja",'[1]Mapa final'!$AD$16="Menor"),CONCATENATE("R2C",'[1]Mapa final'!$R$16),"")</f>
        <v/>
      </c>
      <c r="R37" s="38" t="e">
        <f>IF(AND('[1]Mapa final'!#REF!="Baja",'[1]Mapa final'!#REF!="Menor"),CONCATENATE("R2C",'[1]Mapa final'!$R$17),"")</f>
        <v>#REF!</v>
      </c>
      <c r="S37" s="38" t="e">
        <f>IF(AND('[1]Mapa final'!#REF!="Baja",'[1]Mapa final'!#REF!="Menor"),CONCATENATE("R2C",'[1]Mapa final'!#REF!),"")</f>
        <v>#REF!</v>
      </c>
      <c r="T37" s="38" t="e">
        <f>IF(AND('[1]Mapa final'!#REF!="Baja",'[1]Mapa final'!#REF!="Menor"),CONCATENATE("R2C",'[1]Mapa final'!#REF!),"")</f>
        <v>#REF!</v>
      </c>
      <c r="U37" s="39" t="e">
        <f>IF(AND('[1]Mapa final'!#REF!="Baja",'[1]Mapa final'!#REF!="Menor"),CONCATENATE("R2C",'[1]Mapa final'!#REF!),"")</f>
        <v>#REF!</v>
      </c>
      <c r="V37" s="37" t="str">
        <f>IF(AND('[1]Mapa final'!$AB$15="Baja",'[1]Mapa final'!$AD$15="Moderado"),CONCATENATE("R2C",'[1]Mapa final'!$R$15),"")</f>
        <v/>
      </c>
      <c r="W37" s="38" t="str">
        <f>IF(AND('[1]Mapa final'!$AB$16="Baja",'[1]Mapa final'!$AD$16="Moderado"),CONCATENATE("R2C",'[1]Mapa final'!$R$16),"")</f>
        <v/>
      </c>
      <c r="X37" s="38" t="e">
        <f>IF(AND('[1]Mapa final'!#REF!="Baja",'[1]Mapa final'!#REF!="Moderado"),CONCATENATE("R2C",'[1]Mapa final'!$R$17),"")</f>
        <v>#REF!</v>
      </c>
      <c r="Y37" s="38" t="e">
        <f>IF(AND('[1]Mapa final'!#REF!="Baja",'[1]Mapa final'!#REF!="Moderado"),CONCATENATE("R2C",'[1]Mapa final'!#REF!),"")</f>
        <v>#REF!</v>
      </c>
      <c r="Z37" s="38" t="e">
        <f>IF(AND('[1]Mapa final'!#REF!="Baja",'[1]Mapa final'!#REF!="Moderado"),CONCATENATE("R2C",'[1]Mapa final'!#REF!),"")</f>
        <v>#REF!</v>
      </c>
      <c r="AA37" s="39" t="e">
        <f>IF(AND('[1]Mapa final'!#REF!="Baja",'[1]Mapa final'!#REF!="Moderado"),CONCATENATE("R2C",'[1]Mapa final'!#REF!),"")</f>
        <v>#REF!</v>
      </c>
      <c r="AB37" s="22" t="str">
        <f>IF(AND('[1]Mapa final'!$AB$15="Baja",'[1]Mapa final'!$AD$15="Mayor"),CONCATENATE("R2C",'[1]Mapa final'!$R$15),"")</f>
        <v>R2C1</v>
      </c>
      <c r="AC37" s="23" t="str">
        <f>IF(AND('[1]Mapa final'!$AB$16="Baja",'[1]Mapa final'!$AD$16="Mayor"),CONCATENATE("R2C",'[1]Mapa final'!$R$16),"")</f>
        <v>R2C2</v>
      </c>
      <c r="AD37" s="23" t="e">
        <f>IF(AND('[1]Mapa final'!#REF!="Baja",'[1]Mapa final'!#REF!="Mayor"),CONCATENATE("R2C",'[1]Mapa final'!$R$17),"")</f>
        <v>#REF!</v>
      </c>
      <c r="AE37" s="23" t="e">
        <f>IF(AND('[1]Mapa final'!#REF!="Baja",'[1]Mapa final'!#REF!="Mayor"),CONCATENATE("R2C",'[1]Mapa final'!#REF!),"")</f>
        <v>#REF!</v>
      </c>
      <c r="AF37" s="23" t="e">
        <f>IF(AND('[1]Mapa final'!#REF!="Baja",'[1]Mapa final'!#REF!="Mayor"),CONCATENATE("R2C",'[1]Mapa final'!#REF!),"")</f>
        <v>#REF!</v>
      </c>
      <c r="AG37" s="24" t="e">
        <f>IF(AND('[1]Mapa final'!#REF!="Baja",'[1]Mapa final'!#REF!="Mayor"),CONCATENATE("R2C",'[1]Mapa final'!#REF!),"")</f>
        <v>#REF!</v>
      </c>
      <c r="AH37" s="25" t="str">
        <f>IF(AND('[1]Mapa final'!$AB$15="Baja",'[1]Mapa final'!$AD$15="Catastrófico"),CONCATENATE("R2C",'[1]Mapa final'!$R$15),"")</f>
        <v/>
      </c>
      <c r="AI37" s="26" t="str">
        <f>IF(AND('[1]Mapa final'!$AB$16="Baja",'[1]Mapa final'!$AD$16="Catastrófico"),CONCATENATE("R2C",'[1]Mapa final'!$R$16),"")</f>
        <v/>
      </c>
      <c r="AJ37" s="26" t="e">
        <f>IF(AND('[1]Mapa final'!#REF!="Baja",'[1]Mapa final'!#REF!="Catastrófico"),CONCATENATE("R2C",'[1]Mapa final'!$R$17),"")</f>
        <v>#REF!</v>
      </c>
      <c r="AK37" s="26" t="e">
        <f>IF(AND('[1]Mapa final'!#REF!="Baja",'[1]Mapa final'!#REF!="Catastrófico"),CONCATENATE("R2C",'[1]Mapa final'!#REF!),"")</f>
        <v>#REF!</v>
      </c>
      <c r="AL37" s="26" t="e">
        <f>IF(AND('[1]Mapa final'!#REF!="Baja",'[1]Mapa final'!#REF!="Catastrófico"),CONCATENATE("R2C",'[1]Mapa final'!#REF!),"")</f>
        <v>#REF!</v>
      </c>
      <c r="AM37" s="27" t="e">
        <f>IF(AND('[1]Mapa final'!#REF!="Baja",'[1]Mapa final'!#REF!="Catastrófico"),CONCATENATE("R2C",'[1]Mapa final'!#REF!),"")</f>
        <v>#REF!</v>
      </c>
      <c r="AN37" s="53"/>
      <c r="AO37" s="616"/>
      <c r="AP37" s="617"/>
      <c r="AQ37" s="617"/>
      <c r="AR37" s="617"/>
      <c r="AS37" s="617"/>
      <c r="AT37" s="618"/>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80" ht="15" customHeight="1" x14ac:dyDescent="0.3">
      <c r="A38" s="53"/>
      <c r="B38" s="571"/>
      <c r="C38" s="571"/>
      <c r="D38" s="572"/>
      <c r="E38" s="576"/>
      <c r="F38" s="577"/>
      <c r="G38" s="577"/>
      <c r="H38" s="577"/>
      <c r="I38" s="577"/>
      <c r="J38" s="46" t="e">
        <f>IF(AND('[1]Mapa final'!#REF!="Baja",'[1]Mapa final'!#REF!="Leve"),CONCATENATE("R3C",'[1]Mapa final'!#REF!),"")</f>
        <v>#REF!</v>
      </c>
      <c r="K38" s="47" t="e">
        <f>IF(AND('[1]Mapa final'!#REF!="Baja",'[1]Mapa final'!#REF!="Leve"),CONCATENATE("R3C",'[1]Mapa final'!#REF!),"")</f>
        <v>#REF!</v>
      </c>
      <c r="L38" s="47" t="e">
        <f>IF(AND('[1]Mapa final'!#REF!="Baja",'[1]Mapa final'!#REF!="Leve"),CONCATENATE("R3C",'[1]Mapa final'!#REF!),"")</f>
        <v>#REF!</v>
      </c>
      <c r="M38" s="47" t="e">
        <f>IF(AND('[1]Mapa final'!#REF!="Baja",'[1]Mapa final'!#REF!="Leve"),CONCATENATE("R3C",'[1]Mapa final'!#REF!),"")</f>
        <v>#REF!</v>
      </c>
      <c r="N38" s="47" t="e">
        <f>IF(AND('[1]Mapa final'!#REF!="Baja",'[1]Mapa final'!#REF!="Leve"),CONCATENATE("R3C",'[1]Mapa final'!#REF!),"")</f>
        <v>#REF!</v>
      </c>
      <c r="O38" s="48" t="e">
        <f>IF(AND('[1]Mapa final'!#REF!="Baja",'[1]Mapa final'!#REF!="Leve"),CONCATENATE("R3C",'[1]Mapa final'!#REF!),"")</f>
        <v>#REF!</v>
      </c>
      <c r="P38" s="37" t="e">
        <f>IF(AND('[1]Mapa final'!#REF!="Baja",'[1]Mapa final'!#REF!="Menor"),CONCATENATE("R3C",'[1]Mapa final'!#REF!),"")</f>
        <v>#REF!</v>
      </c>
      <c r="Q38" s="38" t="e">
        <f>IF(AND('[1]Mapa final'!#REF!="Baja",'[1]Mapa final'!#REF!="Menor"),CONCATENATE("R3C",'[1]Mapa final'!#REF!),"")</f>
        <v>#REF!</v>
      </c>
      <c r="R38" s="38" t="e">
        <f>IF(AND('[1]Mapa final'!#REF!="Baja",'[1]Mapa final'!#REF!="Menor"),CONCATENATE("R3C",'[1]Mapa final'!#REF!),"")</f>
        <v>#REF!</v>
      </c>
      <c r="S38" s="38" t="e">
        <f>IF(AND('[1]Mapa final'!#REF!="Baja",'[1]Mapa final'!#REF!="Menor"),CONCATENATE("R3C",'[1]Mapa final'!#REF!),"")</f>
        <v>#REF!</v>
      </c>
      <c r="T38" s="38" t="e">
        <f>IF(AND('[1]Mapa final'!#REF!="Baja",'[1]Mapa final'!#REF!="Menor"),CONCATENATE("R3C",'[1]Mapa final'!#REF!),"")</f>
        <v>#REF!</v>
      </c>
      <c r="U38" s="39" t="e">
        <f>IF(AND('[1]Mapa final'!#REF!="Baja",'[1]Mapa final'!#REF!="Menor"),CONCATENATE("R3C",'[1]Mapa final'!#REF!),"")</f>
        <v>#REF!</v>
      </c>
      <c r="V38" s="37" t="e">
        <f>IF(AND('[1]Mapa final'!#REF!="Baja",'[1]Mapa final'!#REF!="Moderado"),CONCATENATE("R3C",'[1]Mapa final'!#REF!),"")</f>
        <v>#REF!</v>
      </c>
      <c r="W38" s="38" t="e">
        <f>IF(AND('[1]Mapa final'!#REF!="Baja",'[1]Mapa final'!#REF!="Moderado"),CONCATENATE("R3C",'[1]Mapa final'!#REF!),"")</f>
        <v>#REF!</v>
      </c>
      <c r="X38" s="38" t="e">
        <f>IF(AND('[1]Mapa final'!#REF!="Baja",'[1]Mapa final'!#REF!="Moderado"),CONCATENATE("R3C",'[1]Mapa final'!#REF!),"")</f>
        <v>#REF!</v>
      </c>
      <c r="Y38" s="38" t="e">
        <f>IF(AND('[1]Mapa final'!#REF!="Baja",'[1]Mapa final'!#REF!="Moderado"),CONCATENATE("R3C",'[1]Mapa final'!#REF!),"")</f>
        <v>#REF!</v>
      </c>
      <c r="Z38" s="38" t="e">
        <f>IF(AND('[1]Mapa final'!#REF!="Baja",'[1]Mapa final'!#REF!="Moderado"),CONCATENATE("R3C",'[1]Mapa final'!#REF!),"")</f>
        <v>#REF!</v>
      </c>
      <c r="AA38" s="39" t="e">
        <f>IF(AND('[1]Mapa final'!#REF!="Baja",'[1]Mapa final'!#REF!="Moderado"),CONCATENATE("R3C",'[1]Mapa final'!#REF!),"")</f>
        <v>#REF!</v>
      </c>
      <c r="AB38" s="22" t="e">
        <f>IF(AND('[1]Mapa final'!#REF!="Baja",'[1]Mapa final'!#REF!="Mayor"),CONCATENATE("R3C",'[1]Mapa final'!#REF!),"")</f>
        <v>#REF!</v>
      </c>
      <c r="AC38" s="23" t="e">
        <f>IF(AND('[1]Mapa final'!#REF!="Baja",'[1]Mapa final'!#REF!="Mayor"),CONCATENATE("R3C",'[1]Mapa final'!#REF!),"")</f>
        <v>#REF!</v>
      </c>
      <c r="AD38" s="23" t="e">
        <f>IF(AND('[1]Mapa final'!#REF!="Baja",'[1]Mapa final'!#REF!="Mayor"),CONCATENATE("R3C",'[1]Mapa final'!#REF!),"")</f>
        <v>#REF!</v>
      </c>
      <c r="AE38" s="23" t="e">
        <f>IF(AND('[1]Mapa final'!#REF!="Baja",'[1]Mapa final'!#REF!="Mayor"),CONCATENATE("R3C",'[1]Mapa final'!#REF!),"")</f>
        <v>#REF!</v>
      </c>
      <c r="AF38" s="23" t="e">
        <f>IF(AND('[1]Mapa final'!#REF!="Baja",'[1]Mapa final'!#REF!="Mayor"),CONCATENATE("R3C",'[1]Mapa final'!#REF!),"")</f>
        <v>#REF!</v>
      </c>
      <c r="AG38" s="24" t="e">
        <f>IF(AND('[1]Mapa final'!#REF!="Baja",'[1]Mapa final'!#REF!="Mayor"),CONCATENATE("R3C",'[1]Mapa final'!#REF!),"")</f>
        <v>#REF!</v>
      </c>
      <c r="AH38" s="25" t="e">
        <f>IF(AND('[1]Mapa final'!#REF!="Baja",'[1]Mapa final'!#REF!="Catastrófico"),CONCATENATE("R3C",'[1]Mapa final'!#REF!),"")</f>
        <v>#REF!</v>
      </c>
      <c r="AI38" s="26" t="e">
        <f>IF(AND('[1]Mapa final'!#REF!="Baja",'[1]Mapa final'!#REF!="Catastrófico"),CONCATENATE("R3C",'[1]Mapa final'!#REF!),"")</f>
        <v>#REF!</v>
      </c>
      <c r="AJ38" s="26" t="e">
        <f>IF(AND('[1]Mapa final'!#REF!="Baja",'[1]Mapa final'!#REF!="Catastrófico"),CONCATENATE("R3C",'[1]Mapa final'!#REF!),"")</f>
        <v>#REF!</v>
      </c>
      <c r="AK38" s="26" t="e">
        <f>IF(AND('[1]Mapa final'!#REF!="Baja",'[1]Mapa final'!#REF!="Catastrófico"),CONCATENATE("R3C",'[1]Mapa final'!#REF!),"")</f>
        <v>#REF!</v>
      </c>
      <c r="AL38" s="26" t="e">
        <f>IF(AND('[1]Mapa final'!#REF!="Baja",'[1]Mapa final'!#REF!="Catastrófico"),CONCATENATE("R3C",'[1]Mapa final'!#REF!),"")</f>
        <v>#REF!</v>
      </c>
      <c r="AM38" s="27" t="e">
        <f>IF(AND('[1]Mapa final'!#REF!="Baja",'[1]Mapa final'!#REF!="Catastrófico"),CONCATENATE("R3C",'[1]Mapa final'!#REF!),"")</f>
        <v>#REF!</v>
      </c>
      <c r="AN38" s="53"/>
      <c r="AO38" s="616"/>
      <c r="AP38" s="617"/>
      <c r="AQ38" s="617"/>
      <c r="AR38" s="617"/>
      <c r="AS38" s="617"/>
      <c r="AT38" s="618"/>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80" ht="15" customHeight="1" x14ac:dyDescent="0.3">
      <c r="A39" s="53"/>
      <c r="B39" s="571"/>
      <c r="C39" s="571"/>
      <c r="D39" s="572"/>
      <c r="E39" s="576"/>
      <c r="F39" s="577"/>
      <c r="G39" s="577"/>
      <c r="H39" s="577"/>
      <c r="I39" s="577"/>
      <c r="J39" s="46" t="e">
        <f>IF(AND('[1]Mapa final'!#REF!="Baja",'[1]Mapa final'!#REF!="Leve"),CONCATENATE("R4C",'[1]Mapa final'!#REF!),"")</f>
        <v>#REF!</v>
      </c>
      <c r="K39" s="47" t="e">
        <f>IF(AND('[1]Mapa final'!#REF!="Baja",'[1]Mapa final'!#REF!="Leve"),CONCATENATE("R4C",'[1]Mapa final'!#REF!),"")</f>
        <v>#REF!</v>
      </c>
      <c r="L39" s="47" t="e">
        <f>IF(AND('[1]Mapa final'!#REF!="Baja",'[1]Mapa final'!#REF!="Leve"),CONCATENATE("R4C",'[1]Mapa final'!#REF!),"")</f>
        <v>#REF!</v>
      </c>
      <c r="M39" s="47" t="e">
        <f>IF(AND('[1]Mapa final'!#REF!="Baja",'[1]Mapa final'!#REF!="Leve"),CONCATENATE("R4C",'[1]Mapa final'!#REF!),"")</f>
        <v>#REF!</v>
      </c>
      <c r="N39" s="47" t="e">
        <f>IF(AND('[1]Mapa final'!#REF!="Baja",'[1]Mapa final'!#REF!="Leve"),CONCATENATE("R4C",'[1]Mapa final'!#REF!),"")</f>
        <v>#REF!</v>
      </c>
      <c r="O39" s="48" t="e">
        <f>IF(AND('[1]Mapa final'!#REF!="Baja",'[1]Mapa final'!#REF!="Leve"),CONCATENATE("R4C",'[1]Mapa final'!#REF!),"")</f>
        <v>#REF!</v>
      </c>
      <c r="P39" s="37" t="e">
        <f>IF(AND('[1]Mapa final'!#REF!="Baja",'[1]Mapa final'!#REF!="Menor"),CONCATENATE("R4C",'[1]Mapa final'!#REF!),"")</f>
        <v>#REF!</v>
      </c>
      <c r="Q39" s="38" t="e">
        <f>IF(AND('[1]Mapa final'!#REF!="Baja",'[1]Mapa final'!#REF!="Menor"),CONCATENATE("R4C",'[1]Mapa final'!#REF!),"")</f>
        <v>#REF!</v>
      </c>
      <c r="R39" s="38" t="e">
        <f>IF(AND('[1]Mapa final'!#REF!="Baja",'[1]Mapa final'!#REF!="Menor"),CONCATENATE("R4C",'[1]Mapa final'!#REF!),"")</f>
        <v>#REF!</v>
      </c>
      <c r="S39" s="38" t="e">
        <f>IF(AND('[1]Mapa final'!#REF!="Baja",'[1]Mapa final'!#REF!="Menor"),CONCATENATE("R4C",'[1]Mapa final'!#REF!),"")</f>
        <v>#REF!</v>
      </c>
      <c r="T39" s="38" t="e">
        <f>IF(AND('[1]Mapa final'!#REF!="Baja",'[1]Mapa final'!#REF!="Menor"),CONCATENATE("R4C",'[1]Mapa final'!#REF!),"")</f>
        <v>#REF!</v>
      </c>
      <c r="U39" s="39" t="e">
        <f>IF(AND('[1]Mapa final'!#REF!="Baja",'[1]Mapa final'!#REF!="Menor"),CONCATENATE("R4C",'[1]Mapa final'!#REF!),"")</f>
        <v>#REF!</v>
      </c>
      <c r="V39" s="37" t="e">
        <f>IF(AND('[1]Mapa final'!#REF!="Baja",'[1]Mapa final'!#REF!="Moderado"),CONCATENATE("R4C",'[1]Mapa final'!#REF!),"")</f>
        <v>#REF!</v>
      </c>
      <c r="W39" s="38" t="e">
        <f>IF(AND('[1]Mapa final'!#REF!="Baja",'[1]Mapa final'!#REF!="Moderado"),CONCATENATE("R4C",'[1]Mapa final'!#REF!),"")</f>
        <v>#REF!</v>
      </c>
      <c r="X39" s="38" t="e">
        <f>IF(AND('[1]Mapa final'!#REF!="Baja",'[1]Mapa final'!#REF!="Moderado"),CONCATENATE("R4C",'[1]Mapa final'!#REF!),"")</f>
        <v>#REF!</v>
      </c>
      <c r="Y39" s="38" t="e">
        <f>IF(AND('[1]Mapa final'!#REF!="Baja",'[1]Mapa final'!#REF!="Moderado"),CONCATENATE("R4C",'[1]Mapa final'!#REF!),"")</f>
        <v>#REF!</v>
      </c>
      <c r="Z39" s="38" t="e">
        <f>IF(AND('[1]Mapa final'!#REF!="Baja",'[1]Mapa final'!#REF!="Moderado"),CONCATENATE("R4C",'[1]Mapa final'!#REF!),"")</f>
        <v>#REF!</v>
      </c>
      <c r="AA39" s="39" t="e">
        <f>IF(AND('[1]Mapa final'!#REF!="Baja",'[1]Mapa final'!#REF!="Moderado"),CONCATENATE("R4C",'[1]Mapa final'!#REF!),"")</f>
        <v>#REF!</v>
      </c>
      <c r="AB39" s="22" t="e">
        <f>IF(AND('[1]Mapa final'!#REF!="Baja",'[1]Mapa final'!#REF!="Mayor"),CONCATENATE("R4C",'[1]Mapa final'!#REF!),"")</f>
        <v>#REF!</v>
      </c>
      <c r="AC39" s="23" t="e">
        <f>IF(AND('[1]Mapa final'!#REF!="Baja",'[1]Mapa final'!#REF!="Mayor"),CONCATENATE("R4C",'[1]Mapa final'!#REF!),"")</f>
        <v>#REF!</v>
      </c>
      <c r="AD39" s="23" t="e">
        <f>IF(AND('[1]Mapa final'!#REF!="Baja",'[1]Mapa final'!#REF!="Mayor"),CONCATENATE("R4C",'[1]Mapa final'!#REF!),"")</f>
        <v>#REF!</v>
      </c>
      <c r="AE39" s="23" t="e">
        <f>IF(AND('[1]Mapa final'!#REF!="Baja",'[1]Mapa final'!#REF!="Mayor"),CONCATENATE("R4C",'[1]Mapa final'!#REF!),"")</f>
        <v>#REF!</v>
      </c>
      <c r="AF39" s="23" t="e">
        <f>IF(AND('[1]Mapa final'!#REF!="Baja",'[1]Mapa final'!#REF!="Mayor"),CONCATENATE("R4C",'[1]Mapa final'!#REF!),"")</f>
        <v>#REF!</v>
      </c>
      <c r="AG39" s="24" t="e">
        <f>IF(AND('[1]Mapa final'!#REF!="Baja",'[1]Mapa final'!#REF!="Mayor"),CONCATENATE("R4C",'[1]Mapa final'!#REF!),"")</f>
        <v>#REF!</v>
      </c>
      <c r="AH39" s="25" t="e">
        <f>IF(AND('[1]Mapa final'!#REF!="Baja",'[1]Mapa final'!#REF!="Catastrófico"),CONCATENATE("R4C",'[1]Mapa final'!#REF!),"")</f>
        <v>#REF!</v>
      </c>
      <c r="AI39" s="26" t="e">
        <f>IF(AND('[1]Mapa final'!#REF!="Baja",'[1]Mapa final'!#REF!="Catastrófico"),CONCATENATE("R4C",'[1]Mapa final'!#REF!),"")</f>
        <v>#REF!</v>
      </c>
      <c r="AJ39" s="26" t="e">
        <f>IF(AND('[1]Mapa final'!#REF!="Baja",'[1]Mapa final'!#REF!="Catastrófico"),CONCATENATE("R4C",'[1]Mapa final'!#REF!),"")</f>
        <v>#REF!</v>
      </c>
      <c r="AK39" s="26" t="e">
        <f>IF(AND('[1]Mapa final'!#REF!="Baja",'[1]Mapa final'!#REF!="Catastrófico"),CONCATENATE("R4C",'[1]Mapa final'!#REF!),"")</f>
        <v>#REF!</v>
      </c>
      <c r="AL39" s="26" t="e">
        <f>IF(AND('[1]Mapa final'!#REF!="Baja",'[1]Mapa final'!#REF!="Catastrófico"),CONCATENATE("R4C",'[1]Mapa final'!#REF!),"")</f>
        <v>#REF!</v>
      </c>
      <c r="AM39" s="27" t="e">
        <f>IF(AND('[1]Mapa final'!#REF!="Baja",'[1]Mapa final'!#REF!="Catastrófico"),CONCATENATE("R4C",'[1]Mapa final'!#REF!),"")</f>
        <v>#REF!</v>
      </c>
      <c r="AN39" s="53"/>
      <c r="AO39" s="616"/>
      <c r="AP39" s="617"/>
      <c r="AQ39" s="617"/>
      <c r="AR39" s="617"/>
      <c r="AS39" s="617"/>
      <c r="AT39" s="618"/>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80" ht="15" customHeight="1" x14ac:dyDescent="0.3">
      <c r="A40" s="53"/>
      <c r="B40" s="571"/>
      <c r="C40" s="571"/>
      <c r="D40" s="572"/>
      <c r="E40" s="576"/>
      <c r="F40" s="577"/>
      <c r="G40" s="577"/>
      <c r="H40" s="577"/>
      <c r="I40" s="577"/>
      <c r="J40" s="46" t="str">
        <f>IF(AND('[1]Mapa final'!$AB$19="Baja",'[1]Mapa final'!$AD$19="Leve"),CONCATENATE("R5C",'[1]Mapa final'!$R$19),"")</f>
        <v/>
      </c>
      <c r="K40" s="47" t="str">
        <f>IF(AND('[1]Mapa final'!$AB$20="Baja",'[1]Mapa final'!$AD$20="Leve"),CONCATENATE("R5C",'[1]Mapa final'!$R$20),"")</f>
        <v/>
      </c>
      <c r="L40" s="47" t="str">
        <f>IF(AND('[1]Mapa final'!$AB$21="Baja",'[1]Mapa final'!$AD$21="Leve"),CONCATENATE("R5C",'[1]Mapa final'!$R$21),"")</f>
        <v/>
      </c>
      <c r="M40" s="47" t="str">
        <f>IF(AND('[1]Mapa final'!$AB$22="Baja",'[1]Mapa final'!$AD$22="Leve"),CONCATENATE("R5C",'[1]Mapa final'!$R$22),"")</f>
        <v/>
      </c>
      <c r="N40" s="47" t="str">
        <f>IF(AND('[1]Mapa final'!$AB$23="Baja",'[1]Mapa final'!$AD$23="Leve"),CONCATENATE("R5C",'[1]Mapa final'!$R$23),"")</f>
        <v/>
      </c>
      <c r="O40" s="48" t="str">
        <f>IF(AND('[1]Mapa final'!$AB$24="Baja",'[1]Mapa final'!$AD$24="Leve"),CONCATENATE("R5C",'[1]Mapa final'!$R$24),"")</f>
        <v/>
      </c>
      <c r="P40" s="37" t="str">
        <f>IF(AND('[1]Mapa final'!$AB$19="Baja",'[1]Mapa final'!$AD$19="Menor"),CONCATENATE("R5C",'[1]Mapa final'!$R$19),"")</f>
        <v/>
      </c>
      <c r="Q40" s="38" t="str">
        <f>IF(AND('[1]Mapa final'!$AB$20="Baja",'[1]Mapa final'!$AD$20="Menor"),CONCATENATE("R5C",'[1]Mapa final'!$R$20),"")</f>
        <v/>
      </c>
      <c r="R40" s="38" t="str">
        <f>IF(AND('[1]Mapa final'!$AB$21="Baja",'[1]Mapa final'!$AD$21="Menor"),CONCATENATE("R5C",'[1]Mapa final'!$R$21),"")</f>
        <v/>
      </c>
      <c r="S40" s="38" t="str">
        <f>IF(AND('[1]Mapa final'!$AB$22="Baja",'[1]Mapa final'!$AD$22="Menor"),CONCATENATE("R5C",'[1]Mapa final'!$R$22),"")</f>
        <v/>
      </c>
      <c r="T40" s="38" t="str">
        <f>IF(AND('[1]Mapa final'!$AB$23="Baja",'[1]Mapa final'!$AD$23="Menor"),CONCATENATE("R5C",'[1]Mapa final'!$R$23),"")</f>
        <v/>
      </c>
      <c r="U40" s="39" t="str">
        <f>IF(AND('[1]Mapa final'!$AB$24="Baja",'[1]Mapa final'!$AD$24="Menor"),CONCATENATE("R5C",'[1]Mapa final'!$R$24),"")</f>
        <v/>
      </c>
      <c r="V40" s="37" t="str">
        <f>IF(AND('[1]Mapa final'!$AB$19="Baja",'[1]Mapa final'!$AD$19="Moderado"),CONCATENATE("R5C",'[1]Mapa final'!$R$19),"")</f>
        <v/>
      </c>
      <c r="W40" s="38" t="str">
        <f>IF(AND('[1]Mapa final'!$AB$20="Baja",'[1]Mapa final'!$AD$20="Moderado"),CONCATENATE("R5C",'[1]Mapa final'!$R$20),"")</f>
        <v/>
      </c>
      <c r="X40" s="38" t="str">
        <f>IF(AND('[1]Mapa final'!$AB$21="Baja",'[1]Mapa final'!$AD$21="Moderado"),CONCATENATE("R5C",'[1]Mapa final'!$R$21),"")</f>
        <v/>
      </c>
      <c r="Y40" s="38" t="str">
        <f>IF(AND('[1]Mapa final'!$AB$22="Baja",'[1]Mapa final'!$AD$22="Moderado"),CONCATENATE("R5C",'[1]Mapa final'!$R$22),"")</f>
        <v/>
      </c>
      <c r="Z40" s="38" t="str">
        <f>IF(AND('[1]Mapa final'!$AB$23="Baja",'[1]Mapa final'!$AD$23="Moderado"),CONCATENATE("R5C",'[1]Mapa final'!$R$23),"")</f>
        <v/>
      </c>
      <c r="AA40" s="39" t="str">
        <f>IF(AND('[1]Mapa final'!$AB$24="Baja",'[1]Mapa final'!$AD$24="Moderado"),CONCATENATE("R5C",'[1]Mapa final'!$R$24),"")</f>
        <v/>
      </c>
      <c r="AB40" s="22" t="str">
        <f>IF(AND('[1]Mapa final'!$AB$19="Baja",'[1]Mapa final'!$AD$19="Mayor"),CONCATENATE("R5C",'[1]Mapa final'!$R$19),"")</f>
        <v/>
      </c>
      <c r="AC40" s="23" t="str">
        <f>IF(AND('[1]Mapa final'!$AB$20="Baja",'[1]Mapa final'!$AD$20="Mayor"),CONCATENATE("R5C",'[1]Mapa final'!$R$20),"")</f>
        <v/>
      </c>
      <c r="AD40" s="23" t="str">
        <f>IF(AND('[1]Mapa final'!$AB$21="Baja",'[1]Mapa final'!$AD$21="Mayor"),CONCATENATE("R5C",'[1]Mapa final'!$R$21),"")</f>
        <v/>
      </c>
      <c r="AE40" s="23" t="str">
        <f>IF(AND('[1]Mapa final'!$AB$22="Baja",'[1]Mapa final'!$AD$22="Mayor"),CONCATENATE("R5C",'[1]Mapa final'!$R$22),"")</f>
        <v/>
      </c>
      <c r="AF40" s="23" t="str">
        <f>IF(AND('[1]Mapa final'!$AB$23="Baja",'[1]Mapa final'!$AD$23="Mayor"),CONCATENATE("R5C",'[1]Mapa final'!$R$23),"")</f>
        <v/>
      </c>
      <c r="AG40" s="24" t="str">
        <f>IF(AND('[1]Mapa final'!$AB$24="Baja",'[1]Mapa final'!$AD$24="Mayor"),CONCATENATE("R5C",'[1]Mapa final'!$R$24),"")</f>
        <v/>
      </c>
      <c r="AH40" s="25" t="str">
        <f>IF(AND('[1]Mapa final'!$AB$19="Baja",'[1]Mapa final'!$AD$19="Catastrófico"),CONCATENATE("R5C",'[1]Mapa final'!$R$19),"")</f>
        <v/>
      </c>
      <c r="AI40" s="26" t="str">
        <f>IF(AND('[1]Mapa final'!$AB$20="Baja",'[1]Mapa final'!$AD$20="Catastrófico"),CONCATENATE("R5C",'[1]Mapa final'!$R$20),"")</f>
        <v/>
      </c>
      <c r="AJ40" s="26" t="str">
        <f>IF(AND('[1]Mapa final'!$AB$21="Baja",'[1]Mapa final'!$AD$21="Catastrófico"),CONCATENATE("R5C",'[1]Mapa final'!$R$21),"")</f>
        <v/>
      </c>
      <c r="AK40" s="26" t="str">
        <f>IF(AND('[1]Mapa final'!$AB$22="Baja",'[1]Mapa final'!$AD$22="Catastrófico"),CONCATENATE("R5C",'[1]Mapa final'!$R$22),"")</f>
        <v/>
      </c>
      <c r="AL40" s="26" t="str">
        <f>IF(AND('[1]Mapa final'!$AB$23="Baja",'[1]Mapa final'!$AD$23="Catastrófico"),CONCATENATE("R5C",'[1]Mapa final'!$R$23),"")</f>
        <v/>
      </c>
      <c r="AM40" s="27" t="str">
        <f>IF(AND('[1]Mapa final'!$AB$24="Baja",'[1]Mapa final'!$AD$24="Catastrófico"),CONCATENATE("R5C",'[1]Mapa final'!$R$24),"")</f>
        <v/>
      </c>
      <c r="AN40" s="53"/>
      <c r="AO40" s="616"/>
      <c r="AP40" s="617"/>
      <c r="AQ40" s="617"/>
      <c r="AR40" s="617"/>
      <c r="AS40" s="617"/>
      <c r="AT40" s="618"/>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80" ht="15" customHeight="1" x14ac:dyDescent="0.3">
      <c r="A41" s="53"/>
      <c r="B41" s="571"/>
      <c r="C41" s="571"/>
      <c r="D41" s="572"/>
      <c r="E41" s="576"/>
      <c r="F41" s="577"/>
      <c r="G41" s="577"/>
      <c r="H41" s="577"/>
      <c r="I41" s="577"/>
      <c r="J41" s="46" t="str">
        <f>IF(AND('[1]Mapa final'!$AB$25="Baja",'[1]Mapa final'!$AD$25="Leve"),CONCATENATE("R6C",'[1]Mapa final'!$R$25),"")</f>
        <v/>
      </c>
      <c r="K41" s="47" t="str">
        <f>IF(AND('[1]Mapa final'!$AB$26="Baja",'[1]Mapa final'!$AD$26="Leve"),CONCATENATE("R6C",'[1]Mapa final'!$R$26),"")</f>
        <v/>
      </c>
      <c r="L41" s="47" t="str">
        <f>IF(AND('[1]Mapa final'!$AB$27="Baja",'[1]Mapa final'!$AD$27="Leve"),CONCATENATE("R6C",'[1]Mapa final'!$R$27),"")</f>
        <v/>
      </c>
      <c r="M41" s="47" t="str">
        <f>IF(AND('[1]Mapa final'!$AB$28="Baja",'[1]Mapa final'!$AD$28="Leve"),CONCATENATE("R6C",'[1]Mapa final'!$R$28),"")</f>
        <v/>
      </c>
      <c r="N41" s="47" t="str">
        <f>IF(AND('[1]Mapa final'!$AB$29="Baja",'[1]Mapa final'!$AD$29="Leve"),CONCATENATE("R6C",'[1]Mapa final'!$R$29),"")</f>
        <v/>
      </c>
      <c r="O41" s="48" t="str">
        <f>IF(AND('[1]Mapa final'!$AB$30="Baja",'[1]Mapa final'!$AD$30="Leve"),CONCATENATE("R6C",'[1]Mapa final'!$R$30),"")</f>
        <v/>
      </c>
      <c r="P41" s="37" t="str">
        <f>IF(AND('[1]Mapa final'!$AB$25="Baja",'[1]Mapa final'!$AD$25="Menor"),CONCATENATE("R6C",'[1]Mapa final'!$R$25),"")</f>
        <v/>
      </c>
      <c r="Q41" s="38" t="str">
        <f>IF(AND('[1]Mapa final'!$AB$26="Baja",'[1]Mapa final'!$AD$26="Menor"),CONCATENATE("R6C",'[1]Mapa final'!$R$26),"")</f>
        <v/>
      </c>
      <c r="R41" s="38" t="str">
        <f>IF(AND('[1]Mapa final'!$AB$27="Baja",'[1]Mapa final'!$AD$27="Menor"),CONCATENATE("R6C",'[1]Mapa final'!$R$27),"")</f>
        <v/>
      </c>
      <c r="S41" s="38" t="str">
        <f>IF(AND('[1]Mapa final'!$AB$28="Baja",'[1]Mapa final'!$AD$28="Menor"),CONCATENATE("R6C",'[1]Mapa final'!$R$28),"")</f>
        <v/>
      </c>
      <c r="T41" s="38" t="str">
        <f>IF(AND('[1]Mapa final'!$AB$29="Baja",'[1]Mapa final'!$AD$29="Menor"),CONCATENATE("R6C",'[1]Mapa final'!$R$29),"")</f>
        <v/>
      </c>
      <c r="U41" s="39" t="str">
        <f>IF(AND('[1]Mapa final'!$AB$30="Baja",'[1]Mapa final'!$AD$30="Menor"),CONCATENATE("R6C",'[1]Mapa final'!$R$30),"")</f>
        <v/>
      </c>
      <c r="V41" s="37" t="str">
        <f>IF(AND('[1]Mapa final'!$AB$25="Baja",'[1]Mapa final'!$AD$25="Moderado"),CONCATENATE("R6C",'[1]Mapa final'!$R$25),"")</f>
        <v/>
      </c>
      <c r="W41" s="38" t="str">
        <f>IF(AND('[1]Mapa final'!$AB$26="Baja",'[1]Mapa final'!$AD$26="Moderado"),CONCATENATE("R6C",'[1]Mapa final'!$R$26),"")</f>
        <v/>
      </c>
      <c r="X41" s="38" t="str">
        <f>IF(AND('[1]Mapa final'!$AB$27="Baja",'[1]Mapa final'!$AD$27="Moderado"),CONCATENATE("R6C",'[1]Mapa final'!$R$27),"")</f>
        <v/>
      </c>
      <c r="Y41" s="38" t="str">
        <f>IF(AND('[1]Mapa final'!$AB$28="Baja",'[1]Mapa final'!$AD$28="Moderado"),CONCATENATE("R6C",'[1]Mapa final'!$R$28),"")</f>
        <v/>
      </c>
      <c r="Z41" s="38" t="str">
        <f>IF(AND('[1]Mapa final'!$AB$29="Baja",'[1]Mapa final'!$AD$29="Moderado"),CONCATENATE("R6C",'[1]Mapa final'!$R$29),"")</f>
        <v/>
      </c>
      <c r="AA41" s="39" t="str">
        <f>IF(AND('[1]Mapa final'!$AB$30="Baja",'[1]Mapa final'!$AD$30="Moderado"),CONCATENATE("R6C",'[1]Mapa final'!$R$30),"")</f>
        <v/>
      </c>
      <c r="AB41" s="22" t="str">
        <f>IF(AND('[1]Mapa final'!$AB$25="Baja",'[1]Mapa final'!$AD$25="Mayor"),CONCATENATE("R6C",'[1]Mapa final'!$R$25),"")</f>
        <v/>
      </c>
      <c r="AC41" s="23" t="str">
        <f>IF(AND('[1]Mapa final'!$AB$26="Baja",'[1]Mapa final'!$AD$26="Mayor"),CONCATENATE("R6C",'[1]Mapa final'!$R$26),"")</f>
        <v/>
      </c>
      <c r="AD41" s="23" t="str">
        <f>IF(AND('[1]Mapa final'!$AB$27="Baja",'[1]Mapa final'!$AD$27="Mayor"),CONCATENATE("R6C",'[1]Mapa final'!$R$27),"")</f>
        <v/>
      </c>
      <c r="AE41" s="23" t="str">
        <f>IF(AND('[1]Mapa final'!$AB$28="Baja",'[1]Mapa final'!$AD$28="Mayor"),CONCATENATE("R6C",'[1]Mapa final'!$R$28),"")</f>
        <v/>
      </c>
      <c r="AF41" s="23" t="str">
        <f>IF(AND('[1]Mapa final'!$AB$29="Baja",'[1]Mapa final'!$AD$29="Mayor"),CONCATENATE("R6C",'[1]Mapa final'!$R$29),"")</f>
        <v/>
      </c>
      <c r="AG41" s="24" t="str">
        <f>IF(AND('[1]Mapa final'!$AB$30="Baja",'[1]Mapa final'!$AD$30="Mayor"),CONCATENATE("R6C",'[1]Mapa final'!$R$30),"")</f>
        <v/>
      </c>
      <c r="AH41" s="25" t="str">
        <f>IF(AND('[1]Mapa final'!$AB$25="Baja",'[1]Mapa final'!$AD$25="Catastrófico"),CONCATENATE("R6C",'[1]Mapa final'!$R$25),"")</f>
        <v/>
      </c>
      <c r="AI41" s="26" t="str">
        <f>IF(AND('[1]Mapa final'!$AB$26="Baja",'[1]Mapa final'!$AD$26="Catastrófico"),CONCATENATE("R6C",'[1]Mapa final'!$R$26),"")</f>
        <v/>
      </c>
      <c r="AJ41" s="26" t="str">
        <f>IF(AND('[1]Mapa final'!$AB$27="Baja",'[1]Mapa final'!$AD$27="Catastrófico"),CONCATENATE("R6C",'[1]Mapa final'!$R$27),"")</f>
        <v/>
      </c>
      <c r="AK41" s="26" t="str">
        <f>IF(AND('[1]Mapa final'!$AB$28="Baja",'[1]Mapa final'!$AD$28="Catastrófico"),CONCATENATE("R6C",'[1]Mapa final'!$R$28),"")</f>
        <v/>
      </c>
      <c r="AL41" s="26" t="str">
        <f>IF(AND('[1]Mapa final'!$AB$29="Baja",'[1]Mapa final'!$AD$29="Catastrófico"),CONCATENATE("R6C",'[1]Mapa final'!$R$29),"")</f>
        <v/>
      </c>
      <c r="AM41" s="27" t="str">
        <f>IF(AND('[1]Mapa final'!$AB$30="Baja",'[1]Mapa final'!$AD$30="Catastrófico"),CONCATENATE("R6C",'[1]Mapa final'!$R$30),"")</f>
        <v/>
      </c>
      <c r="AN41" s="53"/>
      <c r="AO41" s="616"/>
      <c r="AP41" s="617"/>
      <c r="AQ41" s="617"/>
      <c r="AR41" s="617"/>
      <c r="AS41" s="617"/>
      <c r="AT41" s="618"/>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80" ht="15" customHeight="1" x14ac:dyDescent="0.3">
      <c r="A42" s="53"/>
      <c r="B42" s="571"/>
      <c r="C42" s="571"/>
      <c r="D42" s="572"/>
      <c r="E42" s="576"/>
      <c r="F42" s="577"/>
      <c r="G42" s="577"/>
      <c r="H42" s="577"/>
      <c r="I42" s="577"/>
      <c r="J42" s="46" t="str">
        <f>IF(AND('[1]Mapa final'!$AB$31="Baja",'[1]Mapa final'!$AD$31="Leve"),CONCATENATE("R7C",'[1]Mapa final'!$R$31),"")</f>
        <v/>
      </c>
      <c r="K42" s="47" t="str">
        <f>IF(AND('[1]Mapa final'!$AB$32="Baja",'[1]Mapa final'!$AD$32="Leve"),CONCATENATE("R7C",'[1]Mapa final'!$R$32),"")</f>
        <v/>
      </c>
      <c r="L42" s="47" t="str">
        <f>IF(AND('[1]Mapa final'!$AB$33="Baja",'[1]Mapa final'!$AD$33="Leve"),CONCATENATE("R7C",'[1]Mapa final'!$R$33),"")</f>
        <v/>
      </c>
      <c r="M42" s="47" t="str">
        <f>IF(AND('[1]Mapa final'!$AB$34="Baja",'[1]Mapa final'!$AD$34="Leve"),CONCATENATE("R7C",'[1]Mapa final'!$R$34),"")</f>
        <v/>
      </c>
      <c r="N42" s="47" t="str">
        <f>IF(AND('[1]Mapa final'!$AB$35="Baja",'[1]Mapa final'!$AD$35="Leve"),CONCATENATE("R7C",'[1]Mapa final'!$R$35),"")</f>
        <v/>
      </c>
      <c r="O42" s="48" t="str">
        <f>IF(AND('[1]Mapa final'!$AB$36="Baja",'[1]Mapa final'!$AD$36="Leve"),CONCATENATE("R7C",'[1]Mapa final'!$R$36),"")</f>
        <v/>
      </c>
      <c r="P42" s="37" t="str">
        <f>IF(AND('[1]Mapa final'!$AB$31="Baja",'[1]Mapa final'!$AD$31="Menor"),CONCATENATE("R7C",'[1]Mapa final'!$R$31),"")</f>
        <v/>
      </c>
      <c r="Q42" s="38" t="str">
        <f>IF(AND('[1]Mapa final'!$AB$32="Baja",'[1]Mapa final'!$AD$32="Menor"),CONCATENATE("R7C",'[1]Mapa final'!$R$32),"")</f>
        <v/>
      </c>
      <c r="R42" s="38" t="str">
        <f>IF(AND('[1]Mapa final'!$AB$33="Baja",'[1]Mapa final'!$AD$33="Menor"),CONCATENATE("R7C",'[1]Mapa final'!$R$33),"")</f>
        <v/>
      </c>
      <c r="S42" s="38" t="str">
        <f>IF(AND('[1]Mapa final'!$AB$34="Baja",'[1]Mapa final'!$AD$34="Menor"),CONCATENATE("R7C",'[1]Mapa final'!$R$34),"")</f>
        <v/>
      </c>
      <c r="T42" s="38" t="str">
        <f>IF(AND('[1]Mapa final'!$AB$35="Baja",'[1]Mapa final'!$AD$35="Menor"),CONCATENATE("R7C",'[1]Mapa final'!$R$35),"")</f>
        <v/>
      </c>
      <c r="U42" s="39" t="str">
        <f>IF(AND('[1]Mapa final'!$AB$36="Baja",'[1]Mapa final'!$AD$36="Menor"),CONCATENATE("R7C",'[1]Mapa final'!$R$36),"")</f>
        <v/>
      </c>
      <c r="V42" s="37" t="str">
        <f>IF(AND('[1]Mapa final'!$AB$31="Baja",'[1]Mapa final'!$AD$31="Moderado"),CONCATENATE("R7C",'[1]Mapa final'!$R$31),"")</f>
        <v/>
      </c>
      <c r="W42" s="38" t="str">
        <f>IF(AND('[1]Mapa final'!$AB$32="Baja",'[1]Mapa final'!$AD$32="Moderado"),CONCATENATE("R7C",'[1]Mapa final'!$R$32),"")</f>
        <v/>
      </c>
      <c r="X42" s="38" t="str">
        <f>IF(AND('[1]Mapa final'!$AB$33="Baja",'[1]Mapa final'!$AD$33="Moderado"),CONCATENATE("R7C",'[1]Mapa final'!$R$33),"")</f>
        <v/>
      </c>
      <c r="Y42" s="38" t="str">
        <f>IF(AND('[1]Mapa final'!$AB$34="Baja",'[1]Mapa final'!$AD$34="Moderado"),CONCATENATE("R7C",'[1]Mapa final'!$R$34),"")</f>
        <v/>
      </c>
      <c r="Z42" s="38" t="str">
        <f>IF(AND('[1]Mapa final'!$AB$35="Baja",'[1]Mapa final'!$AD$35="Moderado"),CONCATENATE("R7C",'[1]Mapa final'!$R$35),"")</f>
        <v/>
      </c>
      <c r="AA42" s="39" t="str">
        <f>IF(AND('[1]Mapa final'!$AB$36="Baja",'[1]Mapa final'!$AD$36="Moderado"),CONCATENATE("R7C",'[1]Mapa final'!$R$36),"")</f>
        <v/>
      </c>
      <c r="AB42" s="22" t="str">
        <f>IF(AND('[1]Mapa final'!$AB$31="Baja",'[1]Mapa final'!$AD$31="Mayor"),CONCATENATE("R7C",'[1]Mapa final'!$R$31),"")</f>
        <v/>
      </c>
      <c r="AC42" s="23" t="str">
        <f>IF(AND('[1]Mapa final'!$AB$32="Baja",'[1]Mapa final'!$AD$32="Mayor"),CONCATENATE("R7C",'[1]Mapa final'!$R$32),"")</f>
        <v/>
      </c>
      <c r="AD42" s="23" t="str">
        <f>IF(AND('[1]Mapa final'!$AB$33="Baja",'[1]Mapa final'!$AD$33="Mayor"),CONCATENATE("R7C",'[1]Mapa final'!$R$33),"")</f>
        <v/>
      </c>
      <c r="AE42" s="23" t="str">
        <f>IF(AND('[1]Mapa final'!$AB$34="Baja",'[1]Mapa final'!$AD$34="Mayor"),CONCATENATE("R7C",'[1]Mapa final'!$R$34),"")</f>
        <v/>
      </c>
      <c r="AF42" s="23" t="str">
        <f>IF(AND('[1]Mapa final'!$AB$35="Baja",'[1]Mapa final'!$AD$35="Mayor"),CONCATENATE("R7C",'[1]Mapa final'!$R$35),"")</f>
        <v/>
      </c>
      <c r="AG42" s="24" t="str">
        <f>IF(AND('[1]Mapa final'!$AB$36="Baja",'[1]Mapa final'!$AD$36="Mayor"),CONCATENATE("R7C",'[1]Mapa final'!$R$36),"")</f>
        <v/>
      </c>
      <c r="AH42" s="25" t="str">
        <f>IF(AND('[1]Mapa final'!$AB$31="Baja",'[1]Mapa final'!$AD$31="Catastrófico"),CONCATENATE("R7C",'[1]Mapa final'!$R$31),"")</f>
        <v/>
      </c>
      <c r="AI42" s="26" t="str">
        <f>IF(AND('[1]Mapa final'!$AB$32="Baja",'[1]Mapa final'!$AD$32="Catastrófico"),CONCATENATE("R7C",'[1]Mapa final'!$R$32),"")</f>
        <v/>
      </c>
      <c r="AJ42" s="26" t="str">
        <f>IF(AND('[1]Mapa final'!$AB$33="Baja",'[1]Mapa final'!$AD$33="Catastrófico"),CONCATENATE("R7C",'[1]Mapa final'!$R$33),"")</f>
        <v/>
      </c>
      <c r="AK42" s="26" t="str">
        <f>IF(AND('[1]Mapa final'!$AB$34="Baja",'[1]Mapa final'!$AD$34="Catastrófico"),CONCATENATE("R7C",'[1]Mapa final'!$R$34),"")</f>
        <v/>
      </c>
      <c r="AL42" s="26" t="str">
        <f>IF(AND('[1]Mapa final'!$AB$35="Baja",'[1]Mapa final'!$AD$35="Catastrófico"),CONCATENATE("R7C",'[1]Mapa final'!$R$35),"")</f>
        <v/>
      </c>
      <c r="AM42" s="27" t="str">
        <f>IF(AND('[1]Mapa final'!$AB$36="Baja",'[1]Mapa final'!$AD$36="Catastrófico"),CONCATENATE("R7C",'[1]Mapa final'!$R$36),"")</f>
        <v/>
      </c>
      <c r="AN42" s="53"/>
      <c r="AO42" s="616"/>
      <c r="AP42" s="617"/>
      <c r="AQ42" s="617"/>
      <c r="AR42" s="617"/>
      <c r="AS42" s="617"/>
      <c r="AT42" s="618"/>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80" ht="15" customHeight="1" x14ac:dyDescent="0.3">
      <c r="A43" s="53"/>
      <c r="B43" s="571"/>
      <c r="C43" s="571"/>
      <c r="D43" s="572"/>
      <c r="E43" s="576"/>
      <c r="F43" s="577"/>
      <c r="G43" s="577"/>
      <c r="H43" s="577"/>
      <c r="I43" s="577"/>
      <c r="J43" s="46" t="str">
        <f>IF(AND('[1]Mapa final'!$AB$37="Baja",'[1]Mapa final'!$AD$37="Leve"),CONCATENATE("R8C",'[1]Mapa final'!$R$37),"")</f>
        <v/>
      </c>
      <c r="K43" s="47" t="str">
        <f>IF(AND('[1]Mapa final'!$AB$38="Baja",'[1]Mapa final'!$AD$38="Leve"),CONCATENATE("R8C",'[1]Mapa final'!$R$38),"")</f>
        <v/>
      </c>
      <c r="L43" s="47" t="str">
        <f>IF(AND('[1]Mapa final'!$AB$39="Baja",'[1]Mapa final'!$AD$39="Leve"),CONCATENATE("R8C",'[1]Mapa final'!$R$39),"")</f>
        <v/>
      </c>
      <c r="M43" s="47" t="str">
        <f>IF(AND('[1]Mapa final'!$AB$40="Baja",'[1]Mapa final'!$AD$40="Leve"),CONCATENATE("R8C",'[1]Mapa final'!$R$40),"")</f>
        <v/>
      </c>
      <c r="N43" s="47" t="str">
        <f>IF(AND('[1]Mapa final'!$AB$41="Baja",'[1]Mapa final'!$AD$41="Leve"),CONCATENATE("R8C",'[1]Mapa final'!$R$41),"")</f>
        <v/>
      </c>
      <c r="O43" s="48" t="str">
        <f>IF(AND('[1]Mapa final'!$AB$42="Baja",'[1]Mapa final'!$AD$42="Leve"),CONCATENATE("R8C",'[1]Mapa final'!$R$42),"")</f>
        <v/>
      </c>
      <c r="P43" s="37" t="str">
        <f>IF(AND('[1]Mapa final'!$AB$37="Baja",'[1]Mapa final'!$AD$37="Menor"),CONCATENATE("R8C",'[1]Mapa final'!$R$37),"")</f>
        <v/>
      </c>
      <c r="Q43" s="38" t="str">
        <f>IF(AND('[1]Mapa final'!$AB$38="Baja",'[1]Mapa final'!$AD$38="Menor"),CONCATENATE("R8C",'[1]Mapa final'!$R$38),"")</f>
        <v/>
      </c>
      <c r="R43" s="38" t="str">
        <f>IF(AND('[1]Mapa final'!$AB$39="Baja",'[1]Mapa final'!$AD$39="Menor"),CONCATENATE("R8C",'[1]Mapa final'!$R$39),"")</f>
        <v/>
      </c>
      <c r="S43" s="38" t="str">
        <f>IF(AND('[1]Mapa final'!$AB$40="Baja",'[1]Mapa final'!$AD$40="Menor"),CONCATENATE("R8C",'[1]Mapa final'!$R$40),"")</f>
        <v/>
      </c>
      <c r="T43" s="38" t="str">
        <f>IF(AND('[1]Mapa final'!$AB$41="Baja",'[1]Mapa final'!$AD$41="Menor"),CONCATENATE("R8C",'[1]Mapa final'!$R$41),"")</f>
        <v/>
      </c>
      <c r="U43" s="39" t="str">
        <f>IF(AND('[1]Mapa final'!$AB$42="Baja",'[1]Mapa final'!$AD$42="Menor"),CONCATENATE("R8C",'[1]Mapa final'!$R$42),"")</f>
        <v/>
      </c>
      <c r="V43" s="37" t="str">
        <f>IF(AND('[1]Mapa final'!$AB$37="Baja",'[1]Mapa final'!$AD$37="Moderado"),CONCATENATE("R8C",'[1]Mapa final'!$R$37),"")</f>
        <v/>
      </c>
      <c r="W43" s="38" t="str">
        <f>IF(AND('[1]Mapa final'!$AB$38="Baja",'[1]Mapa final'!$AD$38="Moderado"),CONCATENATE("R8C",'[1]Mapa final'!$R$38),"")</f>
        <v/>
      </c>
      <c r="X43" s="38" t="str">
        <f>IF(AND('[1]Mapa final'!$AB$39="Baja",'[1]Mapa final'!$AD$39="Moderado"),CONCATENATE("R8C",'[1]Mapa final'!$R$39),"")</f>
        <v/>
      </c>
      <c r="Y43" s="38" t="str">
        <f>IF(AND('[1]Mapa final'!$AB$40="Baja",'[1]Mapa final'!$AD$40="Moderado"),CONCATENATE("R8C",'[1]Mapa final'!$R$40),"")</f>
        <v/>
      </c>
      <c r="Z43" s="38" t="str">
        <f>IF(AND('[1]Mapa final'!$AB$41="Baja",'[1]Mapa final'!$AD$41="Moderado"),CONCATENATE("R8C",'[1]Mapa final'!$R$41),"")</f>
        <v/>
      </c>
      <c r="AA43" s="39" t="str">
        <f>IF(AND('[1]Mapa final'!$AB$42="Baja",'[1]Mapa final'!$AD$42="Moderado"),CONCATENATE("R8C",'[1]Mapa final'!$R$42),"")</f>
        <v/>
      </c>
      <c r="AB43" s="22" t="str">
        <f>IF(AND('[1]Mapa final'!$AB$37="Baja",'[1]Mapa final'!$AD$37="Mayor"),CONCATENATE("R8C",'[1]Mapa final'!$R$37),"")</f>
        <v/>
      </c>
      <c r="AC43" s="23" t="str">
        <f>IF(AND('[1]Mapa final'!$AB$38="Baja",'[1]Mapa final'!$AD$38="Mayor"),CONCATENATE("R8C",'[1]Mapa final'!$R$38),"")</f>
        <v/>
      </c>
      <c r="AD43" s="23" t="str">
        <f>IF(AND('[1]Mapa final'!$AB$39="Baja",'[1]Mapa final'!$AD$39="Mayor"),CONCATENATE("R8C",'[1]Mapa final'!$R$39),"")</f>
        <v/>
      </c>
      <c r="AE43" s="23" t="str">
        <f>IF(AND('[1]Mapa final'!$AB$40="Baja",'[1]Mapa final'!$AD$40="Mayor"),CONCATENATE("R8C",'[1]Mapa final'!$R$40),"")</f>
        <v/>
      </c>
      <c r="AF43" s="23" t="str">
        <f>IF(AND('[1]Mapa final'!$AB$41="Baja",'[1]Mapa final'!$AD$41="Mayor"),CONCATENATE("R8C",'[1]Mapa final'!$R$41),"")</f>
        <v/>
      </c>
      <c r="AG43" s="24" t="str">
        <f>IF(AND('[1]Mapa final'!$AB$42="Baja",'[1]Mapa final'!$AD$42="Mayor"),CONCATENATE("R8C",'[1]Mapa final'!$R$42),"")</f>
        <v/>
      </c>
      <c r="AH43" s="25" t="str">
        <f>IF(AND('[1]Mapa final'!$AB$37="Baja",'[1]Mapa final'!$AD$37="Catastrófico"),CONCATENATE("R8C",'[1]Mapa final'!$R$37),"")</f>
        <v/>
      </c>
      <c r="AI43" s="26" t="str">
        <f>IF(AND('[1]Mapa final'!$AB$38="Baja",'[1]Mapa final'!$AD$38="Catastrófico"),CONCATENATE("R8C",'[1]Mapa final'!$R$38),"")</f>
        <v/>
      </c>
      <c r="AJ43" s="26" t="str">
        <f>IF(AND('[1]Mapa final'!$AB$39="Baja",'[1]Mapa final'!$AD$39="Catastrófico"),CONCATENATE("R8C",'[1]Mapa final'!$R$39),"")</f>
        <v/>
      </c>
      <c r="AK43" s="26" t="str">
        <f>IF(AND('[1]Mapa final'!$AB$40="Baja",'[1]Mapa final'!$AD$40="Catastrófico"),CONCATENATE("R8C",'[1]Mapa final'!$R$40),"")</f>
        <v/>
      </c>
      <c r="AL43" s="26" t="str">
        <f>IF(AND('[1]Mapa final'!$AB$41="Baja",'[1]Mapa final'!$AD$41="Catastrófico"),CONCATENATE("R8C",'[1]Mapa final'!$R$41),"")</f>
        <v/>
      </c>
      <c r="AM43" s="27" t="str">
        <f>IF(AND('[1]Mapa final'!$AB$42="Baja",'[1]Mapa final'!$AD$42="Catastrófico"),CONCATENATE("R8C",'[1]Mapa final'!$R$42),"")</f>
        <v/>
      </c>
      <c r="AN43" s="53"/>
      <c r="AO43" s="616"/>
      <c r="AP43" s="617"/>
      <c r="AQ43" s="617"/>
      <c r="AR43" s="617"/>
      <c r="AS43" s="617"/>
      <c r="AT43" s="618"/>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80" ht="15" customHeight="1" x14ac:dyDescent="0.3">
      <c r="A44" s="53"/>
      <c r="B44" s="571"/>
      <c r="C44" s="571"/>
      <c r="D44" s="572"/>
      <c r="E44" s="576"/>
      <c r="F44" s="577"/>
      <c r="G44" s="577"/>
      <c r="H44" s="577"/>
      <c r="I44" s="577"/>
      <c r="J44" s="46" t="str">
        <f>IF(AND('[1]Mapa final'!$AB$43="Baja",'[1]Mapa final'!$AD$43="Leve"),CONCATENATE("R9C",'[1]Mapa final'!$R$43),"")</f>
        <v/>
      </c>
      <c r="K44" s="47" t="str">
        <f>IF(AND('[1]Mapa final'!$AB$44="Baja",'[1]Mapa final'!$AD$44="Leve"),CONCATENATE("R9C",'[1]Mapa final'!$R$44),"")</f>
        <v/>
      </c>
      <c r="L44" s="47" t="str">
        <f>IF(AND('[1]Mapa final'!$AB$45="Baja",'[1]Mapa final'!$AD$45="Leve"),CONCATENATE("R9C",'[1]Mapa final'!$R$45),"")</f>
        <v/>
      </c>
      <c r="M44" s="47" t="str">
        <f>IF(AND('[1]Mapa final'!$AB$46="Baja",'[1]Mapa final'!$AD$46="Leve"),CONCATENATE("R9C",'[1]Mapa final'!$R$46),"")</f>
        <v/>
      </c>
      <c r="N44" s="47" t="str">
        <f>IF(AND('[1]Mapa final'!$AB$47="Baja",'[1]Mapa final'!$AD$47="Leve"),CONCATENATE("R9C",'[1]Mapa final'!$R$47),"")</f>
        <v/>
      </c>
      <c r="O44" s="48" t="str">
        <f>IF(AND('[1]Mapa final'!$AB$48="Baja",'[1]Mapa final'!$AD$48="Leve"),CONCATENATE("R9C",'[1]Mapa final'!$R$48),"")</f>
        <v/>
      </c>
      <c r="P44" s="37" t="str">
        <f>IF(AND('[1]Mapa final'!$AB$43="Baja",'[1]Mapa final'!$AD$43="Menor"),CONCATENATE("R9C",'[1]Mapa final'!$R$43),"")</f>
        <v/>
      </c>
      <c r="Q44" s="38" t="str">
        <f>IF(AND('[1]Mapa final'!$AB$44="Baja",'[1]Mapa final'!$AD$44="Menor"),CONCATENATE("R9C",'[1]Mapa final'!$R$44),"")</f>
        <v/>
      </c>
      <c r="R44" s="38" t="str">
        <f>IF(AND('[1]Mapa final'!$AB$45="Baja",'[1]Mapa final'!$AD$45="Menor"),CONCATENATE("R9C",'[1]Mapa final'!$R$45),"")</f>
        <v/>
      </c>
      <c r="S44" s="38" t="str">
        <f>IF(AND('[1]Mapa final'!$AB$46="Baja",'[1]Mapa final'!$AD$46="Menor"),CONCATENATE("R9C",'[1]Mapa final'!$R$46),"")</f>
        <v/>
      </c>
      <c r="T44" s="38" t="str">
        <f>IF(AND('[1]Mapa final'!$AB$47="Baja",'[1]Mapa final'!$AD$47="Menor"),CONCATENATE("R9C",'[1]Mapa final'!$R$47),"")</f>
        <v/>
      </c>
      <c r="U44" s="39" t="str">
        <f>IF(AND('[1]Mapa final'!$AB$48="Baja",'[1]Mapa final'!$AD$48="Menor"),CONCATENATE("R9C",'[1]Mapa final'!$R$48),"")</f>
        <v/>
      </c>
      <c r="V44" s="37" t="str">
        <f>IF(AND('[1]Mapa final'!$AB$43="Baja",'[1]Mapa final'!$AD$43="Moderado"),CONCATENATE("R9C",'[1]Mapa final'!$R$43),"")</f>
        <v/>
      </c>
      <c r="W44" s="38" t="str">
        <f>IF(AND('[1]Mapa final'!$AB$44="Baja",'[1]Mapa final'!$AD$44="Moderado"),CONCATENATE("R9C",'[1]Mapa final'!$R$44),"")</f>
        <v/>
      </c>
      <c r="X44" s="38" t="str">
        <f>IF(AND('[1]Mapa final'!$AB$45="Baja",'[1]Mapa final'!$AD$45="Moderado"),CONCATENATE("R9C",'[1]Mapa final'!$R$45),"")</f>
        <v/>
      </c>
      <c r="Y44" s="38" t="str">
        <f>IF(AND('[1]Mapa final'!$AB$46="Baja",'[1]Mapa final'!$AD$46="Moderado"),CONCATENATE("R9C",'[1]Mapa final'!$R$46),"")</f>
        <v/>
      </c>
      <c r="Z44" s="38" t="str">
        <f>IF(AND('[1]Mapa final'!$AB$47="Baja",'[1]Mapa final'!$AD$47="Moderado"),CONCATENATE("R9C",'[1]Mapa final'!$R$47),"")</f>
        <v/>
      </c>
      <c r="AA44" s="39" t="str">
        <f>IF(AND('[1]Mapa final'!$AB$48="Baja",'[1]Mapa final'!$AD$48="Moderado"),CONCATENATE("R9C",'[1]Mapa final'!$R$48),"")</f>
        <v/>
      </c>
      <c r="AB44" s="22" t="str">
        <f>IF(AND('[1]Mapa final'!$AB$43="Baja",'[1]Mapa final'!$AD$43="Mayor"),CONCATENATE("R9C",'[1]Mapa final'!$R$43),"")</f>
        <v/>
      </c>
      <c r="AC44" s="23" t="str">
        <f>IF(AND('[1]Mapa final'!$AB$44="Baja",'[1]Mapa final'!$AD$44="Mayor"),CONCATENATE("R9C",'[1]Mapa final'!$R$44),"")</f>
        <v/>
      </c>
      <c r="AD44" s="23" t="str">
        <f>IF(AND('[1]Mapa final'!$AB$45="Baja",'[1]Mapa final'!$AD$45="Mayor"),CONCATENATE("R9C",'[1]Mapa final'!$R$45),"")</f>
        <v/>
      </c>
      <c r="AE44" s="23" t="str">
        <f>IF(AND('[1]Mapa final'!$AB$46="Baja",'[1]Mapa final'!$AD$46="Mayor"),CONCATENATE("R9C",'[1]Mapa final'!$R$46),"")</f>
        <v/>
      </c>
      <c r="AF44" s="23" t="str">
        <f>IF(AND('[1]Mapa final'!$AB$47="Baja",'[1]Mapa final'!$AD$47="Mayor"),CONCATENATE("R9C",'[1]Mapa final'!$R$47),"")</f>
        <v/>
      </c>
      <c r="AG44" s="24" t="str">
        <f>IF(AND('[1]Mapa final'!$AB$48="Baja",'[1]Mapa final'!$AD$48="Mayor"),CONCATENATE("R9C",'[1]Mapa final'!$R$48),"")</f>
        <v/>
      </c>
      <c r="AH44" s="25" t="str">
        <f>IF(AND('[1]Mapa final'!$AB$43="Baja",'[1]Mapa final'!$AD$43="Catastrófico"),CONCATENATE("R9C",'[1]Mapa final'!$R$43),"")</f>
        <v/>
      </c>
      <c r="AI44" s="26" t="str">
        <f>IF(AND('[1]Mapa final'!$AB$44="Baja",'[1]Mapa final'!$AD$44="Catastrófico"),CONCATENATE("R9C",'[1]Mapa final'!$R$44),"")</f>
        <v/>
      </c>
      <c r="AJ44" s="26" t="str">
        <f>IF(AND('[1]Mapa final'!$AB$45="Baja",'[1]Mapa final'!$AD$45="Catastrófico"),CONCATENATE("R9C",'[1]Mapa final'!$R$45),"")</f>
        <v/>
      </c>
      <c r="AK44" s="26" t="str">
        <f>IF(AND('[1]Mapa final'!$AB$46="Baja",'[1]Mapa final'!$AD$46="Catastrófico"),CONCATENATE("R9C",'[1]Mapa final'!$R$46),"")</f>
        <v/>
      </c>
      <c r="AL44" s="26" t="str">
        <f>IF(AND('[1]Mapa final'!$AB$47="Baja",'[1]Mapa final'!$AD$47="Catastrófico"),CONCATENATE("R9C",'[1]Mapa final'!$R$47),"")</f>
        <v/>
      </c>
      <c r="AM44" s="27" t="str">
        <f>IF(AND('[1]Mapa final'!$AB$48="Baja",'[1]Mapa final'!$AD$48="Catastrófico"),CONCATENATE("R9C",'[1]Mapa final'!$R$48),"")</f>
        <v/>
      </c>
      <c r="AN44" s="53"/>
      <c r="AO44" s="616"/>
      <c r="AP44" s="617"/>
      <c r="AQ44" s="617"/>
      <c r="AR44" s="617"/>
      <c r="AS44" s="617"/>
      <c r="AT44" s="618"/>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80" ht="15.75" customHeight="1" thickBot="1" x14ac:dyDescent="0.35">
      <c r="A45" s="53"/>
      <c r="B45" s="571"/>
      <c r="C45" s="571"/>
      <c r="D45" s="572"/>
      <c r="E45" s="579"/>
      <c r="F45" s="580"/>
      <c r="G45" s="580"/>
      <c r="H45" s="580"/>
      <c r="I45" s="580"/>
      <c r="J45" s="49" t="str">
        <f>IF(AND('[1]Mapa final'!$AB$49="Baja",'[1]Mapa final'!$AD$49="Leve"),CONCATENATE("R10C",'[1]Mapa final'!$R$49),"")</f>
        <v/>
      </c>
      <c r="K45" s="50" t="str">
        <f>IF(AND('[1]Mapa final'!$AB$50="Baja",'[1]Mapa final'!$AD$50="Leve"),CONCATENATE("R10C",'[1]Mapa final'!$R$50),"")</f>
        <v/>
      </c>
      <c r="L45" s="50" t="str">
        <f>IF(AND('[1]Mapa final'!$AB$51="Baja",'[1]Mapa final'!$AD$51="Leve"),CONCATENATE("R10C",'[1]Mapa final'!$R$51),"")</f>
        <v/>
      </c>
      <c r="M45" s="50" t="str">
        <f>IF(AND('[1]Mapa final'!$AB$52="Baja",'[1]Mapa final'!$AD$52="Leve"),CONCATENATE("R10C",'[1]Mapa final'!$R$52),"")</f>
        <v/>
      </c>
      <c r="N45" s="50" t="str">
        <f>IF(AND('[1]Mapa final'!$AB$53="Baja",'[1]Mapa final'!$AD$53="Leve"),CONCATENATE("R10C",'[1]Mapa final'!$R$53),"")</f>
        <v/>
      </c>
      <c r="O45" s="51" t="str">
        <f>IF(AND('[1]Mapa final'!$AB$54="Baja",'[1]Mapa final'!$AD$54="Leve"),CONCATENATE("R10C",'[1]Mapa final'!$R$54),"")</f>
        <v/>
      </c>
      <c r="P45" s="37" t="str">
        <f>IF(AND('[1]Mapa final'!$AB$49="Baja",'[1]Mapa final'!$AD$49="Menor"),CONCATENATE("R10C",'[1]Mapa final'!$R$49),"")</f>
        <v/>
      </c>
      <c r="Q45" s="38" t="str">
        <f>IF(AND('[1]Mapa final'!$AB$50="Baja",'[1]Mapa final'!$AD$50="Menor"),CONCATENATE("R10C",'[1]Mapa final'!$R$50),"")</f>
        <v/>
      </c>
      <c r="R45" s="38" t="str">
        <f>IF(AND('[1]Mapa final'!$AB$51="Baja",'[1]Mapa final'!$AD$51="Menor"),CONCATENATE("R10C",'[1]Mapa final'!$R$51),"")</f>
        <v/>
      </c>
      <c r="S45" s="38" t="str">
        <f>IF(AND('[1]Mapa final'!$AB$52="Baja",'[1]Mapa final'!$AD$52="Menor"),CONCATENATE("R10C",'[1]Mapa final'!$R$52),"")</f>
        <v/>
      </c>
      <c r="T45" s="38" t="str">
        <f>IF(AND('[1]Mapa final'!$AB$53="Baja",'[1]Mapa final'!$AD$53="Menor"),CONCATENATE("R10C",'[1]Mapa final'!$R$53),"")</f>
        <v/>
      </c>
      <c r="U45" s="39" t="str">
        <f>IF(AND('[1]Mapa final'!$AB$54="Baja",'[1]Mapa final'!$AD$54="Menor"),CONCATENATE("R10C",'[1]Mapa final'!$R$54),"")</f>
        <v/>
      </c>
      <c r="V45" s="40" t="str">
        <f>IF(AND('[1]Mapa final'!$AB$49="Baja",'[1]Mapa final'!$AD$49="Moderado"),CONCATENATE("R10C",'[1]Mapa final'!$R$49),"")</f>
        <v/>
      </c>
      <c r="W45" s="41" t="str">
        <f>IF(AND('[1]Mapa final'!$AB$50="Baja",'[1]Mapa final'!$AD$50="Moderado"),CONCATENATE("R10C",'[1]Mapa final'!$R$50),"")</f>
        <v/>
      </c>
      <c r="X45" s="41" t="str">
        <f>IF(AND('[1]Mapa final'!$AB$51="Baja",'[1]Mapa final'!$AD$51="Moderado"),CONCATENATE("R10C",'[1]Mapa final'!$R$51),"")</f>
        <v/>
      </c>
      <c r="Y45" s="41" t="str">
        <f>IF(AND('[1]Mapa final'!$AB$52="Baja",'[1]Mapa final'!$AD$52="Moderado"),CONCATENATE("R10C",'[1]Mapa final'!$R$52),"")</f>
        <v/>
      </c>
      <c r="Z45" s="41" t="str">
        <f>IF(AND('[1]Mapa final'!$AB$53="Baja",'[1]Mapa final'!$AD$53="Moderado"),CONCATENATE("R10C",'[1]Mapa final'!$R$53),"")</f>
        <v/>
      </c>
      <c r="AA45" s="42" t="str">
        <f>IF(AND('[1]Mapa final'!$AB$54="Baja",'[1]Mapa final'!$AD$54="Moderado"),CONCATENATE("R10C",'[1]Mapa final'!$R$54),"")</f>
        <v/>
      </c>
      <c r="AB45" s="28" t="str">
        <f>IF(AND('[1]Mapa final'!$AB$49="Baja",'[1]Mapa final'!$AD$49="Mayor"),CONCATENATE("R10C",'[1]Mapa final'!$R$49),"")</f>
        <v/>
      </c>
      <c r="AC45" s="29" t="str">
        <f>IF(AND('[1]Mapa final'!$AB$50="Baja",'[1]Mapa final'!$AD$50="Mayor"),CONCATENATE("R10C",'[1]Mapa final'!$R$50),"")</f>
        <v/>
      </c>
      <c r="AD45" s="29" t="str">
        <f>IF(AND('[1]Mapa final'!$AB$51="Baja",'[1]Mapa final'!$AD$51="Mayor"),CONCATENATE("R10C",'[1]Mapa final'!$R$51),"")</f>
        <v/>
      </c>
      <c r="AE45" s="29" t="str">
        <f>IF(AND('[1]Mapa final'!$AB$52="Baja",'[1]Mapa final'!$AD$52="Mayor"),CONCATENATE("R10C",'[1]Mapa final'!$R$52),"")</f>
        <v/>
      </c>
      <c r="AF45" s="29" t="str">
        <f>IF(AND('[1]Mapa final'!$AB$53="Baja",'[1]Mapa final'!$AD$53="Mayor"),CONCATENATE("R10C",'[1]Mapa final'!$R$53),"")</f>
        <v/>
      </c>
      <c r="AG45" s="30" t="str">
        <f>IF(AND('[1]Mapa final'!$AB$54="Baja",'[1]Mapa final'!$AD$54="Mayor"),CONCATENATE("R10C",'[1]Mapa final'!$R$54),"")</f>
        <v/>
      </c>
      <c r="AH45" s="31" t="str">
        <f>IF(AND('[1]Mapa final'!$AB$49="Baja",'[1]Mapa final'!$AD$49="Catastrófico"),CONCATENATE("R10C",'[1]Mapa final'!$R$49),"")</f>
        <v/>
      </c>
      <c r="AI45" s="32" t="str">
        <f>IF(AND('[1]Mapa final'!$AB$50="Baja",'[1]Mapa final'!$AD$50="Catastrófico"),CONCATENATE("R10C",'[1]Mapa final'!$R$50),"")</f>
        <v/>
      </c>
      <c r="AJ45" s="32" t="str">
        <f>IF(AND('[1]Mapa final'!$AB$51="Baja",'[1]Mapa final'!$AD$51="Catastrófico"),CONCATENATE("R10C",'[1]Mapa final'!$R$51),"")</f>
        <v/>
      </c>
      <c r="AK45" s="32" t="str">
        <f>IF(AND('[1]Mapa final'!$AB$52="Baja",'[1]Mapa final'!$AD$52="Catastrófico"),CONCATENATE("R10C",'[1]Mapa final'!$R$52),"")</f>
        <v/>
      </c>
      <c r="AL45" s="32" t="str">
        <f>IF(AND('[1]Mapa final'!$AB$53="Baja",'[1]Mapa final'!$AD$53="Catastrófico"),CONCATENATE("R10C",'[1]Mapa final'!$R$53),"")</f>
        <v/>
      </c>
      <c r="AM45" s="33" t="str">
        <f>IF(AND('[1]Mapa final'!$AB$54="Baja",'[1]Mapa final'!$AD$54="Catastrófico"),CONCATENATE("R10C",'[1]Mapa final'!$R$54),"")</f>
        <v/>
      </c>
      <c r="AN45" s="53"/>
      <c r="AO45" s="619"/>
      <c r="AP45" s="620"/>
      <c r="AQ45" s="620"/>
      <c r="AR45" s="620"/>
      <c r="AS45" s="620"/>
      <c r="AT45" s="621"/>
    </row>
    <row r="46" spans="1:80" ht="46.5" customHeight="1" x14ac:dyDescent="0.45">
      <c r="A46" s="53"/>
      <c r="B46" s="571"/>
      <c r="C46" s="571"/>
      <c r="D46" s="572"/>
      <c r="E46" s="573" t="s">
        <v>108</v>
      </c>
      <c r="F46" s="574"/>
      <c r="G46" s="574"/>
      <c r="H46" s="574"/>
      <c r="I46" s="575"/>
      <c r="J46" s="43" t="str">
        <f>IF(AND('[1]Mapa final'!$AB$10="Muy Baja",'[1]Mapa final'!$AD$10="Leve"),CONCATENATE("R1C",'[1]Mapa final'!$R$10),"")</f>
        <v/>
      </c>
      <c r="K46" s="44" t="str">
        <f>IF(AND('[1]Mapa final'!$AB$11="Muy Baja",'[1]Mapa final'!$AD$11="Leve"),CONCATENATE("R1C",'[1]Mapa final'!$R$11),"")</f>
        <v/>
      </c>
      <c r="L46" s="44" t="str">
        <f>IF(AND('[1]Mapa final'!$AB$12="Muy Baja",'[1]Mapa final'!$AD$12="Leve"),CONCATENATE("R1C",'[1]Mapa final'!$R$12),"")</f>
        <v/>
      </c>
      <c r="M46" s="44" t="str">
        <f>IF(AND('[1]Mapa final'!$AB$13="Muy Baja",'[1]Mapa final'!$AD$13="Leve"),CONCATENATE("R1C",'[1]Mapa final'!$R$13),"")</f>
        <v/>
      </c>
      <c r="N46" s="44" t="str">
        <f>IF(AND('[1]Mapa final'!$AB$14="Muy Baja",'[1]Mapa final'!$AD$14="Leve"),CONCATENATE("R1C",'[1]Mapa final'!$R$14),"")</f>
        <v/>
      </c>
      <c r="O46" s="45" t="e">
        <f>IF(AND('[1]Mapa final'!#REF!="Muy Baja",'[1]Mapa final'!#REF!="Leve"),CONCATENATE("R1C",'[1]Mapa final'!#REF!),"")</f>
        <v>#REF!</v>
      </c>
      <c r="P46" s="43" t="str">
        <f>IF(AND('[1]Mapa final'!$AB$10="Muy Baja",'[1]Mapa final'!$AD$10="Menor"),CONCATENATE("R1C",'[1]Mapa final'!$R$10),"")</f>
        <v/>
      </c>
      <c r="Q46" s="44" t="str">
        <f>IF(AND('[1]Mapa final'!$AB$11="Muy Baja",'[1]Mapa final'!$AD$11="Menor"),CONCATENATE("R1C",'[1]Mapa final'!$R$11),"")</f>
        <v/>
      </c>
      <c r="R46" s="44" t="str">
        <f>IF(AND('[1]Mapa final'!$AB$12="Muy Baja",'[1]Mapa final'!$AD$12="Menor"),CONCATENATE("R1C",'[1]Mapa final'!$R$12),"")</f>
        <v/>
      </c>
      <c r="S46" s="44" t="str">
        <f>IF(AND('[1]Mapa final'!$AB$13="Muy Baja",'[1]Mapa final'!$AD$13="Menor"),CONCATENATE("R1C",'[1]Mapa final'!$R$13),"")</f>
        <v/>
      </c>
      <c r="T46" s="44" t="str">
        <f>IF(AND('[1]Mapa final'!$AB$14="Muy Baja",'[1]Mapa final'!$AD$14="Menor"),CONCATENATE("R1C",'[1]Mapa final'!$R$14),"")</f>
        <v/>
      </c>
      <c r="U46" s="45" t="e">
        <f>IF(AND('[1]Mapa final'!#REF!="Muy Baja",'[1]Mapa final'!#REF!="Menor"),CONCATENATE("R1C",'[1]Mapa final'!#REF!),"")</f>
        <v>#REF!</v>
      </c>
      <c r="V46" s="34" t="str">
        <f>IF(AND('[1]Mapa final'!$AB$10="Muy Baja",'[1]Mapa final'!$AD$10="Moderado"),CONCATENATE("R1C",'[1]Mapa final'!$R$10),"")</f>
        <v/>
      </c>
      <c r="W46" s="52" t="str">
        <f>IF(AND('[1]Mapa final'!$AB$11="Muy Baja",'[1]Mapa final'!$AD$11="Moderado"),CONCATENATE("R1C",'[1]Mapa final'!$R$11),"")</f>
        <v/>
      </c>
      <c r="X46" s="35" t="str">
        <f>IF(AND('[1]Mapa final'!$AB$12="Muy Baja",'[1]Mapa final'!$AD$12="Moderado"),CONCATENATE("R1C",'[1]Mapa final'!$R$12),"")</f>
        <v/>
      </c>
      <c r="Y46" s="35" t="str">
        <f>IF(AND('[1]Mapa final'!$AB$13="Muy Baja",'[1]Mapa final'!$AD$13="Moderado"),CONCATENATE("R1C",'[1]Mapa final'!$R$13),"")</f>
        <v/>
      </c>
      <c r="Z46" s="35" t="str">
        <f>IF(AND('[1]Mapa final'!$AB$14="Muy Baja",'[1]Mapa final'!$AD$14="Moderado"),CONCATENATE("R1C",'[1]Mapa final'!$R$14),"")</f>
        <v/>
      </c>
      <c r="AA46" s="36" t="e">
        <f>IF(AND('[1]Mapa final'!#REF!="Muy Baja",'[1]Mapa final'!#REF!="Moderado"),CONCATENATE("R1C",'[1]Mapa final'!#REF!),"")</f>
        <v>#REF!</v>
      </c>
      <c r="AB46" s="16" t="str">
        <f>IF(AND('[1]Mapa final'!$AB$10="Muy Baja",'[1]Mapa final'!$AD$10="Mayor"),CONCATENATE("R1C",'[1]Mapa final'!$R$10),"")</f>
        <v/>
      </c>
      <c r="AC46" s="17" t="str">
        <f>IF(AND('[1]Mapa final'!$AB$11="Muy Baja",'[1]Mapa final'!$AD$11="Mayor"),CONCATENATE("R1C",'[1]Mapa final'!$R$11),"")</f>
        <v/>
      </c>
      <c r="AD46" s="17" t="str">
        <f>IF(AND('[1]Mapa final'!$AB$12="Muy Baja",'[1]Mapa final'!$AD$12="Mayor"),CONCATENATE("R1C",'[1]Mapa final'!$R$12),"")</f>
        <v>R1C3</v>
      </c>
      <c r="AE46" s="17" t="str">
        <f>IF(AND('[1]Mapa final'!$AB$13="Muy Baja",'[1]Mapa final'!$AD$13="Mayor"),CONCATENATE("R1C",'[1]Mapa final'!$R$13),"")</f>
        <v>R1C4</v>
      </c>
      <c r="AF46" s="17" t="str">
        <f>IF(AND('[1]Mapa final'!$AB$14="Muy Baja",'[1]Mapa final'!$AD$14="Mayor"),CONCATENATE("R1C",'[1]Mapa final'!$R$14),"")</f>
        <v>R1C5</v>
      </c>
      <c r="AG46" s="18" t="e">
        <f>IF(AND('[1]Mapa final'!#REF!="Muy Baja",'[1]Mapa final'!#REF!="Mayor"),CONCATENATE("R1C",'[1]Mapa final'!#REF!),"")</f>
        <v>#REF!</v>
      </c>
      <c r="AH46" s="19" t="str">
        <f>IF(AND('[1]Mapa final'!$AB$10="Muy Baja",'[1]Mapa final'!$AD$10="Catastrófico"),CONCATENATE("R1C",'[1]Mapa final'!$R$10),"")</f>
        <v/>
      </c>
      <c r="AI46" s="20" t="str">
        <f>IF(AND('[1]Mapa final'!$AB$11="Muy Baja",'[1]Mapa final'!$AD$11="Catastrófico"),CONCATENATE("R1C",'[1]Mapa final'!$R$11),"")</f>
        <v/>
      </c>
      <c r="AJ46" s="20" t="str">
        <f>IF(AND('[1]Mapa final'!$AB$12="Muy Baja",'[1]Mapa final'!$AD$12="Catastrófico"),CONCATENATE("R1C",'[1]Mapa final'!$R$12),"")</f>
        <v/>
      </c>
      <c r="AK46" s="20" t="str">
        <f>IF(AND('[1]Mapa final'!$AB$13="Muy Baja",'[1]Mapa final'!$AD$13="Catastrófico"),CONCATENATE("R1C",'[1]Mapa final'!$R$13),"")</f>
        <v/>
      </c>
      <c r="AL46" s="20" t="str">
        <f>IF(AND('[1]Mapa final'!$AB$14="Muy Baja",'[1]Mapa final'!$AD$14="Catastrófico"),CONCATENATE("R1C",'[1]Mapa final'!$R$14),"")</f>
        <v/>
      </c>
      <c r="AM46" s="21" t="e">
        <f>IF(AND('[1]Mapa final'!#REF!="Muy Baja",'[1]Mapa final'!#REF!="Catastrófico"),CONCATENATE("R1C",'[1]Mapa final'!#REF!),"")</f>
        <v>#REF!</v>
      </c>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ht="46.5" customHeight="1" x14ac:dyDescent="0.3">
      <c r="A47" s="53"/>
      <c r="B47" s="571"/>
      <c r="C47" s="571"/>
      <c r="D47" s="572"/>
      <c r="E47" s="594"/>
      <c r="F47" s="577"/>
      <c r="G47" s="577"/>
      <c r="H47" s="577"/>
      <c r="I47" s="578"/>
      <c r="J47" s="46" t="str">
        <f>IF(AND('[1]Mapa final'!$AB$15="Muy Baja",'[1]Mapa final'!$AD$15="Leve"),CONCATENATE("R2C",'[1]Mapa final'!$R$15),"")</f>
        <v/>
      </c>
      <c r="K47" s="47" t="str">
        <f>IF(AND('[1]Mapa final'!$AB$16="Muy Baja",'[1]Mapa final'!$AD$16="Leve"),CONCATENATE("R2C",'[1]Mapa final'!$R$16),"")</f>
        <v/>
      </c>
      <c r="L47" s="47" t="e">
        <f>IF(AND('[1]Mapa final'!#REF!="Muy Baja",'[1]Mapa final'!#REF!="Leve"),CONCATENATE("R2C",'[1]Mapa final'!$R$17),"")</f>
        <v>#REF!</v>
      </c>
      <c r="M47" s="47" t="e">
        <f>IF(AND('[1]Mapa final'!#REF!="Muy Baja",'[1]Mapa final'!#REF!="Leve"),CONCATENATE("R2C",'[1]Mapa final'!#REF!),"")</f>
        <v>#REF!</v>
      </c>
      <c r="N47" s="47" t="e">
        <f>IF(AND('[1]Mapa final'!#REF!="Muy Baja",'[1]Mapa final'!#REF!="Leve"),CONCATENATE("R2C",'[1]Mapa final'!#REF!),"")</f>
        <v>#REF!</v>
      </c>
      <c r="O47" s="48" t="e">
        <f>IF(AND('[1]Mapa final'!#REF!="Muy Baja",'[1]Mapa final'!#REF!="Leve"),CONCATENATE("R2C",'[1]Mapa final'!#REF!),"")</f>
        <v>#REF!</v>
      </c>
      <c r="P47" s="46" t="str">
        <f>IF(AND('[1]Mapa final'!$AB$15="Muy Baja",'[1]Mapa final'!$AD$15="Menor"),CONCATENATE("R2C",'[1]Mapa final'!$R$15),"")</f>
        <v/>
      </c>
      <c r="Q47" s="47" t="str">
        <f>IF(AND('[1]Mapa final'!$AB$16="Muy Baja",'[1]Mapa final'!$AD$16="Menor"),CONCATENATE("R2C",'[1]Mapa final'!$R$16),"")</f>
        <v/>
      </c>
      <c r="R47" s="47" t="e">
        <f>IF(AND('[1]Mapa final'!#REF!="Muy Baja",'[1]Mapa final'!#REF!="Menor"),CONCATENATE("R2C",'[1]Mapa final'!$R$17),"")</f>
        <v>#REF!</v>
      </c>
      <c r="S47" s="47" t="e">
        <f>IF(AND('[1]Mapa final'!#REF!="Muy Baja",'[1]Mapa final'!#REF!="Menor"),CONCATENATE("R2C",'[1]Mapa final'!#REF!),"")</f>
        <v>#REF!</v>
      </c>
      <c r="T47" s="47" t="e">
        <f>IF(AND('[1]Mapa final'!#REF!="Muy Baja",'[1]Mapa final'!#REF!="Menor"),CONCATENATE("R2C",'[1]Mapa final'!#REF!),"")</f>
        <v>#REF!</v>
      </c>
      <c r="U47" s="48" t="e">
        <f>IF(AND('[1]Mapa final'!#REF!="Muy Baja",'[1]Mapa final'!#REF!="Menor"),CONCATENATE("R2C",'[1]Mapa final'!#REF!),"")</f>
        <v>#REF!</v>
      </c>
      <c r="V47" s="37" t="str">
        <f>IF(AND('[1]Mapa final'!$AB$15="Muy Baja",'[1]Mapa final'!$AD$15="Moderado"),CONCATENATE("R2C",'[1]Mapa final'!$R$15),"")</f>
        <v/>
      </c>
      <c r="W47" s="38" t="str">
        <f>IF(AND('[1]Mapa final'!$AB$16="Muy Baja",'[1]Mapa final'!$AD$16="Moderado"),CONCATENATE("R2C",'[1]Mapa final'!$R$16),"")</f>
        <v/>
      </c>
      <c r="X47" s="38" t="e">
        <f>IF(AND('[1]Mapa final'!#REF!="Muy Baja",'[1]Mapa final'!#REF!="Moderado"),CONCATENATE("R2C",'[1]Mapa final'!$R$17),"")</f>
        <v>#REF!</v>
      </c>
      <c r="Y47" s="38" t="e">
        <f>IF(AND('[1]Mapa final'!#REF!="Muy Baja",'[1]Mapa final'!#REF!="Moderado"),CONCATENATE("R2C",'[1]Mapa final'!#REF!),"")</f>
        <v>#REF!</v>
      </c>
      <c r="Z47" s="38" t="e">
        <f>IF(AND('[1]Mapa final'!#REF!="Muy Baja",'[1]Mapa final'!#REF!="Moderado"),CONCATENATE("R2C",'[1]Mapa final'!#REF!),"")</f>
        <v>#REF!</v>
      </c>
      <c r="AA47" s="39" t="e">
        <f>IF(AND('[1]Mapa final'!#REF!="Muy Baja",'[1]Mapa final'!#REF!="Moderado"),CONCATENATE("R2C",'[1]Mapa final'!#REF!),"")</f>
        <v>#REF!</v>
      </c>
      <c r="AB47" s="22" t="str">
        <f>IF(AND('[1]Mapa final'!$AB$15="Muy Baja",'[1]Mapa final'!$AD$15="Mayor"),CONCATENATE("R2C",'[1]Mapa final'!$R$15),"")</f>
        <v/>
      </c>
      <c r="AC47" s="23" t="str">
        <f>IF(AND('[1]Mapa final'!$AB$16="Muy Baja",'[1]Mapa final'!$AD$16="Mayor"),CONCATENATE("R2C",'[1]Mapa final'!$R$16),"")</f>
        <v/>
      </c>
      <c r="AD47" s="23" t="e">
        <f>IF(AND('[1]Mapa final'!#REF!="Muy Baja",'[1]Mapa final'!#REF!="Mayor"),CONCATENATE("R2C",'[1]Mapa final'!$R$17),"")</f>
        <v>#REF!</v>
      </c>
      <c r="AE47" s="23" t="e">
        <f>IF(AND('[1]Mapa final'!#REF!="Muy Baja",'[1]Mapa final'!#REF!="Mayor"),CONCATENATE("R2C",'[1]Mapa final'!#REF!),"")</f>
        <v>#REF!</v>
      </c>
      <c r="AF47" s="23" t="e">
        <f>IF(AND('[1]Mapa final'!#REF!="Muy Baja",'[1]Mapa final'!#REF!="Mayor"),CONCATENATE("R2C",'[1]Mapa final'!#REF!),"")</f>
        <v>#REF!</v>
      </c>
      <c r="AG47" s="24" t="e">
        <f>IF(AND('[1]Mapa final'!#REF!="Muy Baja",'[1]Mapa final'!#REF!="Mayor"),CONCATENATE("R2C",'[1]Mapa final'!#REF!),"")</f>
        <v>#REF!</v>
      </c>
      <c r="AH47" s="25" t="str">
        <f>IF(AND('[1]Mapa final'!$AB$15="Muy Baja",'[1]Mapa final'!$AD$15="Catastrófico"),CONCATENATE("R2C",'[1]Mapa final'!$R$15),"")</f>
        <v/>
      </c>
      <c r="AI47" s="26" t="str">
        <f>IF(AND('[1]Mapa final'!$AB$16="Muy Baja",'[1]Mapa final'!$AD$16="Catastrófico"),CONCATENATE("R2C",'[1]Mapa final'!$R$16),"")</f>
        <v/>
      </c>
      <c r="AJ47" s="26" t="e">
        <f>IF(AND('[1]Mapa final'!#REF!="Muy Baja",'[1]Mapa final'!#REF!="Catastrófico"),CONCATENATE("R2C",'[1]Mapa final'!$R$17),"")</f>
        <v>#REF!</v>
      </c>
      <c r="AK47" s="26" t="e">
        <f>IF(AND('[1]Mapa final'!#REF!="Muy Baja",'[1]Mapa final'!#REF!="Catastrófico"),CONCATENATE("R2C",'[1]Mapa final'!#REF!),"")</f>
        <v>#REF!</v>
      </c>
      <c r="AL47" s="26" t="e">
        <f>IF(AND('[1]Mapa final'!#REF!="Muy Baja",'[1]Mapa final'!#REF!="Catastrófico"),CONCATENATE("R2C",'[1]Mapa final'!#REF!),"")</f>
        <v>#REF!</v>
      </c>
      <c r="AM47" s="27" t="e">
        <f>IF(AND('[1]Mapa final'!#REF!="Muy Baja",'[1]Mapa final'!#REF!="Catastrófico"),CONCATENATE("R2C",'[1]Mapa final'!#REF!),"")</f>
        <v>#REF!</v>
      </c>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ht="15" customHeight="1" x14ac:dyDescent="0.3">
      <c r="A48" s="53"/>
      <c r="B48" s="571"/>
      <c r="C48" s="571"/>
      <c r="D48" s="572"/>
      <c r="E48" s="594"/>
      <c r="F48" s="577"/>
      <c r="G48" s="577"/>
      <c r="H48" s="577"/>
      <c r="I48" s="578"/>
      <c r="J48" s="46" t="e">
        <f>IF(AND('[1]Mapa final'!#REF!="Muy Baja",'[1]Mapa final'!#REF!="Leve"),CONCATENATE("R3C",'[1]Mapa final'!#REF!),"")</f>
        <v>#REF!</v>
      </c>
      <c r="K48" s="47" t="e">
        <f>IF(AND('[1]Mapa final'!#REF!="Muy Baja",'[1]Mapa final'!#REF!="Leve"),CONCATENATE("R3C",'[1]Mapa final'!#REF!),"")</f>
        <v>#REF!</v>
      </c>
      <c r="L48" s="47" t="e">
        <f>IF(AND('[1]Mapa final'!#REF!="Muy Baja",'[1]Mapa final'!#REF!="Leve"),CONCATENATE("R3C",'[1]Mapa final'!#REF!),"")</f>
        <v>#REF!</v>
      </c>
      <c r="M48" s="47" t="e">
        <f>IF(AND('[1]Mapa final'!#REF!="Muy Baja",'[1]Mapa final'!#REF!="Leve"),CONCATENATE("R3C",'[1]Mapa final'!#REF!),"")</f>
        <v>#REF!</v>
      </c>
      <c r="N48" s="47" t="e">
        <f>IF(AND('[1]Mapa final'!#REF!="Muy Baja",'[1]Mapa final'!#REF!="Leve"),CONCATENATE("R3C",'[1]Mapa final'!#REF!),"")</f>
        <v>#REF!</v>
      </c>
      <c r="O48" s="48" t="e">
        <f>IF(AND('[1]Mapa final'!#REF!="Muy Baja",'[1]Mapa final'!#REF!="Leve"),CONCATENATE("R3C",'[1]Mapa final'!#REF!),"")</f>
        <v>#REF!</v>
      </c>
      <c r="P48" s="46" t="e">
        <f>IF(AND('[1]Mapa final'!#REF!="Muy Baja",'[1]Mapa final'!#REF!="Menor"),CONCATENATE("R3C",'[1]Mapa final'!#REF!),"")</f>
        <v>#REF!</v>
      </c>
      <c r="Q48" s="47" t="e">
        <f>IF(AND('[1]Mapa final'!#REF!="Muy Baja",'[1]Mapa final'!#REF!="Menor"),CONCATENATE("R3C",'[1]Mapa final'!#REF!),"")</f>
        <v>#REF!</v>
      </c>
      <c r="R48" s="47" t="e">
        <f>IF(AND('[1]Mapa final'!#REF!="Muy Baja",'[1]Mapa final'!#REF!="Menor"),CONCATENATE("R3C",'[1]Mapa final'!#REF!),"")</f>
        <v>#REF!</v>
      </c>
      <c r="S48" s="47" t="e">
        <f>IF(AND('[1]Mapa final'!#REF!="Muy Baja",'[1]Mapa final'!#REF!="Menor"),CONCATENATE("R3C",'[1]Mapa final'!#REF!),"")</f>
        <v>#REF!</v>
      </c>
      <c r="T48" s="47" t="e">
        <f>IF(AND('[1]Mapa final'!#REF!="Muy Baja",'[1]Mapa final'!#REF!="Menor"),CONCATENATE("R3C",'[1]Mapa final'!#REF!),"")</f>
        <v>#REF!</v>
      </c>
      <c r="U48" s="48" t="e">
        <f>IF(AND('[1]Mapa final'!#REF!="Muy Baja",'[1]Mapa final'!#REF!="Menor"),CONCATENATE("R3C",'[1]Mapa final'!#REF!),"")</f>
        <v>#REF!</v>
      </c>
      <c r="V48" s="37" t="e">
        <f>IF(AND('[1]Mapa final'!#REF!="Muy Baja",'[1]Mapa final'!#REF!="Moderado"),CONCATENATE("R3C",'[1]Mapa final'!#REF!),"")</f>
        <v>#REF!</v>
      </c>
      <c r="W48" s="38" t="e">
        <f>IF(AND('[1]Mapa final'!#REF!="Muy Baja",'[1]Mapa final'!#REF!="Moderado"),CONCATENATE("R3C",'[1]Mapa final'!#REF!),"")</f>
        <v>#REF!</v>
      </c>
      <c r="X48" s="38" t="e">
        <f>IF(AND('[1]Mapa final'!#REF!="Muy Baja",'[1]Mapa final'!#REF!="Moderado"),CONCATENATE("R3C",'[1]Mapa final'!#REF!),"")</f>
        <v>#REF!</v>
      </c>
      <c r="Y48" s="38" t="e">
        <f>IF(AND('[1]Mapa final'!#REF!="Muy Baja",'[1]Mapa final'!#REF!="Moderado"),CONCATENATE("R3C",'[1]Mapa final'!#REF!),"")</f>
        <v>#REF!</v>
      </c>
      <c r="Z48" s="38" t="e">
        <f>IF(AND('[1]Mapa final'!#REF!="Muy Baja",'[1]Mapa final'!#REF!="Moderado"),CONCATENATE("R3C",'[1]Mapa final'!#REF!),"")</f>
        <v>#REF!</v>
      </c>
      <c r="AA48" s="39" t="e">
        <f>IF(AND('[1]Mapa final'!#REF!="Muy Baja",'[1]Mapa final'!#REF!="Moderado"),CONCATENATE("R3C",'[1]Mapa final'!#REF!),"")</f>
        <v>#REF!</v>
      </c>
      <c r="AB48" s="22" t="e">
        <f>IF(AND('[1]Mapa final'!#REF!="Muy Baja",'[1]Mapa final'!#REF!="Mayor"),CONCATENATE("R3C",'[1]Mapa final'!#REF!),"")</f>
        <v>#REF!</v>
      </c>
      <c r="AC48" s="23" t="e">
        <f>IF(AND('[1]Mapa final'!#REF!="Muy Baja",'[1]Mapa final'!#REF!="Mayor"),CONCATENATE("R3C",'[1]Mapa final'!#REF!),"")</f>
        <v>#REF!</v>
      </c>
      <c r="AD48" s="23" t="e">
        <f>IF(AND('[1]Mapa final'!#REF!="Muy Baja",'[1]Mapa final'!#REF!="Mayor"),CONCATENATE("R3C",'[1]Mapa final'!#REF!),"")</f>
        <v>#REF!</v>
      </c>
      <c r="AE48" s="23" t="e">
        <f>IF(AND('[1]Mapa final'!#REF!="Muy Baja",'[1]Mapa final'!#REF!="Mayor"),CONCATENATE("R3C",'[1]Mapa final'!#REF!),"")</f>
        <v>#REF!</v>
      </c>
      <c r="AF48" s="23" t="e">
        <f>IF(AND('[1]Mapa final'!#REF!="Muy Baja",'[1]Mapa final'!#REF!="Mayor"),CONCATENATE("R3C",'[1]Mapa final'!#REF!),"")</f>
        <v>#REF!</v>
      </c>
      <c r="AG48" s="24" t="e">
        <f>IF(AND('[1]Mapa final'!#REF!="Muy Baja",'[1]Mapa final'!#REF!="Mayor"),CONCATENATE("R3C",'[1]Mapa final'!#REF!),"")</f>
        <v>#REF!</v>
      </c>
      <c r="AH48" s="25" t="e">
        <f>IF(AND('[1]Mapa final'!#REF!="Muy Baja",'[1]Mapa final'!#REF!="Catastrófico"),CONCATENATE("R3C",'[1]Mapa final'!#REF!),"")</f>
        <v>#REF!</v>
      </c>
      <c r="AI48" s="26" t="e">
        <f>IF(AND('[1]Mapa final'!#REF!="Muy Baja",'[1]Mapa final'!#REF!="Catastrófico"),CONCATENATE("R3C",'[1]Mapa final'!#REF!),"")</f>
        <v>#REF!</v>
      </c>
      <c r="AJ48" s="26" t="e">
        <f>IF(AND('[1]Mapa final'!#REF!="Muy Baja",'[1]Mapa final'!#REF!="Catastrófico"),CONCATENATE("R3C",'[1]Mapa final'!#REF!),"")</f>
        <v>#REF!</v>
      </c>
      <c r="AK48" s="26" t="e">
        <f>IF(AND('[1]Mapa final'!#REF!="Muy Baja",'[1]Mapa final'!#REF!="Catastrófico"),CONCATENATE("R3C",'[1]Mapa final'!#REF!),"")</f>
        <v>#REF!</v>
      </c>
      <c r="AL48" s="26" t="e">
        <f>IF(AND('[1]Mapa final'!#REF!="Muy Baja",'[1]Mapa final'!#REF!="Catastrófico"),CONCATENATE("R3C",'[1]Mapa final'!#REF!),"")</f>
        <v>#REF!</v>
      </c>
      <c r="AM48" s="27" t="e">
        <f>IF(AND('[1]Mapa final'!#REF!="Muy Baja",'[1]Mapa final'!#REF!="Catastrófico"),CONCATENATE("R3C",'[1]Mapa final'!#REF!),"")</f>
        <v>#REF!</v>
      </c>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ht="15" customHeight="1" x14ac:dyDescent="0.3">
      <c r="A49" s="53"/>
      <c r="B49" s="571"/>
      <c r="C49" s="571"/>
      <c r="D49" s="572"/>
      <c r="E49" s="576"/>
      <c r="F49" s="577"/>
      <c r="G49" s="577"/>
      <c r="H49" s="577"/>
      <c r="I49" s="578"/>
      <c r="J49" s="46" t="e">
        <f>IF(AND('[1]Mapa final'!#REF!="Muy Baja",'[1]Mapa final'!#REF!="Leve"),CONCATENATE("R4C",'[1]Mapa final'!#REF!),"")</f>
        <v>#REF!</v>
      </c>
      <c r="K49" s="47" t="e">
        <f>IF(AND('[1]Mapa final'!#REF!="Muy Baja",'[1]Mapa final'!#REF!="Leve"),CONCATENATE("R4C",'[1]Mapa final'!#REF!),"")</f>
        <v>#REF!</v>
      </c>
      <c r="L49" s="47" t="e">
        <f>IF(AND('[1]Mapa final'!#REF!="Muy Baja",'[1]Mapa final'!#REF!="Leve"),CONCATENATE("R4C",'[1]Mapa final'!#REF!),"")</f>
        <v>#REF!</v>
      </c>
      <c r="M49" s="47" t="e">
        <f>IF(AND('[1]Mapa final'!#REF!="Muy Baja",'[1]Mapa final'!#REF!="Leve"),CONCATENATE("R4C",'[1]Mapa final'!#REF!),"")</f>
        <v>#REF!</v>
      </c>
      <c r="N49" s="47" t="e">
        <f>IF(AND('[1]Mapa final'!#REF!="Muy Baja",'[1]Mapa final'!#REF!="Leve"),CONCATENATE("R4C",'[1]Mapa final'!#REF!),"")</f>
        <v>#REF!</v>
      </c>
      <c r="O49" s="48" t="e">
        <f>IF(AND('[1]Mapa final'!#REF!="Muy Baja",'[1]Mapa final'!#REF!="Leve"),CONCATENATE("R4C",'[1]Mapa final'!#REF!),"")</f>
        <v>#REF!</v>
      </c>
      <c r="P49" s="46" t="e">
        <f>IF(AND('[1]Mapa final'!#REF!="Muy Baja",'[1]Mapa final'!#REF!="Menor"),CONCATENATE("R4C",'[1]Mapa final'!#REF!),"")</f>
        <v>#REF!</v>
      </c>
      <c r="Q49" s="47" t="e">
        <f>IF(AND('[1]Mapa final'!#REF!="Muy Baja",'[1]Mapa final'!#REF!="Menor"),CONCATENATE("R4C",'[1]Mapa final'!#REF!),"")</f>
        <v>#REF!</v>
      </c>
      <c r="R49" s="47" t="e">
        <f>IF(AND('[1]Mapa final'!#REF!="Muy Baja",'[1]Mapa final'!#REF!="Menor"),CONCATENATE("R4C",'[1]Mapa final'!#REF!),"")</f>
        <v>#REF!</v>
      </c>
      <c r="S49" s="47" t="e">
        <f>IF(AND('[1]Mapa final'!#REF!="Muy Baja",'[1]Mapa final'!#REF!="Menor"),CONCATENATE("R4C",'[1]Mapa final'!#REF!),"")</f>
        <v>#REF!</v>
      </c>
      <c r="T49" s="47" t="e">
        <f>IF(AND('[1]Mapa final'!#REF!="Muy Baja",'[1]Mapa final'!#REF!="Menor"),CONCATENATE("R4C",'[1]Mapa final'!#REF!),"")</f>
        <v>#REF!</v>
      </c>
      <c r="U49" s="48" t="e">
        <f>IF(AND('[1]Mapa final'!#REF!="Muy Baja",'[1]Mapa final'!#REF!="Menor"),CONCATENATE("R4C",'[1]Mapa final'!#REF!),"")</f>
        <v>#REF!</v>
      </c>
      <c r="V49" s="37" t="e">
        <f>IF(AND('[1]Mapa final'!#REF!="Muy Baja",'[1]Mapa final'!#REF!="Moderado"),CONCATENATE("R4C",'[1]Mapa final'!#REF!),"")</f>
        <v>#REF!</v>
      </c>
      <c r="W49" s="38" t="e">
        <f>IF(AND('[1]Mapa final'!#REF!="Muy Baja",'[1]Mapa final'!#REF!="Moderado"),CONCATENATE("R4C",'[1]Mapa final'!#REF!),"")</f>
        <v>#REF!</v>
      </c>
      <c r="X49" s="38" t="e">
        <f>IF(AND('[1]Mapa final'!#REF!="Muy Baja",'[1]Mapa final'!#REF!="Moderado"),CONCATENATE("R4C",'[1]Mapa final'!#REF!),"")</f>
        <v>#REF!</v>
      </c>
      <c r="Y49" s="38" t="e">
        <f>IF(AND('[1]Mapa final'!#REF!="Muy Baja",'[1]Mapa final'!#REF!="Moderado"),CONCATENATE("R4C",'[1]Mapa final'!#REF!),"")</f>
        <v>#REF!</v>
      </c>
      <c r="Z49" s="38" t="e">
        <f>IF(AND('[1]Mapa final'!#REF!="Muy Baja",'[1]Mapa final'!#REF!="Moderado"),CONCATENATE("R4C",'[1]Mapa final'!#REF!),"")</f>
        <v>#REF!</v>
      </c>
      <c r="AA49" s="39" t="e">
        <f>IF(AND('[1]Mapa final'!#REF!="Muy Baja",'[1]Mapa final'!#REF!="Moderado"),CONCATENATE("R4C",'[1]Mapa final'!#REF!),"")</f>
        <v>#REF!</v>
      </c>
      <c r="AB49" s="22" t="e">
        <f>IF(AND('[1]Mapa final'!#REF!="Muy Baja",'[1]Mapa final'!#REF!="Mayor"),CONCATENATE("R4C",'[1]Mapa final'!#REF!),"")</f>
        <v>#REF!</v>
      </c>
      <c r="AC49" s="23" t="e">
        <f>IF(AND('[1]Mapa final'!#REF!="Muy Baja",'[1]Mapa final'!#REF!="Mayor"),CONCATENATE("R4C",'[1]Mapa final'!#REF!),"")</f>
        <v>#REF!</v>
      </c>
      <c r="AD49" s="23" t="e">
        <f>IF(AND('[1]Mapa final'!#REF!="Muy Baja",'[1]Mapa final'!#REF!="Mayor"),CONCATENATE("R4C",'[1]Mapa final'!#REF!),"")</f>
        <v>#REF!</v>
      </c>
      <c r="AE49" s="23" t="e">
        <f>IF(AND('[1]Mapa final'!#REF!="Muy Baja",'[1]Mapa final'!#REF!="Mayor"),CONCATENATE("R4C",'[1]Mapa final'!#REF!),"")</f>
        <v>#REF!</v>
      </c>
      <c r="AF49" s="23" t="e">
        <f>IF(AND('[1]Mapa final'!#REF!="Muy Baja",'[1]Mapa final'!#REF!="Mayor"),CONCATENATE("R4C",'[1]Mapa final'!#REF!),"")</f>
        <v>#REF!</v>
      </c>
      <c r="AG49" s="24" t="e">
        <f>IF(AND('[1]Mapa final'!#REF!="Muy Baja",'[1]Mapa final'!#REF!="Mayor"),CONCATENATE("R4C",'[1]Mapa final'!#REF!),"")</f>
        <v>#REF!</v>
      </c>
      <c r="AH49" s="25" t="e">
        <f>IF(AND('[1]Mapa final'!#REF!="Muy Baja",'[1]Mapa final'!#REF!="Catastrófico"),CONCATENATE("R4C",'[1]Mapa final'!#REF!),"")</f>
        <v>#REF!</v>
      </c>
      <c r="AI49" s="26" t="e">
        <f>IF(AND('[1]Mapa final'!#REF!="Muy Baja",'[1]Mapa final'!#REF!="Catastrófico"),CONCATENATE("R4C",'[1]Mapa final'!#REF!),"")</f>
        <v>#REF!</v>
      </c>
      <c r="AJ49" s="26" t="e">
        <f>IF(AND('[1]Mapa final'!#REF!="Muy Baja",'[1]Mapa final'!#REF!="Catastrófico"),CONCATENATE("R4C",'[1]Mapa final'!#REF!),"")</f>
        <v>#REF!</v>
      </c>
      <c r="AK49" s="26" t="e">
        <f>IF(AND('[1]Mapa final'!#REF!="Muy Baja",'[1]Mapa final'!#REF!="Catastrófico"),CONCATENATE("R4C",'[1]Mapa final'!#REF!),"")</f>
        <v>#REF!</v>
      </c>
      <c r="AL49" s="26" t="e">
        <f>IF(AND('[1]Mapa final'!#REF!="Muy Baja",'[1]Mapa final'!#REF!="Catastrófico"),CONCATENATE("R4C",'[1]Mapa final'!#REF!),"")</f>
        <v>#REF!</v>
      </c>
      <c r="AM49" s="27" t="e">
        <f>IF(AND('[1]Mapa final'!#REF!="Muy Baja",'[1]Mapa final'!#REF!="Catastrófico"),CONCATENATE("R4C",'[1]Mapa final'!#REF!),"")</f>
        <v>#REF!</v>
      </c>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ht="15" customHeight="1" x14ac:dyDescent="0.3">
      <c r="A50" s="53"/>
      <c r="B50" s="571"/>
      <c r="C50" s="571"/>
      <c r="D50" s="572"/>
      <c r="E50" s="576"/>
      <c r="F50" s="577"/>
      <c r="G50" s="577"/>
      <c r="H50" s="577"/>
      <c r="I50" s="578"/>
      <c r="J50" s="46" t="str">
        <f>IF(AND('[1]Mapa final'!$AB$19="Muy Baja",'[1]Mapa final'!$AD$19="Leve"),CONCATENATE("R5C",'[1]Mapa final'!$R$19),"")</f>
        <v/>
      </c>
      <c r="K50" s="47" t="str">
        <f>IF(AND('[1]Mapa final'!$AB$20="Muy Baja",'[1]Mapa final'!$AD$20="Leve"),CONCATENATE("R5C",'[1]Mapa final'!$R$20),"")</f>
        <v/>
      </c>
      <c r="L50" s="47" t="str">
        <f>IF(AND('[1]Mapa final'!$AB$21="Muy Baja",'[1]Mapa final'!$AD$21="Leve"),CONCATENATE("R5C",'[1]Mapa final'!$R$21),"")</f>
        <v/>
      </c>
      <c r="M50" s="47" t="str">
        <f>IF(AND('[1]Mapa final'!$AB$22="Muy Baja",'[1]Mapa final'!$AD$22="Leve"),CONCATENATE("R5C",'[1]Mapa final'!$R$22),"")</f>
        <v/>
      </c>
      <c r="N50" s="47" t="str">
        <f>IF(AND('[1]Mapa final'!$AB$23="Muy Baja",'[1]Mapa final'!$AD$23="Leve"),CONCATENATE("R5C",'[1]Mapa final'!$R$23),"")</f>
        <v/>
      </c>
      <c r="O50" s="48" t="str">
        <f>IF(AND('[1]Mapa final'!$AB$24="Muy Baja",'[1]Mapa final'!$AD$24="Leve"),CONCATENATE("R5C",'[1]Mapa final'!$R$24),"")</f>
        <v/>
      </c>
      <c r="P50" s="46" t="str">
        <f>IF(AND('[1]Mapa final'!$AB$19="Muy Baja",'[1]Mapa final'!$AD$19="Menor"),CONCATENATE("R5C",'[1]Mapa final'!$R$19),"")</f>
        <v/>
      </c>
      <c r="Q50" s="47" t="str">
        <f>IF(AND('[1]Mapa final'!$AB$20="Muy Baja",'[1]Mapa final'!$AD$20="Menor"),CONCATENATE("R5C",'[1]Mapa final'!$R$20),"")</f>
        <v/>
      </c>
      <c r="R50" s="47" t="str">
        <f>IF(AND('[1]Mapa final'!$AB$21="Muy Baja",'[1]Mapa final'!$AD$21="Menor"),CONCATENATE("R5C",'[1]Mapa final'!$R$21),"")</f>
        <v/>
      </c>
      <c r="S50" s="47" t="str">
        <f>IF(AND('[1]Mapa final'!$AB$22="Muy Baja",'[1]Mapa final'!$AD$22="Menor"),CONCATENATE("R5C",'[1]Mapa final'!$R$22),"")</f>
        <v/>
      </c>
      <c r="T50" s="47" t="str">
        <f>IF(AND('[1]Mapa final'!$AB$23="Muy Baja",'[1]Mapa final'!$AD$23="Menor"),CONCATENATE("R5C",'[1]Mapa final'!$R$23),"")</f>
        <v/>
      </c>
      <c r="U50" s="48" t="str">
        <f>IF(AND('[1]Mapa final'!$AB$24="Muy Baja",'[1]Mapa final'!$AD$24="Menor"),CONCATENATE("R5C",'[1]Mapa final'!$R$24),"")</f>
        <v/>
      </c>
      <c r="V50" s="37" t="str">
        <f>IF(AND('[1]Mapa final'!$AB$19="Muy Baja",'[1]Mapa final'!$AD$19="Moderado"),CONCATENATE("R5C",'[1]Mapa final'!$R$19),"")</f>
        <v/>
      </c>
      <c r="W50" s="38" t="str">
        <f>IF(AND('[1]Mapa final'!$AB$20="Muy Baja",'[1]Mapa final'!$AD$20="Moderado"),CONCATENATE("R5C",'[1]Mapa final'!$R$20),"")</f>
        <v/>
      </c>
      <c r="X50" s="38" t="str">
        <f>IF(AND('[1]Mapa final'!$AB$21="Muy Baja",'[1]Mapa final'!$AD$21="Moderado"),CONCATENATE("R5C",'[1]Mapa final'!$R$21),"")</f>
        <v/>
      </c>
      <c r="Y50" s="38" t="str">
        <f>IF(AND('[1]Mapa final'!$AB$22="Muy Baja",'[1]Mapa final'!$AD$22="Moderado"),CONCATENATE("R5C",'[1]Mapa final'!$R$22),"")</f>
        <v/>
      </c>
      <c r="Z50" s="38" t="str">
        <f>IF(AND('[1]Mapa final'!$AB$23="Muy Baja",'[1]Mapa final'!$AD$23="Moderado"),CONCATENATE("R5C",'[1]Mapa final'!$R$23),"")</f>
        <v/>
      </c>
      <c r="AA50" s="39" t="str">
        <f>IF(AND('[1]Mapa final'!$AB$24="Muy Baja",'[1]Mapa final'!$AD$24="Moderado"),CONCATENATE("R5C",'[1]Mapa final'!$R$24),"")</f>
        <v/>
      </c>
      <c r="AB50" s="22" t="str">
        <f>IF(AND('[1]Mapa final'!$AB$19="Muy Baja",'[1]Mapa final'!$AD$19="Mayor"),CONCATENATE("R5C",'[1]Mapa final'!$R$19),"")</f>
        <v/>
      </c>
      <c r="AC50" s="23" t="str">
        <f>IF(AND('[1]Mapa final'!$AB$20="Muy Baja",'[1]Mapa final'!$AD$20="Mayor"),CONCATENATE("R5C",'[1]Mapa final'!$R$20),"")</f>
        <v/>
      </c>
      <c r="AD50" s="23" t="str">
        <f>IF(AND('[1]Mapa final'!$AB$21="Muy Baja",'[1]Mapa final'!$AD$21="Mayor"),CONCATENATE("R5C",'[1]Mapa final'!$R$21),"")</f>
        <v/>
      </c>
      <c r="AE50" s="23" t="str">
        <f>IF(AND('[1]Mapa final'!$AB$22="Muy Baja",'[1]Mapa final'!$AD$22="Mayor"),CONCATENATE("R5C",'[1]Mapa final'!$R$22),"")</f>
        <v/>
      </c>
      <c r="AF50" s="23" t="str">
        <f>IF(AND('[1]Mapa final'!$AB$23="Muy Baja",'[1]Mapa final'!$AD$23="Mayor"),CONCATENATE("R5C",'[1]Mapa final'!$R$23),"")</f>
        <v/>
      </c>
      <c r="AG50" s="24" t="str">
        <f>IF(AND('[1]Mapa final'!$AB$24="Muy Baja",'[1]Mapa final'!$AD$24="Mayor"),CONCATENATE("R5C",'[1]Mapa final'!$R$24),"")</f>
        <v/>
      </c>
      <c r="AH50" s="25" t="str">
        <f>IF(AND('[1]Mapa final'!$AB$19="Muy Baja",'[1]Mapa final'!$AD$19="Catastrófico"),CONCATENATE("R5C",'[1]Mapa final'!$R$19),"")</f>
        <v/>
      </c>
      <c r="AI50" s="26" t="str">
        <f>IF(AND('[1]Mapa final'!$AB$20="Muy Baja",'[1]Mapa final'!$AD$20="Catastrófico"),CONCATENATE("R5C",'[1]Mapa final'!$R$20),"")</f>
        <v/>
      </c>
      <c r="AJ50" s="26" t="str">
        <f>IF(AND('[1]Mapa final'!$AB$21="Muy Baja",'[1]Mapa final'!$AD$21="Catastrófico"),CONCATENATE("R5C",'[1]Mapa final'!$R$21),"")</f>
        <v/>
      </c>
      <c r="AK50" s="26" t="str">
        <f>IF(AND('[1]Mapa final'!$AB$22="Muy Baja",'[1]Mapa final'!$AD$22="Catastrófico"),CONCATENATE("R5C",'[1]Mapa final'!$R$22),"")</f>
        <v/>
      </c>
      <c r="AL50" s="26" t="str">
        <f>IF(AND('[1]Mapa final'!$AB$23="Muy Baja",'[1]Mapa final'!$AD$23="Catastrófico"),CONCATENATE("R5C",'[1]Mapa final'!$R$23),"")</f>
        <v/>
      </c>
      <c r="AM50" s="27" t="str">
        <f>IF(AND('[1]Mapa final'!$AB$24="Muy Baja",'[1]Mapa final'!$AD$24="Catastrófico"),CONCATENATE("R5C",'[1]Mapa final'!$R$24),"")</f>
        <v/>
      </c>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customHeight="1" x14ac:dyDescent="0.3">
      <c r="A51" s="53"/>
      <c r="B51" s="571"/>
      <c r="C51" s="571"/>
      <c r="D51" s="572"/>
      <c r="E51" s="576"/>
      <c r="F51" s="577"/>
      <c r="G51" s="577"/>
      <c r="H51" s="577"/>
      <c r="I51" s="578"/>
      <c r="J51" s="46" t="str">
        <f>IF(AND('[1]Mapa final'!$AB$25="Muy Baja",'[1]Mapa final'!$AD$25="Leve"),CONCATENATE("R6C",'[1]Mapa final'!$R$25),"")</f>
        <v/>
      </c>
      <c r="K51" s="47" t="str">
        <f>IF(AND('[1]Mapa final'!$AB$26="Muy Baja",'[1]Mapa final'!$AD$26="Leve"),CONCATENATE("R6C",'[1]Mapa final'!$R$26),"")</f>
        <v/>
      </c>
      <c r="L51" s="47" t="str">
        <f>IF(AND('[1]Mapa final'!$AB$27="Muy Baja",'[1]Mapa final'!$AD$27="Leve"),CONCATENATE("R6C",'[1]Mapa final'!$R$27),"")</f>
        <v/>
      </c>
      <c r="M51" s="47" t="str">
        <f>IF(AND('[1]Mapa final'!$AB$28="Muy Baja",'[1]Mapa final'!$AD$28="Leve"),CONCATENATE("R6C",'[1]Mapa final'!$R$28),"")</f>
        <v/>
      </c>
      <c r="N51" s="47" t="str">
        <f>IF(AND('[1]Mapa final'!$AB$29="Muy Baja",'[1]Mapa final'!$AD$29="Leve"),CONCATENATE("R6C",'[1]Mapa final'!$R$29),"")</f>
        <v/>
      </c>
      <c r="O51" s="48" t="str">
        <f>IF(AND('[1]Mapa final'!$AB$30="Muy Baja",'[1]Mapa final'!$AD$30="Leve"),CONCATENATE("R6C",'[1]Mapa final'!$R$30),"")</f>
        <v/>
      </c>
      <c r="P51" s="46" t="str">
        <f>IF(AND('[1]Mapa final'!$AB$25="Muy Baja",'[1]Mapa final'!$AD$25="Menor"),CONCATENATE("R6C",'[1]Mapa final'!$R$25),"")</f>
        <v/>
      </c>
      <c r="Q51" s="47" t="str">
        <f>IF(AND('[1]Mapa final'!$AB$26="Muy Baja",'[1]Mapa final'!$AD$26="Menor"),CONCATENATE("R6C",'[1]Mapa final'!$R$26),"")</f>
        <v/>
      </c>
      <c r="R51" s="47" t="str">
        <f>IF(AND('[1]Mapa final'!$AB$27="Muy Baja",'[1]Mapa final'!$AD$27="Menor"),CONCATENATE("R6C",'[1]Mapa final'!$R$27),"")</f>
        <v/>
      </c>
      <c r="S51" s="47" t="str">
        <f>IF(AND('[1]Mapa final'!$AB$28="Muy Baja",'[1]Mapa final'!$AD$28="Menor"),CONCATENATE("R6C",'[1]Mapa final'!$R$28),"")</f>
        <v/>
      </c>
      <c r="T51" s="47" t="str">
        <f>IF(AND('[1]Mapa final'!$AB$29="Muy Baja",'[1]Mapa final'!$AD$29="Menor"),CONCATENATE("R6C",'[1]Mapa final'!$R$29),"")</f>
        <v/>
      </c>
      <c r="U51" s="48" t="str">
        <f>IF(AND('[1]Mapa final'!$AB$30="Muy Baja",'[1]Mapa final'!$AD$30="Menor"),CONCATENATE("R6C",'[1]Mapa final'!$R$30),"")</f>
        <v/>
      </c>
      <c r="V51" s="37" t="str">
        <f>IF(AND('[1]Mapa final'!$AB$25="Muy Baja",'[1]Mapa final'!$AD$25="Moderado"),CONCATENATE("R6C",'[1]Mapa final'!$R$25),"")</f>
        <v/>
      </c>
      <c r="W51" s="38" t="str">
        <f>IF(AND('[1]Mapa final'!$AB$26="Muy Baja",'[1]Mapa final'!$AD$26="Moderado"),CONCATENATE("R6C",'[1]Mapa final'!$R$26),"")</f>
        <v/>
      </c>
      <c r="X51" s="38" t="str">
        <f>IF(AND('[1]Mapa final'!$AB$27="Muy Baja",'[1]Mapa final'!$AD$27="Moderado"),CONCATENATE("R6C",'[1]Mapa final'!$R$27),"")</f>
        <v/>
      </c>
      <c r="Y51" s="38" t="str">
        <f>IF(AND('[1]Mapa final'!$AB$28="Muy Baja",'[1]Mapa final'!$AD$28="Moderado"),CONCATENATE("R6C",'[1]Mapa final'!$R$28),"")</f>
        <v/>
      </c>
      <c r="Z51" s="38" t="str">
        <f>IF(AND('[1]Mapa final'!$AB$29="Muy Baja",'[1]Mapa final'!$AD$29="Moderado"),CONCATENATE("R6C",'[1]Mapa final'!$R$29),"")</f>
        <v/>
      </c>
      <c r="AA51" s="39" t="str">
        <f>IF(AND('[1]Mapa final'!$AB$30="Muy Baja",'[1]Mapa final'!$AD$30="Moderado"),CONCATENATE("R6C",'[1]Mapa final'!$R$30),"")</f>
        <v/>
      </c>
      <c r="AB51" s="22" t="str">
        <f>IF(AND('[1]Mapa final'!$AB$25="Muy Baja",'[1]Mapa final'!$AD$25="Mayor"),CONCATENATE("R6C",'[1]Mapa final'!$R$25),"")</f>
        <v/>
      </c>
      <c r="AC51" s="23" t="str">
        <f>IF(AND('[1]Mapa final'!$AB$26="Muy Baja",'[1]Mapa final'!$AD$26="Mayor"),CONCATENATE("R6C",'[1]Mapa final'!$R$26),"")</f>
        <v/>
      </c>
      <c r="AD51" s="23" t="str">
        <f>IF(AND('[1]Mapa final'!$AB$27="Muy Baja",'[1]Mapa final'!$AD$27="Mayor"),CONCATENATE("R6C",'[1]Mapa final'!$R$27),"")</f>
        <v/>
      </c>
      <c r="AE51" s="23" t="str">
        <f>IF(AND('[1]Mapa final'!$AB$28="Muy Baja",'[1]Mapa final'!$AD$28="Mayor"),CONCATENATE("R6C",'[1]Mapa final'!$R$28),"")</f>
        <v/>
      </c>
      <c r="AF51" s="23" t="str">
        <f>IF(AND('[1]Mapa final'!$AB$29="Muy Baja",'[1]Mapa final'!$AD$29="Mayor"),CONCATENATE("R6C",'[1]Mapa final'!$R$29),"")</f>
        <v/>
      </c>
      <c r="AG51" s="24" t="str">
        <f>IF(AND('[1]Mapa final'!$AB$30="Muy Baja",'[1]Mapa final'!$AD$30="Mayor"),CONCATENATE("R6C",'[1]Mapa final'!$R$30),"")</f>
        <v/>
      </c>
      <c r="AH51" s="25" t="str">
        <f>IF(AND('[1]Mapa final'!$AB$25="Muy Baja",'[1]Mapa final'!$AD$25="Catastrófico"),CONCATENATE("R6C",'[1]Mapa final'!$R$25),"")</f>
        <v/>
      </c>
      <c r="AI51" s="26" t="str">
        <f>IF(AND('[1]Mapa final'!$AB$26="Muy Baja",'[1]Mapa final'!$AD$26="Catastrófico"),CONCATENATE("R6C",'[1]Mapa final'!$R$26),"")</f>
        <v/>
      </c>
      <c r="AJ51" s="26" t="str">
        <f>IF(AND('[1]Mapa final'!$AB$27="Muy Baja",'[1]Mapa final'!$AD$27="Catastrófico"),CONCATENATE("R6C",'[1]Mapa final'!$R$27),"")</f>
        <v/>
      </c>
      <c r="AK51" s="26" t="str">
        <f>IF(AND('[1]Mapa final'!$AB$28="Muy Baja",'[1]Mapa final'!$AD$28="Catastrófico"),CONCATENATE("R6C",'[1]Mapa final'!$R$28),"")</f>
        <v/>
      </c>
      <c r="AL51" s="26" t="str">
        <f>IF(AND('[1]Mapa final'!$AB$29="Muy Baja",'[1]Mapa final'!$AD$29="Catastrófico"),CONCATENATE("R6C",'[1]Mapa final'!$R$29),"")</f>
        <v/>
      </c>
      <c r="AM51" s="27" t="str">
        <f>IF(AND('[1]Mapa final'!$AB$30="Muy Baja",'[1]Mapa final'!$AD$30="Catastrófico"),CONCATENATE("R6C",'[1]Mapa final'!$R$30),"")</f>
        <v/>
      </c>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ht="15" customHeight="1" x14ac:dyDescent="0.3">
      <c r="A52" s="53"/>
      <c r="B52" s="571"/>
      <c r="C52" s="571"/>
      <c r="D52" s="572"/>
      <c r="E52" s="576"/>
      <c r="F52" s="577"/>
      <c r="G52" s="577"/>
      <c r="H52" s="577"/>
      <c r="I52" s="578"/>
      <c r="J52" s="46" t="str">
        <f>IF(AND('[1]Mapa final'!$AB$31="Muy Baja",'[1]Mapa final'!$AD$31="Leve"),CONCATENATE("R7C",'[1]Mapa final'!$R$31),"")</f>
        <v/>
      </c>
      <c r="K52" s="47" t="str">
        <f>IF(AND('[1]Mapa final'!$AB$32="Muy Baja",'[1]Mapa final'!$AD$32="Leve"),CONCATENATE("R7C",'[1]Mapa final'!$R$32),"")</f>
        <v/>
      </c>
      <c r="L52" s="47" t="str">
        <f>IF(AND('[1]Mapa final'!$AB$33="Muy Baja",'[1]Mapa final'!$AD$33="Leve"),CONCATENATE("R7C",'[1]Mapa final'!$R$33),"")</f>
        <v/>
      </c>
      <c r="M52" s="47" t="str">
        <f>IF(AND('[1]Mapa final'!$AB$34="Muy Baja",'[1]Mapa final'!$AD$34="Leve"),CONCATENATE("R7C",'[1]Mapa final'!$R$34),"")</f>
        <v/>
      </c>
      <c r="N52" s="47" t="str">
        <f>IF(AND('[1]Mapa final'!$AB$35="Muy Baja",'[1]Mapa final'!$AD$35="Leve"),CONCATENATE("R7C",'[1]Mapa final'!$R$35),"")</f>
        <v/>
      </c>
      <c r="O52" s="48" t="str">
        <f>IF(AND('[1]Mapa final'!$AB$36="Muy Baja",'[1]Mapa final'!$AD$36="Leve"),CONCATENATE("R7C",'[1]Mapa final'!$R$36),"")</f>
        <v/>
      </c>
      <c r="P52" s="46" t="str">
        <f>IF(AND('[1]Mapa final'!$AB$31="Muy Baja",'[1]Mapa final'!$AD$31="Menor"),CONCATENATE("R7C",'[1]Mapa final'!$R$31),"")</f>
        <v/>
      </c>
      <c r="Q52" s="47" t="str">
        <f>IF(AND('[1]Mapa final'!$AB$32="Muy Baja",'[1]Mapa final'!$AD$32="Menor"),CONCATENATE("R7C",'[1]Mapa final'!$R$32),"")</f>
        <v/>
      </c>
      <c r="R52" s="47" t="str">
        <f>IF(AND('[1]Mapa final'!$AB$33="Muy Baja",'[1]Mapa final'!$AD$33="Menor"),CONCATENATE("R7C",'[1]Mapa final'!$R$33),"")</f>
        <v/>
      </c>
      <c r="S52" s="47" t="str">
        <f>IF(AND('[1]Mapa final'!$AB$34="Muy Baja",'[1]Mapa final'!$AD$34="Menor"),CONCATENATE("R7C",'[1]Mapa final'!$R$34),"")</f>
        <v/>
      </c>
      <c r="T52" s="47" t="str">
        <f>IF(AND('[1]Mapa final'!$AB$35="Muy Baja",'[1]Mapa final'!$AD$35="Menor"),CONCATENATE("R7C",'[1]Mapa final'!$R$35),"")</f>
        <v/>
      </c>
      <c r="U52" s="48" t="str">
        <f>IF(AND('[1]Mapa final'!$AB$36="Muy Baja",'[1]Mapa final'!$AD$36="Menor"),CONCATENATE("R7C",'[1]Mapa final'!$R$36),"")</f>
        <v/>
      </c>
      <c r="V52" s="37" t="str">
        <f>IF(AND('[1]Mapa final'!$AB$31="Muy Baja",'[1]Mapa final'!$AD$31="Moderado"),CONCATENATE("R7C",'[1]Mapa final'!$R$31),"")</f>
        <v/>
      </c>
      <c r="W52" s="38" t="str">
        <f>IF(AND('[1]Mapa final'!$AB$32="Muy Baja",'[1]Mapa final'!$AD$32="Moderado"),CONCATENATE("R7C",'[1]Mapa final'!$R$32),"")</f>
        <v/>
      </c>
      <c r="X52" s="38" t="str">
        <f>IF(AND('[1]Mapa final'!$AB$33="Muy Baja",'[1]Mapa final'!$AD$33="Moderado"),CONCATENATE("R7C",'[1]Mapa final'!$R$33),"")</f>
        <v/>
      </c>
      <c r="Y52" s="38" t="str">
        <f>IF(AND('[1]Mapa final'!$AB$34="Muy Baja",'[1]Mapa final'!$AD$34="Moderado"),CONCATENATE("R7C",'[1]Mapa final'!$R$34),"")</f>
        <v/>
      </c>
      <c r="Z52" s="38" t="str">
        <f>IF(AND('[1]Mapa final'!$AB$35="Muy Baja",'[1]Mapa final'!$AD$35="Moderado"),CONCATENATE("R7C",'[1]Mapa final'!$R$35),"")</f>
        <v/>
      </c>
      <c r="AA52" s="39" t="str">
        <f>IF(AND('[1]Mapa final'!$AB$36="Muy Baja",'[1]Mapa final'!$AD$36="Moderado"),CONCATENATE("R7C",'[1]Mapa final'!$R$36),"")</f>
        <v/>
      </c>
      <c r="AB52" s="22" t="str">
        <f>IF(AND('[1]Mapa final'!$AB$31="Muy Baja",'[1]Mapa final'!$AD$31="Mayor"),CONCATENATE("R7C",'[1]Mapa final'!$R$31),"")</f>
        <v/>
      </c>
      <c r="AC52" s="23" t="str">
        <f>IF(AND('[1]Mapa final'!$AB$32="Muy Baja",'[1]Mapa final'!$AD$32="Mayor"),CONCATENATE("R7C",'[1]Mapa final'!$R$32),"")</f>
        <v/>
      </c>
      <c r="AD52" s="23" t="str">
        <f>IF(AND('[1]Mapa final'!$AB$33="Muy Baja",'[1]Mapa final'!$AD$33="Mayor"),CONCATENATE("R7C",'[1]Mapa final'!$R$33),"")</f>
        <v/>
      </c>
      <c r="AE52" s="23" t="str">
        <f>IF(AND('[1]Mapa final'!$AB$34="Muy Baja",'[1]Mapa final'!$AD$34="Mayor"),CONCATENATE("R7C",'[1]Mapa final'!$R$34),"")</f>
        <v/>
      </c>
      <c r="AF52" s="23" t="str">
        <f>IF(AND('[1]Mapa final'!$AB$35="Muy Baja",'[1]Mapa final'!$AD$35="Mayor"),CONCATENATE("R7C",'[1]Mapa final'!$R$35),"")</f>
        <v/>
      </c>
      <c r="AG52" s="24" t="str">
        <f>IF(AND('[1]Mapa final'!$AB$36="Muy Baja",'[1]Mapa final'!$AD$36="Mayor"),CONCATENATE("R7C",'[1]Mapa final'!$R$36),"")</f>
        <v/>
      </c>
      <c r="AH52" s="25" t="str">
        <f>IF(AND('[1]Mapa final'!$AB$31="Muy Baja",'[1]Mapa final'!$AD$31="Catastrófico"),CONCATENATE("R7C",'[1]Mapa final'!$R$31),"")</f>
        <v/>
      </c>
      <c r="AI52" s="26" t="str">
        <f>IF(AND('[1]Mapa final'!$AB$32="Muy Baja",'[1]Mapa final'!$AD$32="Catastrófico"),CONCATENATE("R7C",'[1]Mapa final'!$R$32),"")</f>
        <v/>
      </c>
      <c r="AJ52" s="26" t="str">
        <f>IF(AND('[1]Mapa final'!$AB$33="Muy Baja",'[1]Mapa final'!$AD$33="Catastrófico"),CONCATENATE("R7C",'[1]Mapa final'!$R$33),"")</f>
        <v/>
      </c>
      <c r="AK52" s="26" t="str">
        <f>IF(AND('[1]Mapa final'!$AB$34="Muy Baja",'[1]Mapa final'!$AD$34="Catastrófico"),CONCATENATE("R7C",'[1]Mapa final'!$R$34),"")</f>
        <v/>
      </c>
      <c r="AL52" s="26" t="str">
        <f>IF(AND('[1]Mapa final'!$AB$35="Muy Baja",'[1]Mapa final'!$AD$35="Catastrófico"),CONCATENATE("R7C",'[1]Mapa final'!$R$35),"")</f>
        <v/>
      </c>
      <c r="AM52" s="27" t="str">
        <f>IF(AND('[1]Mapa final'!$AB$36="Muy Baja",'[1]Mapa final'!$AD$36="Catastrófico"),CONCATENATE("R7C",'[1]Mapa final'!$R$36),"")</f>
        <v/>
      </c>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71"/>
      <c r="C53" s="571"/>
      <c r="D53" s="572"/>
      <c r="E53" s="576"/>
      <c r="F53" s="577"/>
      <c r="G53" s="577"/>
      <c r="H53" s="577"/>
      <c r="I53" s="578"/>
      <c r="J53" s="46" t="str">
        <f>IF(AND('[1]Mapa final'!$AB$37="Muy Baja",'[1]Mapa final'!$AD$37="Leve"),CONCATENATE("R8C",'[1]Mapa final'!$R$37),"")</f>
        <v/>
      </c>
      <c r="K53" s="47" t="str">
        <f>IF(AND('[1]Mapa final'!$AB$38="Muy Baja",'[1]Mapa final'!$AD$38="Leve"),CONCATENATE("R8C",'[1]Mapa final'!$R$38),"")</f>
        <v/>
      </c>
      <c r="L53" s="47" t="str">
        <f>IF(AND('[1]Mapa final'!$AB$39="Muy Baja",'[1]Mapa final'!$AD$39="Leve"),CONCATENATE("R8C",'[1]Mapa final'!$R$39),"")</f>
        <v/>
      </c>
      <c r="M53" s="47" t="str">
        <f>IF(AND('[1]Mapa final'!$AB$40="Muy Baja",'[1]Mapa final'!$AD$40="Leve"),CONCATENATE("R8C",'[1]Mapa final'!$R$40),"")</f>
        <v/>
      </c>
      <c r="N53" s="47" t="str">
        <f>IF(AND('[1]Mapa final'!$AB$41="Muy Baja",'[1]Mapa final'!$AD$41="Leve"),CONCATENATE("R8C",'[1]Mapa final'!$R$41),"")</f>
        <v/>
      </c>
      <c r="O53" s="48" t="str">
        <f>IF(AND('[1]Mapa final'!$AB$42="Muy Baja",'[1]Mapa final'!$AD$42="Leve"),CONCATENATE("R8C",'[1]Mapa final'!$R$42),"")</f>
        <v/>
      </c>
      <c r="P53" s="46" t="str">
        <f>IF(AND('[1]Mapa final'!$AB$37="Muy Baja",'[1]Mapa final'!$AD$37="Menor"),CONCATENATE("R8C",'[1]Mapa final'!$R$37),"")</f>
        <v/>
      </c>
      <c r="Q53" s="47" t="str">
        <f>IF(AND('[1]Mapa final'!$AB$38="Muy Baja",'[1]Mapa final'!$AD$38="Menor"),CONCATENATE("R8C",'[1]Mapa final'!$R$38),"")</f>
        <v/>
      </c>
      <c r="R53" s="47" t="str">
        <f>IF(AND('[1]Mapa final'!$AB$39="Muy Baja",'[1]Mapa final'!$AD$39="Menor"),CONCATENATE("R8C",'[1]Mapa final'!$R$39),"")</f>
        <v/>
      </c>
      <c r="S53" s="47" t="str">
        <f>IF(AND('[1]Mapa final'!$AB$40="Muy Baja",'[1]Mapa final'!$AD$40="Menor"),CONCATENATE("R8C",'[1]Mapa final'!$R$40),"")</f>
        <v/>
      </c>
      <c r="T53" s="47" t="str">
        <f>IF(AND('[1]Mapa final'!$AB$41="Muy Baja",'[1]Mapa final'!$AD$41="Menor"),CONCATENATE("R8C",'[1]Mapa final'!$R$41),"")</f>
        <v/>
      </c>
      <c r="U53" s="48" t="str">
        <f>IF(AND('[1]Mapa final'!$AB$42="Muy Baja",'[1]Mapa final'!$AD$42="Menor"),CONCATENATE("R8C",'[1]Mapa final'!$R$42),"")</f>
        <v/>
      </c>
      <c r="V53" s="37" t="str">
        <f>IF(AND('[1]Mapa final'!$AB$37="Muy Baja",'[1]Mapa final'!$AD$37="Moderado"),CONCATENATE("R8C",'[1]Mapa final'!$R$37),"")</f>
        <v/>
      </c>
      <c r="W53" s="38" t="str">
        <f>IF(AND('[1]Mapa final'!$AB$38="Muy Baja",'[1]Mapa final'!$AD$38="Moderado"),CONCATENATE("R8C",'[1]Mapa final'!$R$38),"")</f>
        <v/>
      </c>
      <c r="X53" s="38" t="str">
        <f>IF(AND('[1]Mapa final'!$AB$39="Muy Baja",'[1]Mapa final'!$AD$39="Moderado"),CONCATENATE("R8C",'[1]Mapa final'!$R$39),"")</f>
        <v/>
      </c>
      <c r="Y53" s="38" t="str">
        <f>IF(AND('[1]Mapa final'!$AB$40="Muy Baja",'[1]Mapa final'!$AD$40="Moderado"),CONCATENATE("R8C",'[1]Mapa final'!$R$40),"")</f>
        <v/>
      </c>
      <c r="Z53" s="38" t="str">
        <f>IF(AND('[1]Mapa final'!$AB$41="Muy Baja",'[1]Mapa final'!$AD$41="Moderado"),CONCATENATE("R8C",'[1]Mapa final'!$R$41),"")</f>
        <v/>
      </c>
      <c r="AA53" s="39" t="str">
        <f>IF(AND('[1]Mapa final'!$AB$42="Muy Baja",'[1]Mapa final'!$AD$42="Moderado"),CONCATENATE("R8C",'[1]Mapa final'!$R$42),"")</f>
        <v/>
      </c>
      <c r="AB53" s="22" t="str">
        <f>IF(AND('[1]Mapa final'!$AB$37="Muy Baja",'[1]Mapa final'!$AD$37="Mayor"),CONCATENATE("R8C",'[1]Mapa final'!$R$37),"")</f>
        <v/>
      </c>
      <c r="AC53" s="23" t="str">
        <f>IF(AND('[1]Mapa final'!$AB$38="Muy Baja",'[1]Mapa final'!$AD$38="Mayor"),CONCATENATE("R8C",'[1]Mapa final'!$R$38),"")</f>
        <v/>
      </c>
      <c r="AD53" s="23" t="str">
        <f>IF(AND('[1]Mapa final'!$AB$39="Muy Baja",'[1]Mapa final'!$AD$39="Mayor"),CONCATENATE("R8C",'[1]Mapa final'!$R$39),"")</f>
        <v/>
      </c>
      <c r="AE53" s="23" t="str">
        <f>IF(AND('[1]Mapa final'!$AB$40="Muy Baja",'[1]Mapa final'!$AD$40="Mayor"),CONCATENATE("R8C",'[1]Mapa final'!$R$40),"")</f>
        <v/>
      </c>
      <c r="AF53" s="23" t="str">
        <f>IF(AND('[1]Mapa final'!$AB$41="Muy Baja",'[1]Mapa final'!$AD$41="Mayor"),CONCATENATE("R8C",'[1]Mapa final'!$R$41),"")</f>
        <v/>
      </c>
      <c r="AG53" s="24" t="str">
        <f>IF(AND('[1]Mapa final'!$AB$42="Muy Baja",'[1]Mapa final'!$AD$42="Mayor"),CONCATENATE("R8C",'[1]Mapa final'!$R$42),"")</f>
        <v/>
      </c>
      <c r="AH53" s="25" t="str">
        <f>IF(AND('[1]Mapa final'!$AB$37="Muy Baja",'[1]Mapa final'!$AD$37="Catastrófico"),CONCATENATE("R8C",'[1]Mapa final'!$R$37),"")</f>
        <v/>
      </c>
      <c r="AI53" s="26" t="str">
        <f>IF(AND('[1]Mapa final'!$AB$38="Muy Baja",'[1]Mapa final'!$AD$38="Catastrófico"),CONCATENATE("R8C",'[1]Mapa final'!$R$38),"")</f>
        <v/>
      </c>
      <c r="AJ53" s="26" t="str">
        <f>IF(AND('[1]Mapa final'!$AB$39="Muy Baja",'[1]Mapa final'!$AD$39="Catastrófico"),CONCATENATE("R8C",'[1]Mapa final'!$R$39),"")</f>
        <v/>
      </c>
      <c r="AK53" s="26" t="str">
        <f>IF(AND('[1]Mapa final'!$AB$40="Muy Baja",'[1]Mapa final'!$AD$40="Catastrófico"),CONCATENATE("R8C",'[1]Mapa final'!$R$40),"")</f>
        <v/>
      </c>
      <c r="AL53" s="26" t="str">
        <f>IF(AND('[1]Mapa final'!$AB$41="Muy Baja",'[1]Mapa final'!$AD$41="Catastrófico"),CONCATENATE("R8C",'[1]Mapa final'!$R$41),"")</f>
        <v/>
      </c>
      <c r="AM53" s="27" t="str">
        <f>IF(AND('[1]Mapa final'!$AB$42="Muy Baja",'[1]Mapa final'!$AD$42="Catastrófico"),CONCATENATE("R8C",'[1]Mapa final'!$R$42),"")</f>
        <v/>
      </c>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71"/>
      <c r="C54" s="571"/>
      <c r="D54" s="572"/>
      <c r="E54" s="576"/>
      <c r="F54" s="577"/>
      <c r="G54" s="577"/>
      <c r="H54" s="577"/>
      <c r="I54" s="578"/>
      <c r="J54" s="46" t="str">
        <f>IF(AND('[1]Mapa final'!$AB$43="Muy Baja",'[1]Mapa final'!$AD$43="Leve"),CONCATENATE("R9C",'[1]Mapa final'!$R$43),"")</f>
        <v/>
      </c>
      <c r="K54" s="47" t="str">
        <f>IF(AND('[1]Mapa final'!$AB$44="Muy Baja",'[1]Mapa final'!$AD$44="Leve"),CONCATENATE("R9C",'[1]Mapa final'!$R$44),"")</f>
        <v/>
      </c>
      <c r="L54" s="47" t="str">
        <f>IF(AND('[1]Mapa final'!$AB$45="Muy Baja",'[1]Mapa final'!$AD$45="Leve"),CONCATENATE("R9C",'[1]Mapa final'!$R$45),"")</f>
        <v/>
      </c>
      <c r="M54" s="47" t="str">
        <f>IF(AND('[1]Mapa final'!$AB$46="Muy Baja",'[1]Mapa final'!$AD$46="Leve"),CONCATENATE("R9C",'[1]Mapa final'!$R$46),"")</f>
        <v/>
      </c>
      <c r="N54" s="47" t="str">
        <f>IF(AND('[1]Mapa final'!$AB$47="Muy Baja",'[1]Mapa final'!$AD$47="Leve"),CONCATENATE("R9C",'[1]Mapa final'!$R$47),"")</f>
        <v/>
      </c>
      <c r="O54" s="48" t="str">
        <f>IF(AND('[1]Mapa final'!$AB$48="Muy Baja",'[1]Mapa final'!$AD$48="Leve"),CONCATENATE("R9C",'[1]Mapa final'!$R$48),"")</f>
        <v/>
      </c>
      <c r="P54" s="46" t="str">
        <f>IF(AND('[1]Mapa final'!$AB$43="Muy Baja",'[1]Mapa final'!$AD$43="Menor"),CONCATENATE("R9C",'[1]Mapa final'!$R$43),"")</f>
        <v/>
      </c>
      <c r="Q54" s="47" t="str">
        <f>IF(AND('[1]Mapa final'!$AB$44="Muy Baja",'[1]Mapa final'!$AD$44="Menor"),CONCATENATE("R9C",'[1]Mapa final'!$R$44),"")</f>
        <v/>
      </c>
      <c r="R54" s="47" t="str">
        <f>IF(AND('[1]Mapa final'!$AB$45="Muy Baja",'[1]Mapa final'!$AD$45="Menor"),CONCATENATE("R9C",'[1]Mapa final'!$R$45),"")</f>
        <v/>
      </c>
      <c r="S54" s="47" t="str">
        <f>IF(AND('[1]Mapa final'!$AB$46="Muy Baja",'[1]Mapa final'!$AD$46="Menor"),CONCATENATE("R9C",'[1]Mapa final'!$R$46),"")</f>
        <v/>
      </c>
      <c r="T54" s="47" t="str">
        <f>IF(AND('[1]Mapa final'!$AB$47="Muy Baja",'[1]Mapa final'!$AD$47="Menor"),CONCATENATE("R9C",'[1]Mapa final'!$R$47),"")</f>
        <v/>
      </c>
      <c r="U54" s="48" t="str">
        <f>IF(AND('[1]Mapa final'!$AB$48="Muy Baja",'[1]Mapa final'!$AD$48="Menor"),CONCATENATE("R9C",'[1]Mapa final'!$R$48),"")</f>
        <v/>
      </c>
      <c r="V54" s="37" t="str">
        <f>IF(AND('[1]Mapa final'!$AB$43="Muy Baja",'[1]Mapa final'!$AD$43="Moderado"),CONCATENATE("R9C",'[1]Mapa final'!$R$43),"")</f>
        <v/>
      </c>
      <c r="W54" s="38" t="str">
        <f>IF(AND('[1]Mapa final'!$AB$44="Muy Baja",'[1]Mapa final'!$AD$44="Moderado"),CONCATENATE("R9C",'[1]Mapa final'!$R$44),"")</f>
        <v/>
      </c>
      <c r="X54" s="38" t="str">
        <f>IF(AND('[1]Mapa final'!$AB$45="Muy Baja",'[1]Mapa final'!$AD$45="Moderado"),CONCATENATE("R9C",'[1]Mapa final'!$R$45),"")</f>
        <v/>
      </c>
      <c r="Y54" s="38" t="str">
        <f>IF(AND('[1]Mapa final'!$AB$46="Muy Baja",'[1]Mapa final'!$AD$46="Moderado"),CONCATENATE("R9C",'[1]Mapa final'!$R$46),"")</f>
        <v/>
      </c>
      <c r="Z54" s="38" t="str">
        <f>IF(AND('[1]Mapa final'!$AB$47="Muy Baja",'[1]Mapa final'!$AD$47="Moderado"),CONCATENATE("R9C",'[1]Mapa final'!$R$47),"")</f>
        <v/>
      </c>
      <c r="AA54" s="39" t="str">
        <f>IF(AND('[1]Mapa final'!$AB$48="Muy Baja",'[1]Mapa final'!$AD$48="Moderado"),CONCATENATE("R9C",'[1]Mapa final'!$R$48),"")</f>
        <v/>
      </c>
      <c r="AB54" s="22" t="str">
        <f>IF(AND('[1]Mapa final'!$AB$43="Muy Baja",'[1]Mapa final'!$AD$43="Mayor"),CONCATENATE("R9C",'[1]Mapa final'!$R$43),"")</f>
        <v/>
      </c>
      <c r="AC54" s="23" t="str">
        <f>IF(AND('[1]Mapa final'!$AB$44="Muy Baja",'[1]Mapa final'!$AD$44="Mayor"),CONCATENATE("R9C",'[1]Mapa final'!$R$44),"")</f>
        <v/>
      </c>
      <c r="AD54" s="23" t="str">
        <f>IF(AND('[1]Mapa final'!$AB$45="Muy Baja",'[1]Mapa final'!$AD$45="Mayor"),CONCATENATE("R9C",'[1]Mapa final'!$R$45),"")</f>
        <v/>
      </c>
      <c r="AE54" s="23" t="str">
        <f>IF(AND('[1]Mapa final'!$AB$46="Muy Baja",'[1]Mapa final'!$AD$46="Mayor"),CONCATENATE("R9C",'[1]Mapa final'!$R$46),"")</f>
        <v/>
      </c>
      <c r="AF54" s="23" t="str">
        <f>IF(AND('[1]Mapa final'!$AB$47="Muy Baja",'[1]Mapa final'!$AD$47="Mayor"),CONCATENATE("R9C",'[1]Mapa final'!$R$47),"")</f>
        <v/>
      </c>
      <c r="AG54" s="24" t="str">
        <f>IF(AND('[1]Mapa final'!$AB$48="Muy Baja",'[1]Mapa final'!$AD$48="Mayor"),CONCATENATE("R9C",'[1]Mapa final'!$R$48),"")</f>
        <v/>
      </c>
      <c r="AH54" s="25" t="str">
        <f>IF(AND('[1]Mapa final'!$AB$43="Muy Baja",'[1]Mapa final'!$AD$43="Catastrófico"),CONCATENATE("R9C",'[1]Mapa final'!$R$43),"")</f>
        <v/>
      </c>
      <c r="AI54" s="26" t="str">
        <f>IF(AND('[1]Mapa final'!$AB$44="Muy Baja",'[1]Mapa final'!$AD$44="Catastrófico"),CONCATENATE("R9C",'[1]Mapa final'!$R$44),"")</f>
        <v/>
      </c>
      <c r="AJ54" s="26" t="str">
        <f>IF(AND('[1]Mapa final'!$AB$45="Muy Baja",'[1]Mapa final'!$AD$45="Catastrófico"),CONCATENATE("R9C",'[1]Mapa final'!$R$45),"")</f>
        <v/>
      </c>
      <c r="AK54" s="26" t="str">
        <f>IF(AND('[1]Mapa final'!$AB$46="Muy Baja",'[1]Mapa final'!$AD$46="Catastrófico"),CONCATENATE("R9C",'[1]Mapa final'!$R$46),"")</f>
        <v/>
      </c>
      <c r="AL54" s="26" t="str">
        <f>IF(AND('[1]Mapa final'!$AB$47="Muy Baja",'[1]Mapa final'!$AD$47="Catastrófico"),CONCATENATE("R9C",'[1]Mapa final'!$R$47),"")</f>
        <v/>
      </c>
      <c r="AM54" s="27" t="str">
        <f>IF(AND('[1]Mapa final'!$AB$48="Muy Baja",'[1]Mapa final'!$AD$48="Catastrófico"),CONCATENATE("R9C",'[1]Mapa final'!$R$48),"")</f>
        <v/>
      </c>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ht="15.75" customHeight="1" thickBot="1" x14ac:dyDescent="0.35">
      <c r="A55" s="53"/>
      <c r="B55" s="571"/>
      <c r="C55" s="571"/>
      <c r="D55" s="572"/>
      <c r="E55" s="579"/>
      <c r="F55" s="580"/>
      <c r="G55" s="580"/>
      <c r="H55" s="580"/>
      <c r="I55" s="581"/>
      <c r="J55" s="49" t="str">
        <f>IF(AND('[1]Mapa final'!$AB$49="Muy Baja",'[1]Mapa final'!$AD$49="Leve"),CONCATENATE("R10C",'[1]Mapa final'!$R$49),"")</f>
        <v/>
      </c>
      <c r="K55" s="50" t="str">
        <f>IF(AND('[1]Mapa final'!$AB$50="Muy Baja",'[1]Mapa final'!$AD$50="Leve"),CONCATENATE("R10C",'[1]Mapa final'!$R$50),"")</f>
        <v/>
      </c>
      <c r="L55" s="50" t="str">
        <f>IF(AND('[1]Mapa final'!$AB$51="Muy Baja",'[1]Mapa final'!$AD$51="Leve"),CONCATENATE("R10C",'[1]Mapa final'!$R$51),"")</f>
        <v/>
      </c>
      <c r="M55" s="50" t="str">
        <f>IF(AND('[1]Mapa final'!$AB$52="Muy Baja",'[1]Mapa final'!$AD$52="Leve"),CONCATENATE("R10C",'[1]Mapa final'!$R$52),"")</f>
        <v/>
      </c>
      <c r="N55" s="50" t="str">
        <f>IF(AND('[1]Mapa final'!$AB$53="Muy Baja",'[1]Mapa final'!$AD$53="Leve"),CONCATENATE("R10C",'[1]Mapa final'!$R$53),"")</f>
        <v/>
      </c>
      <c r="O55" s="51" t="str">
        <f>IF(AND('[1]Mapa final'!$AB$54="Muy Baja",'[1]Mapa final'!$AD$54="Leve"),CONCATENATE("R10C",'[1]Mapa final'!$R$54),"")</f>
        <v/>
      </c>
      <c r="P55" s="49" t="str">
        <f>IF(AND('[1]Mapa final'!$AB$49="Muy Baja",'[1]Mapa final'!$AD$49="Menor"),CONCATENATE("R10C",'[1]Mapa final'!$R$49),"")</f>
        <v/>
      </c>
      <c r="Q55" s="50" t="str">
        <f>IF(AND('[1]Mapa final'!$AB$50="Muy Baja",'[1]Mapa final'!$AD$50="Menor"),CONCATENATE("R10C",'[1]Mapa final'!$R$50),"")</f>
        <v/>
      </c>
      <c r="R55" s="50" t="str">
        <f>IF(AND('[1]Mapa final'!$AB$51="Muy Baja",'[1]Mapa final'!$AD$51="Menor"),CONCATENATE("R10C",'[1]Mapa final'!$R$51),"")</f>
        <v/>
      </c>
      <c r="S55" s="50" t="str">
        <f>IF(AND('[1]Mapa final'!$AB$52="Muy Baja",'[1]Mapa final'!$AD$52="Menor"),CONCATENATE("R10C",'[1]Mapa final'!$R$52),"")</f>
        <v/>
      </c>
      <c r="T55" s="50" t="str">
        <f>IF(AND('[1]Mapa final'!$AB$53="Muy Baja",'[1]Mapa final'!$AD$53="Menor"),CONCATENATE("R10C",'[1]Mapa final'!$R$53),"")</f>
        <v/>
      </c>
      <c r="U55" s="51" t="str">
        <f>IF(AND('[1]Mapa final'!$AB$54="Muy Baja",'[1]Mapa final'!$AD$54="Menor"),CONCATENATE("R10C",'[1]Mapa final'!$R$54),"")</f>
        <v/>
      </c>
      <c r="V55" s="40" t="str">
        <f>IF(AND('[1]Mapa final'!$AB$49="Muy Baja",'[1]Mapa final'!$AD$49="Moderado"),CONCATENATE("R10C",'[1]Mapa final'!$R$49),"")</f>
        <v/>
      </c>
      <c r="W55" s="41" t="str">
        <f>IF(AND('[1]Mapa final'!$AB$50="Muy Baja",'[1]Mapa final'!$AD$50="Moderado"),CONCATENATE("R10C",'[1]Mapa final'!$R$50),"")</f>
        <v/>
      </c>
      <c r="X55" s="41" t="str">
        <f>IF(AND('[1]Mapa final'!$AB$51="Muy Baja",'[1]Mapa final'!$AD$51="Moderado"),CONCATENATE("R10C",'[1]Mapa final'!$R$51),"")</f>
        <v/>
      </c>
      <c r="Y55" s="41" t="str">
        <f>IF(AND('[1]Mapa final'!$AB$52="Muy Baja",'[1]Mapa final'!$AD$52="Moderado"),CONCATENATE("R10C",'[1]Mapa final'!$R$52),"")</f>
        <v/>
      </c>
      <c r="Z55" s="41" t="str">
        <f>IF(AND('[1]Mapa final'!$AB$53="Muy Baja",'[1]Mapa final'!$AD$53="Moderado"),CONCATENATE("R10C",'[1]Mapa final'!$R$53),"")</f>
        <v/>
      </c>
      <c r="AA55" s="42" t="str">
        <f>IF(AND('[1]Mapa final'!$AB$54="Muy Baja",'[1]Mapa final'!$AD$54="Moderado"),CONCATENATE("R10C",'[1]Mapa final'!$R$54),"")</f>
        <v/>
      </c>
      <c r="AB55" s="28" t="str">
        <f>IF(AND('[1]Mapa final'!$AB$49="Muy Baja",'[1]Mapa final'!$AD$49="Mayor"),CONCATENATE("R10C",'[1]Mapa final'!$R$49),"")</f>
        <v/>
      </c>
      <c r="AC55" s="29" t="str">
        <f>IF(AND('[1]Mapa final'!$AB$50="Muy Baja",'[1]Mapa final'!$AD$50="Mayor"),CONCATENATE("R10C",'[1]Mapa final'!$R$50),"")</f>
        <v/>
      </c>
      <c r="AD55" s="29" t="str">
        <f>IF(AND('[1]Mapa final'!$AB$51="Muy Baja",'[1]Mapa final'!$AD$51="Mayor"),CONCATENATE("R10C",'[1]Mapa final'!$R$51),"")</f>
        <v/>
      </c>
      <c r="AE55" s="29" t="str">
        <f>IF(AND('[1]Mapa final'!$AB$52="Muy Baja",'[1]Mapa final'!$AD$52="Mayor"),CONCATENATE("R10C",'[1]Mapa final'!$R$52),"")</f>
        <v/>
      </c>
      <c r="AF55" s="29" t="str">
        <f>IF(AND('[1]Mapa final'!$AB$53="Muy Baja",'[1]Mapa final'!$AD$53="Mayor"),CONCATENATE("R10C",'[1]Mapa final'!$R$53),"")</f>
        <v/>
      </c>
      <c r="AG55" s="30" t="str">
        <f>IF(AND('[1]Mapa final'!$AB$54="Muy Baja",'[1]Mapa final'!$AD$54="Mayor"),CONCATENATE("R10C",'[1]Mapa final'!$R$54),"")</f>
        <v/>
      </c>
      <c r="AH55" s="31" t="str">
        <f>IF(AND('[1]Mapa final'!$AB$49="Muy Baja",'[1]Mapa final'!$AD$49="Catastrófico"),CONCATENATE("R10C",'[1]Mapa final'!$R$49),"")</f>
        <v/>
      </c>
      <c r="AI55" s="32" t="str">
        <f>IF(AND('[1]Mapa final'!$AB$50="Muy Baja",'[1]Mapa final'!$AD$50="Catastrófico"),CONCATENATE("R10C",'[1]Mapa final'!$R$50),"")</f>
        <v/>
      </c>
      <c r="AJ55" s="32" t="str">
        <f>IF(AND('[1]Mapa final'!$AB$51="Muy Baja",'[1]Mapa final'!$AD$51="Catastrófico"),CONCATENATE("R10C",'[1]Mapa final'!$R$51),"")</f>
        <v/>
      </c>
      <c r="AK55" s="32" t="str">
        <f>IF(AND('[1]Mapa final'!$AB$52="Muy Baja",'[1]Mapa final'!$AD$52="Catastrófico"),CONCATENATE("R10C",'[1]Mapa final'!$R$52),"")</f>
        <v/>
      </c>
      <c r="AL55" s="32" t="str">
        <f>IF(AND('[1]Mapa final'!$AB$53="Muy Baja",'[1]Mapa final'!$AD$53="Catastrófico"),CONCATENATE("R10C",'[1]Mapa final'!$R$53),"")</f>
        <v/>
      </c>
      <c r="AM55" s="33" t="str">
        <f>IF(AND('[1]Mapa final'!$AB$54="Muy Baja",'[1]Mapa final'!$AD$54="Catastrófico"),CONCATENATE("R10C",'[1]Mapa final'!$R$54),"")</f>
        <v/>
      </c>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73" t="s">
        <v>107</v>
      </c>
      <c r="K56" s="574"/>
      <c r="L56" s="574"/>
      <c r="M56" s="574"/>
      <c r="N56" s="574"/>
      <c r="O56" s="575"/>
      <c r="P56" s="573" t="s">
        <v>106</v>
      </c>
      <c r="Q56" s="574"/>
      <c r="R56" s="574"/>
      <c r="S56" s="574"/>
      <c r="T56" s="574"/>
      <c r="U56" s="575"/>
      <c r="V56" s="573" t="s">
        <v>105</v>
      </c>
      <c r="W56" s="574"/>
      <c r="X56" s="574"/>
      <c r="Y56" s="574"/>
      <c r="Z56" s="574"/>
      <c r="AA56" s="575"/>
      <c r="AB56" s="573" t="s">
        <v>104</v>
      </c>
      <c r="AC56" s="582"/>
      <c r="AD56" s="574"/>
      <c r="AE56" s="574"/>
      <c r="AF56" s="574"/>
      <c r="AG56" s="575"/>
      <c r="AH56" s="573" t="s">
        <v>103</v>
      </c>
      <c r="AI56" s="574"/>
      <c r="AJ56" s="574"/>
      <c r="AK56" s="574"/>
      <c r="AL56" s="574"/>
      <c r="AM56" s="575"/>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76"/>
      <c r="K57" s="577"/>
      <c r="L57" s="577"/>
      <c r="M57" s="577"/>
      <c r="N57" s="577"/>
      <c r="O57" s="578"/>
      <c r="P57" s="576"/>
      <c r="Q57" s="577"/>
      <c r="R57" s="577"/>
      <c r="S57" s="577"/>
      <c r="T57" s="577"/>
      <c r="U57" s="578"/>
      <c r="V57" s="576"/>
      <c r="W57" s="577"/>
      <c r="X57" s="577"/>
      <c r="Y57" s="577"/>
      <c r="Z57" s="577"/>
      <c r="AA57" s="578"/>
      <c r="AB57" s="576"/>
      <c r="AC57" s="577"/>
      <c r="AD57" s="577"/>
      <c r="AE57" s="577"/>
      <c r="AF57" s="577"/>
      <c r="AG57" s="578"/>
      <c r="AH57" s="576"/>
      <c r="AI57" s="577"/>
      <c r="AJ57" s="577"/>
      <c r="AK57" s="577"/>
      <c r="AL57" s="577"/>
      <c r="AM57" s="578"/>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76"/>
      <c r="K58" s="577"/>
      <c r="L58" s="577"/>
      <c r="M58" s="577"/>
      <c r="N58" s="577"/>
      <c r="O58" s="578"/>
      <c r="P58" s="576"/>
      <c r="Q58" s="577"/>
      <c r="R58" s="577"/>
      <c r="S58" s="577"/>
      <c r="T58" s="577"/>
      <c r="U58" s="578"/>
      <c r="V58" s="576"/>
      <c r="W58" s="577"/>
      <c r="X58" s="577"/>
      <c r="Y58" s="577"/>
      <c r="Z58" s="577"/>
      <c r="AA58" s="578"/>
      <c r="AB58" s="576"/>
      <c r="AC58" s="577"/>
      <c r="AD58" s="577"/>
      <c r="AE58" s="577"/>
      <c r="AF58" s="577"/>
      <c r="AG58" s="578"/>
      <c r="AH58" s="576"/>
      <c r="AI58" s="577"/>
      <c r="AJ58" s="577"/>
      <c r="AK58" s="577"/>
      <c r="AL58" s="577"/>
      <c r="AM58" s="578"/>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76"/>
      <c r="K59" s="577"/>
      <c r="L59" s="577"/>
      <c r="M59" s="577"/>
      <c r="N59" s="577"/>
      <c r="O59" s="578"/>
      <c r="P59" s="576"/>
      <c r="Q59" s="577"/>
      <c r="R59" s="577"/>
      <c r="S59" s="577"/>
      <c r="T59" s="577"/>
      <c r="U59" s="578"/>
      <c r="V59" s="576"/>
      <c r="W59" s="577"/>
      <c r="X59" s="577"/>
      <c r="Y59" s="577"/>
      <c r="Z59" s="577"/>
      <c r="AA59" s="578"/>
      <c r="AB59" s="576"/>
      <c r="AC59" s="577"/>
      <c r="AD59" s="577"/>
      <c r="AE59" s="577"/>
      <c r="AF59" s="577"/>
      <c r="AG59" s="578"/>
      <c r="AH59" s="576"/>
      <c r="AI59" s="577"/>
      <c r="AJ59" s="577"/>
      <c r="AK59" s="577"/>
      <c r="AL59" s="577"/>
      <c r="AM59" s="578"/>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76"/>
      <c r="K60" s="577"/>
      <c r="L60" s="577"/>
      <c r="M60" s="577"/>
      <c r="N60" s="577"/>
      <c r="O60" s="578"/>
      <c r="P60" s="576"/>
      <c r="Q60" s="577"/>
      <c r="R60" s="577"/>
      <c r="S60" s="577"/>
      <c r="T60" s="577"/>
      <c r="U60" s="578"/>
      <c r="V60" s="576"/>
      <c r="W60" s="577"/>
      <c r="X60" s="577"/>
      <c r="Y60" s="577"/>
      <c r="Z60" s="577"/>
      <c r="AA60" s="578"/>
      <c r="AB60" s="576"/>
      <c r="AC60" s="577"/>
      <c r="AD60" s="577"/>
      <c r="AE60" s="577"/>
      <c r="AF60" s="577"/>
      <c r="AG60" s="578"/>
      <c r="AH60" s="576"/>
      <c r="AI60" s="577"/>
      <c r="AJ60" s="577"/>
      <c r="AK60" s="577"/>
      <c r="AL60" s="577"/>
      <c r="AM60" s="578"/>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ht="15" thickBot="1" x14ac:dyDescent="0.35">
      <c r="A61" s="53"/>
      <c r="B61" s="53"/>
      <c r="C61" s="53"/>
      <c r="D61" s="53"/>
      <c r="E61" s="53"/>
      <c r="F61" s="53"/>
      <c r="G61" s="53"/>
      <c r="H61" s="53"/>
      <c r="I61" s="53"/>
      <c r="J61" s="579"/>
      <c r="K61" s="580"/>
      <c r="L61" s="580"/>
      <c r="M61" s="580"/>
      <c r="N61" s="580"/>
      <c r="O61" s="581"/>
      <c r="P61" s="579"/>
      <c r="Q61" s="580"/>
      <c r="R61" s="580"/>
      <c r="S61" s="580"/>
      <c r="T61" s="580"/>
      <c r="U61" s="581"/>
      <c r="V61" s="579"/>
      <c r="W61" s="580"/>
      <c r="X61" s="580"/>
      <c r="Y61" s="580"/>
      <c r="Z61" s="580"/>
      <c r="AA61" s="581"/>
      <c r="AB61" s="579"/>
      <c r="AC61" s="580"/>
      <c r="AD61" s="580"/>
      <c r="AE61" s="580"/>
      <c r="AF61" s="580"/>
      <c r="AG61" s="581"/>
      <c r="AH61" s="579"/>
      <c r="AI61" s="580"/>
      <c r="AJ61" s="580"/>
      <c r="AK61" s="580"/>
      <c r="AL61" s="580"/>
      <c r="AM61" s="581"/>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row>
    <row r="63" spans="1:80" ht="15" customHeight="1" x14ac:dyDescent="0.3">
      <c r="A63" s="53"/>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3"/>
      <c r="AV63" s="53"/>
      <c r="AW63" s="53"/>
      <c r="AX63" s="53"/>
      <c r="AY63" s="53"/>
      <c r="AZ63" s="53"/>
      <c r="BA63" s="53"/>
      <c r="BB63" s="53"/>
      <c r="BC63" s="53"/>
      <c r="BD63" s="53"/>
      <c r="BE63" s="53"/>
      <c r="BF63" s="53"/>
      <c r="BG63" s="53"/>
      <c r="BH63" s="53"/>
    </row>
    <row r="64" spans="1:80" ht="15" customHeight="1" x14ac:dyDescent="0.3">
      <c r="A64" s="53"/>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3"/>
      <c r="AV64" s="53"/>
      <c r="AW64" s="53"/>
      <c r="AX64" s="53"/>
      <c r="AY64" s="53"/>
      <c r="AZ64" s="53"/>
      <c r="BA64" s="53"/>
      <c r="BB64" s="53"/>
      <c r="BC64" s="53"/>
      <c r="BD64" s="53"/>
      <c r="BE64" s="53"/>
      <c r="BF64" s="53"/>
      <c r="BG64" s="53"/>
      <c r="BH64" s="53"/>
    </row>
    <row r="65" spans="1:6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row>
    <row r="66" spans="1:6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row>
    <row r="67" spans="1:6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row>
    <row r="68" spans="1:6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row>
    <row r="69" spans="1:6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row>
    <row r="71" spans="1:6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row>
    <row r="72" spans="1:6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row>
    <row r="73" spans="1:6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row>
    <row r="74" spans="1:6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row>
    <row r="75" spans="1:6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row>
    <row r="76" spans="1:6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row>
    <row r="77" spans="1:6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row>
    <row r="78" spans="1:6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row>
    <row r="79" spans="1:6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row>
    <row r="80" spans="1:6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row>
    <row r="81" spans="1:60"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row>
    <row r="82" spans="1:60"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row>
    <row r="83" spans="1:60"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row>
    <row r="84" spans="1:60"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row>
    <row r="85" spans="1:60"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row>
    <row r="86" spans="1:60"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row>
    <row r="87" spans="1:60"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row>
    <row r="88" spans="1:60"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row>
    <row r="89" spans="1:60"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60"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row>
    <row r="91" spans="1:60"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row>
    <row r="92" spans="1:60"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row>
    <row r="93" spans="1:60"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row>
    <row r="94" spans="1:60"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row>
    <row r="95" spans="1:60"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row>
    <row r="96" spans="1:60"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row>
    <row r="97" spans="1:60"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row>
    <row r="98" spans="1:60"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row>
    <row r="99" spans="1:60"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row>
    <row r="100" spans="1:60"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row>
    <row r="101" spans="1:60"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row>
    <row r="102" spans="1:60"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row>
    <row r="103" spans="1:60"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row>
    <row r="104" spans="1:60"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row>
    <row r="105" spans="1:60"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row>
    <row r="106" spans="1:60"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row>
    <row r="107" spans="1:60"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row>
    <row r="108" spans="1:60"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row>
    <row r="109" spans="1:60"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row>
    <row r="110" spans="1:60"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row>
    <row r="111" spans="1:60"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row>
    <row r="112" spans="1:60"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row>
    <row r="113" spans="1:60"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row>
    <row r="114" spans="1:60"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row>
    <row r="115" spans="1:60"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row>
    <row r="116" spans="1:60"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row>
    <row r="117" spans="1:60"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row>
    <row r="118" spans="1:60"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row>
    <row r="119" spans="1:60"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row>
    <row r="120" spans="1:60"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row>
    <row r="121" spans="1:60"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row>
    <row r="122" spans="1:60" x14ac:dyDescent="0.3">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row>
    <row r="123" spans="1:60" x14ac:dyDescent="0.3">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row>
    <row r="124" spans="1:60" x14ac:dyDescent="0.3">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row>
    <row r="125" spans="1:60" x14ac:dyDescent="0.3">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row>
    <row r="126" spans="1:60" x14ac:dyDescent="0.3">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row>
    <row r="127" spans="1:60" x14ac:dyDescent="0.3">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row>
    <row r="128" spans="1:60" x14ac:dyDescent="0.3">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row>
    <row r="129" spans="1:60" x14ac:dyDescent="0.3">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row>
    <row r="130" spans="1:60" x14ac:dyDescent="0.3">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row>
    <row r="131" spans="1:60" x14ac:dyDescent="0.3">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row>
    <row r="132" spans="1:60" x14ac:dyDescent="0.3">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row>
    <row r="133" spans="1:60" x14ac:dyDescent="0.3">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row>
    <row r="134" spans="1:60" x14ac:dyDescent="0.3">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row>
    <row r="135" spans="1:60" x14ac:dyDescent="0.3">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row>
    <row r="136" spans="1:60" x14ac:dyDescent="0.3">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row>
    <row r="137" spans="1:60" x14ac:dyDescent="0.3">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row>
    <row r="138" spans="1:60" x14ac:dyDescent="0.3">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row>
    <row r="139" spans="1:60" x14ac:dyDescent="0.3">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row>
    <row r="140" spans="1:60" x14ac:dyDescent="0.3">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row>
    <row r="141" spans="1:60" x14ac:dyDescent="0.3">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row>
    <row r="142" spans="1:60" x14ac:dyDescent="0.3">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row>
    <row r="143" spans="1:60" x14ac:dyDescent="0.3">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row>
    <row r="144" spans="1:60" x14ac:dyDescent="0.3">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row>
    <row r="145" spans="1:60" x14ac:dyDescent="0.3">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row>
    <row r="146" spans="1:60" x14ac:dyDescent="0.3">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row>
    <row r="147" spans="1:60" x14ac:dyDescent="0.3">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row>
    <row r="148" spans="1:60" x14ac:dyDescent="0.3">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row>
    <row r="149" spans="1:60" x14ac:dyDescent="0.3">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row>
    <row r="150" spans="1:60" x14ac:dyDescent="0.3">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row>
    <row r="151" spans="1:60" x14ac:dyDescent="0.3">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row>
    <row r="152" spans="1:60" x14ac:dyDescent="0.3">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row>
    <row r="153" spans="1:60" x14ac:dyDescent="0.3">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row>
    <row r="154" spans="1:60" x14ac:dyDescent="0.3">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row>
    <row r="155" spans="1:60" x14ac:dyDescent="0.3">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row>
    <row r="156" spans="1:60" x14ac:dyDescent="0.3">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row>
    <row r="157" spans="1:60" x14ac:dyDescent="0.3">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row>
    <row r="158" spans="1:60" x14ac:dyDescent="0.3">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row>
    <row r="159" spans="1:60" x14ac:dyDescent="0.3">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row>
    <row r="160" spans="1:60" x14ac:dyDescent="0.3">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row>
    <row r="161" spans="1:60" x14ac:dyDescent="0.3">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row>
    <row r="162" spans="1:60" x14ac:dyDescent="0.3">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row>
    <row r="163" spans="1:60" x14ac:dyDescent="0.3">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row>
    <row r="164" spans="1:60" x14ac:dyDescent="0.3">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row>
    <row r="165" spans="1:60" x14ac:dyDescent="0.3">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row>
    <row r="166" spans="1:60" x14ac:dyDescent="0.3">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row>
    <row r="167" spans="1:60" x14ac:dyDescent="0.3">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row>
    <row r="168" spans="1:60" x14ac:dyDescent="0.3">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row>
    <row r="169" spans="1:60" x14ac:dyDescent="0.3">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row>
    <row r="170" spans="1:60" x14ac:dyDescent="0.3">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row>
    <row r="171" spans="1:60" x14ac:dyDescent="0.3">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row>
    <row r="172" spans="1:60" x14ac:dyDescent="0.3">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row>
    <row r="173" spans="1:60" x14ac:dyDescent="0.3">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row>
    <row r="174" spans="1:60" x14ac:dyDescent="0.3">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row>
    <row r="175" spans="1:60" x14ac:dyDescent="0.3">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row>
    <row r="176" spans="1:60" x14ac:dyDescent="0.3">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row>
    <row r="177" spans="1:60" x14ac:dyDescent="0.3">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row>
    <row r="178" spans="1:60" x14ac:dyDescent="0.3">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row>
    <row r="179" spans="1:60" x14ac:dyDescent="0.3">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row>
    <row r="180" spans="1:60" x14ac:dyDescent="0.3">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row>
    <row r="181" spans="1:60" x14ac:dyDescent="0.3">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row>
    <row r="182" spans="1:60" x14ac:dyDescent="0.3">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row>
    <row r="183" spans="1:60" x14ac:dyDescent="0.3">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row>
    <row r="184" spans="1:60" x14ac:dyDescent="0.3">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row>
    <row r="185" spans="1:60" x14ac:dyDescent="0.3">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row>
    <row r="186" spans="1:60" x14ac:dyDescent="0.3">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row>
    <row r="187" spans="1:60" x14ac:dyDescent="0.3">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row>
    <row r="188" spans="1:60" x14ac:dyDescent="0.3">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row>
    <row r="189" spans="1:60" x14ac:dyDescent="0.3">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row>
    <row r="190" spans="1:60" x14ac:dyDescent="0.3">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row>
    <row r="191" spans="1:60" x14ac:dyDescent="0.3">
      <c r="A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row>
    <row r="192" spans="1:60" x14ac:dyDescent="0.3">
      <c r="A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row>
    <row r="193" spans="1:60" x14ac:dyDescent="0.3">
      <c r="A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row>
    <row r="194" spans="1:60" x14ac:dyDescent="0.3">
      <c r="A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row>
    <row r="195" spans="1:60" x14ac:dyDescent="0.3">
      <c r="A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row>
    <row r="196" spans="1:60" x14ac:dyDescent="0.3">
      <c r="A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row>
    <row r="197" spans="1:60" x14ac:dyDescent="0.3">
      <c r="A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row>
    <row r="198" spans="1:60" x14ac:dyDescent="0.3">
      <c r="A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row>
    <row r="199" spans="1:60" x14ac:dyDescent="0.3">
      <c r="A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row>
    <row r="200" spans="1:60" x14ac:dyDescent="0.3">
      <c r="A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row>
    <row r="201" spans="1:60" x14ac:dyDescent="0.3">
      <c r="A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row>
    <row r="202" spans="1:60" x14ac:dyDescent="0.3">
      <c r="A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row>
    <row r="203" spans="1:60" x14ac:dyDescent="0.3">
      <c r="A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row>
    <row r="204" spans="1:60" x14ac:dyDescent="0.3">
      <c r="A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row>
    <row r="205" spans="1:60" x14ac:dyDescent="0.3">
      <c r="A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row>
    <row r="206" spans="1:60" x14ac:dyDescent="0.3">
      <c r="A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row>
    <row r="207" spans="1:60" x14ac:dyDescent="0.3">
      <c r="A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row>
    <row r="208" spans="1:60" x14ac:dyDescent="0.3">
      <c r="A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row>
    <row r="209" spans="1:60" x14ac:dyDescent="0.3">
      <c r="A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row>
    <row r="210" spans="1:60" x14ac:dyDescent="0.3">
      <c r="A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row>
    <row r="211" spans="1:60" x14ac:dyDescent="0.3">
      <c r="A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row>
    <row r="212" spans="1:60" x14ac:dyDescent="0.3">
      <c r="A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row>
    <row r="213" spans="1:60" x14ac:dyDescent="0.3">
      <c r="A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row>
    <row r="214" spans="1:60" x14ac:dyDescent="0.3">
      <c r="A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row>
    <row r="215" spans="1:60" x14ac:dyDescent="0.3">
      <c r="A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row>
    <row r="216" spans="1:60" x14ac:dyDescent="0.3">
      <c r="A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row>
    <row r="217" spans="1:60" x14ac:dyDescent="0.3">
      <c r="A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row>
    <row r="218" spans="1:60" x14ac:dyDescent="0.3">
      <c r="A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row>
    <row r="219" spans="1:60" x14ac:dyDescent="0.3">
      <c r="A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row>
    <row r="220" spans="1:60" x14ac:dyDescent="0.3">
      <c r="A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row>
    <row r="221" spans="1:60" x14ac:dyDescent="0.3">
      <c r="A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row>
    <row r="222" spans="1:60" x14ac:dyDescent="0.3">
      <c r="A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row>
    <row r="223" spans="1:60" x14ac:dyDescent="0.3">
      <c r="A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row>
    <row r="224" spans="1:60" x14ac:dyDescent="0.3">
      <c r="A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row>
    <row r="225" spans="1:60" x14ac:dyDescent="0.3">
      <c r="A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row>
    <row r="226" spans="1:60" x14ac:dyDescent="0.3">
      <c r="A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row>
    <row r="227" spans="1:60" x14ac:dyDescent="0.3">
      <c r="A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row>
    <row r="228" spans="1:60" x14ac:dyDescent="0.3">
      <c r="A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row>
    <row r="229" spans="1:60" x14ac:dyDescent="0.3">
      <c r="A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row>
    <row r="230" spans="1:60" x14ac:dyDescent="0.3">
      <c r="A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row>
    <row r="231" spans="1:60" x14ac:dyDescent="0.3">
      <c r="A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row>
    <row r="232" spans="1:60" x14ac:dyDescent="0.3">
      <c r="A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row>
    <row r="233" spans="1:60" x14ac:dyDescent="0.3">
      <c r="A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row>
    <row r="234" spans="1:60" x14ac:dyDescent="0.3">
      <c r="A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row>
    <row r="235" spans="1:60" x14ac:dyDescent="0.3">
      <c r="A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row>
    <row r="236" spans="1:60" x14ac:dyDescent="0.3">
      <c r="A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row>
    <row r="237" spans="1:60" x14ac:dyDescent="0.3">
      <c r="A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row>
    <row r="238" spans="1:60" x14ac:dyDescent="0.3">
      <c r="A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row>
    <row r="239" spans="1:60" x14ac:dyDescent="0.3">
      <c r="A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row>
    <row r="240" spans="1:60" x14ac:dyDescent="0.3">
      <c r="A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row>
    <row r="241" spans="1:60" x14ac:dyDescent="0.3">
      <c r="A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row>
    <row r="242" spans="1:60" x14ac:dyDescent="0.3">
      <c r="A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row>
    <row r="243" spans="1:60" x14ac:dyDescent="0.3">
      <c r="A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row>
    <row r="244" spans="1:60" x14ac:dyDescent="0.3">
      <c r="A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row>
    <row r="245" spans="1:60" x14ac:dyDescent="0.3">
      <c r="A245" s="53"/>
    </row>
    <row r="246" spans="1:60" x14ac:dyDescent="0.3">
      <c r="A246" s="53"/>
    </row>
    <row r="247" spans="1:60" x14ac:dyDescent="0.3">
      <c r="A247" s="53"/>
    </row>
    <row r="248" spans="1:60" x14ac:dyDescent="0.3">
      <c r="A248" s="53"/>
    </row>
  </sheetData>
  <sheetProtection algorithmName="SHA-512" hashValue="pk41qPkreGaIienBHjYN6qHrG0CgO529+BqkFfOkTGgU8ieLIk2ly7oHCkTe6nIJwtUs4b/6dT5t6eEiLeXG7Q==" saltValue="1Vg2zxH2JXOw6ZLmo/E9SA==" spinCount="100000" sheet="1" objects="1" scenarios="1"/>
  <mergeCells count="17">
    <mergeCell ref="B2:I4"/>
    <mergeCell ref="J2:AM4"/>
    <mergeCell ref="B6:D55"/>
    <mergeCell ref="E6:I15"/>
    <mergeCell ref="AO6:AT15"/>
    <mergeCell ref="E16:I25"/>
    <mergeCell ref="AO16:AT25"/>
    <mergeCell ref="E26:I35"/>
    <mergeCell ref="AO26:AT35"/>
    <mergeCell ref="E36:I45"/>
    <mergeCell ref="AO36:AT45"/>
    <mergeCell ref="E46:I5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53"/>
      <c r="B1" s="622" t="s">
        <v>55</v>
      </c>
      <c r="C1" s="622"/>
      <c r="D1" s="622"/>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1:37" x14ac:dyDescent="0.3">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7" ht="25.2" x14ac:dyDescent="0.3">
      <c r="A3" s="53"/>
      <c r="B3" s="3"/>
      <c r="C3" s="4" t="s">
        <v>52</v>
      </c>
      <c r="D3" s="4" t="s">
        <v>4</v>
      </c>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7" ht="50.4" x14ac:dyDescent="0.3">
      <c r="A4" s="53"/>
      <c r="B4" s="5" t="s">
        <v>51</v>
      </c>
      <c r="C4" s="6" t="s">
        <v>97</v>
      </c>
      <c r="D4" s="7">
        <v>0.2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37" ht="50.4" x14ac:dyDescent="0.3">
      <c r="A5" s="53"/>
      <c r="B5" s="8" t="s">
        <v>53</v>
      </c>
      <c r="C5" s="9" t="s">
        <v>98</v>
      </c>
      <c r="D5" s="10">
        <v>0.4</v>
      </c>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6" spans="1:37" ht="50.4" x14ac:dyDescent="0.3">
      <c r="A6" s="53"/>
      <c r="B6" s="11" t="s">
        <v>102</v>
      </c>
      <c r="C6" s="9" t="s">
        <v>99</v>
      </c>
      <c r="D6" s="10">
        <v>0.6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7" ht="75.599999999999994" x14ac:dyDescent="0.3">
      <c r="A7" s="53"/>
      <c r="B7" s="12" t="s">
        <v>6</v>
      </c>
      <c r="C7" s="9" t="s">
        <v>100</v>
      </c>
      <c r="D7" s="10">
        <v>0.8</v>
      </c>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7" ht="50.4" x14ac:dyDescent="0.3">
      <c r="A8" s="53"/>
      <c r="B8" s="13" t="s">
        <v>54</v>
      </c>
      <c r="C8" s="9" t="s">
        <v>101</v>
      </c>
      <c r="D8" s="10">
        <v>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row>
    <row r="9" spans="1:37" x14ac:dyDescent="0.3">
      <c r="A9" s="53"/>
      <c r="B9" s="75"/>
      <c r="C9" s="75"/>
      <c r="D9" s="75"/>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7" x14ac:dyDescent="0.3">
      <c r="A10" s="53"/>
      <c r="B10" s="76"/>
      <c r="C10" s="75"/>
      <c r="D10" s="75"/>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row>
    <row r="11" spans="1:37" x14ac:dyDescent="0.3">
      <c r="A11" s="53"/>
      <c r="B11" s="75"/>
      <c r="C11" s="75"/>
      <c r="D11" s="75"/>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row>
    <row r="12" spans="1:37" x14ac:dyDescent="0.3">
      <c r="A12" s="53"/>
      <c r="B12" s="75"/>
      <c r="C12" s="75"/>
      <c r="D12" s="75"/>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row>
    <row r="13" spans="1:37" x14ac:dyDescent="0.3">
      <c r="A13" s="53"/>
      <c r="B13" s="75"/>
      <c r="C13" s="75"/>
      <c r="D13" s="7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row>
    <row r="14" spans="1:37" x14ac:dyDescent="0.3">
      <c r="A14" s="53"/>
      <c r="B14" s="75"/>
      <c r="C14" s="75"/>
      <c r="D14" s="75"/>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row>
    <row r="15" spans="1:37" x14ac:dyDescent="0.3">
      <c r="A15" s="53"/>
      <c r="B15" s="75"/>
      <c r="C15" s="75"/>
      <c r="D15" s="75"/>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row>
    <row r="16" spans="1:37" x14ac:dyDescent="0.3">
      <c r="A16" s="53"/>
      <c r="B16" s="75"/>
      <c r="C16" s="75"/>
      <c r="D16" s="75"/>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pans="1:37" x14ac:dyDescent="0.3">
      <c r="A17" s="53"/>
      <c r="B17" s="75"/>
      <c r="C17" s="75"/>
      <c r="D17" s="75"/>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row>
    <row r="18" spans="1:37" x14ac:dyDescent="0.3">
      <c r="A18" s="53"/>
      <c r="B18" s="75"/>
      <c r="C18" s="75"/>
      <c r="D18" s="75"/>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row>
    <row r="19" spans="1:37" x14ac:dyDescent="0.3">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row>
    <row r="20" spans="1:37" x14ac:dyDescent="0.3">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row>
    <row r="21" spans="1:37" x14ac:dyDescent="0.3">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row>
    <row r="22" spans="1:37" x14ac:dyDescent="0.3">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row>
    <row r="23" spans="1:37" x14ac:dyDescent="0.3">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row>
    <row r="24" spans="1:37" x14ac:dyDescent="0.3">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row>
    <row r="25" spans="1:37" x14ac:dyDescent="0.3">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row>
    <row r="26" spans="1:37" x14ac:dyDescent="0.3">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7" x14ac:dyDescent="0.3">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row>
    <row r="28" spans="1:37" x14ac:dyDescent="0.3">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row>
    <row r="29" spans="1:37" x14ac:dyDescent="0.3">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row>
    <row r="30" spans="1:37" x14ac:dyDescent="0.3">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1" spans="1:37" x14ac:dyDescent="0.3">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row>
    <row r="32" spans="1:37"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1:31" x14ac:dyDescent="0.3">
      <c r="A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row>
    <row r="34" spans="1:31" x14ac:dyDescent="0.3">
      <c r="A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row>
    <row r="35" spans="1:31" x14ac:dyDescent="0.3">
      <c r="A35" s="53"/>
    </row>
    <row r="36" spans="1:31" x14ac:dyDescent="0.3">
      <c r="A36" s="53"/>
    </row>
    <row r="37" spans="1:31" x14ac:dyDescent="0.3">
      <c r="A37" s="53"/>
    </row>
    <row r="38" spans="1:31" x14ac:dyDescent="0.3">
      <c r="A38" s="53"/>
    </row>
    <row r="39" spans="1:31" x14ac:dyDescent="0.3">
      <c r="A39" s="53"/>
    </row>
    <row r="40" spans="1:31" x14ac:dyDescent="0.3">
      <c r="A40" s="53"/>
    </row>
    <row r="41" spans="1:31" x14ac:dyDescent="0.3">
      <c r="A41" s="53"/>
    </row>
    <row r="42" spans="1:31" x14ac:dyDescent="0.3">
      <c r="A42" s="53"/>
    </row>
    <row r="43" spans="1:31" x14ac:dyDescent="0.3">
      <c r="A43" s="53"/>
    </row>
    <row r="44" spans="1:31" x14ac:dyDescent="0.3">
      <c r="A44" s="53"/>
    </row>
    <row r="45" spans="1:31" x14ac:dyDescent="0.3">
      <c r="A45" s="53"/>
    </row>
    <row r="46" spans="1:31" x14ac:dyDescent="0.3">
      <c r="A46" s="53"/>
    </row>
    <row r="47" spans="1:31" x14ac:dyDescent="0.3">
      <c r="A47" s="53"/>
    </row>
    <row r="48" spans="1:31" x14ac:dyDescent="0.3">
      <c r="A48" s="53"/>
    </row>
    <row r="49" spans="1:1" x14ac:dyDescent="0.3">
      <c r="A49" s="53"/>
    </row>
    <row r="50" spans="1:1" x14ac:dyDescent="0.3">
      <c r="A50" s="53"/>
    </row>
    <row r="51" spans="1:1" x14ac:dyDescent="0.3">
      <c r="A51" s="53"/>
    </row>
    <row r="52" spans="1:1" x14ac:dyDescent="0.3">
      <c r="A52" s="53"/>
    </row>
    <row r="53" spans="1:1" x14ac:dyDescent="0.3">
      <c r="A53" s="53"/>
    </row>
    <row r="54" spans="1:1" x14ac:dyDescent="0.3">
      <c r="A54" s="53"/>
    </row>
    <row r="55" spans="1:1" x14ac:dyDescent="0.3">
      <c r="A55" s="53"/>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LISTADOS</vt: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2025-04-09T15:23:54Z</dcterms:modified>
</cp:coreProperties>
</file>