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drawings/drawing3.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EDUARDO HERNANDEZ\OneDrive\Documentos\SECRETARIA DE PLANEACION MPAL\2024\INFORME DE ACTIVIDADES\REVISION DEPENDENCIAS\MATRIZ\1. MONITOREO\10-8-24 REV SIGAMI RIESGOS GEST-CORRUPCION\6. BIM (NOV-DIC24)\3. GEST CONTROL DISCIPL\"/>
    </mc:Choice>
  </mc:AlternateContent>
  <xr:revisionPtr revIDLastSave="0" documentId="13_ncr:1_{8A530507-4A8A-47A0-B1C1-1460FD0948C3}" xr6:coauthVersionLast="47" xr6:coauthVersionMax="47" xr10:uidLastSave="{00000000-0000-0000-0000-000000000000}"/>
  <bookViews>
    <workbookView xWindow="-108" yWindow="-108" windowWidth="23256" windowHeight="12456" tabRatio="500" activeTab="4" xr2:uid="{00000000-000D-0000-FFFF-FFFF00000000}"/>
  </bookViews>
  <sheets>
    <sheet name="Intructivo" sheetId="1" r:id="rId1"/>
    <sheet name="CONTEXTO" sheetId="10" r:id="rId2"/>
    <sheet name="PRIORIZACIÓN DE CAUSA" sheetId="11" r:id="rId3"/>
    <sheet name="DOFA" sheetId="12" r:id="rId4"/>
    <sheet name="Mapa final" sheetId="2" r:id="rId5"/>
    <sheet name="Matriz Calor Inherente" sheetId="3" r:id="rId6"/>
    <sheet name="Matriz Calor Residual" sheetId="4" r:id="rId7"/>
    <sheet name="Tabla probabilidad" sheetId="5" r:id="rId8"/>
    <sheet name="Tabla Impacto" sheetId="6" r:id="rId9"/>
    <sheet name="Tabla Valoración controles" sheetId="7" r:id="rId10"/>
    <sheet name="Opciones Tratamiento" sheetId="8" state="hidden" r:id="rId11"/>
    <sheet name="Hoja1" sheetId="9" state="hidden" r:id="rId12"/>
  </sheets>
  <externalReferences>
    <externalReference r:id="rId13"/>
  </externalReferences>
  <calcPr calcId="191029"/>
  <pivotCaches>
    <pivotCache cacheId="7"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R34" i="11" l="1"/>
  <c r="S34" i="11"/>
  <c r="B30" i="11"/>
  <c r="E26" i="12"/>
  <c r="W23" i="2"/>
  <c r="D16" i="10"/>
  <c r="C50" i="12"/>
  <c r="C49" i="12"/>
  <c r="C48" i="12"/>
  <c r="C47" i="12"/>
  <c r="E31" i="12"/>
  <c r="E30" i="12"/>
  <c r="E29" i="12"/>
  <c r="E28" i="12"/>
  <c r="E27" i="12"/>
  <c r="E25" i="12"/>
  <c r="E24" i="12"/>
  <c r="E23" i="12"/>
  <c r="E22" i="12"/>
  <c r="E21" i="12"/>
  <c r="E20" i="12"/>
  <c r="E19" i="12"/>
  <c r="E18" i="12"/>
  <c r="E17" i="12"/>
  <c r="E16" i="12"/>
  <c r="E15" i="12"/>
  <c r="E14" i="12"/>
  <c r="E13" i="12"/>
  <c r="E12" i="12"/>
  <c r="E11" i="12"/>
  <c r="A6" i="12"/>
  <c r="S40" i="11"/>
  <c r="R40" i="11"/>
  <c r="S39" i="11"/>
  <c r="R39" i="11"/>
  <c r="S38" i="11"/>
  <c r="R38" i="11"/>
  <c r="S37" i="11"/>
  <c r="R37" i="11"/>
  <c r="S36" i="11"/>
  <c r="R36" i="11"/>
  <c r="S35" i="11"/>
  <c r="R35" i="11"/>
  <c r="S33" i="11"/>
  <c r="R33" i="11"/>
  <c r="B33" i="11"/>
  <c r="S32" i="11"/>
  <c r="R32" i="11"/>
  <c r="B32" i="11"/>
  <c r="S31" i="11"/>
  <c r="R31" i="11"/>
  <c r="B31" i="11"/>
  <c r="S30" i="11"/>
  <c r="R30" i="11"/>
  <c r="S29" i="11"/>
  <c r="R29" i="11"/>
  <c r="B29" i="11"/>
  <c r="S28" i="11"/>
  <c r="R28" i="11"/>
  <c r="B28" i="11"/>
  <c r="S27" i="11"/>
  <c r="R27" i="11"/>
  <c r="B27" i="11"/>
  <c r="S26" i="11"/>
  <c r="R26" i="11"/>
  <c r="B26" i="11"/>
  <c r="S25" i="11"/>
  <c r="R25" i="11"/>
  <c r="B25" i="11"/>
  <c r="S24" i="11"/>
  <c r="R24" i="11"/>
  <c r="B24" i="11"/>
  <c r="S23" i="11"/>
  <c r="R23" i="11"/>
  <c r="B23" i="11"/>
  <c r="S22" i="11"/>
  <c r="R22" i="11"/>
  <c r="B22" i="11"/>
  <c r="S21" i="11"/>
  <c r="R21" i="11"/>
  <c r="B21" i="11"/>
  <c r="S20" i="11"/>
  <c r="R20" i="11"/>
  <c r="B20" i="11"/>
  <c r="S19" i="11"/>
  <c r="R19" i="11"/>
  <c r="B19" i="11"/>
  <c r="S18" i="11"/>
  <c r="R18" i="11"/>
  <c r="B18" i="11"/>
  <c r="S17" i="11"/>
  <c r="R17" i="11"/>
  <c r="B17" i="11"/>
  <c r="S16" i="11"/>
  <c r="R16" i="11"/>
  <c r="B16" i="11"/>
  <c r="S15" i="11"/>
  <c r="R15" i="11"/>
  <c r="B15" i="11"/>
  <c r="S14" i="11"/>
  <c r="R14" i="11"/>
  <c r="B14" i="11"/>
  <c r="S13" i="11"/>
  <c r="R13" i="11"/>
  <c r="B13" i="11"/>
  <c r="S12" i="11"/>
  <c r="R12" i="11"/>
  <c r="S11" i="11"/>
  <c r="R11" i="11"/>
  <c r="A7" i="11"/>
  <c r="A6" i="11"/>
  <c r="S41" i="11" l="1"/>
  <c r="S42" i="11" s="1"/>
  <c r="AL44" i="3"/>
  <c r="AJ44" i="3"/>
  <c r="AF44" i="3"/>
  <c r="AD44" i="3"/>
  <c r="Z44" i="3"/>
  <c r="X44" i="3"/>
  <c r="T44" i="3"/>
  <c r="R44" i="3"/>
  <c r="N44" i="3"/>
  <c r="L44" i="3"/>
  <c r="AL36" i="3"/>
  <c r="AJ36" i="3"/>
  <c r="AF36" i="3"/>
  <c r="AD36" i="3"/>
  <c r="Z36" i="3"/>
  <c r="X36" i="3"/>
  <c r="T36" i="3"/>
  <c r="R36" i="3"/>
  <c r="N36" i="3"/>
  <c r="L36" i="3"/>
  <c r="AL28" i="3"/>
  <c r="AJ28" i="3"/>
  <c r="AF28" i="3"/>
  <c r="AD28" i="3"/>
  <c r="Z28" i="3"/>
  <c r="X28" i="3"/>
  <c r="T28" i="3"/>
  <c r="R28" i="3"/>
  <c r="N28" i="3"/>
  <c r="L28" i="3"/>
  <c r="AL20" i="3"/>
  <c r="AJ20" i="3"/>
  <c r="AF20" i="3"/>
  <c r="AD20" i="3"/>
  <c r="Z20" i="3"/>
  <c r="X20" i="3"/>
  <c r="T20" i="3"/>
  <c r="R20" i="3"/>
  <c r="N20" i="3"/>
  <c r="L20" i="3"/>
  <c r="AL12" i="3"/>
  <c r="AJ12" i="3"/>
  <c r="AF12" i="3"/>
  <c r="AD12" i="3"/>
  <c r="Z12" i="3"/>
  <c r="X12" i="3"/>
  <c r="T12" i="3"/>
  <c r="R12" i="3"/>
  <c r="N12" i="3"/>
  <c r="L12" i="3"/>
  <c r="W65" i="2"/>
  <c r="T65" i="2"/>
  <c r="W64" i="2"/>
  <c r="T64" i="2"/>
  <c r="W63" i="2"/>
  <c r="T63" i="2"/>
  <c r="W62" i="2"/>
  <c r="T62" i="2"/>
  <c r="W61" i="2"/>
  <c r="T61" i="2"/>
  <c r="W60" i="2"/>
  <c r="T60" i="2"/>
  <c r="AE60" i="2" s="1"/>
  <c r="AD60" i="2" s="1"/>
  <c r="K60" i="2"/>
  <c r="L60" i="2" s="1"/>
  <c r="W59" i="2"/>
  <c r="T59" i="2"/>
  <c r="W58" i="2"/>
  <c r="T58" i="2"/>
  <c r="W57" i="2"/>
  <c r="T57" i="2"/>
  <c r="W56" i="2"/>
  <c r="T56" i="2"/>
  <c r="W55" i="2"/>
  <c r="T55" i="2"/>
  <c r="W54" i="2"/>
  <c r="T54" i="2"/>
  <c r="K54" i="2"/>
  <c r="L54" i="2" s="1"/>
  <c r="W53" i="2"/>
  <c r="T53" i="2"/>
  <c r="W52" i="2"/>
  <c r="T52" i="2"/>
  <c r="W51" i="2"/>
  <c r="T51" i="2"/>
  <c r="W50" i="2"/>
  <c r="T50" i="2"/>
  <c r="W49" i="2"/>
  <c r="T49" i="2"/>
  <c r="W48" i="2"/>
  <c r="T48" i="2"/>
  <c r="K48" i="2"/>
  <c r="L48" i="2" s="1"/>
  <c r="W47" i="2"/>
  <c r="T47" i="2"/>
  <c r="W46" i="2"/>
  <c r="T46" i="2"/>
  <c r="W45" i="2"/>
  <c r="T45" i="2"/>
  <c r="W44" i="2"/>
  <c r="T44" i="2"/>
  <c r="W43" i="2"/>
  <c r="T43" i="2"/>
  <c r="W42" i="2"/>
  <c r="T42" i="2"/>
  <c r="AA42" i="2" s="1"/>
  <c r="AC42" i="2" s="1"/>
  <c r="K42" i="2"/>
  <c r="W41" i="2"/>
  <c r="T41" i="2"/>
  <c r="W40" i="2"/>
  <c r="T40" i="2"/>
  <c r="W39" i="2"/>
  <c r="T39" i="2"/>
  <c r="W38" i="2"/>
  <c r="T38" i="2"/>
  <c r="W37" i="2"/>
  <c r="T37" i="2"/>
  <c r="W36" i="2"/>
  <c r="T36" i="2"/>
  <c r="K36" i="2"/>
  <c r="L36" i="2" s="1"/>
  <c r="W35" i="2"/>
  <c r="T35" i="2"/>
  <c r="W34" i="2"/>
  <c r="T34" i="2"/>
  <c r="W33" i="2"/>
  <c r="T33" i="2"/>
  <c r="W32" i="2"/>
  <c r="T32" i="2"/>
  <c r="W31" i="2"/>
  <c r="T31" i="2"/>
  <c r="W30" i="2"/>
  <c r="T30" i="2"/>
  <c r="AA30" i="2" s="1"/>
  <c r="AC30" i="2" s="1"/>
  <c r="K30" i="2"/>
  <c r="L30" i="2" s="1"/>
  <c r="W29" i="2"/>
  <c r="T29" i="2"/>
  <c r="W28" i="2"/>
  <c r="T28" i="2"/>
  <c r="W27" i="2"/>
  <c r="T27" i="2"/>
  <c r="W26" i="2"/>
  <c r="T26" i="2"/>
  <c r="W25" i="2"/>
  <c r="T25" i="2"/>
  <c r="W24" i="2"/>
  <c r="T24" i="2"/>
  <c r="AE24" i="2" s="1"/>
  <c r="AD24" i="2" s="1"/>
  <c r="K24" i="2"/>
  <c r="W22" i="2"/>
  <c r="P22" i="2"/>
  <c r="AE22" i="2" s="1"/>
  <c r="AE23" i="2" s="1"/>
  <c r="K22" i="2"/>
  <c r="L22" i="2" s="1"/>
  <c r="W21" i="2"/>
  <c r="T21" i="2"/>
  <c r="W20" i="2"/>
  <c r="T20" i="2"/>
  <c r="W19" i="2"/>
  <c r="T19" i="2"/>
  <c r="W18" i="2"/>
  <c r="T18" i="2"/>
  <c r="W17" i="2"/>
  <c r="T17" i="2"/>
  <c r="W16" i="2"/>
  <c r="T16" i="2"/>
  <c r="K16" i="2"/>
  <c r="W15" i="2"/>
  <c r="T15" i="2"/>
  <c r="W14" i="2"/>
  <c r="T14" i="2"/>
  <c r="W13" i="2"/>
  <c r="T13" i="2"/>
  <c r="W12" i="2"/>
  <c r="T12" i="2"/>
  <c r="W11" i="2"/>
  <c r="T11" i="2"/>
  <c r="W10" i="2"/>
  <c r="T10" i="2"/>
  <c r="K10" i="2"/>
  <c r="B221" i="6" a="1"/>
  <c r="N65" i="2"/>
  <c r="N49" i="2"/>
  <c r="N33" i="2"/>
  <c r="N18" i="2"/>
  <c r="N46" i="2"/>
  <c r="N11" i="2"/>
  <c r="N47" i="2"/>
  <c r="N31" i="2"/>
  <c r="N12" i="2"/>
  <c r="N40" i="2"/>
  <c r="N21" i="2"/>
  <c r="N45" i="2"/>
  <c r="N14" i="2"/>
  <c r="N23" i="2"/>
  <c r="N27" i="2"/>
  <c r="N32" i="2"/>
  <c r="N57" i="2"/>
  <c r="N41" i="2"/>
  <c r="N25" i="2"/>
  <c r="N58" i="2"/>
  <c r="N34" i="2"/>
  <c r="N19" i="2"/>
  <c r="N55" i="2"/>
  <c r="N39" i="2"/>
  <c r="N52" i="2"/>
  <c r="N28" i="2"/>
  <c r="N13" i="2"/>
  <c r="N64" i="2"/>
  <c r="N53" i="2"/>
  <c r="N37" i="2"/>
  <c r="N50" i="2"/>
  <c r="N26" i="2"/>
  <c r="N15" i="2"/>
  <c r="N51" i="2"/>
  <c r="N35" i="2"/>
  <c r="N20" i="2"/>
  <c r="N44" i="2"/>
  <c r="N62" i="2"/>
  <c r="N63" i="2"/>
  <c r="N61" i="2"/>
  <c r="N29" i="2"/>
  <c r="N38" i="2"/>
  <c r="N59" i="2"/>
  <c r="N43" i="2"/>
  <c r="N56" i="2"/>
  <c r="N17" i="2"/>
  <c r="AA62" i="2" l="1"/>
  <c r="AC62" i="2" s="1"/>
  <c r="AE49" i="2"/>
  <c r="AD49" i="2" s="1"/>
  <c r="AA35" i="2"/>
  <c r="AB35" i="2" s="1"/>
  <c r="AA34" i="2"/>
  <c r="AC34" i="2" s="1"/>
  <c r="B223" i="6"/>
  <c r="AA20" i="2"/>
  <c r="AB20" i="2" s="1"/>
  <c r="AE21" i="2"/>
  <c r="AD21" i="2" s="1"/>
  <c r="AE33" i="2"/>
  <c r="AD33" i="2" s="1"/>
  <c r="AA37" i="2"/>
  <c r="AB37" i="2" s="1"/>
  <c r="AE50" i="2"/>
  <c r="AD50" i="2" s="1"/>
  <c r="AA63" i="2"/>
  <c r="AC63" i="2" s="1"/>
  <c r="AA28" i="2"/>
  <c r="AC28" i="2" s="1"/>
  <c r="AE64" i="2"/>
  <c r="AD64" i="2" s="1"/>
  <c r="AA22" i="2"/>
  <c r="AC22" i="2" s="1"/>
  <c r="AA23" i="2" s="1"/>
  <c r="AE55" i="2"/>
  <c r="AD55" i="2" s="1"/>
  <c r="AA27" i="2"/>
  <c r="AB27" i="2" s="1"/>
  <c r="AE32" i="2"/>
  <c r="AD32" i="2" s="1"/>
  <c r="AA41" i="2"/>
  <c r="AB41" i="2" s="1"/>
  <c r="AA52" i="2"/>
  <c r="AB52" i="2" s="1"/>
  <c r="T43" i="4" s="1"/>
  <c r="AE54" i="2"/>
  <c r="AD54" i="2" s="1"/>
  <c r="AA58" i="2"/>
  <c r="AB58" i="2" s="1"/>
  <c r="AA60" i="2"/>
  <c r="AC60" i="2" s="1"/>
  <c r="AE65" i="2"/>
  <c r="AD65" i="2" s="1"/>
  <c r="AA15" i="2"/>
  <c r="AB15" i="2" s="1"/>
  <c r="AA26" i="2"/>
  <c r="AC26" i="2" s="1"/>
  <c r="AE35" i="2"/>
  <c r="AD35" i="2" s="1"/>
  <c r="AE36" i="2"/>
  <c r="AD36" i="2" s="1"/>
  <c r="AE28" i="2"/>
  <c r="AD28" i="2" s="1"/>
  <c r="AE13" i="2"/>
  <c r="AD13" i="2" s="1"/>
  <c r="AE29" i="2"/>
  <c r="AD29" i="2" s="1"/>
  <c r="AA38" i="2"/>
  <c r="AA47" i="2"/>
  <c r="AC47" i="2" s="1"/>
  <c r="AA49" i="2"/>
  <c r="AC49" i="2" s="1"/>
  <c r="AC27" i="2"/>
  <c r="AE26" i="2"/>
  <c r="AD26" i="2" s="1"/>
  <c r="AA31" i="2"/>
  <c r="AB31" i="2" s="1"/>
  <c r="AA43" i="2"/>
  <c r="AC43" i="2" s="1"/>
  <c r="AA24" i="2"/>
  <c r="AA25" i="2"/>
  <c r="AC25" i="2" s="1"/>
  <c r="AA48" i="2"/>
  <c r="AB48" i="2" s="1"/>
  <c r="AA33" i="2"/>
  <c r="AC33" i="2" s="1"/>
  <c r="AE48" i="2"/>
  <c r="AD48" i="2" s="1"/>
  <c r="AA55" i="2"/>
  <c r="AE25" i="2"/>
  <c r="AD25" i="2" s="1"/>
  <c r="AB30" i="2"/>
  <c r="AA39" i="2"/>
  <c r="AB39" i="2" s="1"/>
  <c r="AB42" i="2"/>
  <c r="AE59" i="2"/>
  <c r="AD59" i="2" s="1"/>
  <c r="AE61" i="2"/>
  <c r="AD61" i="2" s="1"/>
  <c r="AA61" i="2"/>
  <c r="AC61" i="2" s="1"/>
  <c r="AA14" i="2"/>
  <c r="AC14" i="2" s="1"/>
  <c r="AE15" i="2"/>
  <c r="AD15" i="2" s="1"/>
  <c r="AA18" i="2"/>
  <c r="AC18" i="2" s="1"/>
  <c r="AE20" i="2"/>
  <c r="AD20" i="2" s="1"/>
  <c r="AE30" i="2"/>
  <c r="AD30" i="2" s="1"/>
  <c r="AA32" i="2"/>
  <c r="AC32" i="2" s="1"/>
  <c r="AB34" i="2"/>
  <c r="AA36" i="2"/>
  <c r="AB36" i="2" s="1"/>
  <c r="AE42" i="2"/>
  <c r="AD42" i="2" s="1"/>
  <c r="AA50" i="2"/>
  <c r="AC50" i="2" s="1"/>
  <c r="AE52" i="2"/>
  <c r="AD52" i="2" s="1"/>
  <c r="AA54" i="2"/>
  <c r="AE27" i="2"/>
  <c r="AD27" i="2" s="1"/>
  <c r="AE46" i="2"/>
  <c r="AD46" i="2" s="1"/>
  <c r="AE56" i="2"/>
  <c r="AD56" i="2" s="1"/>
  <c r="AE58" i="2"/>
  <c r="AD58" i="2" s="1"/>
  <c r="AE62" i="2"/>
  <c r="AD62" i="2" s="1"/>
  <c r="AC35" i="2"/>
  <c r="AE45" i="2"/>
  <c r="AD45" i="2" s="1"/>
  <c r="AA44" i="2"/>
  <c r="AA19" i="2"/>
  <c r="AF30" i="3"/>
  <c r="AF22" i="3"/>
  <c r="AF14" i="3"/>
  <c r="AF6" i="3"/>
  <c r="N38" i="3"/>
  <c r="AL38" i="3"/>
  <c r="Z30" i="3"/>
  <c r="Z22" i="3"/>
  <c r="Z14" i="3"/>
  <c r="Z6" i="3"/>
  <c r="AF38" i="3"/>
  <c r="T30" i="3"/>
  <c r="T22" i="3"/>
  <c r="T14" i="3"/>
  <c r="T6" i="3"/>
  <c r="Z38" i="3"/>
  <c r="AL30" i="3"/>
  <c r="N30" i="3"/>
  <c r="AL22" i="3"/>
  <c r="N22" i="3"/>
  <c r="AL14" i="3"/>
  <c r="N14" i="3"/>
  <c r="AL6" i="3"/>
  <c r="N6" i="3"/>
  <c r="T38" i="3"/>
  <c r="AE39" i="2"/>
  <c r="AD39" i="2" s="1"/>
  <c r="AA13" i="2"/>
  <c r="AB54" i="2"/>
  <c r="AC54" i="2"/>
  <c r="AE41" i="2"/>
  <c r="AD41" i="2" s="1"/>
  <c r="AE44" i="2"/>
  <c r="AD44" i="2" s="1"/>
  <c r="AE38" i="2"/>
  <c r="AD38" i="2" s="1"/>
  <c r="AA40" i="2"/>
  <c r="AE47" i="2"/>
  <c r="AD47" i="2" s="1"/>
  <c r="L10" i="2"/>
  <c r="AA10" i="2" s="1"/>
  <c r="Q22" i="2"/>
  <c r="AA21" i="2"/>
  <c r="AE31" i="2"/>
  <c r="AD31" i="2" s="1"/>
  <c r="L42" i="2"/>
  <c r="AA46" i="2"/>
  <c r="AE19" i="2"/>
  <c r="AD19" i="2" s="1"/>
  <c r="AE18" i="2"/>
  <c r="AD18" i="2" s="1"/>
  <c r="L24" i="2"/>
  <c r="AE34" i="2"/>
  <c r="AD34" i="2" s="1"/>
  <c r="AB40" i="4"/>
  <c r="AE40" i="2"/>
  <c r="AD40" i="2" s="1"/>
  <c r="AA45" i="2"/>
  <c r="AE14" i="2"/>
  <c r="AD14" i="2" s="1"/>
  <c r="L16" i="2"/>
  <c r="AA16" i="2" s="1"/>
  <c r="AA29" i="2"/>
  <c r="AE37" i="2"/>
  <c r="AD37" i="2" s="1"/>
  <c r="AE43" i="2"/>
  <c r="AD43" i="2" s="1"/>
  <c r="AE51" i="2"/>
  <c r="AD51" i="2" s="1"/>
  <c r="AA51" i="2"/>
  <c r="AA53" i="2"/>
  <c r="AE53" i="2"/>
  <c r="AD53" i="2" s="1"/>
  <c r="AA57" i="2"/>
  <c r="AA56" i="2"/>
  <c r="AB62" i="2"/>
  <c r="AE63" i="2"/>
  <c r="AD63" i="2" s="1"/>
  <c r="AE57" i="2"/>
  <c r="AD57" i="2" s="1"/>
  <c r="AA65" i="2"/>
  <c r="AA59" i="2"/>
  <c r="AA64" i="2"/>
  <c r="B221" i="6"/>
  <c r="B222" i="6"/>
  <c r="J32" i="4" l="1"/>
  <c r="AK29" i="4"/>
  <c r="V53" i="4"/>
  <c r="P42" i="4"/>
  <c r="Q40" i="4"/>
  <c r="AB47" i="2"/>
  <c r="AM42" i="4" s="1"/>
  <c r="AC41" i="2"/>
  <c r="J51" i="4"/>
  <c r="AC58" i="2"/>
  <c r="P10" i="4"/>
  <c r="T23" i="4"/>
  <c r="T13" i="4"/>
  <c r="AF52" i="2"/>
  <c r="N23" i="4"/>
  <c r="AH23" i="4"/>
  <c r="Z33" i="4"/>
  <c r="P13" i="4"/>
  <c r="AL43" i="4"/>
  <c r="AB52" i="4"/>
  <c r="P53" i="4"/>
  <c r="AC39" i="2"/>
  <c r="AC36" i="2"/>
  <c r="AH41" i="4"/>
  <c r="AH31" i="4"/>
  <c r="AB11" i="4"/>
  <c r="Y39" i="4"/>
  <c r="P21" i="4"/>
  <c r="J11" i="4"/>
  <c r="V11" i="4"/>
  <c r="AB42" i="4"/>
  <c r="AB23" i="2"/>
  <c r="AF23" i="2" s="1"/>
  <c r="AC23" i="2"/>
  <c r="M49" i="4"/>
  <c r="AE29" i="4"/>
  <c r="AK19" i="4"/>
  <c r="AE39" i="4"/>
  <c r="P30" i="4"/>
  <c r="AB25" i="2"/>
  <c r="Q49" i="4" s="1"/>
  <c r="AC37" i="2"/>
  <c r="AK39" i="4"/>
  <c r="Y19" i="4"/>
  <c r="S19" i="4"/>
  <c r="S49" i="4"/>
  <c r="J50" i="4"/>
  <c r="AK49" i="4"/>
  <c r="S9" i="4"/>
  <c r="AE49" i="4"/>
  <c r="V10" i="4"/>
  <c r="AC15" i="2"/>
  <c r="AE19" i="4"/>
  <c r="S29" i="4"/>
  <c r="AB28" i="2"/>
  <c r="AL29" i="4" s="1"/>
  <c r="M9" i="4"/>
  <c r="AF27" i="2"/>
  <c r="M29" i="4"/>
  <c r="AH20" i="4"/>
  <c r="Y29" i="4"/>
  <c r="AB50" i="4"/>
  <c r="AB41" i="4"/>
  <c r="AB32" i="2"/>
  <c r="X50" i="4" s="1"/>
  <c r="AB63" i="2"/>
  <c r="AK45" i="4" s="1"/>
  <c r="AE9" i="4"/>
  <c r="AB60" i="2"/>
  <c r="V35" i="4" s="1"/>
  <c r="AB20" i="4"/>
  <c r="AC20" i="2"/>
  <c r="V13" i="4"/>
  <c r="AF53" i="4"/>
  <c r="AL10" i="4"/>
  <c r="T33" i="4"/>
  <c r="AF13" i="4"/>
  <c r="Z23" i="4"/>
  <c r="AL33" i="4"/>
  <c r="N53" i="4"/>
  <c r="AF43" i="4"/>
  <c r="AC52" i="2"/>
  <c r="AC48" i="2"/>
  <c r="AB13" i="4"/>
  <c r="AH30" i="4"/>
  <c r="P50" i="4"/>
  <c r="J20" i="4"/>
  <c r="AB30" i="4"/>
  <c r="AH50" i="4"/>
  <c r="P20" i="4"/>
  <c r="AF33" i="4"/>
  <c r="N13" i="4"/>
  <c r="AL23" i="4"/>
  <c r="N43" i="4"/>
  <c r="Z53" i="4"/>
  <c r="T53" i="4"/>
  <c r="V30" i="4"/>
  <c r="J40" i="4"/>
  <c r="AH10" i="4"/>
  <c r="V50" i="4"/>
  <c r="V40" i="4"/>
  <c r="AB10" i="4"/>
  <c r="AB22" i="2"/>
  <c r="P28" i="4" s="1"/>
  <c r="AB18" i="2"/>
  <c r="R47" i="4" s="1"/>
  <c r="AB26" i="2"/>
  <c r="R29" i="4" s="1"/>
  <c r="AL48" i="4"/>
  <c r="Y9" i="4"/>
  <c r="M19" i="4"/>
  <c r="AK9" i="4"/>
  <c r="M39" i="4"/>
  <c r="Y49" i="4"/>
  <c r="S39" i="4"/>
  <c r="J23" i="4"/>
  <c r="AB43" i="4"/>
  <c r="AH40" i="4"/>
  <c r="J10" i="4"/>
  <c r="V20" i="4"/>
  <c r="P40" i="4"/>
  <c r="J30" i="4"/>
  <c r="AL13" i="4"/>
  <c r="Z13" i="4"/>
  <c r="AF23" i="4"/>
  <c r="N33" i="4"/>
  <c r="Z43" i="4"/>
  <c r="AL53" i="4"/>
  <c r="AB50" i="2"/>
  <c r="L23" i="4" s="1"/>
  <c r="Z20" i="4"/>
  <c r="AF20" i="4"/>
  <c r="AB49" i="2"/>
  <c r="AI33" i="4" s="1"/>
  <c r="Z50" i="4"/>
  <c r="AH33" i="4"/>
  <c r="AB38" i="2"/>
  <c r="X31" i="4" s="1"/>
  <c r="AC38" i="2"/>
  <c r="N50" i="4"/>
  <c r="K40" i="4"/>
  <c r="K10" i="4"/>
  <c r="W40" i="4"/>
  <c r="AB14" i="2"/>
  <c r="AF46" i="4" s="1"/>
  <c r="W10" i="4"/>
  <c r="AC40" i="4"/>
  <c r="AI40" i="4"/>
  <c r="J42" i="4"/>
  <c r="V42" i="4"/>
  <c r="P52" i="4"/>
  <c r="AI10" i="4"/>
  <c r="Q50" i="4"/>
  <c r="K50" i="4"/>
  <c r="P31" i="4"/>
  <c r="AH11" i="4"/>
  <c r="J52" i="4"/>
  <c r="J33" i="4"/>
  <c r="J13" i="4"/>
  <c r="J21" i="4"/>
  <c r="V32" i="4"/>
  <c r="P33" i="4"/>
  <c r="V23" i="4"/>
  <c r="AC10" i="4"/>
  <c r="W20" i="4"/>
  <c r="K30" i="4"/>
  <c r="AI50" i="4"/>
  <c r="V31" i="4"/>
  <c r="AB31" i="4"/>
  <c r="V21" i="4"/>
  <c r="T40" i="4"/>
  <c r="AH32" i="4"/>
  <c r="J22" i="4"/>
  <c r="P12" i="4"/>
  <c r="AF31" i="2"/>
  <c r="V33" i="4"/>
  <c r="AB21" i="4"/>
  <c r="V12" i="4"/>
  <c r="P43" i="4"/>
  <c r="AF34" i="2"/>
  <c r="K20" i="4"/>
  <c r="W50" i="4"/>
  <c r="AB51" i="4"/>
  <c r="AL40" i="4"/>
  <c r="AB22" i="4"/>
  <c r="AF48" i="2"/>
  <c r="AB61" i="2"/>
  <c r="Q25" i="4" s="1"/>
  <c r="AB53" i="4"/>
  <c r="AB33" i="4"/>
  <c r="AH13" i="4"/>
  <c r="Q20" i="4"/>
  <c r="AI20" i="4"/>
  <c r="W30" i="4"/>
  <c r="P51" i="4"/>
  <c r="P41" i="4"/>
  <c r="AH21" i="4"/>
  <c r="AF40" i="4"/>
  <c r="AH22" i="4"/>
  <c r="V22" i="4"/>
  <c r="AB12" i="4"/>
  <c r="AB24" i="2"/>
  <c r="AC24" i="2"/>
  <c r="J12" i="4"/>
  <c r="P23" i="4"/>
  <c r="P32" i="4"/>
  <c r="AC50" i="4"/>
  <c r="J41" i="4"/>
  <c r="AC31" i="2"/>
  <c r="AF42" i="2"/>
  <c r="AH12" i="4"/>
  <c r="J43" i="4"/>
  <c r="V43" i="4"/>
  <c r="AB23" i="4"/>
  <c r="AB43" i="2"/>
  <c r="AI42" i="4" s="1"/>
  <c r="Q10" i="4"/>
  <c r="Q30" i="4"/>
  <c r="AI30" i="4"/>
  <c r="V51" i="4"/>
  <c r="AH51" i="4"/>
  <c r="J31" i="4"/>
  <c r="T50" i="4"/>
  <c r="AH42" i="4"/>
  <c r="AH52" i="4"/>
  <c r="P22" i="4"/>
  <c r="AB33" i="2"/>
  <c r="AK40" i="4" s="1"/>
  <c r="AF30" i="2"/>
  <c r="AB55" i="2"/>
  <c r="AC55" i="2"/>
  <c r="AF36" i="2"/>
  <c r="AH53" i="4"/>
  <c r="J53" i="4"/>
  <c r="AH43" i="4"/>
  <c r="AF30" i="4"/>
  <c r="AC20" i="4"/>
  <c r="AC30" i="4"/>
  <c r="P11" i="4"/>
  <c r="V41" i="4"/>
  <c r="T10" i="4"/>
  <c r="V52" i="4"/>
  <c r="AB32" i="4"/>
  <c r="AE51" i="4"/>
  <c r="S51" i="4"/>
  <c r="AE41" i="4"/>
  <c r="S41" i="4"/>
  <c r="AE31" i="4"/>
  <c r="S31" i="4"/>
  <c r="AK51" i="4"/>
  <c r="Y51" i="4"/>
  <c r="M51" i="4"/>
  <c r="AK41" i="4"/>
  <c r="Y41" i="4"/>
  <c r="M41" i="4"/>
  <c r="AK31" i="4"/>
  <c r="Y31" i="4"/>
  <c r="M31" i="4"/>
  <c r="M11" i="4"/>
  <c r="S21" i="4"/>
  <c r="AE11" i="4"/>
  <c r="AK21" i="4"/>
  <c r="M21" i="4"/>
  <c r="Y11" i="4"/>
  <c r="AE21" i="4"/>
  <c r="S11" i="4"/>
  <c r="Y21" i="4"/>
  <c r="AK11" i="4"/>
  <c r="AF39" i="2"/>
  <c r="N36" i="2"/>
  <c r="O36" i="2" s="1"/>
  <c r="N42" i="2"/>
  <c r="O42" i="2" s="1"/>
  <c r="N54" i="2"/>
  <c r="O54" i="2" s="1"/>
  <c r="N60" i="2"/>
  <c r="O60" i="2" s="1"/>
  <c r="N48" i="2"/>
  <c r="O48" i="2" s="1"/>
  <c r="N24" i="2"/>
  <c r="O24" i="2" s="1"/>
  <c r="N16" i="2"/>
  <c r="O16" i="2" s="1"/>
  <c r="N10" i="2"/>
  <c r="O10" i="2" s="1"/>
  <c r="N30" i="2"/>
  <c r="O30" i="2" s="1"/>
  <c r="N22" i="2"/>
  <c r="AB54" i="4"/>
  <c r="AB14" i="4"/>
  <c r="P14" i="4"/>
  <c r="AH34" i="4"/>
  <c r="AB24" i="4"/>
  <c r="V54" i="4"/>
  <c r="AH44" i="4"/>
  <c r="P54" i="4"/>
  <c r="AB44" i="4"/>
  <c r="V24" i="4"/>
  <c r="J54" i="4"/>
  <c r="V44" i="4"/>
  <c r="V34" i="4"/>
  <c r="AH14" i="4"/>
  <c r="V14" i="4"/>
  <c r="J14" i="4"/>
  <c r="P44" i="4"/>
  <c r="AH54" i="4"/>
  <c r="J44" i="4"/>
  <c r="AB34" i="4"/>
  <c r="P34" i="4"/>
  <c r="P24" i="4"/>
  <c r="J34" i="4"/>
  <c r="J24" i="4"/>
  <c r="AH24" i="4"/>
  <c r="AF54" i="2"/>
  <c r="AB44" i="2"/>
  <c r="AC44" i="2"/>
  <c r="AB57" i="2"/>
  <c r="AC57" i="2"/>
  <c r="AC45" i="2"/>
  <c r="AB45" i="2"/>
  <c r="Z10" i="4"/>
  <c r="AF50" i="4"/>
  <c r="AB13" i="2"/>
  <c r="AC13" i="2"/>
  <c r="AD43" i="4"/>
  <c r="AC51" i="4"/>
  <c r="Q51" i="4"/>
  <c r="AC41" i="4"/>
  <c r="Q41" i="4"/>
  <c r="AC31" i="4"/>
  <c r="Q31" i="4"/>
  <c r="AI51" i="4"/>
  <c r="W51" i="4"/>
  <c r="K51" i="4"/>
  <c r="AI41" i="4"/>
  <c r="W41" i="4"/>
  <c r="K41" i="4"/>
  <c r="AI31" i="4"/>
  <c r="W31" i="4"/>
  <c r="K31" i="4"/>
  <c r="AC21" i="4"/>
  <c r="Q21" i="4"/>
  <c r="AC11" i="4"/>
  <c r="Q11" i="4"/>
  <c r="W21" i="4"/>
  <c r="AI11" i="4"/>
  <c r="K11" i="4"/>
  <c r="AI21" i="4"/>
  <c r="K21" i="4"/>
  <c r="W11" i="4"/>
  <c r="AF37" i="2"/>
  <c r="AJ55" i="4"/>
  <c r="AD55" i="4"/>
  <c r="R25" i="4"/>
  <c r="X55" i="4"/>
  <c r="AJ45" i="4"/>
  <c r="X35" i="4"/>
  <c r="L25" i="4"/>
  <c r="AD15" i="4"/>
  <c r="R15" i="4"/>
  <c r="R55" i="4"/>
  <c r="AD45" i="4"/>
  <c r="AD25" i="4"/>
  <c r="AJ25" i="4"/>
  <c r="L55" i="4"/>
  <c r="X45" i="4"/>
  <c r="R45" i="4"/>
  <c r="AJ15" i="4"/>
  <c r="L45" i="4"/>
  <c r="X25" i="4"/>
  <c r="AF62" i="2"/>
  <c r="L15" i="4"/>
  <c r="AJ35" i="4"/>
  <c r="AD35" i="4"/>
  <c r="R35" i="4"/>
  <c r="X15" i="4"/>
  <c r="L35" i="4"/>
  <c r="AC65" i="2"/>
  <c r="AB65" i="2"/>
  <c r="AC46" i="2"/>
  <c r="AB46" i="2"/>
  <c r="AB10" i="2"/>
  <c r="AC10" i="2"/>
  <c r="AA11" i="2" s="1"/>
  <c r="N20" i="4"/>
  <c r="Z30" i="4"/>
  <c r="AL50" i="4"/>
  <c r="AC64" i="2"/>
  <c r="AB64" i="2"/>
  <c r="N30" i="4"/>
  <c r="N40" i="4"/>
  <c r="AG50" i="4"/>
  <c r="U50" i="4"/>
  <c r="AG40" i="4"/>
  <c r="U40" i="4"/>
  <c r="AG30" i="4"/>
  <c r="U30" i="4"/>
  <c r="AM50" i="4"/>
  <c r="AA50" i="4"/>
  <c r="O50" i="4"/>
  <c r="AM40" i="4"/>
  <c r="AA40" i="4"/>
  <c r="O40" i="4"/>
  <c r="AM30" i="4"/>
  <c r="AA30" i="4"/>
  <c r="O30" i="4"/>
  <c r="AM20" i="4"/>
  <c r="AA20" i="4"/>
  <c r="O20" i="4"/>
  <c r="AM10" i="4"/>
  <c r="AA10" i="4"/>
  <c r="O10" i="4"/>
  <c r="U10" i="4"/>
  <c r="U20" i="4"/>
  <c r="AG10" i="4"/>
  <c r="AG20" i="4"/>
  <c r="AF35" i="2"/>
  <c r="AC53" i="2"/>
  <c r="AB53" i="2"/>
  <c r="AB16" i="2"/>
  <c r="AC16" i="2"/>
  <c r="AA17" i="2" s="1"/>
  <c r="AL20" i="4"/>
  <c r="AL30" i="4"/>
  <c r="AF47" i="4"/>
  <c r="T47" i="4"/>
  <c r="AL47" i="4"/>
  <c r="Z47" i="4"/>
  <c r="N47" i="4"/>
  <c r="AL37" i="4"/>
  <c r="Z37" i="4"/>
  <c r="N37" i="4"/>
  <c r="AL27" i="4"/>
  <c r="Z27" i="4"/>
  <c r="N27" i="4"/>
  <c r="AF37" i="4"/>
  <c r="T37" i="4"/>
  <c r="T27" i="4"/>
  <c r="T17" i="4"/>
  <c r="Z7" i="4"/>
  <c r="AL17" i="4"/>
  <c r="N17" i="4"/>
  <c r="AL7" i="4"/>
  <c r="T7" i="4"/>
  <c r="AF17" i="4"/>
  <c r="AF27" i="4"/>
  <c r="Z17" i="4"/>
  <c r="AF7" i="4"/>
  <c r="N7" i="4"/>
  <c r="AF20" i="2"/>
  <c r="N28" i="4"/>
  <c r="Z28" i="4"/>
  <c r="AL18" i="4"/>
  <c r="N18" i="4"/>
  <c r="AC29" i="2"/>
  <c r="AB29" i="2"/>
  <c r="N10" i="4"/>
  <c r="Z40" i="4"/>
  <c r="Z49" i="4"/>
  <c r="S50" i="4"/>
  <c r="AF33" i="2"/>
  <c r="Y25" i="4"/>
  <c r="AL54" i="4"/>
  <c r="Z54" i="4"/>
  <c r="N54" i="4"/>
  <c r="AL44" i="4"/>
  <c r="Z44" i="4"/>
  <c r="N44" i="4"/>
  <c r="AF54" i="4"/>
  <c r="T54" i="4"/>
  <c r="AF44" i="4"/>
  <c r="T44" i="4"/>
  <c r="AF34" i="4"/>
  <c r="T34" i="4"/>
  <c r="AF24" i="4"/>
  <c r="T24" i="4"/>
  <c r="Z34" i="4"/>
  <c r="AL34" i="4"/>
  <c r="Z24" i="4"/>
  <c r="Z14" i="4"/>
  <c r="T14" i="4"/>
  <c r="N34" i="4"/>
  <c r="AL14" i="4"/>
  <c r="N24" i="4"/>
  <c r="AL24" i="4"/>
  <c r="N14" i="4"/>
  <c r="AF14" i="4"/>
  <c r="AF58" i="2"/>
  <c r="AH45" i="4"/>
  <c r="AH25" i="4"/>
  <c r="J55" i="4"/>
  <c r="AI52" i="4"/>
  <c r="W52" i="4"/>
  <c r="K52" i="4"/>
  <c r="AC42" i="4"/>
  <c r="Q42" i="4"/>
  <c r="AC32" i="4"/>
  <c r="Q32" i="4"/>
  <c r="AF43" i="2"/>
  <c r="Q22" i="4"/>
  <c r="AC12" i="4"/>
  <c r="AF10" i="4"/>
  <c r="T30" i="4"/>
  <c r="AG46" i="4"/>
  <c r="U46" i="4"/>
  <c r="AG36" i="4"/>
  <c r="U36" i="4"/>
  <c r="AM46" i="4"/>
  <c r="AA46" i="4"/>
  <c r="O46" i="4"/>
  <c r="AM36" i="4"/>
  <c r="AA36" i="4"/>
  <c r="O36" i="4"/>
  <c r="AM26" i="4"/>
  <c r="AA26" i="4"/>
  <c r="O26" i="4"/>
  <c r="AM16" i="4"/>
  <c r="AA16" i="4"/>
  <c r="O16" i="4"/>
  <c r="AM6" i="4"/>
  <c r="AA6" i="4"/>
  <c r="O6" i="4"/>
  <c r="U6" i="4"/>
  <c r="AG6" i="4"/>
  <c r="AG26" i="4"/>
  <c r="U16" i="4"/>
  <c r="U26" i="4"/>
  <c r="AG16" i="4"/>
  <c r="AF15" i="2"/>
  <c r="AC56" i="2"/>
  <c r="AB56" i="2"/>
  <c r="Q55" i="4"/>
  <c r="AC45" i="4"/>
  <c r="Q45" i="4"/>
  <c r="AC35" i="4"/>
  <c r="K55" i="4"/>
  <c r="K45" i="4"/>
  <c r="AI35" i="4"/>
  <c r="K35" i="4"/>
  <c r="AI25" i="4"/>
  <c r="K25" i="4"/>
  <c r="AI15" i="4"/>
  <c r="W15" i="4"/>
  <c r="AB59" i="2"/>
  <c r="AC59" i="2"/>
  <c r="AC51" i="2"/>
  <c r="AB51" i="2"/>
  <c r="AC21" i="2"/>
  <c r="AB21" i="2"/>
  <c r="T20" i="4"/>
  <c r="AM51" i="4"/>
  <c r="AA51" i="4"/>
  <c r="O51" i="4"/>
  <c r="AM41" i="4"/>
  <c r="AA41" i="4"/>
  <c r="O41" i="4"/>
  <c r="AM31" i="4"/>
  <c r="AA31" i="4"/>
  <c r="O31" i="4"/>
  <c r="AG51" i="4"/>
  <c r="U51" i="4"/>
  <c r="AG41" i="4"/>
  <c r="U41" i="4"/>
  <c r="AG31" i="4"/>
  <c r="U31" i="4"/>
  <c r="AG21" i="4"/>
  <c r="U21" i="4"/>
  <c r="AG11" i="4"/>
  <c r="U11" i="4"/>
  <c r="AM21" i="4"/>
  <c r="O21" i="4"/>
  <c r="AA11" i="4"/>
  <c r="AA21" i="4"/>
  <c r="AM11" i="4"/>
  <c r="O11" i="4"/>
  <c r="AF41" i="2"/>
  <c r="AB40" i="2"/>
  <c r="AC40" i="2"/>
  <c r="AC19" i="2"/>
  <c r="AB19" i="2"/>
  <c r="AG52" i="4"/>
  <c r="U52" i="4"/>
  <c r="U42" i="4"/>
  <c r="AG32" i="4"/>
  <c r="U32" i="4"/>
  <c r="AM52" i="4"/>
  <c r="AA52" i="4"/>
  <c r="O52" i="4"/>
  <c r="AM32" i="4"/>
  <c r="AA32" i="4"/>
  <c r="O22" i="4"/>
  <c r="AM12" i="4"/>
  <c r="AA12" i="4"/>
  <c r="O12" i="4"/>
  <c r="AM22" i="4"/>
  <c r="AG22" i="4"/>
  <c r="AG12" i="4"/>
  <c r="AF47" i="2"/>
  <c r="H210" i="6"/>
  <c r="M55" i="4" l="1"/>
  <c r="V8" i="4"/>
  <c r="AK20" i="4"/>
  <c r="O32" i="4"/>
  <c r="AG42" i="4"/>
  <c r="W35" i="4"/>
  <c r="AE40" i="4"/>
  <c r="X30" i="4"/>
  <c r="J8" i="4"/>
  <c r="R40" i="4"/>
  <c r="AE50" i="4"/>
  <c r="AD50" i="4"/>
  <c r="U22" i="4"/>
  <c r="AA22" i="4"/>
  <c r="AA42" i="4"/>
  <c r="AC25" i="4"/>
  <c r="M50" i="4"/>
  <c r="AH48" i="4"/>
  <c r="AJ29" i="4"/>
  <c r="L7" i="4"/>
  <c r="O42" i="4"/>
  <c r="AK30" i="4"/>
  <c r="U12" i="4"/>
  <c r="Q35" i="4"/>
  <c r="W9" i="4"/>
  <c r="Y55" i="4"/>
  <c r="AK55" i="4"/>
  <c r="R10" i="4"/>
  <c r="Q23" i="4"/>
  <c r="AD39" i="4"/>
  <c r="AD7" i="4"/>
  <c r="K9" i="4"/>
  <c r="AC53" i="4"/>
  <c r="AH18" i="4"/>
  <c r="S25" i="4"/>
  <c r="AJ10" i="4"/>
  <c r="X27" i="4"/>
  <c r="AI19" i="4"/>
  <c r="AI22" i="4"/>
  <c r="AE25" i="4"/>
  <c r="M10" i="4"/>
  <c r="Y50" i="4"/>
  <c r="AJ30" i="4"/>
  <c r="Z16" i="4"/>
  <c r="X47" i="4"/>
  <c r="AC13" i="4"/>
  <c r="P48" i="4"/>
  <c r="AI29" i="4"/>
  <c r="K12" i="4"/>
  <c r="K32" i="4"/>
  <c r="X9" i="4"/>
  <c r="AE10" i="4"/>
  <c r="L40" i="4"/>
  <c r="AJ17" i="4"/>
  <c r="V48" i="4"/>
  <c r="W12" i="4"/>
  <c r="W32" i="4"/>
  <c r="AF26" i="2"/>
  <c r="S20" i="4"/>
  <c r="AD40" i="4"/>
  <c r="AJ37" i="4"/>
  <c r="W39" i="4"/>
  <c r="AI12" i="4"/>
  <c r="AI32" i="4"/>
  <c r="M15" i="4"/>
  <c r="L39" i="4"/>
  <c r="Y20" i="4"/>
  <c r="L20" i="4"/>
  <c r="X7" i="4"/>
  <c r="AF22" i="2"/>
  <c r="AB38" i="4"/>
  <c r="AI39" i="4"/>
  <c r="K22" i="4"/>
  <c r="K42" i="4"/>
  <c r="AK15" i="4"/>
  <c r="L29" i="4"/>
  <c r="S30" i="4"/>
  <c r="X20" i="4"/>
  <c r="X53" i="4"/>
  <c r="L27" i="4"/>
  <c r="AD29" i="4"/>
  <c r="AH8" i="4"/>
  <c r="X17" i="4"/>
  <c r="K19" i="4"/>
  <c r="Q12" i="4"/>
  <c r="Q52" i="4"/>
  <c r="K53" i="4"/>
  <c r="V38" i="4"/>
  <c r="AC52" i="4"/>
  <c r="AK50" i="4"/>
  <c r="K39" i="4"/>
  <c r="V28" i="4"/>
  <c r="X13" i="4"/>
  <c r="AB28" i="4"/>
  <c r="P8" i="4"/>
  <c r="AC49" i="4"/>
  <c r="W22" i="4"/>
  <c r="W42" i="4"/>
  <c r="S15" i="4"/>
  <c r="R9" i="4"/>
  <c r="AE30" i="4"/>
  <c r="AJ20" i="4"/>
  <c r="L13" i="4"/>
  <c r="R27" i="4"/>
  <c r="AH38" i="4"/>
  <c r="AB18" i="4"/>
  <c r="AC22" i="4"/>
  <c r="M25" i="4"/>
  <c r="AJ9" i="4"/>
  <c r="S40" i="4"/>
  <c r="AD30" i="4"/>
  <c r="AJ23" i="4"/>
  <c r="AD27" i="4"/>
  <c r="AD41" i="4"/>
  <c r="AJ41" i="4"/>
  <c r="AI9" i="4"/>
  <c r="K49" i="4"/>
  <c r="AB55" i="4"/>
  <c r="R39" i="4"/>
  <c r="J15" i="4"/>
  <c r="AK25" i="4"/>
  <c r="S35" i="4"/>
  <c r="AD9" i="4"/>
  <c r="R49" i="4"/>
  <c r="AD47" i="4"/>
  <c r="J18" i="4"/>
  <c r="AB8" i="4"/>
  <c r="K15" i="4"/>
  <c r="W45" i="4"/>
  <c r="AC55" i="4"/>
  <c r="Q9" i="4"/>
  <c r="AI49" i="4"/>
  <c r="V15" i="4"/>
  <c r="M35" i="4"/>
  <c r="AE35" i="4"/>
  <c r="L19" i="4"/>
  <c r="R19" i="4"/>
  <c r="S10" i="4"/>
  <c r="M30" i="4"/>
  <c r="AL19" i="4"/>
  <c r="X10" i="4"/>
  <c r="X40" i="4"/>
  <c r="L37" i="4"/>
  <c r="R17" i="4"/>
  <c r="V18" i="4"/>
  <c r="P18" i="4"/>
  <c r="W25" i="4"/>
  <c r="AI45" i="4"/>
  <c r="AC9" i="4"/>
  <c r="Q29" i="4"/>
  <c r="P25" i="4"/>
  <c r="Y35" i="4"/>
  <c r="S45" i="4"/>
  <c r="AJ39" i="4"/>
  <c r="AD19" i="4"/>
  <c r="AK10" i="4"/>
  <c r="Y30" i="4"/>
  <c r="T19" i="4"/>
  <c r="AF32" i="2"/>
  <c r="AD20" i="4"/>
  <c r="AJ50" i="4"/>
  <c r="AD13" i="4"/>
  <c r="AJ47" i="4"/>
  <c r="AD17" i="4"/>
  <c r="AC43" i="4"/>
  <c r="K43" i="4"/>
  <c r="W23" i="4"/>
  <c r="AI23" i="4"/>
  <c r="AJ51" i="4"/>
  <c r="V55" i="4"/>
  <c r="N9" i="4"/>
  <c r="L9" i="4"/>
  <c r="AF9" i="4"/>
  <c r="W19" i="4"/>
  <c r="W49" i="4"/>
  <c r="N19" i="4"/>
  <c r="R37" i="4"/>
  <c r="AC29" i="4"/>
  <c r="AK35" i="4"/>
  <c r="AE45" i="4"/>
  <c r="AJ19" i="4"/>
  <c r="X49" i="4"/>
  <c r="L10" i="4"/>
  <c r="AJ40" i="4"/>
  <c r="L30" i="4"/>
  <c r="R7" i="4"/>
  <c r="X37" i="4"/>
  <c r="W53" i="4"/>
  <c r="AH28" i="4"/>
  <c r="P38" i="4"/>
  <c r="AB48" i="4"/>
  <c r="W55" i="4"/>
  <c r="AC19" i="4"/>
  <c r="Q39" i="4"/>
  <c r="AB25" i="4"/>
  <c r="Y15" i="4"/>
  <c r="M45" i="4"/>
  <c r="S55" i="4"/>
  <c r="X29" i="4"/>
  <c r="X39" i="4"/>
  <c r="Y10" i="4"/>
  <c r="M40" i="4"/>
  <c r="Z39" i="4"/>
  <c r="AD10" i="4"/>
  <c r="L50" i="4"/>
  <c r="AD11" i="4"/>
  <c r="AJ7" i="4"/>
  <c r="L47" i="4"/>
  <c r="J28" i="4"/>
  <c r="J48" i="4"/>
  <c r="Q15" i="4"/>
  <c r="AI55" i="4"/>
  <c r="K29" i="4"/>
  <c r="AC39" i="4"/>
  <c r="P45" i="4"/>
  <c r="AF63" i="2"/>
  <c r="Y45" i="4"/>
  <c r="AE55" i="4"/>
  <c r="L49" i="4"/>
  <c r="AD49" i="4"/>
  <c r="AE20" i="4"/>
  <c r="Y40" i="4"/>
  <c r="AL39" i="4"/>
  <c r="R20" i="4"/>
  <c r="R50" i="4"/>
  <c r="L31" i="4"/>
  <c r="AJ27" i="4"/>
  <c r="AD37" i="4"/>
  <c r="AI53" i="4"/>
  <c r="W13" i="4"/>
  <c r="AI13" i="4"/>
  <c r="K23" i="4"/>
  <c r="Q19" i="4"/>
  <c r="V25" i="4"/>
  <c r="N39" i="4"/>
  <c r="W43" i="4"/>
  <c r="AC23" i="4"/>
  <c r="AF61" i="2"/>
  <c r="J38" i="4"/>
  <c r="AC15" i="4"/>
  <c r="AF25" i="2"/>
  <c r="W29" i="4"/>
  <c r="V45" i="4"/>
  <c r="AE15" i="4"/>
  <c r="X19" i="4"/>
  <c r="AJ49" i="4"/>
  <c r="M20" i="4"/>
  <c r="N49" i="4"/>
  <c r="R30" i="4"/>
  <c r="AF18" i="2"/>
  <c r="L17" i="4"/>
  <c r="K33" i="4"/>
  <c r="Q13" i="4"/>
  <c r="L11" i="4"/>
  <c r="AJ31" i="4"/>
  <c r="P15" i="4"/>
  <c r="AH15" i="4"/>
  <c r="AF28" i="2"/>
  <c r="AL9" i="4"/>
  <c r="T49" i="4"/>
  <c r="AF28" i="4"/>
  <c r="X11" i="4"/>
  <c r="T9" i="4"/>
  <c r="X51" i="4"/>
  <c r="L51" i="4"/>
  <c r="AB15" i="4"/>
  <c r="AH35" i="4"/>
  <c r="Z19" i="4"/>
  <c r="AF29" i="4"/>
  <c r="AF49" i="4"/>
  <c r="AF48" i="4"/>
  <c r="X41" i="4"/>
  <c r="AL49" i="4"/>
  <c r="AF38" i="2"/>
  <c r="J35" i="4"/>
  <c r="J25" i="4"/>
  <c r="J45" i="4"/>
  <c r="Z9" i="4"/>
  <c r="T39" i="4"/>
  <c r="R41" i="4"/>
  <c r="R21" i="4"/>
  <c r="R51" i="4"/>
  <c r="AF60" i="2"/>
  <c r="AB45" i="4"/>
  <c r="AH55" i="4"/>
  <c r="AF39" i="4"/>
  <c r="N29" i="4"/>
  <c r="X21" i="4"/>
  <c r="P35" i="4"/>
  <c r="P55" i="4"/>
  <c r="AF19" i="4"/>
  <c r="Z29" i="4"/>
  <c r="AD31" i="4"/>
  <c r="AD21" i="4"/>
  <c r="AD51" i="4"/>
  <c r="AB35" i="4"/>
  <c r="T29" i="4"/>
  <c r="AJ11" i="4"/>
  <c r="R31" i="4"/>
  <c r="L21" i="4"/>
  <c r="AJ21" i="4"/>
  <c r="N16" i="4"/>
  <c r="T36" i="4"/>
  <c r="N6" i="4"/>
  <c r="N46" i="4"/>
  <c r="Z36" i="4"/>
  <c r="T18" i="4"/>
  <c r="T38" i="4"/>
  <c r="AF14" i="2"/>
  <c r="N36" i="4"/>
  <c r="Z46" i="4"/>
  <c r="AF50" i="2"/>
  <c r="X43" i="4"/>
  <c r="T8" i="4"/>
  <c r="Z8" i="4"/>
  <c r="N8" i="4"/>
  <c r="Z38" i="4"/>
  <c r="AF38" i="4"/>
  <c r="Z48" i="4"/>
  <c r="AF16" i="4"/>
  <c r="Z6" i="4"/>
  <c r="AF6" i="4"/>
  <c r="T6" i="4"/>
  <c r="T26" i="4"/>
  <c r="T46" i="4"/>
  <c r="AL46" i="4"/>
  <c r="R33" i="4"/>
  <c r="R23" i="4"/>
  <c r="X23" i="4"/>
  <c r="AD23" i="4"/>
  <c r="R43" i="4"/>
  <c r="L53" i="4"/>
  <c r="AJ33" i="4"/>
  <c r="Q53" i="4"/>
  <c r="AL38" i="4"/>
  <c r="N38" i="4"/>
  <c r="AL28" i="4"/>
  <c r="N48" i="4"/>
  <c r="AL36" i="4"/>
  <c r="T16" i="4"/>
  <c r="Z26" i="4"/>
  <c r="AF36" i="4"/>
  <c r="L43" i="4"/>
  <c r="AD53" i="4"/>
  <c r="AJ13" i="4"/>
  <c r="X33" i="4"/>
  <c r="R53" i="4"/>
  <c r="AF18" i="4"/>
  <c r="AL8" i="4"/>
  <c r="Z18" i="4"/>
  <c r="AF8" i="4"/>
  <c r="T28" i="4"/>
  <c r="T48" i="4"/>
  <c r="N26" i="4"/>
  <c r="AL16" i="4"/>
  <c r="AL26" i="4"/>
  <c r="AL6" i="4"/>
  <c r="AF26" i="4"/>
  <c r="AD33" i="4"/>
  <c r="AJ43" i="4"/>
  <c r="AJ53" i="4"/>
  <c r="L33" i="4"/>
  <c r="R13" i="4"/>
  <c r="Q43" i="4"/>
  <c r="AC33" i="4"/>
  <c r="AI43" i="4"/>
  <c r="AF49" i="2"/>
  <c r="Q33" i="4"/>
  <c r="W33" i="4"/>
  <c r="K13" i="4"/>
  <c r="R11" i="4"/>
  <c r="L41" i="4"/>
  <c r="X28" i="4"/>
  <c r="R38" i="4"/>
  <c r="AJ48" i="4"/>
  <c r="R18" i="4"/>
  <c r="R8" i="4"/>
  <c r="X48" i="4"/>
  <c r="AJ28" i="4"/>
  <c r="AD48" i="4"/>
  <c r="AD18" i="4"/>
  <c r="X18" i="4"/>
  <c r="AD8" i="4"/>
  <c r="R48" i="4"/>
  <c r="L28" i="4"/>
  <c r="X8" i="4"/>
  <c r="X38" i="4"/>
  <c r="L38" i="4"/>
  <c r="AJ18" i="4"/>
  <c r="L8" i="4"/>
  <c r="AD38" i="4"/>
  <c r="R28" i="4"/>
  <c r="AJ8" i="4"/>
  <c r="L18" i="4"/>
  <c r="AJ38" i="4"/>
  <c r="L48" i="4"/>
  <c r="AD28" i="4"/>
  <c r="AI54" i="4"/>
  <c r="K34" i="4"/>
  <c r="AC24" i="4"/>
  <c r="Q14" i="4"/>
  <c r="W54" i="4"/>
  <c r="AI24" i="4"/>
  <c r="K24" i="4"/>
  <c r="AF55" i="2"/>
  <c r="W14" i="4"/>
  <c r="Q44" i="4"/>
  <c r="K14" i="4"/>
  <c r="K54" i="4"/>
  <c r="AC54" i="4"/>
  <c r="W24" i="4"/>
  <c r="W44" i="4"/>
  <c r="K44" i="4"/>
  <c r="AI34" i="4"/>
  <c r="AC34" i="4"/>
  <c r="W34" i="4"/>
  <c r="Q34" i="4"/>
  <c r="AI44" i="4"/>
  <c r="Q54" i="4"/>
  <c r="AI14" i="4"/>
  <c r="AC44" i="4"/>
  <c r="AC14" i="4"/>
  <c r="Q24" i="4"/>
  <c r="AF24" i="2"/>
  <c r="V19" i="4"/>
  <c r="V39" i="4"/>
  <c r="AB9" i="4"/>
  <c r="P29" i="4"/>
  <c r="J19" i="4"/>
  <c r="V49" i="4"/>
  <c r="P9" i="4"/>
  <c r="P49" i="4"/>
  <c r="AB39" i="4"/>
  <c r="P39" i="4"/>
  <c r="AH9" i="4"/>
  <c r="AH29" i="4"/>
  <c r="J49" i="4"/>
  <c r="AH49" i="4"/>
  <c r="AH39" i="4"/>
  <c r="AH19" i="4"/>
  <c r="P19" i="4"/>
  <c r="V9" i="4"/>
  <c r="J29" i="4"/>
  <c r="J39" i="4"/>
  <c r="J9" i="4"/>
  <c r="AB29" i="4"/>
  <c r="V29" i="4"/>
  <c r="AB19" i="4"/>
  <c r="AB49" i="4"/>
  <c r="AG48" i="4"/>
  <c r="U48" i="4"/>
  <c r="AG38" i="4"/>
  <c r="U38" i="4"/>
  <c r="AM48" i="4"/>
  <c r="AA48" i="4"/>
  <c r="O48" i="4"/>
  <c r="AM38" i="4"/>
  <c r="AA38" i="4"/>
  <c r="O38" i="4"/>
  <c r="AM28" i="4"/>
  <c r="AA28" i="4"/>
  <c r="O28" i="4"/>
  <c r="AM18" i="4"/>
  <c r="AA18" i="4"/>
  <c r="O18" i="4"/>
  <c r="AM8" i="4"/>
  <c r="AA8" i="4"/>
  <c r="O8" i="4"/>
  <c r="U28" i="4"/>
  <c r="U18" i="4"/>
  <c r="U8" i="4"/>
  <c r="AG28" i="4"/>
  <c r="AG18" i="4"/>
  <c r="AG8" i="4"/>
  <c r="AK48" i="4"/>
  <c r="Y48" i="4"/>
  <c r="M48" i="4"/>
  <c r="AK38" i="4"/>
  <c r="Y38" i="4"/>
  <c r="M38" i="4"/>
  <c r="AK28" i="4"/>
  <c r="Y28" i="4"/>
  <c r="M28" i="4"/>
  <c r="AE48" i="4"/>
  <c r="S48" i="4"/>
  <c r="AE38" i="4"/>
  <c r="S38" i="4"/>
  <c r="AE28" i="4"/>
  <c r="S28" i="4"/>
  <c r="AE18" i="4"/>
  <c r="AE8" i="4"/>
  <c r="M8" i="4"/>
  <c r="Y18" i="4"/>
  <c r="Y8" i="4"/>
  <c r="S18" i="4"/>
  <c r="AK18" i="4"/>
  <c r="AK8" i="4"/>
  <c r="S8" i="4"/>
  <c r="M18" i="4"/>
  <c r="P30" i="2"/>
  <c r="Q30" i="2"/>
  <c r="R24" i="3"/>
  <c r="AJ32" i="3"/>
  <c r="R16" i="3"/>
  <c r="R40" i="3"/>
  <c r="R8" i="3"/>
  <c r="AD24" i="3"/>
  <c r="R32" i="3"/>
  <c r="AD16" i="3"/>
  <c r="L16" i="3"/>
  <c r="X40" i="3"/>
  <c r="AD8" i="3"/>
  <c r="L40" i="3"/>
  <c r="L32" i="3"/>
  <c r="AD32" i="3"/>
  <c r="AJ40" i="3"/>
  <c r="AJ24" i="3"/>
  <c r="X24" i="3"/>
  <c r="L24" i="3"/>
  <c r="X16" i="3"/>
  <c r="AJ16" i="3"/>
  <c r="X8" i="3"/>
  <c r="X32" i="3"/>
  <c r="AJ8" i="3"/>
  <c r="AD40" i="3"/>
  <c r="L8" i="3"/>
  <c r="P10" i="2"/>
  <c r="AE10" i="2" s="1"/>
  <c r="V14" i="3"/>
  <c r="J14" i="3"/>
  <c r="AH6" i="3"/>
  <c r="V38" i="3"/>
  <c r="AB38" i="3"/>
  <c r="J6" i="3"/>
  <c r="J22" i="3"/>
  <c r="V6" i="3"/>
  <c r="V30" i="3"/>
  <c r="V22" i="3"/>
  <c r="P38" i="3"/>
  <c r="P30" i="3"/>
  <c r="AB30" i="3"/>
  <c r="P22" i="3"/>
  <c r="AH30" i="3"/>
  <c r="Q10" i="2"/>
  <c r="AH22" i="3"/>
  <c r="AB22" i="3"/>
  <c r="P14" i="3"/>
  <c r="AH14" i="3"/>
  <c r="AB14" i="3"/>
  <c r="P6" i="3"/>
  <c r="AB6" i="3"/>
  <c r="J38" i="3"/>
  <c r="J30" i="3"/>
  <c r="AH38" i="3"/>
  <c r="AC11" i="2"/>
  <c r="AA12" i="2" s="1"/>
  <c r="AB11" i="2"/>
  <c r="AJ34" i="4"/>
  <c r="L24" i="4"/>
  <c r="X54" i="4"/>
  <c r="AJ44" i="4"/>
  <c r="R54" i="4"/>
  <c r="AD44" i="4"/>
  <c r="AJ14" i="4"/>
  <c r="X14" i="4"/>
  <c r="L14" i="4"/>
  <c r="L54" i="4"/>
  <c r="X44" i="4"/>
  <c r="X34" i="4"/>
  <c r="AD24" i="4"/>
  <c r="AD34" i="4"/>
  <c r="AJ54" i="4"/>
  <c r="X24" i="4"/>
  <c r="AD54" i="4"/>
  <c r="R34" i="4"/>
  <c r="R24" i="4"/>
  <c r="R44" i="4"/>
  <c r="L44" i="4"/>
  <c r="L34" i="4"/>
  <c r="R14" i="4"/>
  <c r="AJ24" i="4"/>
  <c r="AD14" i="4"/>
  <c r="AF56" i="2"/>
  <c r="P16" i="2"/>
  <c r="AE16" i="2" s="1"/>
  <c r="X22" i="3"/>
  <c r="L22" i="3"/>
  <c r="Q16" i="2"/>
  <c r="X14" i="3"/>
  <c r="AJ14" i="3"/>
  <c r="X6" i="3"/>
  <c r="L14" i="3"/>
  <c r="AD38" i="3"/>
  <c r="AJ6" i="3"/>
  <c r="R30" i="3"/>
  <c r="L6" i="3"/>
  <c r="AD30" i="3"/>
  <c r="R22" i="3"/>
  <c r="R38" i="3"/>
  <c r="AD22" i="3"/>
  <c r="R14" i="3"/>
  <c r="L38" i="3"/>
  <c r="AD14" i="3"/>
  <c r="R6" i="3"/>
  <c r="AD6" i="3"/>
  <c r="X38" i="3"/>
  <c r="AJ30" i="3"/>
  <c r="AJ38" i="3"/>
  <c r="L30" i="3"/>
  <c r="X30" i="3"/>
  <c r="AJ22" i="3"/>
  <c r="AE47" i="4"/>
  <c r="S47" i="4"/>
  <c r="AE37" i="4"/>
  <c r="S37" i="4"/>
  <c r="AE27" i="4"/>
  <c r="S27" i="4"/>
  <c r="AK47" i="4"/>
  <c r="Y47" i="4"/>
  <c r="M47" i="4"/>
  <c r="AK37" i="4"/>
  <c r="Y37" i="4"/>
  <c r="M37" i="4"/>
  <c r="AK27" i="4"/>
  <c r="Y27" i="4"/>
  <c r="M27" i="4"/>
  <c r="S17" i="4"/>
  <c r="Y7" i="4"/>
  <c r="AK17" i="4"/>
  <c r="M17" i="4"/>
  <c r="AK7" i="4"/>
  <c r="S7" i="4"/>
  <c r="AE17" i="4"/>
  <c r="Y17" i="4"/>
  <c r="AE7" i="4"/>
  <c r="M7" i="4"/>
  <c r="AF19" i="2"/>
  <c r="AL52" i="4"/>
  <c r="Z52" i="4"/>
  <c r="N52" i="4"/>
  <c r="AL42" i="4"/>
  <c r="Z42" i="4"/>
  <c r="AF52" i="4"/>
  <c r="T52" i="4"/>
  <c r="AF42" i="4"/>
  <c r="T42" i="4"/>
  <c r="AF32" i="4"/>
  <c r="T32" i="4"/>
  <c r="AF22" i="4"/>
  <c r="AL32" i="4"/>
  <c r="N42" i="4"/>
  <c r="Z32" i="4"/>
  <c r="AL22" i="4"/>
  <c r="N22" i="4"/>
  <c r="Z12" i="4"/>
  <c r="T12" i="4"/>
  <c r="AL12" i="4"/>
  <c r="Z22" i="4"/>
  <c r="N12" i="4"/>
  <c r="N32" i="4"/>
  <c r="T22" i="4"/>
  <c r="AF12" i="4"/>
  <c r="AF46" i="2"/>
  <c r="AK52" i="4"/>
  <c r="Y52" i="4"/>
  <c r="M52" i="4"/>
  <c r="AK42" i="4"/>
  <c r="Y42" i="4"/>
  <c r="M42" i="4"/>
  <c r="AK32" i="4"/>
  <c r="Y32" i="4"/>
  <c r="M32" i="4"/>
  <c r="AK22" i="4"/>
  <c r="Y22" i="4"/>
  <c r="AE52" i="4"/>
  <c r="S52" i="4"/>
  <c r="AE42" i="4"/>
  <c r="S42" i="4"/>
  <c r="AE32" i="4"/>
  <c r="S32" i="4"/>
  <c r="M22" i="4"/>
  <c r="Y12" i="4"/>
  <c r="AE22" i="4"/>
  <c r="S12" i="4"/>
  <c r="AK12" i="4"/>
  <c r="M12" i="4"/>
  <c r="S22" i="4"/>
  <c r="AE12" i="4"/>
  <c r="AF45" i="2"/>
  <c r="P24" i="2"/>
  <c r="Q24" i="2"/>
  <c r="V32" i="3"/>
  <c r="J8" i="3"/>
  <c r="AB40" i="3"/>
  <c r="AH32" i="3"/>
  <c r="P24" i="3"/>
  <c r="AB24" i="3"/>
  <c r="P16" i="3"/>
  <c r="AB16" i="3"/>
  <c r="P40" i="3"/>
  <c r="P8" i="3"/>
  <c r="AB8" i="3"/>
  <c r="P32" i="3"/>
  <c r="V40" i="3"/>
  <c r="V24" i="3"/>
  <c r="AB32" i="3"/>
  <c r="J32" i="3"/>
  <c r="J40" i="3"/>
  <c r="AH24" i="3"/>
  <c r="AH40" i="3"/>
  <c r="J24" i="3"/>
  <c r="AH16" i="3"/>
  <c r="V16" i="3"/>
  <c r="J16" i="3"/>
  <c r="V8" i="3"/>
  <c r="AH8" i="3"/>
  <c r="P48" i="2"/>
  <c r="L26" i="3"/>
  <c r="AD34" i="3"/>
  <c r="AJ18" i="3"/>
  <c r="X26" i="3"/>
  <c r="L18" i="3"/>
  <c r="X18" i="3"/>
  <c r="AD42" i="3"/>
  <c r="AJ10" i="3"/>
  <c r="X10" i="3"/>
  <c r="Q48" i="2"/>
  <c r="AJ42" i="3"/>
  <c r="L10" i="3"/>
  <c r="L42" i="3"/>
  <c r="X34" i="3"/>
  <c r="X42" i="3"/>
  <c r="R26" i="3"/>
  <c r="L34" i="3"/>
  <c r="R18" i="3"/>
  <c r="AJ34" i="3"/>
  <c r="R10" i="3"/>
  <c r="AD26" i="3"/>
  <c r="AD18" i="3"/>
  <c r="R34" i="3"/>
  <c r="AD10" i="3"/>
  <c r="R42" i="3"/>
  <c r="AJ26" i="3"/>
  <c r="AM55" i="4"/>
  <c r="AA55" i="4"/>
  <c r="O55" i="4"/>
  <c r="AM45" i="4"/>
  <c r="AA45" i="4"/>
  <c r="O45" i="4"/>
  <c r="AM35" i="4"/>
  <c r="AA35" i="4"/>
  <c r="O35" i="4"/>
  <c r="AG55" i="4"/>
  <c r="U55" i="4"/>
  <c r="AG45" i="4"/>
  <c r="U45" i="4"/>
  <c r="AG35" i="4"/>
  <c r="U35" i="4"/>
  <c r="AG25" i="4"/>
  <c r="U25" i="4"/>
  <c r="AG15" i="4"/>
  <c r="U15" i="4"/>
  <c r="AF65" i="2"/>
  <c r="O15" i="4"/>
  <c r="AA25" i="4"/>
  <c r="AA15" i="4"/>
  <c r="O25" i="4"/>
  <c r="AM25" i="4"/>
  <c r="AM15" i="4"/>
  <c r="Q60" i="2"/>
  <c r="P60" i="2"/>
  <c r="V28" i="3"/>
  <c r="V20" i="3"/>
  <c r="V12" i="3"/>
  <c r="AH44" i="3"/>
  <c r="V36" i="3"/>
  <c r="P28" i="3"/>
  <c r="P20" i="3"/>
  <c r="P12" i="3"/>
  <c r="AH12" i="3"/>
  <c r="J44" i="3"/>
  <c r="J20" i="3"/>
  <c r="J12" i="3"/>
  <c r="AH20" i="3"/>
  <c r="AB20" i="3"/>
  <c r="J36" i="3"/>
  <c r="V44" i="3"/>
  <c r="J28" i="3"/>
  <c r="AH36" i="3"/>
  <c r="AH28" i="3"/>
  <c r="AB12" i="3"/>
  <c r="AB36" i="3"/>
  <c r="P36" i="3"/>
  <c r="P44" i="3"/>
  <c r="AB28" i="3"/>
  <c r="AB44" i="3"/>
  <c r="AM47" i="4"/>
  <c r="AA47" i="4"/>
  <c r="O47" i="4"/>
  <c r="AM37" i="4"/>
  <c r="AA37" i="4"/>
  <c r="O37" i="4"/>
  <c r="AG47" i="4"/>
  <c r="U47" i="4"/>
  <c r="AG37" i="4"/>
  <c r="U37" i="4"/>
  <c r="AG27" i="4"/>
  <c r="U27" i="4"/>
  <c r="AG17" i="4"/>
  <c r="U17" i="4"/>
  <c r="AG7" i="4"/>
  <c r="U7" i="4"/>
  <c r="O27" i="4"/>
  <c r="AM17" i="4"/>
  <c r="O17" i="4"/>
  <c r="AM7" i="4"/>
  <c r="AM27" i="4"/>
  <c r="AA17" i="4"/>
  <c r="O7" i="4"/>
  <c r="AA27" i="4"/>
  <c r="AA7" i="4"/>
  <c r="AF21" i="2"/>
  <c r="AC17" i="2"/>
  <c r="AB17" i="2"/>
  <c r="AF55" i="4"/>
  <c r="T55" i="4"/>
  <c r="AF45" i="4"/>
  <c r="T45" i="4"/>
  <c r="AL55" i="4"/>
  <c r="Z55" i="4"/>
  <c r="N55" i="4"/>
  <c r="AL45" i="4"/>
  <c r="Z45" i="4"/>
  <c r="N45" i="4"/>
  <c r="AL35" i="4"/>
  <c r="Z35" i="4"/>
  <c r="N35" i="4"/>
  <c r="AL25" i="4"/>
  <c r="Z25" i="4"/>
  <c r="N25" i="4"/>
  <c r="T25" i="4"/>
  <c r="AF35" i="4"/>
  <c r="AF25" i="4"/>
  <c r="T35" i="4"/>
  <c r="AL15" i="4"/>
  <c r="N15" i="4"/>
  <c r="AF15" i="4"/>
  <c r="Z15" i="4"/>
  <c r="AF64" i="2"/>
  <c r="T15" i="4"/>
  <c r="AK54" i="4"/>
  <c r="Y54" i="4"/>
  <c r="M54" i="4"/>
  <c r="AK44" i="4"/>
  <c r="Y44" i="4"/>
  <c r="M44" i="4"/>
  <c r="AK34" i="4"/>
  <c r="Y34" i="4"/>
  <c r="M34" i="4"/>
  <c r="AK24" i="4"/>
  <c r="Y24" i="4"/>
  <c r="M24" i="4"/>
  <c r="AE54" i="4"/>
  <c r="S54" i="4"/>
  <c r="AE44" i="4"/>
  <c r="S44" i="4"/>
  <c r="AE34" i="4"/>
  <c r="S34" i="4"/>
  <c r="AE24" i="4"/>
  <c r="S24" i="4"/>
  <c r="Y14" i="4"/>
  <c r="S14" i="4"/>
  <c r="AF57" i="2"/>
  <c r="AK14" i="4"/>
  <c r="M14" i="4"/>
  <c r="AE14" i="4"/>
  <c r="P54" i="2"/>
  <c r="N42" i="3"/>
  <c r="AF10" i="3"/>
  <c r="T26" i="3"/>
  <c r="AF18" i="3"/>
  <c r="AF42" i="3"/>
  <c r="N34" i="3"/>
  <c r="Z10" i="3"/>
  <c r="AF26" i="3"/>
  <c r="Z42" i="3"/>
  <c r="AL26" i="3"/>
  <c r="Z18" i="3"/>
  <c r="AL34" i="3"/>
  <c r="Z26" i="3"/>
  <c r="N10" i="3"/>
  <c r="Z34" i="3"/>
  <c r="N18" i="3"/>
  <c r="AL42" i="3"/>
  <c r="AL18" i="3"/>
  <c r="T42" i="3"/>
  <c r="T18" i="3"/>
  <c r="AF34" i="3"/>
  <c r="AL10" i="3"/>
  <c r="T34" i="3"/>
  <c r="Q54" i="2"/>
  <c r="N26" i="3"/>
  <c r="T10" i="3"/>
  <c r="P42" i="2"/>
  <c r="AH26" i="3"/>
  <c r="V26" i="3"/>
  <c r="J26" i="3"/>
  <c r="V18" i="3"/>
  <c r="AH42" i="3"/>
  <c r="AH18" i="3"/>
  <c r="V10" i="3"/>
  <c r="P10" i="3"/>
  <c r="J42" i="3"/>
  <c r="J18" i="3"/>
  <c r="AH34" i="3"/>
  <c r="AH10" i="3"/>
  <c r="J34" i="3"/>
  <c r="J10" i="3"/>
  <c r="Q42" i="2"/>
  <c r="V34" i="3"/>
  <c r="V42" i="3"/>
  <c r="P26" i="3"/>
  <c r="AB26" i="3"/>
  <c r="P18" i="3"/>
  <c r="AB18" i="3"/>
  <c r="AB10" i="3"/>
  <c r="AB42" i="3"/>
  <c r="P42" i="3"/>
  <c r="P34" i="3"/>
  <c r="AB34" i="3"/>
  <c r="AI48" i="4"/>
  <c r="W48" i="4"/>
  <c r="K48" i="4"/>
  <c r="AI38" i="4"/>
  <c r="W38" i="4"/>
  <c r="K38" i="4"/>
  <c r="AI28" i="4"/>
  <c r="W28" i="4"/>
  <c r="K28" i="4"/>
  <c r="AC48" i="4"/>
  <c r="Q48" i="4"/>
  <c r="AC38" i="4"/>
  <c r="Q38" i="4"/>
  <c r="AC28" i="4"/>
  <c r="Q28" i="4"/>
  <c r="AI18" i="4"/>
  <c r="W18" i="4"/>
  <c r="K18" i="4"/>
  <c r="AI8" i="4"/>
  <c r="W8" i="4"/>
  <c r="K8" i="4"/>
  <c r="AC18" i="4"/>
  <c r="AC8" i="4"/>
  <c r="Q18" i="4"/>
  <c r="Q8" i="4"/>
  <c r="AF51" i="4"/>
  <c r="T51" i="4"/>
  <c r="AL51" i="4"/>
  <c r="Z51" i="4"/>
  <c r="N51" i="4"/>
  <c r="AL41" i="4"/>
  <c r="Z41" i="4"/>
  <c r="N41" i="4"/>
  <c r="AL31" i="4"/>
  <c r="Z31" i="4"/>
  <c r="N31" i="4"/>
  <c r="T41" i="4"/>
  <c r="AF41" i="4"/>
  <c r="N11" i="4"/>
  <c r="T31" i="4"/>
  <c r="T21" i="4"/>
  <c r="AF11" i="4"/>
  <c r="AL21" i="4"/>
  <c r="N21" i="4"/>
  <c r="Z11" i="4"/>
  <c r="AF21" i="4"/>
  <c r="T11" i="4"/>
  <c r="Z21" i="4"/>
  <c r="AL11" i="4"/>
  <c r="AF31" i="4"/>
  <c r="AF40" i="2"/>
  <c r="AE53" i="4"/>
  <c r="S53" i="4"/>
  <c r="AE43" i="4"/>
  <c r="S43" i="4"/>
  <c r="AE33" i="4"/>
  <c r="S33" i="4"/>
  <c r="AE23" i="4"/>
  <c r="S23" i="4"/>
  <c r="AK53" i="4"/>
  <c r="Y53" i="4"/>
  <c r="M53" i="4"/>
  <c r="AK43" i="4"/>
  <c r="Y43" i="4"/>
  <c r="M43" i="4"/>
  <c r="AK33" i="4"/>
  <c r="Y33" i="4"/>
  <c r="M33" i="4"/>
  <c r="M23" i="4"/>
  <c r="AK23" i="4"/>
  <c r="AK13" i="4"/>
  <c r="M13" i="4"/>
  <c r="Y23" i="4"/>
  <c r="AE13" i="4"/>
  <c r="AF51" i="2"/>
  <c r="Y13" i="4"/>
  <c r="S13" i="4"/>
  <c r="AM49" i="4"/>
  <c r="AA49" i="4"/>
  <c r="O49" i="4"/>
  <c r="AM39" i="4"/>
  <c r="AA39" i="4"/>
  <c r="O39" i="4"/>
  <c r="AG49" i="4"/>
  <c r="U49" i="4"/>
  <c r="AG39" i="4"/>
  <c r="U39" i="4"/>
  <c r="AG29" i="4"/>
  <c r="U29" i="4"/>
  <c r="AG19" i="4"/>
  <c r="U19" i="4"/>
  <c r="AG9" i="4"/>
  <c r="U9" i="4"/>
  <c r="AM29" i="4"/>
  <c r="AM19" i="4"/>
  <c r="AA29" i="4"/>
  <c r="O19" i="4"/>
  <c r="O9" i="4"/>
  <c r="O29" i="4"/>
  <c r="AA9" i="4"/>
  <c r="AA19" i="4"/>
  <c r="AM9" i="4"/>
  <c r="AF29" i="2"/>
  <c r="AM53" i="4"/>
  <c r="AA53" i="4"/>
  <c r="O53" i="4"/>
  <c r="AM43" i="4"/>
  <c r="AA43" i="4"/>
  <c r="O43" i="4"/>
  <c r="AM33" i="4"/>
  <c r="AA33" i="4"/>
  <c r="O33" i="4"/>
  <c r="AG53" i="4"/>
  <c r="U53" i="4"/>
  <c r="AG43" i="4"/>
  <c r="U43" i="4"/>
  <c r="AG33" i="4"/>
  <c r="U33" i="4"/>
  <c r="AA23" i="4"/>
  <c r="AG13" i="4"/>
  <c r="U13" i="4"/>
  <c r="U23" i="4"/>
  <c r="O13" i="4"/>
  <c r="AA13" i="4"/>
  <c r="AM23" i="4"/>
  <c r="O23" i="4"/>
  <c r="AM13" i="4"/>
  <c r="AG23" i="4"/>
  <c r="AF53" i="2"/>
  <c r="L52" i="4"/>
  <c r="X42" i="4"/>
  <c r="AJ32" i="4"/>
  <c r="R42" i="4"/>
  <c r="X22" i="4"/>
  <c r="L22" i="4"/>
  <c r="AJ12" i="4"/>
  <c r="X12" i="4"/>
  <c r="L12" i="4"/>
  <c r="AJ52" i="4"/>
  <c r="L42" i="4"/>
  <c r="X32" i="4"/>
  <c r="AJ22" i="4"/>
  <c r="AD32" i="4"/>
  <c r="AD22" i="4"/>
  <c r="R12" i="4"/>
  <c r="R32" i="4"/>
  <c r="AD52" i="4"/>
  <c r="X52" i="4"/>
  <c r="AJ42" i="4"/>
  <c r="R52" i="4"/>
  <c r="AD42" i="4"/>
  <c r="L32" i="4"/>
  <c r="R22" i="4"/>
  <c r="AD12" i="4"/>
  <c r="AF44" i="2"/>
  <c r="P36" i="2"/>
  <c r="Z24" i="3"/>
  <c r="N24" i="3"/>
  <c r="Z16" i="3"/>
  <c r="AL16" i="3"/>
  <c r="Z8" i="3"/>
  <c r="N16" i="3"/>
  <c r="AF8" i="3"/>
  <c r="Z32" i="3"/>
  <c r="AL8" i="3"/>
  <c r="AF40" i="3"/>
  <c r="N8" i="3"/>
  <c r="T24" i="3"/>
  <c r="AL32" i="3"/>
  <c r="T16" i="3"/>
  <c r="T40" i="3"/>
  <c r="T8" i="3"/>
  <c r="AF24" i="3"/>
  <c r="Q36" i="2"/>
  <c r="T32" i="3"/>
  <c r="AF16" i="3"/>
  <c r="Z40" i="3"/>
  <c r="N32" i="3"/>
  <c r="AF32" i="3"/>
  <c r="AL40" i="3"/>
  <c r="AL24" i="3"/>
  <c r="N40" i="3"/>
  <c r="AK46" i="4"/>
  <c r="Y46" i="4"/>
  <c r="M46" i="4"/>
  <c r="AK36" i="4"/>
  <c r="Y36" i="4"/>
  <c r="M36" i="4"/>
  <c r="AK26" i="4"/>
  <c r="Y26" i="4"/>
  <c r="M26" i="4"/>
  <c r="AE46" i="4"/>
  <c r="S46" i="4"/>
  <c r="AE36" i="4"/>
  <c r="S36" i="4"/>
  <c r="AE26" i="4"/>
  <c r="S26" i="4"/>
  <c r="AK6" i="4"/>
  <c r="S6" i="4"/>
  <c r="Y16" i="4"/>
  <c r="AE6" i="4"/>
  <c r="S16" i="4"/>
  <c r="M6" i="4"/>
  <c r="AK16" i="4"/>
  <c r="Y6" i="4"/>
  <c r="M16" i="4"/>
  <c r="AE16" i="4"/>
  <c r="AF13" i="2"/>
  <c r="AG54" i="4"/>
  <c r="U54" i="4"/>
  <c r="AG44" i="4"/>
  <c r="U44" i="4"/>
  <c r="AG34" i="4"/>
  <c r="U34" i="4"/>
  <c r="AM54" i="4"/>
  <c r="AA54" i="4"/>
  <c r="O54" i="4"/>
  <c r="AM44" i="4"/>
  <c r="AA44" i="4"/>
  <c r="O44" i="4"/>
  <c r="AM34" i="4"/>
  <c r="AA34" i="4"/>
  <c r="O34" i="4"/>
  <c r="AM24" i="4"/>
  <c r="AA24" i="4"/>
  <c r="AM14" i="4"/>
  <c r="AA14" i="4"/>
  <c r="O14" i="4"/>
  <c r="U24" i="4"/>
  <c r="U14" i="4"/>
  <c r="O24" i="4"/>
  <c r="AG14" i="4"/>
  <c r="AG24" i="4"/>
  <c r="AF59" i="2"/>
  <c r="AC12" i="2" l="1"/>
  <c r="AB12" i="2"/>
  <c r="AD10" i="2"/>
  <c r="AE11" i="2"/>
  <c r="AD16" i="2"/>
  <c r="AE17" i="2"/>
  <c r="AD17" i="2" s="1"/>
  <c r="W37" i="4" s="1"/>
  <c r="AD11" i="2" l="1"/>
  <c r="K26" i="4" s="1"/>
  <c r="AE12" i="2"/>
  <c r="AD12" i="2" s="1"/>
  <c r="L16" i="4" s="1"/>
  <c r="W6" i="4"/>
  <c r="AI6" i="4"/>
  <c r="W26" i="4"/>
  <c r="AI26" i="4"/>
  <c r="AI47" i="4"/>
  <c r="K16" i="4"/>
  <c r="Q27" i="4"/>
  <c r="K47" i="4"/>
  <c r="K36" i="4"/>
  <c r="W16" i="4"/>
  <c r="AI16" i="4"/>
  <c r="Q26" i="4"/>
  <c r="Q17" i="4"/>
  <c r="AC27" i="4"/>
  <c r="W46" i="4"/>
  <c r="Q37" i="4"/>
  <c r="AH7" i="4"/>
  <c r="AH47" i="4"/>
  <c r="J7" i="4"/>
  <c r="V7" i="4"/>
  <c r="AB47" i="4"/>
  <c r="J27" i="4"/>
  <c r="P7" i="4"/>
  <c r="AB27" i="4"/>
  <c r="AH37" i="4"/>
  <c r="P17" i="4"/>
  <c r="P47" i="4"/>
  <c r="AB37" i="4"/>
  <c r="J47" i="4"/>
  <c r="P37" i="4"/>
  <c r="V37" i="4"/>
  <c r="AH27" i="4"/>
  <c r="V27" i="4"/>
  <c r="J37" i="4"/>
  <c r="AH17" i="4"/>
  <c r="V47" i="4"/>
  <c r="AB17" i="4"/>
  <c r="P27" i="4"/>
  <c r="AF16" i="2"/>
  <c r="J17" i="4"/>
  <c r="V17" i="4"/>
  <c r="AB7" i="4"/>
  <c r="AF11" i="2"/>
  <c r="Q36" i="4"/>
  <c r="AI46" i="4"/>
  <c r="K27" i="4"/>
  <c r="AC37" i="4"/>
  <c r="AI17" i="4"/>
  <c r="W7" i="4"/>
  <c r="W36" i="4"/>
  <c r="AI36" i="4"/>
  <c r="K46" i="4"/>
  <c r="AC26" i="4"/>
  <c r="AC36" i="4"/>
  <c r="AF17" i="2"/>
  <c r="W27" i="4"/>
  <c r="Q47" i="4"/>
  <c r="AI37" i="4"/>
  <c r="W47" i="4"/>
  <c r="Q7" i="4"/>
  <c r="AC7" i="4"/>
  <c r="AC17" i="4"/>
  <c r="Q16" i="4"/>
  <c r="AC6" i="4"/>
  <c r="Q6" i="4"/>
  <c r="Q46" i="4"/>
  <c r="K7" i="4"/>
  <c r="AI27" i="4"/>
  <c r="AC47" i="4"/>
  <c r="K17" i="4"/>
  <c r="AC16" i="4"/>
  <c r="AC46" i="4"/>
  <c r="W17" i="4"/>
  <c r="K37" i="4"/>
  <c r="K6" i="4"/>
  <c r="AI7" i="4"/>
  <c r="V36" i="4"/>
  <c r="P26" i="4"/>
  <c r="AH46" i="4"/>
  <c r="AB36" i="4"/>
  <c r="P46" i="4"/>
  <c r="AH16" i="4"/>
  <c r="V6" i="4"/>
  <c r="AH36" i="4"/>
  <c r="V16" i="4"/>
  <c r="AF10" i="2"/>
  <c r="AB16" i="4"/>
  <c r="J16" i="4"/>
  <c r="P16" i="4"/>
  <c r="AH6" i="4"/>
  <c r="AB6" i="4"/>
  <c r="AB46" i="4"/>
  <c r="AB26" i="4"/>
  <c r="P6" i="4"/>
  <c r="V46" i="4"/>
  <c r="AH26" i="4"/>
  <c r="P36" i="4"/>
  <c r="J26" i="4"/>
  <c r="J36" i="4"/>
  <c r="J46" i="4"/>
  <c r="V26" i="4"/>
  <c r="J6" i="4"/>
  <c r="AJ6" i="4" l="1"/>
  <c r="AJ26" i="4"/>
  <c r="X26" i="4"/>
  <c r="AD46" i="4"/>
  <c r="R36" i="4"/>
  <c r="L6" i="4"/>
  <c r="X16" i="4"/>
  <c r="AF12" i="2"/>
  <c r="R46" i="4"/>
  <c r="R16" i="4"/>
  <c r="L26" i="4"/>
  <c r="X46" i="4"/>
  <c r="AD6" i="4"/>
  <c r="AD16" i="4"/>
  <c r="AD26" i="4"/>
  <c r="AJ36" i="4"/>
  <c r="AJ16" i="4"/>
  <c r="X6" i="4"/>
  <c r="X36" i="4"/>
  <c r="L36" i="4"/>
  <c r="R26" i="4"/>
  <c r="R6" i="4"/>
  <c r="L46" i="4"/>
  <c r="AJ46" i="4"/>
  <c r="AD3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IRMA</author>
  </authors>
  <commentList>
    <comment ref="AK11" authorId="0" shapeId="0" xr:uid="{42D35369-2F3E-49EB-8132-E9D430CD9179}">
      <text>
        <r>
          <rPr>
            <b/>
            <sz val="9"/>
            <color indexed="81"/>
            <rFont val="Tahoma"/>
            <family val="2"/>
          </rPr>
          <t>IRMA:</t>
        </r>
        <r>
          <rPr>
            <sz val="9"/>
            <color indexed="81"/>
            <rFont val="Tahoma"/>
            <family val="2"/>
          </rPr>
          <t xml:space="preserve">
 OJO CON EL MEMORANDO PONER EL NUMERO DE RADICADO A QUIEN Y EN QUE FECHA </t>
        </r>
      </text>
    </comment>
    <comment ref="AN11" authorId="0" shapeId="0" xr:uid="{FFBB0E32-1589-4CED-9079-E7A9D17C5EC9}">
      <text>
        <r>
          <rPr>
            <b/>
            <sz val="9"/>
            <color indexed="81"/>
            <rFont val="Tahoma"/>
            <family val="2"/>
          </rPr>
          <t>IRMA:</t>
        </r>
        <r>
          <rPr>
            <sz val="9"/>
            <color indexed="81"/>
            <rFont val="Tahoma"/>
            <family val="2"/>
          </rPr>
          <t xml:space="preserve">
 OJO CON EL MEMORANDO PONER EL NUMERO DE RADICADO A QUIEN Y EN QUE FECHA </t>
        </r>
      </text>
    </comment>
    <comment ref="AQ11" authorId="0" shapeId="0" xr:uid="{09A44202-8353-435C-8D87-CE99DD54C53A}">
      <text>
        <r>
          <rPr>
            <b/>
            <sz val="9"/>
            <color indexed="81"/>
            <rFont val="Tahoma"/>
            <family val="2"/>
          </rPr>
          <t>IRMA:</t>
        </r>
        <r>
          <rPr>
            <sz val="9"/>
            <color indexed="81"/>
            <rFont val="Tahoma"/>
            <family val="2"/>
          </rPr>
          <t xml:space="preserve">
 OJO CON EL MEMORANDO PONER EL NUMERO DE RADICADO A QUIEN Y EN QUE FECHA </t>
        </r>
      </text>
    </comment>
    <comment ref="AT11" authorId="0" shapeId="0" xr:uid="{54B24C54-7A19-4EC5-A0A3-E286BB6844A0}">
      <text>
        <r>
          <rPr>
            <b/>
            <sz val="9"/>
            <color indexed="81"/>
            <rFont val="Tahoma"/>
            <family val="2"/>
          </rPr>
          <t>IRMA:</t>
        </r>
        <r>
          <rPr>
            <sz val="9"/>
            <color indexed="81"/>
            <rFont val="Tahoma"/>
            <family val="2"/>
          </rPr>
          <t xml:space="preserve">
 OJO CON EL MEMORANDO PONER EL NUMERO DE RADICADO A QUIEN Y EN QUE FECHA </t>
        </r>
      </text>
    </comment>
    <comment ref="AW11" authorId="0" shapeId="0" xr:uid="{F0721A3F-20F3-4E2F-89B6-8B52ED8B0D9E}">
      <text>
        <r>
          <rPr>
            <b/>
            <sz val="9"/>
            <color indexed="81"/>
            <rFont val="Tahoma"/>
            <family val="2"/>
          </rPr>
          <t>IRMA:</t>
        </r>
        <r>
          <rPr>
            <sz val="9"/>
            <color indexed="81"/>
            <rFont val="Tahoma"/>
            <family val="2"/>
          </rPr>
          <t xml:space="preserve">
 OJO CON EL MEMORANDO PONER EL NUMERO DE RADICADO A QUIEN Y EN QUE FECHA </t>
        </r>
      </text>
    </comment>
    <comment ref="AZ11" authorId="0" shapeId="0" xr:uid="{87A6179A-D080-417A-920A-CB5658971B97}">
      <text>
        <r>
          <rPr>
            <b/>
            <sz val="9"/>
            <color indexed="81"/>
            <rFont val="Tahoma"/>
            <family val="2"/>
          </rPr>
          <t>IRMA:</t>
        </r>
        <r>
          <rPr>
            <sz val="9"/>
            <color indexed="81"/>
            <rFont val="Tahoma"/>
            <family val="2"/>
          </rPr>
          <t xml:space="preserve">
 OJO CON EL MEMORANDO PONER EL NUMERO DE RADICADO A QUIEN Y EN QUE FECHA </t>
        </r>
      </text>
    </comment>
  </commentList>
</comments>
</file>

<file path=xl/sharedStrings.xml><?xml version="1.0" encoding="utf-8"?>
<sst xmlns="http://schemas.openxmlformats.org/spreadsheetml/2006/main" count="626" uniqueCount="402">
  <si>
    <t>Matriz Mapa de Riesgos</t>
  </si>
  <si>
    <r>
      <rPr>
        <sz val="10"/>
        <rFont val="Arial Narrow"/>
        <family val="2"/>
        <charset val="1"/>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rgb="FFE46C0A"/>
        <rFont val="Arial Narrow"/>
        <family val="2"/>
        <charset val="1"/>
      </rPr>
      <t>Guía para la Administración del Riesgo y el diseño de controles V5</t>
    </r>
    <r>
      <rPr>
        <sz val="10"/>
        <rFont val="Arial Narrow"/>
        <family val="2"/>
        <charset val="1"/>
      </rPr>
      <t>. El formato cuenta con celdas parametrizadas y permite contar con los respectivos mapas de calor para riesgo inherente y riesgo residual.</t>
    </r>
  </si>
  <si>
    <t>Orientaciones Generales</t>
  </si>
  <si>
    <r>
      <rPr>
        <sz val="11"/>
        <rFont val="Arial Narrow"/>
        <family val="2"/>
        <charset val="1"/>
      </rPr>
      <t xml:space="preserve">Antes de iniciar con el diligenciamiento de la información en la matriz, se requiere haber avanzado en el análisis del </t>
    </r>
    <r>
      <rPr>
        <b/>
        <sz val="11"/>
        <rFont val="Arial Narrow"/>
        <family val="2"/>
        <charset val="1"/>
      </rPr>
      <t>proceso, su objetivo, alcance, actividades clave</t>
    </r>
    <r>
      <rPr>
        <sz val="11"/>
        <rFont val="Arial Narrow"/>
        <family val="2"/>
        <charset val="1"/>
      </rPr>
      <t xml:space="preserve">, considere los lineamientos establecidos en el </t>
    </r>
    <r>
      <rPr>
        <b/>
        <sz val="11"/>
        <color rgb="FFE46C0A"/>
        <rFont val="Arial Narrow"/>
        <family val="2"/>
        <charset val="1"/>
      </rPr>
      <t>Paso 2: identificación del riesgo</t>
    </r>
    <r>
      <rPr>
        <sz val="11"/>
        <rFont val="Arial Narrow"/>
        <family val="2"/>
        <charset val="1"/>
      </rPr>
      <t xml:space="preserve">, donde se explica ampliamente las bases para adelanter este análisis.
Así mismo, considere en el </t>
    </r>
    <r>
      <rPr>
        <b/>
        <sz val="11"/>
        <color rgb="FFE46C0A"/>
        <rFont val="Arial Narrow"/>
        <family val="2"/>
        <charset val="1"/>
      </rPr>
      <t>Paso 3: valoración del riesgo</t>
    </r>
    <r>
      <rPr>
        <sz val="11"/>
        <rFont val="Arial Narrow"/>
        <family val="2"/>
        <charset val="1"/>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rgb="FFE46C0A"/>
        <rFont val="Arial Narrow"/>
        <family val="2"/>
        <charset val="1"/>
      </rPr>
      <t>NOTA:</t>
    </r>
    <r>
      <rPr>
        <sz val="11"/>
        <rFont val="Arial Narrow"/>
        <family val="2"/>
        <charset val="1"/>
      </rPr>
      <t xml:space="preserve"> Si lo considera pertinente, es posible agregar hojas de trabajo adicionales al presente formato que permitan incluir la traza de estos análisis.</t>
    </r>
  </si>
  <si>
    <r>
      <rPr>
        <sz val="10"/>
        <rFont val="Arial Narrow"/>
        <family val="2"/>
        <charset val="1"/>
      </rPr>
      <t xml:space="preserve">El archivo contiene las siguientes hojas:
-   </t>
    </r>
    <r>
      <rPr>
        <b/>
        <sz val="11"/>
        <rFont val="Arial Narrow"/>
        <family val="2"/>
        <charset val="1"/>
      </rPr>
      <t xml:space="preserve">Hoja 1 Instructivo
</t>
    </r>
    <r>
      <rPr>
        <sz val="10"/>
        <rFont val="Arial Narrow"/>
        <family val="2"/>
        <charset val="1"/>
      </rPr>
      <t xml:space="preserve"> -  </t>
    </r>
    <r>
      <rPr>
        <b/>
        <sz val="11"/>
        <rFont val="Arial Narrow"/>
        <family val="2"/>
        <charset val="1"/>
      </rPr>
      <t xml:space="preserve">Hoja 2 Mapa Final: </t>
    </r>
    <r>
      <rPr>
        <sz val="10"/>
        <rFont val="Arial Narrow"/>
        <family val="2"/>
        <charset val="1"/>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</si>
  <si>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</si>
  <si>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</si>
  <si>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</si>
  <si>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</si>
  <si>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</si>
  <si>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</si>
  <si>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</si>
  <si>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</si>
  <si>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</si>
  <si>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</si>
  <si>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</si>
  <si>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</si>
  <si>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</si>
  <si>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</si>
  <si>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</si>
  <si>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</si>
  <si>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</si>
  <si>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sz val="9"/>
        <rFont val="Arial Narrow"/>
        <family val="2"/>
        <charset val="1"/>
      </rP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rgb="FFE46C0A"/>
        <rFont val="Arial Narrow"/>
        <family val="2"/>
        <charset val="1"/>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</si>
  <si>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</si>
  <si>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</si>
  <si>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</si>
  <si>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</si>
  <si>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</si>
  <si>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</si>
  <si>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</si>
  <si>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</si>
  <si>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</si>
  <si>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sz val="9"/>
        <rFont val="Arial Narrow"/>
        <family val="2"/>
        <charset val="1"/>
      </rPr>
      <t xml:space="preserve">Recuerde que el control se define como la medida que permite reducir o mitigar un riesgo. Defina el control (es) que atacan la causa raíz del riesgo, considere la estructura explicada en la guía: </t>
    </r>
    <r>
      <rPr>
        <b/>
        <sz val="9"/>
        <color rgb="FFE46C0A"/>
        <rFont val="Arial Narrow"/>
        <family val="2"/>
        <charset val="1"/>
      </rPr>
      <t>Responsable de ejecutar el control + Acción + Complemento</t>
    </r>
  </si>
  <si>
    <t>Afectación</t>
  </si>
  <si>
    <t>Esta casilla no se diligencia, depende de la selección en la columna R.</t>
  </si>
  <si>
    <r>
      <rPr>
        <b/>
        <sz val="9"/>
        <rFont val="Arial Narrow"/>
        <family val="2"/>
        <charset val="1"/>
      </rPr>
      <t xml:space="preserve">ATRIBUTOS EFICIENCIA
</t>
    </r>
    <r>
      <rPr>
        <sz val="9"/>
        <rFont val="Arial Narrow"/>
        <family val="2"/>
        <charset val="1"/>
      </rPr>
      <t>Tipo</t>
    </r>
  </si>
  <si>
    <t>Utilice la lista de despligue que se encuentra parametrizada, le aparecerán las opciones: i)Preventivo, ii)Detectivo, iii)Correctivo.</t>
  </si>
  <si>
    <r>
      <rPr>
        <b/>
        <sz val="9"/>
        <rFont val="Arial Narrow"/>
        <family val="2"/>
        <charset val="1"/>
      </rPr>
      <t xml:space="preserve">ATRIBUTOS EFICIENCIA
</t>
    </r>
    <r>
      <rPr>
        <sz val="9"/>
        <rFont val="Arial Narrow"/>
        <family val="2"/>
        <charset val="1"/>
      </rPr>
      <t>Implementación</t>
    </r>
  </si>
  <si>
    <t>Utilice la lista de despligue que se encuentra parametrizada, le aparecerán las opciones: i)Automático, ii)Manual.</t>
  </si>
  <si>
    <r>
      <rPr>
        <b/>
        <sz val="9"/>
        <rFont val="Arial Narrow"/>
        <family val="2"/>
        <charset val="1"/>
      </rPr>
      <t xml:space="preserve">ATRIBUTOS EFICIENCIA
</t>
    </r>
    <r>
      <rPr>
        <sz val="9"/>
        <rFont val="Arial Narrow"/>
        <family val="2"/>
        <charset val="1"/>
      </rPr>
      <t>Calificación</t>
    </r>
  </si>
  <si>
    <t xml:space="preserve">La matriz automáticamente hará el cálculo para el control analizado (Columna T) </t>
  </si>
  <si>
    <r>
      <rPr>
        <b/>
        <sz val="9"/>
        <rFont val="Arial Narrow"/>
        <family val="2"/>
        <charset val="1"/>
      </rPr>
      <t xml:space="preserve">ATRIBUTOS INFORMATIVOS
</t>
    </r>
    <r>
      <rPr>
        <sz val="9"/>
        <rFont val="Arial Narrow"/>
        <family val="2"/>
        <charset val="1"/>
      </rPr>
      <t>Documentación</t>
    </r>
  </si>
  <si>
    <t>Utilice la lista de despligue que se encuentra parametrizada, le aparecerán las opciones: i)Documentado, ii)Sin documentar.</t>
  </si>
  <si>
    <r>
      <rPr>
        <b/>
        <sz val="9"/>
        <rFont val="Arial Narrow"/>
        <family val="2"/>
        <charset val="1"/>
      </rPr>
      <t xml:space="preserve">ATRIBUTOS INFORMATIVOS
</t>
    </r>
    <r>
      <rPr>
        <sz val="9"/>
        <rFont val="Arial Narrow"/>
        <family val="2"/>
        <charset val="1"/>
      </rPr>
      <t>Frecuencia</t>
    </r>
  </si>
  <si>
    <t>Utilice la lista de despligue que se encuentra parametrizada, le aparecerán las opciones: i)Continua, ii)Aleatoria.</t>
  </si>
  <si>
    <r>
      <rPr>
        <b/>
        <sz val="9"/>
        <rFont val="Arial Narrow"/>
        <family val="2"/>
        <charset val="1"/>
      </rPr>
      <t xml:space="preserve">ATRIBUTOS INFORMATIVOS
</t>
    </r>
    <r>
      <rPr>
        <sz val="9"/>
        <rFont val="Arial Narrow"/>
        <family val="2"/>
        <charset val="1"/>
      </rPr>
      <t>Registro</t>
    </r>
  </si>
  <si>
    <t>Utilice la lista de despligue que se encuentra parametrizada, le aparecerán las opciones: i)Con Registro, ii) Sin Registro.</t>
  </si>
  <si>
    <t>Evaluación del Nivel de Riesgo - Nivel de Riesgo Residual</t>
  </si>
  <si>
    <r>
      <rPr>
        <sz val="9"/>
        <rFont val="Arial Narrow"/>
        <family val="2"/>
        <charset val="1"/>
      </rPr>
      <t>La matriz automáticamente hará el cálculo, acorde con el control o controles definidos con sus atributos analizados, lo que permitirá establecer el</t>
    </r>
    <r>
      <rPr>
        <b/>
        <sz val="9"/>
        <color rgb="FFE46C0A"/>
        <rFont val="Arial Narrow"/>
        <family val="2"/>
        <charset val="1"/>
      </rPr>
      <t xml:space="preserve"> nivel de riesgo inherente</t>
    </r>
    <r>
      <rPr>
        <sz val="9"/>
        <rFont val="Arial Narrow"/>
        <family val="2"/>
        <charset val="1"/>
      </rPr>
      <t xml:space="preserve"> (Columnas Y- Z- AA -AB- AC).</t>
    </r>
  </si>
  <si>
    <t>Tratamiento</t>
  </si>
  <si>
    <t>Utilice la lista de despligue que se encuentra parametrizada, le aparecerán las opciones: i)Aceptar, ii)Evitar, iii)Reducir (compartir), iv)Reducir (mitigar).</t>
  </si>
  <si>
    <r>
      <rPr>
        <b/>
        <sz val="9"/>
        <rFont val="Arial Narrow"/>
        <family val="2"/>
        <charset val="1"/>
      </rPr>
      <t xml:space="preserve">Plan de Acción
</t>
    </r>
    <r>
      <rPr>
        <sz val="9"/>
        <rFont val="Arial Narrow"/>
        <family val="2"/>
        <charset val="1"/>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</si>
  <si>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</si>
  <si>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</si>
  <si>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</si>
  <si>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sz val="10"/>
        <rFont val="Arial Narrow"/>
        <family val="2"/>
        <charset val="1"/>
      </rPr>
      <t xml:space="preserve"> -</t>
    </r>
    <r>
      <rPr>
        <sz val="11"/>
        <rFont val="Arial Narrow"/>
        <family val="2"/>
        <charset val="1"/>
      </rPr>
      <t xml:space="preserve"> </t>
    </r>
    <r>
      <rPr>
        <b/>
        <sz val="11"/>
        <rFont val="Arial Narrow"/>
        <family val="2"/>
        <charset val="1"/>
      </rPr>
      <t xml:space="preserve"> Hoja 3 Matriz de Calor Inherente: </t>
    </r>
    <r>
      <rPr>
        <sz val="11"/>
        <rFont val="Arial Narrow"/>
        <family val="2"/>
        <charset val="1"/>
      </rPr>
      <t xml:space="preserve"> En esta hoja, en la medida en que ese diligencia el Mapa Final, se verán reflejados los riesgos en su zona correspondiente. Esta hoja no se diligencia se genera de manera automática.</t>
    </r>
  </si>
  <si>
    <r>
      <rPr>
        <sz val="10"/>
        <rFont val="Arial Narrow"/>
        <family val="2"/>
        <charset val="1"/>
      </rPr>
      <t xml:space="preserve"> -</t>
    </r>
    <r>
      <rPr>
        <sz val="11"/>
        <rFont val="Arial Narrow"/>
        <family val="2"/>
        <charset val="1"/>
      </rPr>
      <t xml:space="preserve"> </t>
    </r>
    <r>
      <rPr>
        <b/>
        <sz val="11"/>
        <rFont val="Arial Narrow"/>
        <family val="2"/>
        <charset val="1"/>
      </rPr>
      <t xml:space="preserve"> Hoja 4 Matriz de Calor Residual: </t>
    </r>
    <r>
      <rPr>
        <sz val="11"/>
        <rFont val="Arial Narrow"/>
        <family val="2"/>
        <charset val="1"/>
      </rPr>
      <t>En esta hoja, en la medida en que ese diligencia el Mapa Final, se verán reflejados los riesgos en su zona correspondiente. Esta hoja no se diligencia se genera de manera automática.</t>
    </r>
  </si>
  <si>
    <r>
      <rPr>
        <sz val="10"/>
        <rFont val="Arial Narrow"/>
        <family val="2"/>
        <charset val="1"/>
      </rPr>
      <t xml:space="preserve"> -</t>
    </r>
    <r>
      <rPr>
        <sz val="11"/>
        <rFont val="Arial Narrow"/>
        <family val="2"/>
        <charset val="1"/>
      </rPr>
      <t xml:space="preserve"> </t>
    </r>
    <r>
      <rPr>
        <b/>
        <sz val="11"/>
        <rFont val="Arial Narrow"/>
        <family val="2"/>
        <charset val="1"/>
      </rPr>
      <t xml:space="preserve"> Hoja 5 Tabla de probabilidad: </t>
    </r>
    <r>
      <rPr>
        <sz val="11"/>
        <rFont val="Arial Narrow"/>
        <family val="2"/>
        <charset val="1"/>
      </rPr>
      <t>Tabla referente para todos los cálculos (no se diligencia)</t>
    </r>
  </si>
  <si>
    <r>
      <rPr>
        <sz val="10"/>
        <rFont val="Arial Narrow"/>
        <family val="2"/>
        <charset val="1"/>
      </rPr>
      <t xml:space="preserve"> -</t>
    </r>
    <r>
      <rPr>
        <sz val="11"/>
        <rFont val="Arial Narrow"/>
        <family val="2"/>
        <charset val="1"/>
      </rPr>
      <t xml:space="preserve"> </t>
    </r>
    <r>
      <rPr>
        <b/>
        <sz val="11"/>
        <rFont val="Arial Narrow"/>
        <family val="2"/>
        <charset val="1"/>
      </rPr>
      <t xml:space="preserve"> Hoja 6 Tabla de Impacto: </t>
    </r>
    <r>
      <rPr>
        <sz val="11"/>
        <rFont val="Arial Narrow"/>
        <family val="2"/>
        <charset val="1"/>
      </rPr>
      <t>Tabla referente para todos los cálculos (no se diligencia)</t>
    </r>
  </si>
  <si>
    <r>
      <rPr>
        <sz val="10"/>
        <rFont val="Arial Narrow"/>
        <family val="2"/>
        <charset val="1"/>
      </rPr>
      <t xml:space="preserve"> -</t>
    </r>
    <r>
      <rPr>
        <sz val="11"/>
        <rFont val="Arial Narrow"/>
        <family val="2"/>
        <charset val="1"/>
      </rPr>
      <t xml:space="preserve"> </t>
    </r>
    <r>
      <rPr>
        <b/>
        <sz val="11"/>
        <rFont val="Arial Narrow"/>
        <family val="2"/>
        <charset val="1"/>
      </rPr>
      <t xml:space="preserve"> Hoja 7 Tabla de Valoración de Controles: </t>
    </r>
    <r>
      <rPr>
        <sz val="11"/>
        <rFont val="Arial Narrow"/>
        <family val="2"/>
        <charset val="1"/>
      </rPr>
      <t>Tabla referente para todos los cálculos (no se diligencia)</t>
    </r>
  </si>
  <si>
    <t xml:space="preserve">Formato Mapa Riesgos </t>
  </si>
  <si>
    <t>Proceso:</t>
  </si>
  <si>
    <t>Control unico Disciplinario</t>
  </si>
  <si>
    <t>Objetivo:</t>
  </si>
  <si>
    <t>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t>
  </si>
  <si>
    <t>Alcance:</t>
  </si>
  <si>
    <t>INICIA DE OFICIO ANTE UNA QUEJA O INFORME DE SERVIDOR PÚBLICO, LA EVALUACIÓN DE LA QUEJA, QUE PUEDE DAR LUGAR A UN AUTO INHIBITORIO, AUTO DE INDAGACIÓN PRELIMINAR, AUTO DE INVESTIGACIÓN DISCIPLINARIO, AUTO POR REMISIÓN DE COMPETENCIA, PARA TERMINAR Y/O ARCHIVAR, DE ACUERDO AL FALLO SANCIONATORIO O ABSOLUTORIO</t>
  </si>
  <si>
    <t>Identificación del riesgo</t>
  </si>
  <si>
    <t>Análisis del riesgo inherente</t>
  </si>
  <si>
    <t>Evaluación del riesgo - Valoración de los controles</t>
  </si>
  <si>
    <t>Evaluación del riesgo - Nivel del riesgo residual</t>
  </si>
  <si>
    <t>Plan de Acción</t>
  </si>
  <si>
    <t xml:space="preserve">Referencia </t>
  </si>
  <si>
    <t>Subcausas</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</si>
  <si>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</si>
  <si>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</si>
  <si>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</si>
  <si>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</si>
  <si>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</si>
  <si>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</si>
  <si>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</si>
  <si>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</si>
  <si>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</si>
  <si>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</si>
  <si>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</si>
  <si>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</si>
  <si>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</si>
  <si>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</si>
  <si>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</si>
  <si>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</si>
  <si>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Actividades de Riesgo</t>
  </si>
  <si>
    <t>Tipo</t>
  </si>
  <si>
    <t>Implementación</t>
  </si>
  <si>
    <t>Calificación</t>
  </si>
  <si>
    <t>Documentación</t>
  </si>
  <si>
    <t>Frecuencia</t>
  </si>
  <si>
    <t>Evidencia</t>
  </si>
  <si>
    <t>Reputacional</t>
  </si>
  <si>
    <t>Reconstrucción de expedientes o sanciones por parte del ente regulardor</t>
  </si>
  <si>
    <t xml:space="preserve">Falta de continuidad del personal con las competencias administrativas idoneas </t>
  </si>
  <si>
    <t>Usuarios, productos y practicas , organizacionales</t>
  </si>
  <si>
    <t xml:space="preserve">     El riesgo afecta la imagen de la entidad con algunos usuarios de relevancia frente al logro de los objetivos</t>
  </si>
  <si>
    <t>Preventivo</t>
  </si>
  <si>
    <t>Manual</t>
  </si>
  <si>
    <t>Sin Documentar</t>
  </si>
  <si>
    <t>Continua</t>
  </si>
  <si>
    <t>Sin Registro</t>
  </si>
  <si>
    <t>Reducir (compartir)</t>
  </si>
  <si>
    <t xml:space="preserve"> falta de una herramienta o sistema de información que permita registrar las etapas del proceso,  genere alertas y salvaguarde la información.</t>
  </si>
  <si>
    <t xml:space="preserve">Desacato de los  terminos de Ley. </t>
  </si>
  <si>
    <t>Ejecucion y Administracion de procesos</t>
  </si>
  <si>
    <t xml:space="preserve">     El riesgo afecta la imagen de la entidad internamente, de conocimiento general, nivel interno, de junta dircetiva y accionistas y/o de provedores</t>
  </si>
  <si>
    <t>Con Registro</t>
  </si>
  <si>
    <t>Reducir (mitigar)</t>
  </si>
  <si>
    <t>Jefe de Oficina</t>
  </si>
  <si>
    <t xml:space="preserve">Ausencia de material probatorio. </t>
  </si>
  <si>
    <t>Detectivo</t>
  </si>
  <si>
    <t>Falta de control en la recepción de quejas y desorganización en reparto.</t>
  </si>
  <si>
    <t>Pérdida Reputacional</t>
  </si>
  <si>
    <t>Menor</t>
  </si>
  <si>
    <t>Probabilidad</t>
  </si>
  <si>
    <t>Correctivo</t>
  </si>
  <si>
    <t>Documentado</t>
  </si>
  <si>
    <t>Las quejas son radicadas en diferentes entes de control, quienes remiten por competencia a la O.C.U.D las quejas a destiempo.</t>
  </si>
  <si>
    <r>
      <rPr>
        <b/>
        <sz val="11"/>
        <color rgb="FFE46C0A"/>
        <rFont val="Arial Narrow"/>
        <family val="2"/>
        <charset val="1"/>
      </rPr>
      <t xml:space="preserve">*Nota: </t>
    </r>
    <r>
      <rPr>
        <sz val="11"/>
        <color rgb="FF000000"/>
        <rFont val="Arial Narrow"/>
        <family val="2"/>
        <charset val="1"/>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</si>
  <si>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</si>
  <si>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</si>
  <si>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</si>
  <si>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</si>
  <si>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</si>
  <si>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</si>
  <si>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</si>
  <si>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</si>
  <si>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</si>
  <si>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</si>
  <si>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</si>
  <si>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</si>
  <si>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</si>
  <si>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</si>
  <si>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</si>
  <si>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</si>
  <si>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</si>
  <si>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</si>
  <si>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</si>
  <si>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</si>
  <si>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</si>
  <si>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</si>
  <si>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</si>
  <si>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</si>
  <si>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</si>
  <si>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</si>
  <si>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</si>
  <si>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</si>
  <si>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</si>
  <si>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</si>
  <si>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</si>
  <si>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Insignificante</t>
  </si>
  <si>
    <t>Leve 20%</t>
  </si>
  <si>
    <t>Afectación menor a 200 SMLMV</t>
  </si>
  <si>
    <t>El riesgo afecta la imagen de alguna área de la organización</t>
  </si>
  <si>
    <t xml:space="preserve">Menor-40% </t>
  </si>
  <si>
    <t>Entre 200 y 1000 SMLMV</t>
  </si>
  <si>
    <t>El riesgo afecta la imagen de la entidad internamente, de conocimiento general, nivel interno, de junta dircetiva y accionistas y/o de provedores</t>
  </si>
  <si>
    <t>Moderado 60%</t>
  </si>
  <si>
    <t xml:space="preserve">Entre 1000 y 5000 SMLMV </t>
  </si>
  <si>
    <t>El riesgo afecta la imagen de la entidad con algunos usuarios de relevancia frente al logro de los objetivos</t>
  </si>
  <si>
    <t>Mayor</t>
  </si>
  <si>
    <t>Mayor 80%</t>
  </si>
  <si>
    <t>Entre 5000 y 10000 SMLMV</t>
  </si>
  <si>
    <t>El riesgo afecta la imagen de de la entidad con efecto publicitario sostenido a nivel de sector administrativo, nivel departamental o municipal</t>
  </si>
  <si>
    <t>Catastrófico</t>
  </si>
  <si>
    <t>Catastrófico 100%</t>
  </si>
  <si>
    <t>Mayor a 10000 SMLMV</t>
  </si>
  <si>
    <t>El riesgo afecta la imagen de la entidad a nivel nacional, con efecto publicitarios sostenible a nivel país</t>
  </si>
  <si>
    <t>Afectación_Económica_o_presupuestal</t>
  </si>
  <si>
    <t xml:space="preserve">     Afectación menor a 200 SMLMV</t>
  </si>
  <si>
    <t xml:space="preserve">     El riesgo afecta la imagen de alguna área de la organización</t>
  </si>
  <si>
    <t>Pérdida_Reputacional</t>
  </si>
  <si>
    <t xml:space="preserve">     Entre 200 y 1000 SMLMV</t>
  </si>
  <si>
    <t xml:space="preserve">     Entre 1000 y 5000 SMLMV </t>
  </si>
  <si>
    <t xml:space="preserve">     Entre 5000 y 10000 SMLMV</t>
  </si>
  <si>
    <t xml:space="preserve">     El riesgo afecta la imagen de de la entidad con efecto publicitario sostenido a nivel de sector administrativo, nivel departamental o municipal</t>
  </si>
  <si>
    <t xml:space="preserve">     Mayor a 10000 SMLMV</t>
  </si>
  <si>
    <t xml:space="preserve">     El riesgo afecta la imagen de la entidad a nivel nacional, con efecto publicitarios sostenible a nivel país</t>
  </si>
  <si>
    <t>Criterios</t>
  </si>
  <si>
    <t>Subcriterios</t>
  </si>
  <si>
    <t>(vacío)</t>
  </si>
  <si>
    <t>Afectación Económica o presupuestal</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</si>
  <si>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</si>
  <si>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</si>
  <si>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</si>
  <si>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</si>
  <si>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</si>
  <si>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</si>
  <si>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</si>
  <si>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</si>
  <si>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</si>
  <si>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</si>
  <si>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</si>
  <si>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</si>
  <si>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</si>
  <si>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rgb="FFE46C0A"/>
        <rFont val="Arial Narrow"/>
        <family val="2"/>
        <charset val="1"/>
      </rPr>
      <t>*</t>
    </r>
    <r>
      <rPr>
        <b/>
        <sz val="12"/>
        <rFont val="Arial Narrow"/>
        <family val="2"/>
        <charset val="1"/>
      </rPr>
      <t>Atributos de</t>
    </r>
    <r>
      <rPr>
        <b/>
        <sz val="12"/>
        <color rgb="FFE46C0A"/>
        <rFont val="Arial Narrow"/>
        <family val="2"/>
        <charset val="1"/>
      </rPr>
      <t xml:space="preserve"> </t>
    </r>
    <r>
      <rPr>
        <b/>
        <sz val="12"/>
        <color rgb="FF000000"/>
        <rFont val="Arial Narrow"/>
        <family val="2"/>
        <charset val="1"/>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</si>
  <si>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</si>
  <si>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</si>
  <si>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</si>
  <si>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</si>
  <si>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</si>
  <si>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</si>
  <si>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</si>
  <si>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</si>
  <si>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rgb="FFE46C0A"/>
        <rFont val="Arial Narrow"/>
        <family val="2"/>
        <charset val="1"/>
      </rPr>
      <t>*Nota 1:</t>
    </r>
    <r>
      <rPr>
        <sz val="12"/>
        <color rgb="FF000000"/>
        <rFont val="Arial Narrow"/>
        <family val="2"/>
        <charset val="1"/>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</si>
  <si>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</si>
  <si>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</si>
  <si>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</si>
  <si>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Económico y Reputacional</t>
  </si>
  <si>
    <t>Plan de accion (solo para la opción reducir)</t>
  </si>
  <si>
    <t>Finalizado</t>
  </si>
  <si>
    <t>En curso</t>
  </si>
  <si>
    <t>Daños Activos Fisicos</t>
  </si>
  <si>
    <t>Fallas Tecnologicas</t>
  </si>
  <si>
    <t>Fraude Externo</t>
  </si>
  <si>
    <t>Fraude Interno</t>
  </si>
  <si>
    <t>Relaciones Laborales</t>
  </si>
  <si>
    <t>Registro Sustancial</t>
  </si>
  <si>
    <t>Registro Material</t>
  </si>
  <si>
    <t>Sin registro</t>
  </si>
  <si>
    <t>Reducir</t>
  </si>
  <si>
    <t>Febrero</t>
  </si>
  <si>
    <t>Abril</t>
  </si>
  <si>
    <t>Junio</t>
  </si>
  <si>
    <t>Ausencia de archivadores y gondolas para el resguardo de los expedientes</t>
  </si>
  <si>
    <t>El jefe de la oficina solicitará, mediante un memorando a la secretaria administrativa, una vez identificada las necesidades, las herramientas, muebles y enseres, que son indispensables para el ejercicio y cumplimineto de las obligaciones y funciones de la oficina  para resguardar los expedientes.</t>
  </si>
  <si>
    <t>Desconocimiento por parte de los servidores publicos de la oficina de control unico disciplinario respecto al procedimiento Unico Disciplinario</t>
  </si>
  <si>
    <t xml:space="preserve">El jefe de la Oficina de Control Unico Disciplinario realiza capacitaciones a los funcionarios nuevos dentro de los tiempos establecidos dejando como evidencia un acta de reunión. </t>
  </si>
  <si>
    <t>Ausencia de controles en el traslado o designación de las quejas a la oficina de control unico disciplinario por parte de la oficina de radicación.</t>
  </si>
  <si>
    <t>El jefe de la Oficina de Control Unico Disciplinario  junto con el técnico operativo cada  vez que  solicité una prueba verifican la recepción de las mismas, con el fin de identificar cuales no se han recibido para reiterar el envío.  Dejando como evidencia las comunicaciones enviadas y/o cuadro  de control de solicitudes.</t>
  </si>
  <si>
    <t xml:space="preserve">en Comité Juridico, se realiza la revisión del estado de los procesos Activos, para efectuar un impulso procesal, donde queda como videnacia el Acta de Comité Juridico.
</t>
  </si>
  <si>
    <t>desconocimietno por parte del personal responsable de efectuar el reparto de las PQR´s</t>
  </si>
  <si>
    <t>Verificar en plataforma PISAMI, mediante el numero radicado las PQR´s recibidas en la entidad y revisar el traslado a la Oficina de Control Unico Disciplinario. Diligenciando matriz en archivo Excel el reparto.</t>
  </si>
  <si>
    <t xml:space="preserve">El jefe de la Oficina de Control Unico Disciplinario cada vez que se va a contratar personal, verifica el perfíl de la persona y lo compara frente a las necesidades reales del personal en la oficina. Dejando como evidencia la aprobación para la contratación. </t>
  </si>
  <si>
    <t>El jefe de Oficina de control unico disciplinario revisa  la necesidad de bienes muebles de seguridad , archivadores existentes y capacidad de la oficina para poder salvaguardar los procesos disciplinarios meidante un memorando que sera enviado a la secretaria  administrativa y direccion de recursos fisicos</t>
  </si>
  <si>
    <t xml:space="preserve">El tecnico Operativo , realizará, un archivo en excel donde incluira las quejas allegadas  con la información completa, con el fin de tener un control de las quejas allegadas, de manera mensual, dejando como evidencias la actualizacion de la basa de datos.
</t>
  </si>
  <si>
    <t>Agosto</t>
  </si>
  <si>
    <t>Octubre</t>
  </si>
  <si>
    <t xml:space="preserve"> Se envio un memorandos N° 003558 DEL 01/02/2024 y 003556 DEL 01/02/2024  con base en dar cumplimiento a las necesidades requeridas.</t>
  </si>
  <si>
    <t>Se dió cumplimiento con la actividad capacitando a los nuevos funcionarios adscritos a la Oficina de Control Único Disciplinario dando así cumplimiento a este control.</t>
  </si>
  <si>
    <t>31/06/2024</t>
  </si>
  <si>
    <t>se realizó el seguimiento a la base de datos la cual reposa en el drive, donde se alimenta la información de los expedientes ya existentes y los nuevos que se incorporan.</t>
  </si>
  <si>
    <t>se realizó el seguimiento a la base de datos la cual reposa en el drive, donde se alimenta la información de los expedientes ya existentes y los nuevos que se incorporan</t>
  </si>
  <si>
    <t xml:space="preserve">CONTEXTO ESTRATEGICO </t>
  </si>
  <si>
    <t>PROCESO: GESTIÓN Y CONTROL DISCIPLINARIO</t>
  </si>
  <si>
    <t xml:space="preserve">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t>
  </si>
  <si>
    <t>FACTORES EXTERNOS</t>
  </si>
  <si>
    <t>CAUSAS</t>
  </si>
  <si>
    <t>FACTORES INTERNOS</t>
  </si>
  <si>
    <t>FACTORES DEL PROCESO</t>
  </si>
  <si>
    <t>POLÍTICOS</t>
  </si>
  <si>
    <t>Constantes Cambio de Gobierno</t>
  </si>
  <si>
    <t>FINANCIEROS</t>
  </si>
  <si>
    <t>Escaso Presupuesto de Funcionamiento</t>
  </si>
  <si>
    <t>INTERACCIÓN CON LOS PROCESOS</t>
  </si>
  <si>
    <t xml:space="preserve">Constantes cambios en la Legislacion </t>
  </si>
  <si>
    <t>Infraestructura insuficienta para el funcionamiento de la Oficina</t>
  </si>
  <si>
    <t>RESPONSABLES DEL PROCESO</t>
  </si>
  <si>
    <t xml:space="preserve">Falta de personal con el conocimiento y experticia idonea </t>
  </si>
  <si>
    <t>SOCIALES Y CULTURALES</t>
  </si>
  <si>
    <t xml:space="preserve">Problemas de Orden Publico </t>
  </si>
  <si>
    <t>Capacidad Instalada es insuficiente</t>
  </si>
  <si>
    <t>ACTIVOS DE SEGURIDAD DIGITAL DEL PROCESO</t>
  </si>
  <si>
    <t>Falta de Software y hadware para el funcionamiento de la Oficina de Control Unico Disciplinario, con el fin de dar seguimiento y control de termino en cada etapa procesal</t>
  </si>
  <si>
    <t>LEGALES Y REGLAMENTARIOS</t>
  </si>
  <si>
    <t>Constantes cambios Normativos (Leyes, Decretos, ordenanzas y acuerdos)</t>
  </si>
  <si>
    <t>PERSONAL DE LA ENTIDAD (Capacidad del personal, políticas de manejo del talento humano, idoneidad)</t>
  </si>
  <si>
    <t xml:space="preserve">Alta rotacion del personal, falta etica y competencia de los mismos  </t>
  </si>
  <si>
    <t>OTROS</t>
  </si>
  <si>
    <t xml:space="preserve">Perdida de la informacion fisica de los expediente en vigencia y falta de digitalizacion de los mismos. </t>
  </si>
  <si>
    <t>Deficiente disponibilidad del personal externo con el que se relaciona la oficina para el buen funcionamiento de la misma.</t>
  </si>
  <si>
    <t xml:space="preserve">Demoras en la dotacion de insumos ergonomicos para el personal de la Oficina de Control Unico Disciplinario </t>
  </si>
  <si>
    <t>COMMUNICACIÓN INTERNA</t>
  </si>
  <si>
    <t xml:space="preserve">Canales de comunicación internos que impiden la confiencialidad de los procesos </t>
  </si>
  <si>
    <t>el flujo de la informacion es interrumpida por quienes deben de suministrar de otras dependencias</t>
  </si>
  <si>
    <t xml:space="preserve">desconocimiento de la legislacion para dar respuesta oportuna </t>
  </si>
  <si>
    <t>TECNOLOGÍA (integridad de datos, disponibilidad de datos y sistemas, desarrollo, producción, mantenimiento de sistemas de información)</t>
  </si>
  <si>
    <t xml:space="preserve">obsolensencia tecnologica </t>
  </si>
  <si>
    <t>dificultad al acceso de internet</t>
  </si>
  <si>
    <t>mantenimiento del sistema de informacion de la alcaldia que puede generar demora en los procesos</t>
  </si>
  <si>
    <t>ESTRATÉGICOS</t>
  </si>
  <si>
    <t xml:space="preserve">Demoras en la contratacion </t>
  </si>
  <si>
    <t>Falta de la adecuada division entre el procedimiento y el juzgamiento</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</si>
  <si>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</si>
  <si>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</si>
  <si>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</si>
  <si>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</si>
  <si>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</si>
  <si>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</si>
  <si>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</si>
  <si>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</si>
  <si>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</si>
  <si>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</si>
  <si>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</si>
  <si>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</si>
  <si>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</si>
  <si>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</si>
  <si>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</si>
  <si>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</si>
  <si>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</si>
  <si>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</si>
  <si>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</si>
  <si>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</si>
  <si>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</si>
  <si>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</si>
  <si>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 xml:space="preserve">
MATRIZ DOFA
IDENTIFICACION DE FACTORES 
Y
DEFINICION DE ESTRATEGIAS
</t>
  </si>
  <si>
    <t>NEGATIVOS</t>
  </si>
  <si>
    <t>POSITIVOS</t>
  </si>
  <si>
    <t>DEBILIDADES (D)</t>
  </si>
  <si>
    <t>FORTALEZAS (F)</t>
  </si>
  <si>
    <t xml:space="preserve">1. Compromiso de la alta direccion </t>
  </si>
  <si>
    <t>2. Buen ambiente laboral</t>
  </si>
  <si>
    <t>3. Equipo de trabajo interdisciplinal con las competencias necesarias para el cumplimiento de las funciones</t>
  </si>
  <si>
    <t xml:space="preserve">4. Certificacion del sistema integrado de gestion de la alcaldia municipal de Ibague </t>
  </si>
  <si>
    <t xml:space="preserve">5. Implementacion del Codigo de Etica y Buen Gobierno </t>
  </si>
  <si>
    <t xml:space="preserve">6. Plan de capacitaciones interna de la Alcaldia </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</si>
  <si>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</si>
  <si>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</si>
  <si>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</si>
  <si>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 xml:space="preserve">1. Capacitacion en linea de Orden Nacional </t>
  </si>
  <si>
    <t xml:space="preserve">D3 O1, Solicitar capacitaciones para los funcionarios publicos de la alcaldia de Ibague en lo relacionado con la nueva normatividad disciplinaria y las otras normas o leyes inherentes que desempeña dentro de la Oficina. </t>
  </si>
  <si>
    <t>F3 O3, Cumplir a cabalidad con los principios y valores del Codigo de Buen Gobierno por parte del personal altamente competente.</t>
  </si>
  <si>
    <t xml:space="preserve">2. Marco Legal </t>
  </si>
  <si>
    <t xml:space="preserve">F6 O2 Realizar capacitaciones de acuerdo a las actualizaciones que se realicen al Marco Legal </t>
  </si>
  <si>
    <t>3. Cumpliento de los principios y valores del Codigo de Buen Gobierno</t>
  </si>
  <si>
    <t xml:space="preserve">D10 O2, Solicitar personal con perfiles idoneos en el manejo de expdientes disciplinarios </t>
  </si>
  <si>
    <t>F1 O6  Comprometer a la alta direccion a la accesibilidad de las herramientas tecnologicas y ofimaticas para la continua mejora de los procesos a realizar.</t>
  </si>
  <si>
    <t>D2 O3, Solicitar capacitaciones a los nuevos funcionarios adscritos a la Oficina para el buen funcionamiento etico y moral.</t>
  </si>
  <si>
    <t xml:space="preserve">5. Constante desarrollo tecnologico de software y hardware que facilitan la funcionalidad de cualquier organización </t>
  </si>
  <si>
    <t xml:space="preserve">D11 O5, Realizar memorando dirigido a la secretaria de la TICS solicitando reunion para validar la posibilidad de crear un  software  que mejore el funcionamiento de la oficina de control unico disciplinario. </t>
  </si>
  <si>
    <t>6. Oferta y accesibilidad de herramientas tecnologicas y ofimaticas que permiten obtener y/o manipular informacion de manera rapida y veraz</t>
  </si>
  <si>
    <t>D12 O6, Presentar de manera digital un informe de  seguimiento y control de los expidientes de los procesos en curso, donde se evidencie el avance de los mismos.</t>
  </si>
  <si>
    <t>D12 O6 Realizar proceso de digitalizacion de los expedientes y realizar seguimiento mediante un cronograma de trabajo.</t>
  </si>
  <si>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</si>
  <si>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</si>
  <si>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</si>
  <si>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D2 A1. Realizar capicitaciones de induccion y reinducion al personal de apoyo de la Oficina de Control Unico Disciplinario, contemplando toda la legislacion y normatividad relacionada a la operacion del proceso, dirigida por el Profesional Universitario adscrito a la Oficina. 
solicitar a Talento Humano capacitaciones  en referencia al Codigo de Etica y Buen Gobierno al equipo de trabajo</t>
  </si>
  <si>
    <t>F1 A4, Continua capactiacion por parte de la Oficina de Talento Humano</t>
  </si>
  <si>
    <t>D12A2Se declara la prescripcion del proceso y se compulsa de copia a la procuraduria, la reconstruccion del expediente</t>
  </si>
  <si>
    <t>F3 A4, integridad en el grupo de trabajo con propositos trasados desde la dinamica de colaboracion en equipo</t>
  </si>
  <si>
    <t>Posibilidad de perdida reputacional debido a la Reconstrucción de expedientes o sanciones por parte del ente regulardor por perdida de la informacion y/o expedientes disciplinarios.</t>
  </si>
  <si>
    <t>Perdida de la informacion y/o expedientes disciplinarios</t>
  </si>
  <si>
    <t>Manejo y/o manipulacion de los archivos físicos y/o base de datos</t>
  </si>
  <si>
    <t>Posibilidad de perdida reputacional debido a la Falta de control en la recepción de quejas y desorganización en reparto, por desconocimiento por parte del personal responsable de efectuar el reparto de las PQR´s</t>
  </si>
  <si>
    <t xml:space="preserve">Desatención al procedimiento que busca los fines del derecho disciplinario. </t>
  </si>
  <si>
    <t xml:space="preserve"> Posibilidad de perdida reputacional debido a Desatención al procedimiento que busca los fines del derecho disciplinario. Por Desacato de los términos de Ley. </t>
  </si>
  <si>
    <t>El jefe de la Oficina de Control Único Disciplinario anualmente, verificara las necesidades del personal y realizara la solicitud a la Secretaria Administrativa para su contratacion. Y se programarán capicitaciones de induccion y reinducion al personal de apoyo de la Oficina, contemplando toda la legislacion y normatividad relacionada a la operacion del proceso, dirigida por el Profesional Universitario adscrito a la Oficina, si se llegase a observar falta de etica y profesionalismo en algun funcionario se reportara al jefe inmediato, evidenciando la capacitación con el acta y planilla de asistencia.</t>
  </si>
  <si>
    <t xml:space="preserve">4, Oferta de personal competente para la respectiva contratacion </t>
  </si>
  <si>
    <t>D04,O4 El jefe de la Oficina de Control Único Disciplinario anualmente, verificara las necesidades del personal y realizara la solicitud a la Secretaria Administrativa para su contratacion. Y se programarán capicitaciones de induccion y reinducion al personal de apoyo de la Oficina, contemplando toda la legislacion y normatividad relacionada a la operacion del proceso, dirigida por el Profesional Universitario adscrito a la Oficina, si se llegase a observar falta de etica y profesionalismo en algun funcionario se reportara al jefe inmediato, evidenciando la capacitación con el acta y planilla de asistencia.</t>
  </si>
  <si>
    <t>La Asesora de la oficina controla a traves de una matriz en excel el cumplimiento  de las diferentes etapas del proceso y estado en que se encuentra, si se presenta información erronea se deja la anotación.</t>
  </si>
  <si>
    <t>Tecnico Operativo</t>
  </si>
  <si>
    <t>El Asesor de la Oficina de Control Unico Disciplinario, revisará  el reparto a los abogados sustanciadores el cual se debe consultar en la base de datos cada 15 dias para corroborar si la queja anticipadamente fue asignada.</t>
  </si>
  <si>
    <t>Se realiza monitoreo por la plataforma PISAMI, dejando evidencia consolidado Excel de las peticiones que se han contestado o no.</t>
  </si>
  <si>
    <t xml:space="preserve"> El técnico operativo se encargará de la elaboración de un cuadro en archivo excel y una base de datos en drive donde se consigne la información completa de las quejas recibidas y la entrega de las mismas.</t>
  </si>
  <si>
    <t>El Tecnico operativo, diariamente realizara control y seguimiento a la base de datos dejando como registro el ingreso al DRIVE con la que tendra acceso el Jefe y Asesora.</t>
  </si>
  <si>
    <t>El jefe de la oficina realizara memorando exponiendo la necesidad del personal a contratar</t>
  </si>
  <si>
    <t>Reporte aplicativo DRIVE, en dias habiles cuantos actualizaciones se realizan. Por motivos de reserva legal no se puede compartir dicha informacion</t>
  </si>
  <si>
    <t>febrero</t>
  </si>
  <si>
    <t>junio</t>
  </si>
  <si>
    <t>agosto</t>
  </si>
  <si>
    <t>7, Acompañamiento y dotacion de la direccion de recursos fisicos</t>
  </si>
  <si>
    <t>D16,O7 El jefe de Oficina de control unico disciplinario revisa  la necesidad de bienes muebles de seguridad , archivadores existentes y capacidad de la oficina para poder salvaguardar los procesos disciplinarios meidante un memorando que sera enviado a la secretaria  administrativa y direccion de recursos fisicos</t>
  </si>
  <si>
    <t xml:space="preserve"> Acompañamiento y dotacion de la direccion de recursos fisicos</t>
  </si>
  <si>
    <t>ECONOMICO</t>
  </si>
  <si>
    <t>Acompañamiento y dotacion de la direccion de recursos fisicos</t>
  </si>
  <si>
    <t>8, Acompañamiento y soporte de la Secretaria de las TIC para el fortalecimiento tecnologico del proceso</t>
  </si>
  <si>
    <t xml:space="preserve">D10 O1, El jefe de la Oficina de Control Unico Disciplinario cada vez que se va a contratar personal, verifica el perfíl de la persona y lo compara frente a las necesidades reales del personal en la oficina. Dejando como evidencia la aprobación para la contratación. </t>
  </si>
  <si>
    <t>D18, O5, O8 La Asesora de la oficina controla a traves de una matriz en excel el cumplimiento  de las diferentes etapas del proceso y estado en que se encuentra, si se presenta información erronea se deja la anotación.</t>
  </si>
  <si>
    <t>9, Contar con un aplicativo que brinde soporte del seguimiento de las solicitudes</t>
  </si>
  <si>
    <t>D09, O09 El jefe de la Oficina de Control Unico Disciplinario  junto con el técnico operativo cada  vez que  solicité una prueba verifican la recepción de las mismas, con el fin de identificar cuales no se han recibido para reiterar el envío.  Dejando como evidencia las comunicaciones enviadas y/o cuadro  de control de solicitudes.</t>
  </si>
  <si>
    <t>D18, O18 El tecnico Operativo , realizará, un archivo en excel donde incluira las quejas allegadas  con la información completa, con el fin de tener un control de las quejas allegadas, de manera mensual, dejando como evidencias la actualizacion de la basa de datos.</t>
  </si>
  <si>
    <t>Se envio correo dirigido a la secretaria administrativa solicitando actualizacion del PAA para la contratacion de personal con fecha del 10 de enero de 2024</t>
  </si>
  <si>
    <t>Reporte aplicativo DRIVE, en dias habiles cuantos actualizaciones se realizan. Por motivos de reserva legal no se puede compartir dicha informacion - soporte pantallazo de ingreso al DRIVE</t>
  </si>
  <si>
    <t>Mediante la Plataforma PISAMI se verificara la respuesta oportuna por parte de la Secretaria</t>
  </si>
  <si>
    <t xml:space="preserve">se reitero el dia 19 de junio a la direccion de recursos fisicos solicitandole enseres para la prevencion de perdida de los expedientes </t>
  </si>
  <si>
    <t>Se envio correo dirigido a la secretaria administrativa solicitando actualizacion del PAA para la contratacion de personal con fecha del 2 de septiembre de 2024</t>
  </si>
  <si>
    <t>diciembre</t>
  </si>
  <si>
    <r>
      <rPr>
        <b/>
        <sz val="11"/>
        <color theme="1"/>
        <rFont val="Arial"/>
        <family val="2"/>
      </rPr>
      <t>Código:</t>
    </r>
    <r>
      <rPr>
        <sz val="11"/>
        <color theme="1"/>
        <rFont val="Arial"/>
        <family val="2"/>
      </rPr>
      <t xml:space="preserve">  FOR-029-PRO-SIG-01</t>
    </r>
  </si>
  <si>
    <r>
      <rPr>
        <b/>
        <sz val="11"/>
        <color theme="1"/>
        <rFont val="Arial"/>
        <family val="2"/>
      </rPr>
      <t>Versión:</t>
    </r>
    <r>
      <rPr>
        <sz val="11"/>
        <color theme="1"/>
        <rFont val="Arial"/>
        <family val="2"/>
      </rPr>
      <t xml:space="preserve"> 01</t>
    </r>
  </si>
  <si>
    <r>
      <rPr>
        <b/>
        <sz val="11"/>
        <color theme="1"/>
        <rFont val="Arial"/>
        <family val="2"/>
      </rPr>
      <t xml:space="preserve">Fecha:    </t>
    </r>
    <r>
      <rPr>
        <sz val="11"/>
        <color theme="1"/>
        <rFont val="Arial"/>
        <family val="2"/>
      </rPr>
      <t>21/02/2024</t>
    </r>
  </si>
  <si>
    <r>
      <rPr>
        <b/>
        <sz val="11"/>
        <color theme="1"/>
        <rFont val="Arial"/>
        <family val="2"/>
      </rPr>
      <t xml:space="preserve">Página: </t>
    </r>
    <r>
      <rPr>
        <sz val="11"/>
        <color theme="1"/>
        <rFont val="Arial"/>
        <family val="2"/>
      </rPr>
      <t xml:space="preserve"> 1 de 1</t>
    </r>
  </si>
  <si>
    <r>
      <rPr>
        <b/>
        <sz val="11"/>
        <rFont val="Arial"/>
        <family val="2"/>
      </rPr>
      <t>PROCESO:</t>
    </r>
    <r>
      <rPr>
        <b/>
        <sz val="11"/>
        <color indexed="8"/>
        <rFont val="Arial"/>
        <family val="2"/>
      </rPr>
      <t xml:space="preserve"> </t>
    </r>
    <r>
      <rPr>
        <sz val="11"/>
        <color rgb="FF000000"/>
        <rFont val="Arial"/>
        <family val="2"/>
      </rPr>
      <t>SISTEMA INTEGRADO DE GESTIÓN Y MIPG</t>
    </r>
  </si>
  <si>
    <r>
      <rPr>
        <b/>
        <sz val="11"/>
        <rFont val="Arial"/>
        <family val="2"/>
      </rPr>
      <t>FORMATO:</t>
    </r>
    <r>
      <rPr>
        <sz val="11"/>
        <color rgb="FF000000"/>
        <rFont val="Arial"/>
        <family val="2"/>
      </rPr>
      <t xml:space="preserve"> MATRIZ DOFA</t>
    </r>
  </si>
  <si>
    <r>
      <rPr>
        <b/>
        <sz val="11"/>
        <color theme="1"/>
        <rFont val="Arial"/>
        <family val="2"/>
      </rPr>
      <t xml:space="preserve">Código: </t>
    </r>
    <r>
      <rPr>
        <sz val="11"/>
        <color theme="1"/>
        <rFont val="Arial"/>
        <family val="2"/>
      </rPr>
      <t>FOR-029-PRO-SIG-01</t>
    </r>
  </si>
  <si>
    <r>
      <rPr>
        <b/>
        <sz val="11"/>
        <color theme="1"/>
        <rFont val="Arial"/>
        <family val="2"/>
      </rPr>
      <t xml:space="preserve">Versión: </t>
    </r>
    <r>
      <rPr>
        <sz val="11"/>
        <color theme="1"/>
        <rFont val="Arial"/>
        <family val="2"/>
      </rPr>
      <t>01</t>
    </r>
  </si>
  <si>
    <r>
      <rPr>
        <b/>
        <sz val="11"/>
        <color theme="1"/>
        <rFont val="Arial"/>
        <family val="2"/>
      </rPr>
      <t>Fecha:</t>
    </r>
    <r>
      <rPr>
        <sz val="11"/>
        <color theme="1"/>
        <rFont val="Arial"/>
        <family val="2"/>
      </rPr>
      <t xml:space="preserve">   21/02/2024</t>
    </r>
  </si>
  <si>
    <r>
      <rPr>
        <b/>
        <sz val="11"/>
        <color theme="1"/>
        <rFont val="Arial"/>
        <family val="2"/>
      </rPr>
      <t xml:space="preserve">Página:  </t>
    </r>
    <r>
      <rPr>
        <sz val="11"/>
        <color theme="1"/>
        <rFont val="Arial"/>
        <family val="2"/>
      </rPr>
      <t>1 de 1</t>
    </r>
  </si>
  <si>
    <r>
      <t xml:space="preserve">PROCESO: </t>
    </r>
    <r>
      <rPr>
        <sz val="11"/>
        <rFont val="Arial"/>
        <family val="2"/>
      </rPr>
      <t>SISTEMA INTEGRADO DE GESTIÓN Y MIPG</t>
    </r>
  </si>
  <si>
    <r>
      <t>Código</t>
    </r>
    <r>
      <rPr>
        <sz val="8"/>
        <rFont val="Arial"/>
        <family val="2"/>
      </rPr>
      <t>: FOR-029-PRO-SIG-01</t>
    </r>
  </si>
  <si>
    <r>
      <t xml:space="preserve">Versión: </t>
    </r>
    <r>
      <rPr>
        <sz val="8"/>
        <rFont val="Arial"/>
        <family val="2"/>
      </rPr>
      <t>01</t>
    </r>
  </si>
  <si>
    <r>
      <t xml:space="preserve">Página:   </t>
    </r>
    <r>
      <rPr>
        <sz val="8"/>
        <rFont val="Arial"/>
        <family val="2"/>
      </rPr>
      <t>1 de 1</t>
    </r>
  </si>
  <si>
    <r>
      <t xml:space="preserve">FORMATO: </t>
    </r>
    <r>
      <rPr>
        <sz val="11"/>
        <rFont val="Arial"/>
        <family val="2"/>
      </rPr>
      <t>CONTEXTO ESTRATEGICO</t>
    </r>
  </si>
  <si>
    <r>
      <t xml:space="preserve">Fecha: </t>
    </r>
    <r>
      <rPr>
        <sz val="8"/>
        <rFont val="Arial"/>
        <family val="2"/>
      </rPr>
      <t>21/02/2024</t>
    </r>
  </si>
  <si>
    <t>PROCESO: SISTEMA INTEGRADO DE GESTIÓN Y MIPG</t>
  </si>
  <si>
    <t>Tipo de Riesgos</t>
  </si>
  <si>
    <t>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</si>
</sst>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_-;&quot;-$&quot;* #,##0_-;_-\$* \-_-;_-@_-"/>
    <numFmt numFmtId="166" formatCode="#,##0.0"/>
    <numFmt numFmtId="167" formatCode="0.0"/>
  </numFmts>
  <fonts count="86" x14ac:knownFonts="1">
    <font>
      <sz val="11"/>
      <color rgb="FF000000"/>
      <name val="Calibri"/>
      <family val="2"/>
      <charset val="1"/>
    </font>
    <font>
      <sz val="11"/>
      <color theme="1"/>
      <name val="Calibri"/>
      <family val="2"/>
      <scheme val="minor"/>
    </font>
    <font>
      <sz val="10"/>
      <name val="Arial"/>
      <family val="2"/>
      <charset val="1"/>
    </font>
    <font>
      <sz val="10"/>
      <color rgb="FF000000"/>
      <name val="Calibri"/>
      <family val="2"/>
      <charset val="1"/>
    </font>
    <font>
      <sz val="12"/>
      <name val="Times New Roman"/>
      <family val="1"/>
      <charset val="1"/>
    </font>
    <font>
      <b/>
      <sz val="14"/>
      <name val="Arial Narrow"/>
      <family val="2"/>
      <charset val="1"/>
    </font>
    <font>
      <sz val="10"/>
      <name val="Arial Narrow"/>
      <family val="2"/>
      <charset val="1"/>
    </font>
    <font>
      <b/>
      <sz val="10"/>
      <color rgb="FFE46C0A"/>
      <name val="Arial Narrow"/>
      <family val="2"/>
      <charset val="1"/>
    </font>
    <font>
      <b/>
      <u/>
      <sz val="11"/>
      <name val="Arial Narrow"/>
      <family val="2"/>
      <charset val="1"/>
    </font>
    <font>
      <sz val="11"/>
      <name val="Arial Narrow"/>
      <family val="2"/>
      <charset val="1"/>
    </font>
    <font>
      <b/>
      <sz val="11"/>
      <name val="Arial Narrow"/>
      <family val="2"/>
      <charset val="1"/>
    </font>
    <font>
      <b/>
      <sz val="11"/>
      <color rgb="FFE46C0A"/>
      <name val="Arial Narrow"/>
      <family val="2"/>
      <charset val="1"/>
    </font>
    <font>
      <b/>
      <sz val="10"/>
      <name val="Arial Narrow"/>
      <family val="2"/>
      <charset val="1"/>
    </font>
    <font>
      <b/>
      <sz val="9"/>
      <name val="Arial Narrow"/>
      <family val="2"/>
      <charset val="1"/>
    </font>
    <font>
      <sz val="9"/>
      <name val="Arial Narrow"/>
      <family val="2"/>
      <charset val="1"/>
    </font>
    <font>
      <b/>
      <sz val="9"/>
      <color rgb="FFE46C0A"/>
      <name val="Arial Narrow"/>
      <family val="2"/>
      <charset val="1"/>
    </font>
    <font>
      <sz val="11"/>
      <color rgb="FF000000"/>
      <name val="Arial Narrow"/>
      <family val="2"/>
      <charset val="1"/>
    </font>
    <font>
      <b/>
      <sz val="22"/>
      <color rgb="FF000000"/>
      <name val="Arial Narrow"/>
      <family val="2"/>
      <charset val="1"/>
    </font>
    <font>
      <b/>
      <sz val="18"/>
      <color rgb="FF000000"/>
      <name val="Arial Narrow"/>
      <family val="2"/>
      <charset val="1"/>
    </font>
    <font>
      <sz val="12"/>
      <color rgb="FF000000"/>
      <name val="Arial Narrow"/>
      <family val="2"/>
      <charset val="1"/>
    </font>
    <font>
      <b/>
      <sz val="11"/>
      <color rgb="FF000000"/>
      <name val="Arial Narrow"/>
      <family val="2"/>
      <charset val="1"/>
    </font>
    <font>
      <b/>
      <sz val="14"/>
      <color rgb="FF000000"/>
      <name val="Arial Narrow"/>
      <family val="2"/>
      <charset val="1"/>
    </font>
    <font>
      <b/>
      <sz val="12"/>
      <color rgb="FF000000"/>
      <name val="Arial Narrow"/>
      <family val="2"/>
      <charset val="1"/>
    </font>
    <font>
      <sz val="10"/>
      <color rgb="FF000000"/>
      <name val="Arial Narrow"/>
      <family val="2"/>
      <charset val="1"/>
    </font>
    <font>
      <b/>
      <sz val="40"/>
      <color rgb="FF000000"/>
      <name val="Calibri"/>
      <family val="2"/>
      <charset val="1"/>
    </font>
    <font>
      <sz val="28"/>
      <color rgb="FF000000"/>
      <name val="Calibri"/>
      <family val="2"/>
      <charset val="1"/>
    </font>
    <font>
      <b/>
      <sz val="28"/>
      <color rgb="FF000000"/>
      <name val="Calibri"/>
      <family val="2"/>
      <charset val="1"/>
    </font>
    <font>
      <b/>
      <sz val="36"/>
      <color rgb="FF000000"/>
      <name val="Calibri"/>
      <family val="2"/>
      <charset val="1"/>
    </font>
    <font>
      <sz val="16"/>
      <color rgb="FF000000"/>
      <name val="Calibri"/>
      <family val="2"/>
      <charset val="1"/>
    </font>
    <font>
      <sz val="24"/>
      <color rgb="FF000000"/>
      <name val="Arial Narrow"/>
      <family val="2"/>
      <charset val="1"/>
    </font>
    <font>
      <b/>
      <sz val="20"/>
      <color rgb="FF000000"/>
      <name val="Calibri"/>
      <family val="2"/>
      <charset val="1"/>
    </font>
    <font>
      <b/>
      <sz val="12"/>
      <color rgb="FF000000"/>
      <name val="Calibri"/>
      <family val="2"/>
      <charset val="1"/>
    </font>
    <font>
      <b/>
      <sz val="24"/>
      <color rgb="FF000000"/>
      <name val="Calibri"/>
      <family val="2"/>
      <charset val="1"/>
    </font>
    <font>
      <b/>
      <sz val="18"/>
      <color rgb="FF000000"/>
      <name val="Calibri"/>
      <family val="2"/>
      <charset val="1"/>
    </font>
    <font>
      <sz val="18"/>
      <name val="Arial"/>
      <family val="2"/>
      <charset val="1"/>
    </font>
    <font>
      <b/>
      <sz val="20"/>
      <color rgb="FF000000"/>
      <name val="Arial Narrow"/>
      <family val="2"/>
      <charset val="1"/>
    </font>
    <font>
      <sz val="20"/>
      <color rgb="FF000000"/>
      <name val="Arial Narrow"/>
      <family val="2"/>
      <charset val="1"/>
    </font>
    <font>
      <sz val="20"/>
      <color rgb="FFFFFFFF"/>
      <name val="Arial Narrow"/>
      <family val="2"/>
      <charset val="1"/>
    </font>
    <font>
      <sz val="11"/>
      <name val="Calibri"/>
      <family val="2"/>
      <charset val="1"/>
    </font>
    <font>
      <b/>
      <sz val="26"/>
      <name val="Arial Narrow"/>
      <family val="2"/>
      <charset val="1"/>
    </font>
    <font>
      <sz val="24"/>
      <name val="Arial"/>
      <family val="2"/>
      <charset val="1"/>
    </font>
    <font>
      <b/>
      <sz val="24"/>
      <name val="Arial Narrow"/>
      <family val="2"/>
      <charset val="1"/>
    </font>
    <font>
      <sz val="26"/>
      <name val="Arial Narrow"/>
      <family val="2"/>
      <charset val="1"/>
    </font>
    <font>
      <sz val="11"/>
      <color rgb="FFFFFFFF"/>
      <name val="Calibri"/>
      <family val="2"/>
      <charset val="1"/>
    </font>
    <font>
      <sz val="16"/>
      <color rgb="FFFFFFFF"/>
      <name val="Arial Narrow"/>
      <family val="2"/>
      <charset val="1"/>
    </font>
    <font>
      <b/>
      <sz val="11"/>
      <color rgb="FFFFFFFF"/>
      <name val="Arial Narrow"/>
      <family val="2"/>
      <charset val="1"/>
    </font>
    <font>
      <sz val="16"/>
      <color rgb="FFFFFFFF"/>
      <name val="Calibri"/>
      <family val="2"/>
      <charset val="1"/>
    </font>
    <font>
      <sz val="11"/>
      <color rgb="FFFFFFFF"/>
      <name val="Arial"/>
      <family val="2"/>
      <charset val="1"/>
    </font>
    <font>
      <sz val="12"/>
      <color rgb="FF000000"/>
      <name val="Calibri"/>
      <family val="2"/>
      <charset val="1"/>
    </font>
    <font>
      <b/>
      <sz val="12"/>
      <color rgb="FFE46C0A"/>
      <name val="Arial Narrow"/>
      <family val="2"/>
      <charset val="1"/>
    </font>
    <font>
      <b/>
      <sz val="12"/>
      <name val="Arial Narrow"/>
      <family val="2"/>
      <charset val="1"/>
    </font>
    <font>
      <b/>
      <sz val="9"/>
      <color rgb="FF000000"/>
      <name val="Arial Narrow"/>
      <family val="2"/>
      <charset val="1"/>
    </font>
    <font>
      <sz val="11"/>
      <color rgb="FF000000"/>
      <name val="Calibri"/>
      <family val="2"/>
      <charset val="1"/>
    </font>
    <font>
      <sz val="9"/>
      <color indexed="81"/>
      <name val="Tahoma"/>
      <family val="2"/>
    </font>
    <font>
      <b/>
      <sz val="9"/>
      <color indexed="81"/>
      <name val="Tahoma"/>
      <family val="2"/>
    </font>
    <font>
      <sz val="11"/>
      <name val="Arial Narrow"/>
      <family val="2"/>
    </font>
    <font>
      <sz val="11"/>
      <color rgb="FFFF0000"/>
      <name val="Arial Narrow"/>
      <family val="2"/>
      <charset val="1"/>
    </font>
    <font>
      <b/>
      <sz val="11"/>
      <color rgb="FFFF0000"/>
      <name val="Arial Narrow"/>
      <family val="2"/>
    </font>
    <font>
      <sz val="10"/>
      <color rgb="FF000000"/>
      <name val="Arial Narrow"/>
      <family val="2"/>
    </font>
    <font>
      <sz val="10"/>
      <name val="Arial Narrow"/>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sz val="10"/>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sz val="16"/>
      <name val="Arial"/>
      <family val="2"/>
    </font>
    <font>
      <sz val="14"/>
      <name val="Arial"/>
      <family val="2"/>
    </font>
    <font>
      <sz val="12"/>
      <name val="Arial"/>
      <family val="2"/>
    </font>
    <font>
      <b/>
      <sz val="12"/>
      <name val="Arial"/>
      <family val="2"/>
    </font>
    <font>
      <b/>
      <sz val="16"/>
      <color theme="1"/>
      <name val="Arial"/>
      <family val="2"/>
    </font>
    <font>
      <sz val="11"/>
      <color rgb="FF000000"/>
      <name val="Arial"/>
      <family val="2"/>
    </font>
    <font>
      <b/>
      <sz val="11"/>
      <name val="Arial"/>
      <family val="2"/>
    </font>
    <font>
      <b/>
      <sz val="8"/>
      <name val="Arial"/>
      <family val="2"/>
    </font>
    <font>
      <sz val="8"/>
      <name val="Arial"/>
      <family val="2"/>
    </font>
    <font>
      <sz val="12"/>
      <color theme="1"/>
      <name val="Arial Narrow"/>
      <family val="2"/>
    </font>
  </fonts>
  <fills count="25">
    <fill>
      <patternFill patternType="none"/>
    </fill>
    <fill>
      <patternFill patternType="gray125"/>
    </fill>
    <fill>
      <patternFill patternType="solid">
        <fgColor rgb="FFFFFFFF"/>
        <bgColor rgb="FFFDEADA"/>
      </patternFill>
    </fill>
    <fill>
      <patternFill patternType="solid">
        <fgColor rgb="FFFAC090"/>
        <bgColor rgb="FFFCD5B5"/>
      </patternFill>
    </fill>
    <fill>
      <patternFill patternType="solid">
        <fgColor rgb="FFFCD5B5"/>
        <bgColor rgb="FFFFC7CE"/>
      </patternFill>
    </fill>
    <fill>
      <patternFill patternType="solid">
        <fgColor rgb="FFD9D9D9"/>
        <bgColor rgb="FFFCD5B5"/>
      </patternFill>
    </fill>
    <fill>
      <patternFill patternType="solid">
        <fgColor rgb="FFE26B0A"/>
        <bgColor rgb="FFE46C0A"/>
      </patternFill>
    </fill>
    <fill>
      <patternFill patternType="solid">
        <fgColor rgb="FFC00000"/>
        <bgColor rgb="FF9C0006"/>
      </patternFill>
    </fill>
    <fill>
      <patternFill patternType="solid">
        <fgColor rgb="FFFFFF00"/>
        <bgColor rgb="FFFFFF00"/>
      </patternFill>
    </fill>
    <fill>
      <patternFill patternType="solid">
        <fgColor rgb="FF92D050"/>
        <bgColor rgb="FFBFBFBF"/>
      </patternFill>
    </fill>
    <fill>
      <patternFill patternType="solid">
        <fgColor rgb="FFBFBFBF"/>
        <bgColor rgb="FFD9D9D9"/>
      </patternFill>
    </fill>
    <fill>
      <patternFill patternType="solid">
        <fgColor rgb="FF00B050"/>
        <bgColor rgb="FF008080"/>
      </patternFill>
    </fill>
    <fill>
      <patternFill patternType="solid">
        <fgColor rgb="FFFFFF66"/>
        <bgColor rgb="FFFFFF00"/>
      </patternFill>
    </fill>
    <fill>
      <patternFill patternType="solid">
        <fgColor rgb="FFFFC000"/>
        <bgColor rgb="FFF79646"/>
      </patternFill>
    </fill>
    <fill>
      <patternFill patternType="solid">
        <fgColor rgb="FFFF0000"/>
        <bgColor rgb="FFC00000"/>
      </patternFill>
    </fill>
    <fill>
      <patternFill patternType="solid">
        <fgColor rgb="FFFDEADA"/>
        <bgColor rgb="FFFCD5B5"/>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rgb="FFFFC000"/>
        <bgColor indexed="64"/>
      </patternFill>
    </fill>
    <fill>
      <patternFill patternType="solid">
        <fgColor theme="6"/>
        <bgColor indexed="64"/>
      </patternFill>
    </fill>
  </fills>
  <borders count="86">
    <border>
      <left/>
      <right/>
      <top/>
      <bottom/>
      <diagonal/>
    </border>
    <border>
      <left style="medium">
        <color auto="1"/>
      </left>
      <right style="medium">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double">
        <color auto="1"/>
      </left>
      <right style="thin">
        <color rgb="FFFFFFFF"/>
      </right>
      <top style="double">
        <color auto="1"/>
      </top>
      <bottom/>
      <diagonal/>
    </border>
    <border>
      <left style="thin">
        <color rgb="FFFFFFFF"/>
      </left>
      <right style="double">
        <color auto="1"/>
      </right>
      <top style="double">
        <color auto="1"/>
      </top>
      <bottom style="thin">
        <color auto="1"/>
      </bottom>
      <diagonal/>
    </border>
    <border>
      <left style="double">
        <color auto="1"/>
      </left>
      <right style="hair">
        <color auto="1"/>
      </right>
      <top style="thin">
        <color auto="1"/>
      </top>
      <bottom style="hair">
        <color auto="1"/>
      </bottom>
      <diagonal/>
    </border>
    <border>
      <left style="hair">
        <color auto="1"/>
      </left>
      <right style="double">
        <color auto="1"/>
      </right>
      <top style="thin">
        <color auto="1"/>
      </top>
      <bottom style="hair">
        <color auto="1"/>
      </bottom>
      <diagonal/>
    </border>
    <border>
      <left style="double">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ashed">
        <color rgb="FFE46C0A"/>
      </left>
      <right style="dashed">
        <color rgb="FFE46C0A"/>
      </right>
      <top style="dashed">
        <color rgb="FFE46C0A"/>
      </top>
      <bottom style="dashed">
        <color rgb="FFE46C0A"/>
      </bottom>
      <diagonal/>
    </border>
    <border>
      <left style="dashed">
        <color rgb="FFE46C0A"/>
      </left>
      <right/>
      <top style="dashed">
        <color rgb="FFE46C0A"/>
      </top>
      <bottom style="dashed">
        <color rgb="FFE46C0A"/>
      </bottom>
      <diagonal/>
    </border>
    <border>
      <left style="dashed">
        <color rgb="FFE46C0A"/>
      </left>
      <right style="dashed">
        <color rgb="FFE46C0A"/>
      </right>
      <top/>
      <bottom style="dashed">
        <color rgb="FFE46C0A"/>
      </bottom>
      <diagonal/>
    </border>
    <border>
      <left style="dashed">
        <color rgb="FFE46C0A"/>
      </left>
      <right style="dashed">
        <color rgb="FFE46C0A"/>
      </right>
      <top style="dashed">
        <color rgb="FFE46C0A"/>
      </top>
      <bottom/>
      <diagonal/>
    </border>
    <border>
      <left style="dashed">
        <color rgb="FFE46C0A"/>
      </left>
      <right style="dashed">
        <color rgb="FFE46C0A"/>
      </right>
      <top/>
      <bottom/>
      <diagonal/>
    </border>
    <border>
      <left style="dashed">
        <color rgb="FFE46C0A"/>
      </left>
      <right/>
      <top/>
      <bottom style="dashed">
        <color rgb="FFE46C0A"/>
      </bottom>
      <diagonal/>
    </border>
    <border>
      <left/>
      <right style="dashed">
        <color rgb="FFE46C0A"/>
      </right>
      <top style="dashed">
        <color rgb="FFE46C0A"/>
      </top>
      <bottom style="dashed">
        <color rgb="FFE46C0A"/>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rgb="FFFFFFFF"/>
      </left>
      <right style="medium">
        <color rgb="FFFFFFFF"/>
      </right>
      <top style="medium">
        <color rgb="FFFFFFFF"/>
      </top>
      <bottom style="medium">
        <color rgb="FFFFFFFF"/>
      </bottom>
      <diagonal/>
    </border>
    <border>
      <left style="medium">
        <color auto="1"/>
      </left>
      <right/>
      <top style="medium">
        <color auto="1"/>
      </top>
      <bottom style="medium">
        <color auto="1"/>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theme="0"/>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auto="1"/>
      </left>
      <right/>
      <top style="medium">
        <color auto="1"/>
      </top>
      <bottom/>
      <diagonal/>
    </border>
    <border>
      <left style="thin">
        <color auto="1"/>
      </left>
      <right/>
      <top/>
      <bottom/>
      <diagonal/>
    </border>
    <border>
      <left/>
      <right style="thin">
        <color indexed="64"/>
      </right>
      <top style="thin">
        <color indexed="64"/>
      </top>
      <bottom/>
      <diagonal/>
    </border>
    <border>
      <left/>
      <right style="medium">
        <color indexed="64"/>
      </right>
      <top/>
      <bottom style="thin">
        <color indexed="64"/>
      </bottom>
      <diagonal/>
    </border>
    <border>
      <left style="dashed">
        <color rgb="FFE46C0A"/>
      </left>
      <right style="dashed">
        <color rgb="FFE46C0A"/>
      </right>
      <top style="dotted">
        <color rgb="FFE36C09"/>
      </top>
      <bottom/>
      <diagonal/>
    </border>
  </borders>
  <cellStyleXfs count="11">
    <xf numFmtId="0" fontId="0" fillId="0" borderId="0"/>
    <xf numFmtId="9" fontId="52" fillId="0" borderId="0" applyBorder="0" applyProtection="0"/>
    <xf numFmtId="0" fontId="2" fillId="0" borderId="0"/>
    <xf numFmtId="0" fontId="3" fillId="0" borderId="0"/>
    <xf numFmtId="0" fontId="4" fillId="0" borderId="0"/>
    <xf numFmtId="0" fontId="52" fillId="0" borderId="0" applyBorder="0" applyProtection="0"/>
    <xf numFmtId="0" fontId="52" fillId="0" borderId="0" applyBorder="0" applyProtection="0"/>
    <xf numFmtId="0" fontId="52" fillId="0" borderId="0" applyBorder="0" applyProtection="0"/>
    <xf numFmtId="0" fontId="52" fillId="0" borderId="0" applyBorder="0" applyProtection="0">
      <alignment horizontal="left"/>
    </xf>
    <xf numFmtId="165" fontId="52" fillId="0" borderId="0" applyBorder="0" applyProtection="0"/>
    <xf numFmtId="0" fontId="1" fillId="0" borderId="0"/>
  </cellStyleXfs>
  <cellXfs count="528">
    <xf numFmtId="0" fontId="0" fillId="0" borderId="0" xfId="0"/>
    <xf numFmtId="0" fontId="0" fillId="2" borderId="0" xfId="0" applyFill="1"/>
    <xf numFmtId="0" fontId="6" fillId="2" borderId="2" xfId="2" applyFont="1" applyFill="1" applyBorder="1"/>
    <xf numFmtId="0" fontId="6" fillId="2" borderId="3" xfId="2" applyFont="1" applyFill="1" applyBorder="1"/>
    <xf numFmtId="0" fontId="6" fillId="2" borderId="4" xfId="2" applyFont="1" applyFill="1" applyBorder="1"/>
    <xf numFmtId="0" fontId="8" fillId="2" borderId="7" xfId="2" applyFont="1" applyFill="1" applyBorder="1" applyAlignment="1">
      <alignment horizontal="left" vertical="top" wrapText="1"/>
    </xf>
    <xf numFmtId="0" fontId="10" fillId="2" borderId="0" xfId="2" applyFont="1" applyFill="1" applyAlignment="1">
      <alignment horizontal="left" vertical="top" wrapText="1"/>
    </xf>
    <xf numFmtId="0" fontId="10" fillId="2" borderId="8" xfId="2" applyFont="1" applyFill="1" applyBorder="1" applyAlignment="1">
      <alignment horizontal="left" vertical="top" wrapText="1"/>
    </xf>
    <xf numFmtId="0" fontId="6" fillId="2" borderId="7" xfId="2" applyFont="1" applyFill="1" applyBorder="1"/>
    <xf numFmtId="0" fontId="6" fillId="2" borderId="0" xfId="2" applyFont="1" applyFill="1"/>
    <xf numFmtId="0" fontId="12" fillId="2" borderId="0" xfId="2" applyFont="1" applyFill="1" applyAlignment="1">
      <alignment horizontal="left" vertical="center" wrapText="1"/>
    </xf>
    <xf numFmtId="0" fontId="6" fillId="2" borderId="0" xfId="2" applyFont="1" applyFill="1" applyAlignment="1">
      <alignment horizontal="left" vertical="center" wrapText="1"/>
    </xf>
    <xf numFmtId="0" fontId="6" fillId="2" borderId="8" xfId="2" applyFont="1" applyFill="1" applyBorder="1"/>
    <xf numFmtId="0" fontId="13" fillId="2" borderId="0" xfId="0" applyFont="1" applyFill="1" applyAlignment="1">
      <alignment horizontal="left" vertical="center" wrapText="1"/>
    </xf>
    <xf numFmtId="0" fontId="14" fillId="2" borderId="0" xfId="0" applyFont="1" applyFill="1" applyAlignment="1">
      <alignment horizontal="left" vertical="top" wrapText="1"/>
    </xf>
    <xf numFmtId="0" fontId="6" fillId="2" borderId="18" xfId="2" applyFont="1" applyFill="1" applyBorder="1"/>
    <xf numFmtId="0" fontId="6" fillId="2" borderId="19" xfId="2" applyFont="1" applyFill="1" applyBorder="1"/>
    <xf numFmtId="0" fontId="6" fillId="2" borderId="20" xfId="2" applyFont="1" applyFill="1" applyBorder="1"/>
    <xf numFmtId="0" fontId="16" fillId="0" borderId="0" xfId="0" applyFont="1" applyAlignment="1">
      <alignment horizontal="center" vertical="center"/>
    </xf>
    <xf numFmtId="0" fontId="16" fillId="0" borderId="0" xfId="0" applyFont="1"/>
    <xf numFmtId="0" fontId="16" fillId="0" borderId="0" xfId="0" applyFont="1" applyAlignment="1">
      <alignment horizontal="center"/>
    </xf>
    <xf numFmtId="0" fontId="16" fillId="2" borderId="0" xfId="0" applyFont="1" applyFill="1"/>
    <xf numFmtId="0" fontId="16" fillId="2" borderId="0" xfId="0" applyFont="1" applyFill="1" applyAlignment="1">
      <alignment horizontal="center" vertical="center"/>
    </xf>
    <xf numFmtId="0" fontId="16" fillId="2" borderId="0" xfId="0" applyFont="1" applyFill="1" applyAlignment="1">
      <alignment horizontal="left" vertical="center"/>
    </xf>
    <xf numFmtId="0" fontId="16" fillId="2" borderId="0" xfId="0" applyFont="1" applyFill="1" applyAlignment="1">
      <alignment horizontal="center"/>
    </xf>
    <xf numFmtId="0" fontId="20" fillId="4" borderId="25" xfId="0" applyFont="1" applyFill="1" applyBorder="1" applyAlignment="1">
      <alignment horizontal="center" vertical="center"/>
    </xf>
    <xf numFmtId="0" fontId="20" fillId="4" borderId="21" xfId="0" applyFont="1" applyFill="1" applyBorder="1" applyAlignment="1">
      <alignment horizontal="center" vertical="center" textRotation="90"/>
    </xf>
    <xf numFmtId="0" fontId="20" fillId="2" borderId="0" xfId="0" applyFont="1" applyFill="1" applyAlignment="1">
      <alignment horizontal="center" vertical="center"/>
    </xf>
    <xf numFmtId="0" fontId="20" fillId="4" borderId="0" xfId="0" applyFont="1" applyFill="1" applyAlignment="1">
      <alignment horizontal="center" vertical="center"/>
    </xf>
    <xf numFmtId="0" fontId="16" fillId="0" borderId="21" xfId="0" applyFont="1" applyBorder="1" applyAlignment="1">
      <alignment horizontal="center" vertical="center"/>
    </xf>
    <xf numFmtId="0" fontId="16" fillId="2" borderId="21" xfId="0" applyFont="1" applyFill="1" applyBorder="1" applyAlignment="1">
      <alignment vertical="center" wrapText="1"/>
    </xf>
    <xf numFmtId="0" fontId="16" fillId="0" borderId="21" xfId="0" applyFont="1" applyBorder="1" applyAlignment="1">
      <alignment horizontal="center" vertical="top"/>
    </xf>
    <xf numFmtId="0" fontId="16" fillId="0" borderId="21" xfId="0" applyFont="1" applyBorder="1" applyAlignment="1" applyProtection="1">
      <alignment horizontal="center" vertical="center"/>
      <protection hidden="1"/>
    </xf>
    <xf numFmtId="0" fontId="19" fillId="0" borderId="21" xfId="0" applyFont="1" applyBorder="1" applyAlignment="1" applyProtection="1">
      <alignment horizontal="center" vertical="center" textRotation="90"/>
      <protection locked="0"/>
    </xf>
    <xf numFmtId="9" fontId="19" fillId="0" borderId="21" xfId="0" applyNumberFormat="1" applyFont="1" applyBorder="1" applyAlignment="1" applyProtection="1">
      <alignment horizontal="center" vertical="center"/>
      <protection hidden="1"/>
    </xf>
    <xf numFmtId="164" fontId="16" fillId="0" borderId="21" xfId="1" applyNumberFormat="1" applyFont="1" applyBorder="1" applyAlignment="1" applyProtection="1">
      <alignment horizontal="center" vertical="top"/>
    </xf>
    <xf numFmtId="0" fontId="22" fillId="0" borderId="21" xfId="0" applyFont="1" applyBorder="1" applyAlignment="1" applyProtection="1">
      <alignment horizontal="center" vertical="top" textRotation="90" wrapText="1"/>
      <protection hidden="1"/>
    </xf>
    <xf numFmtId="9" fontId="19" fillId="0" borderId="24" xfId="0" applyNumberFormat="1" applyFont="1" applyBorder="1" applyAlignment="1" applyProtection="1">
      <alignment horizontal="center" vertical="top"/>
      <protection hidden="1"/>
    </xf>
    <xf numFmtId="0" fontId="22" fillId="0" borderId="21" xfId="0" applyFont="1" applyBorder="1" applyAlignment="1" applyProtection="1">
      <alignment horizontal="center" vertical="top" textRotation="90"/>
      <protection hidden="1"/>
    </xf>
    <xf numFmtId="0" fontId="16" fillId="2" borderId="0" xfId="0" applyFont="1" applyFill="1" applyAlignment="1">
      <alignment vertical="center"/>
    </xf>
    <xf numFmtId="0" fontId="16" fillId="0" borderId="0" xfId="0" applyFont="1" applyAlignment="1">
      <alignment vertical="center"/>
    </xf>
    <xf numFmtId="14" fontId="16" fillId="0" borderId="21" xfId="0" applyNumberFormat="1" applyFont="1" applyBorder="1" applyAlignment="1" applyProtection="1">
      <alignment horizontal="center" vertical="top"/>
      <protection locked="0"/>
    </xf>
    <xf numFmtId="0" fontId="16" fillId="0" borderId="21" xfId="0" applyFont="1" applyBorder="1" applyAlignment="1" applyProtection="1">
      <alignment horizontal="center" vertical="top"/>
      <protection locked="0"/>
    </xf>
    <xf numFmtId="0" fontId="19" fillId="2" borderId="21" xfId="0" applyFont="1" applyFill="1" applyBorder="1" applyAlignment="1" applyProtection="1">
      <alignment horizontal="center" vertical="top" wrapText="1"/>
      <protection locked="0"/>
    </xf>
    <xf numFmtId="0" fontId="16" fillId="0" borderId="21" xfId="0" applyFont="1" applyBorder="1" applyAlignment="1" applyProtection="1">
      <alignment horizontal="justify" vertical="top"/>
      <protection locked="0"/>
    </xf>
    <xf numFmtId="0" fontId="16" fillId="0" borderId="21" xfId="0" applyFont="1" applyBorder="1" applyAlignment="1" applyProtection="1">
      <alignment horizontal="center" vertical="top"/>
      <protection hidden="1"/>
    </xf>
    <xf numFmtId="0" fontId="19" fillId="0" borderId="21" xfId="0" applyFont="1" applyBorder="1" applyAlignment="1" applyProtection="1">
      <alignment horizontal="center" vertical="top" textRotation="90"/>
      <protection locked="0"/>
    </xf>
    <xf numFmtId="9" fontId="19" fillId="0" borderId="21" xfId="0" applyNumberFormat="1" applyFont="1" applyBorder="1" applyAlignment="1" applyProtection="1">
      <alignment horizontal="center" vertical="top"/>
      <protection hidden="1"/>
    </xf>
    <xf numFmtId="0" fontId="19" fillId="0" borderId="24" xfId="0" applyFont="1" applyBorder="1" applyAlignment="1" applyProtection="1">
      <alignment horizontal="center" vertical="top" textRotation="90"/>
      <protection locked="0"/>
    </xf>
    <xf numFmtId="0" fontId="16" fillId="0" borderId="21" xfId="0" applyFont="1" applyBorder="1" applyAlignment="1" applyProtection="1">
      <alignment horizontal="center" vertical="top" wrapText="1"/>
      <protection locked="0"/>
    </xf>
    <xf numFmtId="0" fontId="23" fillId="0" borderId="21" xfId="0" applyFont="1" applyBorder="1" applyAlignment="1" applyProtection="1">
      <alignment horizontal="justify" vertical="top" wrapText="1"/>
      <protection locked="0"/>
    </xf>
    <xf numFmtId="0" fontId="16" fillId="0" borderId="21" xfId="0" applyFont="1" applyBorder="1" applyAlignment="1" applyProtection="1">
      <alignment horizontal="center" vertical="center" wrapText="1"/>
      <protection locked="0"/>
    </xf>
    <xf numFmtId="164" fontId="16" fillId="0" borderId="21" xfId="1" applyNumberFormat="1" applyFont="1" applyBorder="1" applyAlignment="1" applyProtection="1">
      <alignment horizontal="center" vertical="center"/>
    </xf>
    <xf numFmtId="0" fontId="22" fillId="0" borderId="21" xfId="0" applyFont="1" applyBorder="1" applyAlignment="1" applyProtection="1">
      <alignment horizontal="center" vertical="center" textRotation="90" wrapText="1"/>
      <protection hidden="1"/>
    </xf>
    <xf numFmtId="9" fontId="19" fillId="0" borderId="24" xfId="0" applyNumberFormat="1" applyFont="1" applyBorder="1" applyAlignment="1" applyProtection="1">
      <alignment horizontal="center" vertical="center"/>
      <protection hidden="1"/>
    </xf>
    <xf numFmtId="0" fontId="22" fillId="0" borderId="21" xfId="0" applyFont="1" applyBorder="1" applyAlignment="1" applyProtection="1">
      <alignment horizontal="center" vertical="center" textRotation="90"/>
      <protection hidden="1"/>
    </xf>
    <xf numFmtId="0" fontId="9" fillId="0" borderId="21" xfId="0" applyFont="1" applyBorder="1" applyAlignment="1" applyProtection="1">
      <alignment horizontal="center" vertical="top" wrapText="1"/>
      <protection locked="0"/>
    </xf>
    <xf numFmtId="0" fontId="16" fillId="0" borderId="25" xfId="0" applyFont="1" applyBorder="1" applyAlignment="1" applyProtection="1">
      <alignment horizontal="center" vertical="top" wrapText="1"/>
      <protection locked="0"/>
    </xf>
    <xf numFmtId="0" fontId="9" fillId="0" borderId="23" xfId="0" applyFont="1" applyBorder="1" applyAlignment="1" applyProtection="1">
      <alignment horizontal="center" vertical="top" wrapText="1"/>
      <protection locked="0"/>
    </xf>
    <xf numFmtId="0" fontId="9" fillId="0" borderId="25" xfId="0" applyFont="1" applyBorder="1" applyAlignment="1" applyProtection="1">
      <alignment horizontal="center" vertical="top" wrapText="1"/>
      <protection locked="0"/>
    </xf>
    <xf numFmtId="0" fontId="16" fillId="0" borderId="23" xfId="0" applyFont="1" applyBorder="1" applyAlignment="1" applyProtection="1">
      <alignment horizontal="center" vertical="top" wrapText="1"/>
      <protection locked="0"/>
    </xf>
    <xf numFmtId="0" fontId="16" fillId="0" borderId="24" xfId="0" applyFont="1" applyBorder="1" applyAlignment="1" applyProtection="1">
      <alignment horizontal="center" vertical="top" wrapText="1"/>
      <protection locked="0"/>
    </xf>
    <xf numFmtId="0" fontId="9" fillId="0" borderId="24" xfId="0" applyFont="1" applyBorder="1" applyAlignment="1" applyProtection="1">
      <alignment horizontal="center" vertical="top" wrapText="1"/>
      <protection locked="0"/>
    </xf>
    <xf numFmtId="0" fontId="20" fillId="0" borderId="0" xfId="0" applyFont="1" applyAlignment="1">
      <alignment horizontal="left" vertical="center"/>
    </xf>
    <xf numFmtId="0" fontId="28" fillId="2" borderId="0" xfId="0" applyFont="1" applyFill="1" applyAlignment="1">
      <alignment vertical="center"/>
    </xf>
    <xf numFmtId="0" fontId="31" fillId="6" borderId="29" xfId="0" applyFont="1" applyFill="1" applyBorder="1" applyAlignment="1" applyProtection="1">
      <alignment horizontal="center" vertical="center" wrapText="1" readingOrder="1"/>
      <protection hidden="1"/>
    </xf>
    <xf numFmtId="0" fontId="31" fillId="6" borderId="30" xfId="0" applyFont="1" applyFill="1" applyBorder="1" applyAlignment="1" applyProtection="1">
      <alignment horizontal="center" vertical="center" wrapText="1" readingOrder="1"/>
      <protection hidden="1"/>
    </xf>
    <xf numFmtId="0" fontId="31" fillId="6" borderId="31" xfId="0" applyFont="1" applyFill="1" applyBorder="1" applyAlignment="1" applyProtection="1">
      <alignment horizontal="center" vertical="center" wrapText="1" readingOrder="1"/>
      <protection hidden="1"/>
    </xf>
    <xf numFmtId="0" fontId="31" fillId="7" borderId="29" xfId="0" applyFont="1" applyFill="1" applyBorder="1" applyAlignment="1" applyProtection="1">
      <alignment horizontal="center" wrapText="1" readingOrder="1"/>
      <protection hidden="1"/>
    </xf>
    <xf numFmtId="0" fontId="31" fillId="7" borderId="30" xfId="0" applyFont="1" applyFill="1" applyBorder="1" applyAlignment="1" applyProtection="1">
      <alignment horizontal="center" wrapText="1" readingOrder="1"/>
      <protection hidden="1"/>
    </xf>
    <xf numFmtId="0" fontId="31" fillId="7" borderId="31" xfId="0" applyFont="1" applyFill="1" applyBorder="1" applyAlignment="1" applyProtection="1">
      <alignment horizontal="center" wrapText="1" readingOrder="1"/>
      <protection hidden="1"/>
    </xf>
    <xf numFmtId="0" fontId="31" fillId="6" borderId="7" xfId="0" applyFont="1" applyFill="1" applyBorder="1" applyAlignment="1" applyProtection="1">
      <alignment horizontal="center" vertical="center" wrapText="1" readingOrder="1"/>
      <protection hidden="1"/>
    </xf>
    <xf numFmtId="0" fontId="31" fillId="6" borderId="0" xfId="0" applyFont="1" applyFill="1" applyAlignment="1" applyProtection="1">
      <alignment horizontal="center" vertical="center" wrapText="1" readingOrder="1"/>
      <protection hidden="1"/>
    </xf>
    <xf numFmtId="0" fontId="31" fillId="6" borderId="8" xfId="0" applyFont="1" applyFill="1" applyBorder="1" applyAlignment="1" applyProtection="1">
      <alignment horizontal="center" vertical="center" wrapText="1" readingOrder="1"/>
      <protection hidden="1"/>
    </xf>
    <xf numFmtId="0" fontId="31" fillId="7" borderId="7" xfId="0" applyFont="1" applyFill="1" applyBorder="1" applyAlignment="1" applyProtection="1">
      <alignment horizontal="center" wrapText="1" readingOrder="1"/>
      <protection hidden="1"/>
    </xf>
    <xf numFmtId="0" fontId="31" fillId="7" borderId="0" xfId="0" applyFont="1" applyFill="1" applyAlignment="1" applyProtection="1">
      <alignment horizontal="center" wrapText="1" readingOrder="1"/>
      <protection hidden="1"/>
    </xf>
    <xf numFmtId="0" fontId="31" fillId="7" borderId="8" xfId="0" applyFont="1" applyFill="1" applyBorder="1" applyAlignment="1" applyProtection="1">
      <alignment horizontal="center" wrapText="1" readingOrder="1"/>
      <protection hidden="1"/>
    </xf>
    <xf numFmtId="0" fontId="31" fillId="6" borderId="18" xfId="0" applyFont="1" applyFill="1" applyBorder="1" applyAlignment="1" applyProtection="1">
      <alignment horizontal="center" vertical="center" wrapText="1" readingOrder="1"/>
      <protection hidden="1"/>
    </xf>
    <xf numFmtId="0" fontId="31" fillId="6" borderId="19" xfId="0" applyFont="1" applyFill="1" applyBorder="1" applyAlignment="1" applyProtection="1">
      <alignment horizontal="center" vertical="center" wrapText="1" readingOrder="1"/>
      <protection hidden="1"/>
    </xf>
    <xf numFmtId="0" fontId="31" fillId="6" borderId="20" xfId="0" applyFont="1" applyFill="1" applyBorder="1" applyAlignment="1" applyProtection="1">
      <alignment horizontal="center" vertical="center" wrapText="1" readingOrder="1"/>
      <protection hidden="1"/>
    </xf>
    <xf numFmtId="0" fontId="31" fillId="7" borderId="18" xfId="0" applyFont="1" applyFill="1" applyBorder="1" applyAlignment="1" applyProtection="1">
      <alignment horizontal="center" wrapText="1" readingOrder="1"/>
      <protection hidden="1"/>
    </xf>
    <xf numFmtId="0" fontId="31" fillId="7" borderId="19" xfId="0" applyFont="1" applyFill="1" applyBorder="1" applyAlignment="1" applyProtection="1">
      <alignment horizontal="center" wrapText="1" readingOrder="1"/>
      <protection hidden="1"/>
    </xf>
    <xf numFmtId="0" fontId="31" fillId="7" borderId="20" xfId="0" applyFont="1" applyFill="1" applyBorder="1" applyAlignment="1" applyProtection="1">
      <alignment horizontal="center" wrapText="1" readingOrder="1"/>
      <protection hidden="1"/>
    </xf>
    <xf numFmtId="0" fontId="31" fillId="8" borderId="29" xfId="0" applyFont="1" applyFill="1" applyBorder="1" applyAlignment="1" applyProtection="1">
      <alignment horizontal="center" wrapText="1" readingOrder="1"/>
      <protection hidden="1"/>
    </xf>
    <xf numFmtId="0" fontId="31" fillId="8" borderId="30" xfId="0" applyFont="1" applyFill="1" applyBorder="1" applyAlignment="1" applyProtection="1">
      <alignment horizontal="center" wrapText="1" readingOrder="1"/>
      <protection hidden="1"/>
    </xf>
    <xf numFmtId="0" fontId="31" fillId="8" borderId="31" xfId="0" applyFont="1" applyFill="1" applyBorder="1" applyAlignment="1" applyProtection="1">
      <alignment horizontal="center" wrapText="1" readingOrder="1"/>
      <protection hidden="1"/>
    </xf>
    <xf numFmtId="0" fontId="31" fillId="8" borderId="7" xfId="0" applyFont="1" applyFill="1" applyBorder="1" applyAlignment="1" applyProtection="1">
      <alignment horizontal="center" wrapText="1" readingOrder="1"/>
      <protection hidden="1"/>
    </xf>
    <xf numFmtId="0" fontId="31" fillId="8" borderId="0" xfId="0" applyFont="1" applyFill="1" applyAlignment="1" applyProtection="1">
      <alignment horizontal="center" wrapText="1" readingOrder="1"/>
      <protection hidden="1"/>
    </xf>
    <xf numFmtId="0" fontId="31" fillId="8" borderId="8" xfId="0" applyFont="1" applyFill="1" applyBorder="1" applyAlignment="1" applyProtection="1">
      <alignment horizontal="center" wrapText="1" readingOrder="1"/>
      <protection hidden="1"/>
    </xf>
    <xf numFmtId="0" fontId="31" fillId="8" borderId="18" xfId="0" applyFont="1" applyFill="1" applyBorder="1" applyAlignment="1" applyProtection="1">
      <alignment horizontal="center" wrapText="1" readingOrder="1"/>
      <protection hidden="1"/>
    </xf>
    <xf numFmtId="0" fontId="31" fillId="8" borderId="19" xfId="0" applyFont="1" applyFill="1" applyBorder="1" applyAlignment="1" applyProtection="1">
      <alignment horizontal="center" wrapText="1" readingOrder="1"/>
      <protection hidden="1"/>
    </xf>
    <xf numFmtId="0" fontId="31" fillId="8" borderId="20" xfId="0" applyFont="1" applyFill="1" applyBorder="1" applyAlignment="1" applyProtection="1">
      <alignment horizontal="center" wrapText="1" readingOrder="1"/>
      <protection hidden="1"/>
    </xf>
    <xf numFmtId="0" fontId="31" fillId="9" borderId="29" xfId="0" applyFont="1" applyFill="1" applyBorder="1" applyAlignment="1" applyProtection="1">
      <alignment horizontal="center" wrapText="1" readingOrder="1"/>
      <protection hidden="1"/>
    </xf>
    <xf numFmtId="0" fontId="31" fillId="9" borderId="30" xfId="0" applyFont="1" applyFill="1" applyBorder="1" applyAlignment="1" applyProtection="1">
      <alignment horizontal="center" wrapText="1" readingOrder="1"/>
      <protection hidden="1"/>
    </xf>
    <xf numFmtId="0" fontId="31" fillId="9" borderId="31" xfId="0" applyFont="1" applyFill="1" applyBorder="1" applyAlignment="1" applyProtection="1">
      <alignment horizontal="center" wrapText="1" readingOrder="1"/>
      <protection hidden="1"/>
    </xf>
    <xf numFmtId="0" fontId="31" fillId="9" borderId="7" xfId="0" applyFont="1" applyFill="1" applyBorder="1" applyAlignment="1" applyProtection="1">
      <alignment horizontal="center" wrapText="1" readingOrder="1"/>
      <protection hidden="1"/>
    </xf>
    <xf numFmtId="0" fontId="31" fillId="9" borderId="0" xfId="0" applyFont="1" applyFill="1" applyAlignment="1" applyProtection="1">
      <alignment horizontal="center" wrapText="1" readingOrder="1"/>
      <protection hidden="1"/>
    </xf>
    <xf numFmtId="0" fontId="31" fillId="9" borderId="8" xfId="0" applyFont="1" applyFill="1" applyBorder="1" applyAlignment="1" applyProtection="1">
      <alignment horizontal="center" wrapText="1" readingOrder="1"/>
      <protection hidden="1"/>
    </xf>
    <xf numFmtId="0" fontId="31" fillId="9" borderId="18" xfId="0" applyFont="1" applyFill="1" applyBorder="1" applyAlignment="1" applyProtection="1">
      <alignment horizontal="center" wrapText="1" readingOrder="1"/>
      <protection hidden="1"/>
    </xf>
    <xf numFmtId="0" fontId="31" fillId="9" borderId="19" xfId="0" applyFont="1" applyFill="1" applyBorder="1" applyAlignment="1" applyProtection="1">
      <alignment horizontal="center" wrapText="1" readingOrder="1"/>
      <protection hidden="1"/>
    </xf>
    <xf numFmtId="0" fontId="31" fillId="9" borderId="20" xfId="0" applyFont="1" applyFill="1" applyBorder="1" applyAlignment="1" applyProtection="1">
      <alignment horizontal="center" wrapText="1" readingOrder="1"/>
      <protection hidden="1"/>
    </xf>
    <xf numFmtId="0" fontId="33" fillId="8" borderId="30" xfId="0" applyFont="1" applyFill="1" applyBorder="1" applyAlignment="1" applyProtection="1">
      <alignment horizontal="center" wrapText="1" readingOrder="1"/>
      <protection hidden="1"/>
    </xf>
    <xf numFmtId="0" fontId="34" fillId="0" borderId="0" xfId="0" applyFont="1" applyAlignment="1">
      <alignment horizontal="center" vertical="center" wrapText="1"/>
    </xf>
    <xf numFmtId="0" fontId="35" fillId="10" borderId="0" xfId="0" applyFont="1" applyFill="1" applyAlignment="1">
      <alignment horizontal="center" vertical="center" wrapText="1" readingOrder="1"/>
    </xf>
    <xf numFmtId="0" fontId="36" fillId="9" borderId="34" xfId="0" applyFont="1" applyFill="1" applyBorder="1" applyAlignment="1">
      <alignment horizontal="center" vertical="center" wrapText="1" readingOrder="1"/>
    </xf>
    <xf numFmtId="0" fontId="36" fillId="0" borderId="34" xfId="0" applyFont="1" applyBorder="1" applyAlignment="1">
      <alignment horizontal="justify" vertical="center" wrapText="1" readingOrder="1"/>
    </xf>
    <xf numFmtId="9" fontId="36" fillId="0" borderId="34" xfId="0" applyNumberFormat="1" applyFont="1" applyBorder="1" applyAlignment="1">
      <alignment horizontal="center" vertical="center" wrapText="1" readingOrder="1"/>
    </xf>
    <xf numFmtId="0" fontId="36" fillId="11" borderId="35" xfId="0" applyFont="1" applyFill="1" applyBorder="1" applyAlignment="1">
      <alignment horizontal="center" vertical="center" wrapText="1" readingOrder="1"/>
    </xf>
    <xf numFmtId="0" fontId="36" fillId="0" borderId="35" xfId="0" applyFont="1" applyBorder="1" applyAlignment="1">
      <alignment horizontal="justify" vertical="center" wrapText="1" readingOrder="1"/>
    </xf>
    <xf numFmtId="9" fontId="36" fillId="0" borderId="35" xfId="0" applyNumberFormat="1" applyFont="1" applyBorder="1" applyAlignment="1">
      <alignment horizontal="center" vertical="center" wrapText="1" readingOrder="1"/>
    </xf>
    <xf numFmtId="0" fontId="36" fillId="12" borderId="35" xfId="0" applyFont="1" applyFill="1" applyBorder="1" applyAlignment="1">
      <alignment horizontal="center" vertical="center" wrapText="1" readingOrder="1"/>
    </xf>
    <xf numFmtId="0" fontId="36" fillId="13" borderId="35" xfId="0" applyFont="1" applyFill="1" applyBorder="1" applyAlignment="1">
      <alignment horizontal="center" vertical="center" wrapText="1" readingOrder="1"/>
    </xf>
    <xf numFmtId="0" fontId="37" fillId="14" borderId="35" xfId="0" applyFont="1" applyFill="1" applyBorder="1" applyAlignment="1">
      <alignment horizontal="center" vertical="center" wrapText="1" readingOrder="1"/>
    </xf>
    <xf numFmtId="0" fontId="38" fillId="2" borderId="0" xfId="0" applyFont="1" applyFill="1"/>
    <xf numFmtId="0" fontId="20" fillId="2" borderId="0" xfId="0" applyFont="1" applyFill="1" applyAlignment="1">
      <alignment horizontal="left" vertical="center"/>
    </xf>
    <xf numFmtId="0" fontId="38" fillId="0" borderId="0" xfId="0" applyFont="1"/>
    <xf numFmtId="0" fontId="40" fillId="2" borderId="0" xfId="0" applyFont="1" applyFill="1" applyAlignment="1">
      <alignment horizontal="center" vertical="center" wrapText="1"/>
    </xf>
    <xf numFmtId="0" fontId="41" fillId="10" borderId="0" xfId="0" applyFont="1" applyFill="1" applyAlignment="1">
      <alignment horizontal="center" vertical="center" wrapText="1" readingOrder="1"/>
    </xf>
    <xf numFmtId="0" fontId="42" fillId="9" borderId="34" xfId="0" applyFont="1" applyFill="1" applyBorder="1" applyAlignment="1">
      <alignment horizontal="center" vertical="center" wrapText="1" readingOrder="1"/>
    </xf>
    <xf numFmtId="0" fontId="42" fillId="0" borderId="34" xfId="0" applyFont="1" applyBorder="1" applyAlignment="1">
      <alignment horizontal="center" vertical="center" wrapText="1" readingOrder="1"/>
    </xf>
    <xf numFmtId="0" fontId="42" fillId="0" borderId="34" xfId="0" applyFont="1" applyBorder="1" applyAlignment="1">
      <alignment horizontal="justify" vertical="center" wrapText="1" readingOrder="1"/>
    </xf>
    <xf numFmtId="0" fontId="42" fillId="11" borderId="35" xfId="0" applyFont="1" applyFill="1" applyBorder="1" applyAlignment="1">
      <alignment horizontal="center" vertical="center" wrapText="1" readingOrder="1"/>
    </xf>
    <xf numFmtId="0" fontId="42" fillId="0" borderId="35" xfId="0" applyFont="1" applyBorder="1" applyAlignment="1">
      <alignment horizontal="center" vertical="center" wrapText="1" readingOrder="1"/>
    </xf>
    <xf numFmtId="0" fontId="42" fillId="0" borderId="35" xfId="0" applyFont="1" applyBorder="1" applyAlignment="1">
      <alignment horizontal="justify" vertical="center" wrapText="1" readingOrder="1"/>
    </xf>
    <xf numFmtId="0" fontId="42" fillId="12" borderId="35" xfId="0" applyFont="1" applyFill="1" applyBorder="1" applyAlignment="1">
      <alignment horizontal="center" vertical="center" wrapText="1" readingOrder="1"/>
    </xf>
    <xf numFmtId="0" fontId="42" fillId="13" borderId="35" xfId="0" applyFont="1" applyFill="1" applyBorder="1" applyAlignment="1">
      <alignment horizontal="center" vertical="center" wrapText="1" readingOrder="1"/>
    </xf>
    <xf numFmtId="0" fontId="42" fillId="14" borderId="35" xfId="0" applyFont="1" applyFill="1" applyBorder="1" applyAlignment="1">
      <alignment horizontal="center" vertical="center" wrapText="1" readingOrder="1"/>
    </xf>
    <xf numFmtId="0" fontId="43" fillId="2" borderId="0" xfId="0" applyFont="1" applyFill="1"/>
    <xf numFmtId="0" fontId="44" fillId="2" borderId="0" xfId="0" applyFont="1" applyFill="1" applyAlignment="1">
      <alignment horizontal="justify" vertical="center" wrapText="1" readingOrder="1"/>
    </xf>
    <xf numFmtId="0" fontId="43" fillId="0" borderId="0" xfId="0" applyFont="1"/>
    <xf numFmtId="0" fontId="45" fillId="2" borderId="0" xfId="0" applyFont="1" applyFill="1" applyAlignment="1">
      <alignment vertical="center"/>
    </xf>
    <xf numFmtId="0" fontId="44" fillId="0" borderId="0" xfId="0" applyFont="1" applyAlignment="1">
      <alignment horizontal="justify" vertical="center" wrapText="1" readingOrder="1"/>
    </xf>
    <xf numFmtId="0" fontId="44" fillId="0" borderId="0" xfId="0" applyFont="1" applyAlignment="1">
      <alignment vertical="center"/>
    </xf>
    <xf numFmtId="0" fontId="52" fillId="0" borderId="36" xfId="7" applyBorder="1"/>
    <xf numFmtId="0" fontId="52" fillId="0" borderId="37" xfId="7" applyBorder="1"/>
    <xf numFmtId="0" fontId="52" fillId="0" borderId="38" xfId="5" applyBorder="1"/>
    <xf numFmtId="0" fontId="46" fillId="0" borderId="0" xfId="0" applyFont="1" applyAlignment="1">
      <alignment horizontal="center" wrapText="1"/>
    </xf>
    <xf numFmtId="0" fontId="52" fillId="0" borderId="39" xfId="8" applyBorder="1">
      <alignment horizontal="left"/>
    </xf>
    <xf numFmtId="0" fontId="52" fillId="0" borderId="40" xfId="8" applyBorder="1">
      <alignment horizontal="left"/>
    </xf>
    <xf numFmtId="0" fontId="52" fillId="0" borderId="41" xfId="6" applyBorder="1"/>
    <xf numFmtId="0" fontId="52" fillId="0" borderId="42" xfId="8" applyBorder="1">
      <alignment horizontal="left"/>
    </xf>
    <xf numFmtId="0" fontId="52" fillId="0" borderId="43" xfId="8" applyBorder="1">
      <alignment horizontal="left"/>
    </xf>
    <xf numFmtId="0" fontId="52" fillId="0" borderId="44" xfId="6" applyBorder="1"/>
    <xf numFmtId="0" fontId="52" fillId="0" borderId="45" xfId="8" applyBorder="1">
      <alignment horizontal="left"/>
    </xf>
    <xf numFmtId="0" fontId="52" fillId="0" borderId="46" xfId="8" applyBorder="1">
      <alignment horizontal="left"/>
    </xf>
    <xf numFmtId="0" fontId="52" fillId="0" borderId="47" xfId="6" applyBorder="1"/>
    <xf numFmtId="0" fontId="52" fillId="0" borderId="48" xfId="8" applyBorder="1">
      <alignment horizontal="left"/>
    </xf>
    <xf numFmtId="0" fontId="52" fillId="0" borderId="49" xfId="8" applyBorder="1">
      <alignment horizontal="left"/>
    </xf>
    <xf numFmtId="0" fontId="52" fillId="0" borderId="50" xfId="6" applyBorder="1"/>
    <xf numFmtId="0" fontId="47" fillId="0" borderId="0" xfId="0" applyFont="1"/>
    <xf numFmtId="0" fontId="3" fillId="2" borderId="0" xfId="0" applyFont="1" applyFill="1"/>
    <xf numFmtId="0" fontId="48" fillId="2" borderId="0" xfId="0" applyFont="1" applyFill="1"/>
    <xf numFmtId="0" fontId="22" fillId="15" borderId="52" xfId="0" applyFont="1" applyFill="1" applyBorder="1" applyAlignment="1">
      <alignment horizontal="center" vertical="center" wrapText="1" readingOrder="1"/>
    </xf>
    <xf numFmtId="0" fontId="22" fillId="15" borderId="53" xfId="0" applyFont="1" applyFill="1" applyBorder="1" applyAlignment="1">
      <alignment horizontal="center" vertical="center" wrapText="1" readingOrder="1"/>
    </xf>
    <xf numFmtId="0" fontId="22" fillId="2" borderId="46" xfId="0" applyFont="1" applyFill="1" applyBorder="1" applyAlignment="1">
      <alignment horizontal="center" vertical="center" wrapText="1" readingOrder="1"/>
    </xf>
    <xf numFmtId="0" fontId="19" fillId="2" borderId="46" xfId="0" applyFont="1" applyFill="1" applyBorder="1" applyAlignment="1">
      <alignment horizontal="justify" vertical="center" wrapText="1" readingOrder="1"/>
    </xf>
    <xf numFmtId="9" fontId="22" fillId="2" borderId="47" xfId="0" applyNumberFormat="1" applyFont="1" applyFill="1" applyBorder="1" applyAlignment="1">
      <alignment horizontal="center" vertical="center" wrapText="1" readingOrder="1"/>
    </xf>
    <xf numFmtId="0" fontId="22" fillId="2" borderId="54" xfId="0" applyFont="1" applyFill="1" applyBorder="1" applyAlignment="1">
      <alignment horizontal="center" vertical="center" wrapText="1" readingOrder="1"/>
    </xf>
    <xf numFmtId="0" fontId="19" fillId="2" borderId="54" xfId="0" applyFont="1" applyFill="1" applyBorder="1" applyAlignment="1">
      <alignment horizontal="justify" vertical="center" wrapText="1" readingOrder="1"/>
    </xf>
    <xf numFmtId="9" fontId="22" fillId="2" borderId="55" xfId="0" applyNumberFormat="1" applyFont="1" applyFill="1" applyBorder="1" applyAlignment="1">
      <alignment horizontal="center" vertical="center" wrapText="1" readingOrder="1"/>
    </xf>
    <xf numFmtId="0" fontId="19" fillId="2" borderId="55" xfId="0" applyFont="1" applyFill="1" applyBorder="1" applyAlignment="1">
      <alignment horizontal="center" vertical="center" wrapText="1" readingOrder="1"/>
    </xf>
    <xf numFmtId="0" fontId="22" fillId="2" borderId="57" xfId="0" applyFont="1" applyFill="1" applyBorder="1" applyAlignment="1">
      <alignment horizontal="center" vertical="center" wrapText="1" readingOrder="1"/>
    </xf>
    <xf numFmtId="0" fontId="19" fillId="2" borderId="57" xfId="0" applyFont="1" applyFill="1" applyBorder="1" applyAlignment="1">
      <alignment horizontal="justify" vertical="center" wrapText="1" readingOrder="1"/>
    </xf>
    <xf numFmtId="0" fontId="19" fillId="2" borderId="58" xfId="0" applyFont="1" applyFill="1" applyBorder="1" applyAlignment="1">
      <alignment horizontal="center" vertical="center" wrapText="1" readingOrder="1"/>
    </xf>
    <xf numFmtId="0" fontId="51" fillId="2" borderId="0" xfId="0" applyFont="1" applyFill="1"/>
    <xf numFmtId="0" fontId="3" fillId="0" borderId="0" xfId="0" applyFont="1"/>
    <xf numFmtId="0" fontId="23" fillId="0" borderId="35" xfId="0" applyFont="1" applyBorder="1" applyAlignment="1">
      <alignment horizontal="left" vertical="center" wrapText="1" indent="1" readingOrder="1"/>
    </xf>
    <xf numFmtId="14" fontId="16" fillId="0" borderId="23" xfId="0" applyNumberFormat="1" applyFont="1" applyBorder="1" applyAlignment="1" applyProtection="1">
      <alignment vertical="center" wrapText="1"/>
      <protection locked="0"/>
    </xf>
    <xf numFmtId="0" fontId="58" fillId="0" borderId="21" xfId="0" applyFont="1" applyBorder="1" applyAlignment="1" applyProtection="1">
      <alignment horizontal="justify" vertical="center" wrapText="1"/>
      <protection locked="0"/>
    </xf>
    <xf numFmtId="0" fontId="55" fillId="0" borderId="21" xfId="0" applyFont="1" applyBorder="1" applyAlignment="1" applyProtection="1">
      <alignment horizontal="left" vertical="center" wrapText="1"/>
      <protection locked="0"/>
    </xf>
    <xf numFmtId="0" fontId="55" fillId="0" borderId="21" xfId="0" applyFont="1" applyBorder="1" applyAlignment="1" applyProtection="1">
      <alignment horizontal="justify" vertical="center" wrapText="1"/>
      <protection locked="0"/>
    </xf>
    <xf numFmtId="0" fontId="59" fillId="0" borderId="21" xfId="0" applyFont="1" applyBorder="1" applyAlignment="1" applyProtection="1">
      <alignment horizontal="justify" vertical="center" wrapText="1"/>
      <protection locked="0"/>
    </xf>
    <xf numFmtId="0" fontId="61" fillId="0" borderId="0" xfId="10" applyFont="1" applyAlignment="1">
      <alignment vertical="center" wrapText="1"/>
    </xf>
    <xf numFmtId="0" fontId="63" fillId="0" borderId="0" xfId="10" applyFont="1"/>
    <xf numFmtId="0" fontId="61" fillId="0" borderId="0" xfId="10" applyFont="1" applyAlignment="1">
      <alignment horizontal="center" vertical="center" wrapText="1"/>
    </xf>
    <xf numFmtId="0" fontId="65" fillId="19" borderId="63" xfId="10" applyFont="1" applyFill="1" applyBorder="1" applyAlignment="1">
      <alignment vertical="center"/>
    </xf>
    <xf numFmtId="0" fontId="65" fillId="19" borderId="64" xfId="10" applyFont="1" applyFill="1" applyBorder="1" applyAlignment="1">
      <alignment horizontal="center" vertical="center"/>
    </xf>
    <xf numFmtId="0" fontId="65" fillId="19" borderId="65" xfId="10" applyFont="1" applyFill="1" applyBorder="1" applyAlignment="1">
      <alignment horizontal="center" vertical="center"/>
    </xf>
    <xf numFmtId="0" fontId="63" fillId="20" borderId="36" xfId="10" applyFont="1" applyFill="1" applyBorder="1" applyAlignment="1">
      <alignment vertical="center" wrapText="1"/>
    </xf>
    <xf numFmtId="0" fontId="63" fillId="0" borderId="37" xfId="10" applyFont="1" applyBorder="1" applyAlignment="1">
      <alignment horizontal="center" vertical="center" wrapText="1"/>
    </xf>
    <xf numFmtId="0" fontId="63" fillId="20" borderId="37" xfId="10" applyFont="1" applyFill="1" applyBorder="1" applyAlignment="1">
      <alignment vertical="center" wrapText="1"/>
    </xf>
    <xf numFmtId="0" fontId="63" fillId="0" borderId="38" xfId="10" applyFont="1" applyBorder="1" applyAlignment="1">
      <alignment horizontal="center" vertical="center" wrapText="1"/>
    </xf>
    <xf numFmtId="0" fontId="63" fillId="20" borderId="59" xfId="10" applyFont="1" applyFill="1" applyBorder="1" applyAlignment="1">
      <alignment vertical="center" wrapText="1"/>
    </xf>
    <xf numFmtId="0" fontId="63" fillId="16" borderId="54" xfId="10" applyFont="1" applyFill="1" applyBorder="1" applyAlignment="1">
      <alignment horizontal="center" vertical="center" wrapText="1"/>
    </xf>
    <xf numFmtId="0" fontId="63" fillId="20" borderId="54" xfId="10" applyFont="1" applyFill="1" applyBorder="1" applyAlignment="1">
      <alignment vertical="center" wrapText="1"/>
    </xf>
    <xf numFmtId="0" fontId="63" fillId="0" borderId="54" xfId="10" applyFont="1" applyBorder="1" applyAlignment="1">
      <alignment horizontal="center" vertical="center" wrapText="1"/>
    </xf>
    <xf numFmtId="0" fontId="63" fillId="0" borderId="55" xfId="10" applyFont="1" applyBorder="1" applyAlignment="1">
      <alignment horizontal="center" vertical="center" wrapText="1"/>
    </xf>
    <xf numFmtId="0" fontId="63" fillId="0" borderId="54" xfId="10" applyFont="1" applyBorder="1" applyAlignment="1">
      <alignment horizontal="left" vertical="center" wrapText="1"/>
    </xf>
    <xf numFmtId="0" fontId="63" fillId="0" borderId="55" xfId="10" applyFont="1" applyBorder="1" applyAlignment="1">
      <alignment horizontal="left" vertical="center" wrapText="1"/>
    </xf>
    <xf numFmtId="0" fontId="67" fillId="0" borderId="54" xfId="10" applyFont="1" applyBorder="1" applyAlignment="1">
      <alignment horizontal="center" vertical="center" wrapText="1"/>
    </xf>
    <xf numFmtId="0" fontId="63" fillId="20" borderId="56" xfId="10" applyFont="1" applyFill="1" applyBorder="1" applyAlignment="1">
      <alignment vertical="center" wrapText="1"/>
    </xf>
    <xf numFmtId="0" fontId="63" fillId="0" borderId="57" xfId="10" applyFont="1" applyBorder="1" applyAlignment="1">
      <alignment horizontal="left" vertical="center" wrapText="1"/>
    </xf>
    <xf numFmtId="0" fontId="63" fillId="20" borderId="57" xfId="10" applyFont="1" applyFill="1" applyBorder="1" applyAlignment="1">
      <alignment vertical="center" wrapText="1"/>
    </xf>
    <xf numFmtId="0" fontId="67" fillId="0" borderId="57" xfId="10" applyFont="1" applyBorder="1" applyAlignment="1">
      <alignment horizontal="center" vertical="center" wrapText="1"/>
    </xf>
    <xf numFmtId="0" fontId="63" fillId="0" borderId="58" xfId="10" applyFont="1" applyBorder="1" applyAlignment="1">
      <alignment horizontal="left" vertical="center" wrapText="1"/>
    </xf>
    <xf numFmtId="0" fontId="63" fillId="0" borderId="0" xfId="10" applyFont="1" applyAlignment="1">
      <alignment vertical="center" wrapText="1"/>
    </xf>
    <xf numFmtId="0" fontId="63" fillId="0" borderId="0" xfId="10" applyFont="1" applyAlignment="1">
      <alignment horizontal="left" vertical="center" wrapText="1"/>
    </xf>
    <xf numFmtId="0" fontId="63" fillId="0" borderId="0" xfId="10" applyFont="1" applyAlignment="1">
      <alignment horizontal="left" vertical="center"/>
    </xf>
    <xf numFmtId="0" fontId="68" fillId="0" borderId="0" xfId="10" applyFont="1" applyAlignment="1">
      <alignment horizontal="left" vertical="center" wrapText="1"/>
    </xf>
    <xf numFmtId="0" fontId="69" fillId="0" borderId="0" xfId="10" applyFont="1" applyAlignment="1">
      <alignment horizontal="left" vertical="center" wrapText="1"/>
    </xf>
    <xf numFmtId="0" fontId="68" fillId="0" borderId="0" xfId="10" applyFont="1" applyAlignment="1">
      <alignment horizontal="left" vertical="center"/>
    </xf>
    <xf numFmtId="0" fontId="69" fillId="0" borderId="0" xfId="10" applyFont="1" applyAlignment="1">
      <alignment horizontal="left" vertical="center"/>
    </xf>
    <xf numFmtId="0" fontId="1" fillId="0" borderId="0" xfId="10"/>
    <xf numFmtId="0" fontId="63" fillId="0" borderId="8" xfId="10" applyFont="1" applyBorder="1" applyAlignment="1">
      <alignment horizontal="left" vertical="center" wrapText="1"/>
    </xf>
    <xf numFmtId="0" fontId="63" fillId="0" borderId="8" xfId="10" applyFont="1" applyBorder="1"/>
    <xf numFmtId="0" fontId="63" fillId="0" borderId="19" xfId="10" applyFont="1" applyBorder="1"/>
    <xf numFmtId="0" fontId="63" fillId="0" borderId="20" xfId="10" applyFont="1" applyBorder="1"/>
    <xf numFmtId="0" fontId="63" fillId="16" borderId="0" xfId="10" applyFont="1" applyFill="1" applyAlignment="1">
      <alignment horizontal="left" vertical="center" wrapText="1"/>
    </xf>
    <xf numFmtId="0" fontId="63" fillId="16" borderId="67" xfId="10" applyFont="1" applyFill="1" applyBorder="1" applyAlignment="1">
      <alignment horizontal="left" vertical="center" wrapText="1"/>
    </xf>
    <xf numFmtId="0" fontId="63" fillId="0" borderId="70" xfId="10" applyFont="1" applyBorder="1"/>
    <xf numFmtId="0" fontId="71" fillId="21" borderId="46" xfId="10" applyFont="1" applyFill="1" applyBorder="1" applyAlignment="1">
      <alignment horizontal="center" vertical="center" wrapText="1"/>
    </xf>
    <xf numFmtId="0" fontId="70" fillId="21" borderId="46" xfId="10" applyFont="1" applyFill="1" applyBorder="1" applyAlignment="1">
      <alignment horizontal="center" vertical="center" wrapText="1"/>
    </xf>
    <xf numFmtId="0" fontId="72" fillId="21" borderId="46" xfId="10" applyFont="1" applyFill="1" applyBorder="1" applyAlignment="1">
      <alignment horizontal="center" vertical="center" wrapText="1"/>
    </xf>
    <xf numFmtId="166" fontId="72" fillId="21" borderId="73" xfId="10" applyNumberFormat="1" applyFont="1" applyFill="1" applyBorder="1" applyAlignment="1">
      <alignment horizontal="center" vertical="center" wrapText="1"/>
    </xf>
    <xf numFmtId="0" fontId="73" fillId="21" borderId="9" xfId="10" applyFont="1" applyFill="1" applyBorder="1" applyAlignment="1">
      <alignment horizontal="center" vertical="center" wrapText="1"/>
    </xf>
    <xf numFmtId="0" fontId="60" fillId="0" borderId="0" xfId="10" applyFont="1" applyAlignment="1">
      <alignment horizontal="center" vertical="center" wrapText="1"/>
    </xf>
    <xf numFmtId="0" fontId="63" fillId="0" borderId="54" xfId="10" applyFont="1" applyBorder="1" applyAlignment="1">
      <alignment horizontal="center" vertical="center"/>
    </xf>
    <xf numFmtId="0" fontId="63" fillId="0" borderId="54" xfId="10" applyFont="1" applyBorder="1" applyAlignment="1" applyProtection="1">
      <alignment horizontal="center" vertical="center"/>
      <protection locked="0"/>
    </xf>
    <xf numFmtId="167" fontId="63" fillId="0" borderId="74" xfId="10" applyNumberFormat="1" applyFont="1" applyBorder="1" applyAlignment="1">
      <alignment horizontal="center" vertical="center"/>
    </xf>
    <xf numFmtId="0" fontId="1" fillId="0" borderId="1" xfId="10" applyBorder="1" applyAlignment="1" applyProtection="1">
      <alignment horizontal="center" vertical="top"/>
      <protection locked="0"/>
    </xf>
    <xf numFmtId="0" fontId="1" fillId="0" borderId="75" xfId="10" applyBorder="1" applyAlignment="1" applyProtection="1">
      <alignment vertical="top"/>
      <protection locked="0"/>
    </xf>
    <xf numFmtId="0" fontId="1" fillId="0" borderId="75" xfId="10" applyBorder="1"/>
    <xf numFmtId="166" fontId="63" fillId="0" borderId="74" xfId="10" applyNumberFormat="1" applyFont="1" applyBorder="1" applyAlignment="1">
      <alignment horizontal="center" vertical="center"/>
    </xf>
    <xf numFmtId="0" fontId="63" fillId="0" borderId="40" xfId="10" applyFont="1" applyBorder="1" applyAlignment="1">
      <alignment horizontal="center" vertical="center"/>
    </xf>
    <xf numFmtId="0" fontId="63" fillId="0" borderId="40" xfId="10" applyFont="1" applyBorder="1" applyAlignment="1">
      <alignment horizontal="left" vertical="center" wrapText="1"/>
    </xf>
    <xf numFmtId="0" fontId="63" fillId="0" borderId="40" xfId="10" applyFont="1" applyBorder="1" applyAlignment="1" applyProtection="1">
      <alignment horizontal="center" vertical="center"/>
      <protection locked="0"/>
    </xf>
    <xf numFmtId="166" fontId="63" fillId="0" borderId="76" xfId="10" applyNumberFormat="1" applyFont="1" applyBorder="1" applyAlignment="1">
      <alignment horizontal="center" vertical="center"/>
    </xf>
    <xf numFmtId="0" fontId="1" fillId="0" borderId="77" xfId="10" applyBorder="1"/>
    <xf numFmtId="166" fontId="63" fillId="22" borderId="38" xfId="10" applyNumberFormat="1" applyFont="1" applyFill="1" applyBorder="1" applyAlignment="1">
      <alignment vertical="center"/>
    </xf>
    <xf numFmtId="166" fontId="63" fillId="23" borderId="58" xfId="10" applyNumberFormat="1" applyFont="1" applyFill="1" applyBorder="1" applyAlignment="1">
      <alignment vertical="center"/>
    </xf>
    <xf numFmtId="0" fontId="1" fillId="0" borderId="0" xfId="10" applyAlignment="1" applyProtection="1">
      <alignment horizontal="center"/>
      <protection locked="0"/>
    </xf>
    <xf numFmtId="0" fontId="1" fillId="0" borderId="0" xfId="10" applyProtection="1">
      <protection locked="0"/>
    </xf>
    <xf numFmtId="166" fontId="1" fillId="0" borderId="0" xfId="10" applyNumberFormat="1" applyProtection="1">
      <protection locked="0"/>
    </xf>
    <xf numFmtId="0" fontId="69" fillId="16" borderId="80" xfId="10" applyFont="1" applyFill="1" applyBorder="1" applyAlignment="1" applyProtection="1">
      <alignment horizontal="left" vertical="center" wrapText="1"/>
      <protection locked="0"/>
    </xf>
    <xf numFmtId="0" fontId="69" fillId="16" borderId="74" xfId="10" applyFont="1" applyFill="1" applyBorder="1" applyAlignment="1" applyProtection="1">
      <alignment horizontal="left" vertical="center" wrapText="1"/>
      <protection locked="0"/>
    </xf>
    <xf numFmtId="0" fontId="69" fillId="16" borderId="0" xfId="10" applyFont="1" applyFill="1" applyAlignment="1">
      <alignment horizontal="left"/>
    </xf>
    <xf numFmtId="0" fontId="74" fillId="21" borderId="54" xfId="10" applyFont="1" applyFill="1" applyBorder="1" applyAlignment="1">
      <alignment vertical="center" wrapText="1"/>
    </xf>
    <xf numFmtId="0" fontId="80" fillId="21" borderId="54" xfId="10" applyFont="1" applyFill="1" applyBorder="1" applyAlignment="1">
      <alignment horizontal="center" vertical="center" wrapText="1"/>
    </xf>
    <xf numFmtId="14" fontId="16" fillId="0" borderId="21" xfId="0" applyNumberFormat="1" applyFont="1" applyBorder="1" applyAlignment="1" applyProtection="1">
      <alignment horizontal="center" vertical="center" wrapText="1"/>
      <protection locked="0"/>
    </xf>
    <xf numFmtId="0" fontId="59" fillId="0" borderId="24" xfId="0" applyFont="1" applyBorder="1" applyAlignment="1" applyProtection="1">
      <alignment vertical="center" wrapText="1"/>
      <protection locked="0"/>
    </xf>
    <xf numFmtId="0" fontId="59" fillId="0" borderId="23" xfId="0" applyFont="1" applyBorder="1" applyAlignment="1" applyProtection="1">
      <alignment vertical="center" wrapText="1"/>
      <protection locked="0"/>
    </xf>
    <xf numFmtId="0" fontId="16" fillId="0" borderId="21" xfId="0" applyFont="1" applyBorder="1" applyAlignment="1" applyProtection="1">
      <alignment vertical="top" wrapText="1"/>
      <protection locked="0"/>
    </xf>
    <xf numFmtId="0" fontId="16" fillId="2" borderId="21" xfId="0" applyFont="1" applyFill="1" applyBorder="1" applyAlignment="1" applyProtection="1">
      <alignment vertical="center" wrapText="1"/>
      <protection locked="0"/>
    </xf>
    <xf numFmtId="14" fontId="16" fillId="0" borderId="24" xfId="0" applyNumberFormat="1" applyFont="1" applyBorder="1" applyAlignment="1" applyProtection="1">
      <alignment vertical="center" wrapText="1"/>
      <protection locked="0"/>
    </xf>
    <xf numFmtId="0" fontId="16" fillId="2" borderId="24" xfId="0" applyFont="1" applyFill="1" applyBorder="1" applyAlignment="1" applyProtection="1">
      <alignment vertical="center" wrapText="1"/>
      <protection locked="0"/>
    </xf>
    <xf numFmtId="14" fontId="19" fillId="0" borderId="24" xfId="0" applyNumberFormat="1" applyFont="1" applyBorder="1" applyAlignment="1" applyProtection="1">
      <alignment vertical="center" wrapText="1"/>
      <protection locked="0"/>
    </xf>
    <xf numFmtId="14" fontId="16" fillId="0" borderId="21" xfId="0" applyNumberFormat="1" applyFont="1" applyBorder="1" applyAlignment="1" applyProtection="1">
      <alignment horizontal="center" vertical="top" wrapText="1"/>
      <protection locked="0"/>
    </xf>
    <xf numFmtId="0" fontId="69" fillId="16" borderId="76" xfId="10" applyFont="1" applyFill="1" applyBorder="1" applyAlignment="1" applyProtection="1">
      <alignment horizontal="left" vertical="center"/>
      <protection locked="0"/>
    </xf>
    <xf numFmtId="0" fontId="69" fillId="16" borderId="3" xfId="10" applyFont="1" applyFill="1" applyBorder="1" applyAlignment="1" applyProtection="1">
      <alignment horizontal="left" vertical="center"/>
      <protection locked="0"/>
    </xf>
    <xf numFmtId="0" fontId="69" fillId="16" borderId="83" xfId="10" applyFont="1" applyFill="1" applyBorder="1" applyAlignment="1" applyProtection="1">
      <alignment horizontal="left" vertical="center"/>
      <protection locked="0"/>
    </xf>
    <xf numFmtId="14" fontId="16" fillId="0" borderId="21" xfId="0" applyNumberFormat="1" applyFont="1" applyBorder="1" applyAlignment="1" applyProtection="1">
      <alignment horizontal="center" vertical="center"/>
      <protection locked="0"/>
    </xf>
    <xf numFmtId="0" fontId="61" fillId="0" borderId="0" xfId="0" applyFont="1" applyAlignment="1">
      <alignment vertical="center" wrapText="1"/>
    </xf>
    <xf numFmtId="0" fontId="63" fillId="0" borderId="0" xfId="0" applyFont="1"/>
    <xf numFmtId="0" fontId="63" fillId="0" borderId="37" xfId="0" applyFont="1" applyBorder="1" applyAlignment="1">
      <alignment vertical="center" wrapText="1"/>
    </xf>
    <xf numFmtId="0" fontId="63" fillId="0" borderId="54" xfId="0" applyFont="1" applyBorder="1" applyAlignment="1">
      <alignment vertical="center" wrapText="1"/>
    </xf>
    <xf numFmtId="0" fontId="5" fillId="3" borderId="1" xfId="2" applyFont="1" applyFill="1" applyBorder="1" applyAlignment="1">
      <alignment horizontal="center" vertical="center" wrapText="1"/>
    </xf>
    <xf numFmtId="0" fontId="6" fillId="0" borderId="5" xfId="2" applyFont="1" applyBorder="1" applyAlignment="1">
      <alignment horizontal="left" vertical="center" wrapText="1"/>
    </xf>
    <xf numFmtId="0" fontId="8" fillId="2" borderId="6" xfId="2" applyFont="1" applyFill="1" applyBorder="1" applyAlignment="1">
      <alignment horizontal="left" vertical="top" wrapText="1"/>
    </xf>
    <xf numFmtId="0" fontId="9" fillId="2" borderId="5" xfId="2" applyFont="1" applyFill="1" applyBorder="1" applyAlignment="1">
      <alignment horizontal="justify" vertical="center" wrapText="1"/>
    </xf>
    <xf numFmtId="0" fontId="6" fillId="0" borderId="9" xfId="2" applyFont="1" applyBorder="1" applyAlignment="1">
      <alignment horizontal="left" vertical="top" wrapText="1"/>
    </xf>
    <xf numFmtId="0" fontId="13" fillId="3" borderId="10" xfId="4" applyFont="1" applyFill="1" applyBorder="1" applyAlignment="1">
      <alignment horizontal="center" vertical="center" wrapText="1"/>
    </xf>
    <xf numFmtId="0" fontId="13" fillId="3" borderId="11" xfId="2" applyFont="1" applyFill="1" applyBorder="1" applyAlignment="1">
      <alignment horizontal="center" vertical="center"/>
    </xf>
    <xf numFmtId="0" fontId="13" fillId="2" borderId="12" xfId="4" applyFont="1" applyFill="1" applyBorder="1" applyAlignment="1">
      <alignment horizontal="left" vertical="top" wrapText="1" readingOrder="1"/>
    </xf>
    <xf numFmtId="0" fontId="14" fillId="2" borderId="13" xfId="2" applyFont="1" applyFill="1" applyBorder="1" applyAlignment="1">
      <alignment horizontal="justify" vertical="center" wrapText="1"/>
    </xf>
    <xf numFmtId="0" fontId="13" fillId="2" borderId="14" xfId="0" applyFont="1" applyFill="1" applyBorder="1" applyAlignment="1">
      <alignment horizontal="left" vertical="center" wrapText="1"/>
    </xf>
    <xf numFmtId="0" fontId="14" fillId="2" borderId="15" xfId="2" applyFont="1" applyFill="1" applyBorder="1" applyAlignment="1">
      <alignment horizontal="justify" vertical="center" wrapText="1"/>
    </xf>
    <xf numFmtId="0" fontId="13" fillId="2" borderId="16" xfId="0" applyFont="1" applyFill="1" applyBorder="1" applyAlignment="1">
      <alignment horizontal="left" vertical="center" wrapText="1"/>
    </xf>
    <xf numFmtId="0" fontId="14" fillId="2" borderId="17" xfId="0" applyFont="1" applyFill="1" applyBorder="1" applyAlignment="1">
      <alignment horizontal="justify" vertical="center" wrapText="1"/>
    </xf>
    <xf numFmtId="0" fontId="6" fillId="2" borderId="9" xfId="2" applyFont="1" applyFill="1" applyBorder="1" applyAlignment="1">
      <alignment horizontal="left" vertical="top" wrapText="1"/>
    </xf>
    <xf numFmtId="0" fontId="61" fillId="0" borderId="0" xfId="0" applyFont="1" applyAlignment="1">
      <alignment horizontal="center" vertical="center" wrapText="1"/>
    </xf>
    <xf numFmtId="0" fontId="82" fillId="0" borderId="54" xfId="0" applyFont="1" applyBorder="1" applyAlignment="1">
      <alignment horizontal="center" vertical="center" wrapText="1"/>
    </xf>
    <xf numFmtId="0" fontId="61" fillId="0" borderId="60" xfId="10" applyFont="1" applyBorder="1" applyAlignment="1">
      <alignment horizontal="center" vertical="center" wrapText="1"/>
    </xf>
    <xf numFmtId="0" fontId="61" fillId="0" borderId="61" xfId="10" applyFont="1" applyBorder="1" applyAlignment="1">
      <alignment horizontal="center" vertical="center" wrapText="1"/>
    </xf>
    <xf numFmtId="0" fontId="61" fillId="0" borderId="62" xfId="10" applyFont="1" applyBorder="1" applyAlignment="1">
      <alignment horizontal="center" vertical="center" wrapText="1"/>
    </xf>
    <xf numFmtId="0" fontId="65" fillId="18" borderId="59" xfId="10" applyFont="1" applyFill="1" applyBorder="1" applyAlignment="1">
      <alignment horizontal="center" vertical="center" wrapText="1"/>
    </xf>
    <xf numFmtId="0" fontId="65" fillId="18" borderId="54" xfId="10" applyFont="1" applyFill="1" applyBorder="1" applyAlignment="1">
      <alignment horizontal="center" vertical="center" wrapText="1"/>
    </xf>
    <xf numFmtId="0" fontId="65" fillId="18" borderId="55" xfId="10" applyFont="1" applyFill="1" applyBorder="1" applyAlignment="1">
      <alignment horizontal="center" vertical="center" wrapText="1"/>
    </xf>
    <xf numFmtId="0" fontId="63" fillId="18" borderId="59" xfId="10" applyFont="1" applyFill="1" applyBorder="1" applyAlignment="1">
      <alignment horizontal="left" vertical="center"/>
    </xf>
    <xf numFmtId="0" fontId="63" fillId="18" borderId="54" xfId="10" applyFont="1" applyFill="1" applyBorder="1" applyAlignment="1">
      <alignment horizontal="left" vertical="center"/>
    </xf>
    <xf numFmtId="0" fontId="63" fillId="18" borderId="55" xfId="10" applyFont="1" applyFill="1" applyBorder="1" applyAlignment="1">
      <alignment horizontal="left" vertical="center"/>
    </xf>
    <xf numFmtId="0" fontId="82" fillId="18" borderId="56" xfId="10" applyFont="1" applyFill="1" applyBorder="1" applyAlignment="1">
      <alignment horizontal="left" vertical="top" wrapText="1"/>
    </xf>
    <xf numFmtId="0" fontId="82" fillId="18" borderId="57" xfId="10" applyFont="1" applyFill="1" applyBorder="1" applyAlignment="1">
      <alignment horizontal="left" vertical="top"/>
    </xf>
    <xf numFmtId="0" fontId="82" fillId="18" borderId="58" xfId="10" applyFont="1" applyFill="1" applyBorder="1" applyAlignment="1">
      <alignment horizontal="left" vertical="top"/>
    </xf>
    <xf numFmtId="0" fontId="66" fillId="16" borderId="0" xfId="10" applyFont="1" applyFill="1" applyAlignment="1">
      <alignment horizontal="center" vertical="center" wrapText="1"/>
    </xf>
    <xf numFmtId="0" fontId="61" fillId="0" borderId="36" xfId="0" applyFont="1" applyBorder="1" applyAlignment="1">
      <alignment vertical="center" wrapText="1"/>
    </xf>
    <xf numFmtId="0" fontId="61" fillId="0" borderId="59" xfId="0" applyFont="1" applyBorder="1" applyAlignment="1">
      <alignment vertical="center" wrapText="1"/>
    </xf>
    <xf numFmtId="0" fontId="82" fillId="0" borderId="37" xfId="0" applyFont="1" applyBorder="1" applyAlignment="1">
      <alignment horizontal="center" vertical="center" wrapText="1"/>
    </xf>
    <xf numFmtId="0" fontId="64" fillId="0" borderId="38" xfId="0" applyFont="1" applyBorder="1" applyAlignment="1">
      <alignment horizontal="center" vertical="center" wrapText="1"/>
    </xf>
    <xf numFmtId="0" fontId="64" fillId="0" borderId="55" xfId="0" applyFont="1" applyBorder="1" applyAlignment="1">
      <alignment horizontal="center" vertical="center" wrapText="1"/>
    </xf>
    <xf numFmtId="0" fontId="70" fillId="21" borderId="71" xfId="10" applyFont="1" applyFill="1" applyBorder="1" applyAlignment="1">
      <alignment horizontal="center" vertical="center" wrapText="1"/>
    </xf>
    <xf numFmtId="0" fontId="70" fillId="21" borderId="72" xfId="10" applyFont="1" applyFill="1" applyBorder="1" applyAlignment="1">
      <alignment horizontal="center" vertical="center" wrapText="1"/>
    </xf>
    <xf numFmtId="0" fontId="70" fillId="22" borderId="29" xfId="10" applyFont="1" applyFill="1" applyBorder="1" applyAlignment="1">
      <alignment horizontal="right" vertical="center"/>
    </xf>
    <xf numFmtId="0" fontId="70" fillId="22" borderId="30" xfId="10" applyFont="1" applyFill="1" applyBorder="1" applyAlignment="1">
      <alignment horizontal="right" vertical="center"/>
    </xf>
    <xf numFmtId="0" fontId="70" fillId="22" borderId="66" xfId="10" applyFont="1" applyFill="1" applyBorder="1" applyAlignment="1">
      <alignment horizontal="right" vertical="center"/>
    </xf>
    <xf numFmtId="0" fontId="70" fillId="22" borderId="56" xfId="10" applyFont="1" applyFill="1" applyBorder="1" applyAlignment="1">
      <alignment horizontal="right" vertical="center"/>
    </xf>
    <xf numFmtId="0" fontId="70" fillId="22" borderId="57" xfId="10" applyFont="1" applyFill="1" applyBorder="1" applyAlignment="1">
      <alignment horizontal="right" vertical="center"/>
    </xf>
    <xf numFmtId="0" fontId="1" fillId="0" borderId="68" xfId="10" applyBorder="1" applyAlignment="1">
      <alignment horizontal="center"/>
    </xf>
    <xf numFmtId="0" fontId="1" fillId="0" borderId="69" xfId="10" applyBorder="1" applyAlignment="1">
      <alignment horizontal="center"/>
    </xf>
    <xf numFmtId="0" fontId="63" fillId="18" borderId="54" xfId="10" applyFont="1" applyFill="1" applyBorder="1" applyAlignment="1">
      <alignment vertical="center"/>
    </xf>
    <xf numFmtId="0" fontId="63" fillId="18" borderId="57" xfId="10" applyFont="1" applyFill="1" applyBorder="1" applyAlignment="1">
      <alignment horizontal="left" vertical="center" wrapText="1"/>
    </xf>
    <xf numFmtId="0" fontId="82" fillId="0" borderId="30" xfId="0" applyFont="1" applyBorder="1" applyAlignment="1">
      <alignment horizontal="center" vertical="center" wrapText="1"/>
    </xf>
    <xf numFmtId="0" fontId="67" fillId="0" borderId="81" xfId="0" applyFont="1" applyBorder="1" applyAlignment="1">
      <alignment horizontal="left" vertical="center" wrapText="1"/>
    </xf>
    <xf numFmtId="0" fontId="67" fillId="0" borderId="30" xfId="0" applyFont="1" applyBorder="1" applyAlignment="1">
      <alignment horizontal="left" vertical="center" wrapText="1"/>
    </xf>
    <xf numFmtId="0" fontId="67" fillId="0" borderId="31" xfId="0" applyFont="1" applyBorder="1" applyAlignment="1">
      <alignment horizontal="left" vertical="center" wrapText="1"/>
    </xf>
    <xf numFmtId="0" fontId="67" fillId="0" borderId="82" xfId="0" applyFont="1" applyBorder="1" applyAlignment="1">
      <alignment horizontal="left" vertical="center" wrapText="1"/>
    </xf>
    <xf numFmtId="0" fontId="67" fillId="0" borderId="0" xfId="0" applyFont="1" applyAlignment="1">
      <alignment horizontal="left" vertical="center" wrapText="1"/>
    </xf>
    <xf numFmtId="0" fontId="67" fillId="0" borderId="8" xfId="0" applyFont="1" applyBorder="1" applyAlignment="1">
      <alignment horizontal="left" vertical="center" wrapText="1"/>
    </xf>
    <xf numFmtId="0" fontId="67" fillId="0" borderId="73" xfId="0" applyFont="1" applyBorder="1" applyAlignment="1">
      <alignment horizontal="left" vertical="center" wrapText="1"/>
    </xf>
    <xf numFmtId="0" fontId="67" fillId="0" borderId="68" xfId="0" applyFont="1" applyBorder="1" applyAlignment="1">
      <alignment horizontal="left" vertical="center" wrapText="1"/>
    </xf>
    <xf numFmtId="0" fontId="67" fillId="0" borderId="84" xfId="0" applyFont="1" applyBorder="1" applyAlignment="1">
      <alignment horizontal="left" vertical="center" wrapText="1"/>
    </xf>
    <xf numFmtId="0" fontId="82" fillId="0" borderId="68" xfId="0" applyFont="1" applyBorder="1" applyAlignment="1">
      <alignment horizontal="center" vertical="center" wrapText="1"/>
    </xf>
    <xf numFmtId="0" fontId="63" fillId="0" borderId="78" xfId="0" applyFont="1" applyBorder="1" applyAlignment="1">
      <alignment horizontal="left" vertical="center" wrapText="1"/>
    </xf>
    <xf numFmtId="0" fontId="63" fillId="0" borderId="79" xfId="0" applyFont="1" applyBorder="1" applyAlignment="1">
      <alignment horizontal="left" vertical="center" wrapText="1"/>
    </xf>
    <xf numFmtId="0" fontId="63" fillId="0" borderId="65" xfId="0" applyFont="1" applyBorder="1" applyAlignment="1">
      <alignment horizontal="center" vertical="center" wrapText="1"/>
    </xf>
    <xf numFmtId="0" fontId="63" fillId="0" borderId="44" xfId="0" applyFont="1" applyBorder="1" applyAlignment="1">
      <alignment horizontal="center" vertical="center" wrapText="1"/>
    </xf>
    <xf numFmtId="0" fontId="63" fillId="0" borderId="47" xfId="0" applyFont="1" applyBorder="1" applyAlignment="1">
      <alignment horizontal="center" vertical="center" wrapText="1"/>
    </xf>
    <xf numFmtId="0" fontId="63" fillId="0" borderId="74" xfId="0" applyFont="1" applyBorder="1" applyAlignment="1">
      <alignment horizontal="left" vertical="center" wrapText="1"/>
    </xf>
    <xf numFmtId="0" fontId="63" fillId="0" borderId="80" xfId="0" applyFont="1" applyBorder="1" applyAlignment="1">
      <alignment horizontal="left" vertical="center" wrapText="1"/>
    </xf>
    <xf numFmtId="0" fontId="78" fillId="16" borderId="74" xfId="10" applyFont="1" applyFill="1" applyBorder="1" applyAlignment="1" applyProtection="1">
      <alignment horizontal="center" vertical="center" wrapText="1"/>
      <protection locked="0"/>
    </xf>
    <xf numFmtId="0" fontId="78" fillId="16" borderId="80" xfId="10" applyFont="1" applyFill="1" applyBorder="1" applyAlignment="1" applyProtection="1">
      <alignment horizontal="center" vertical="center" wrapText="1"/>
      <protection locked="0"/>
    </xf>
    <xf numFmtId="0" fontId="62" fillId="0" borderId="60" xfId="10" applyFont="1" applyBorder="1" applyAlignment="1">
      <alignment horizontal="center" vertical="center" wrapText="1"/>
    </xf>
    <xf numFmtId="0" fontId="62" fillId="0" borderId="61" xfId="10" applyFont="1" applyBorder="1" applyAlignment="1">
      <alignment horizontal="center" vertical="center" wrapText="1"/>
    </xf>
    <xf numFmtId="0" fontId="62" fillId="0" borderId="62" xfId="10" applyFont="1" applyBorder="1" applyAlignment="1">
      <alignment horizontal="center" vertical="center" wrapText="1"/>
    </xf>
    <xf numFmtId="0" fontId="70" fillId="22" borderId="2" xfId="10" applyFont="1" applyFill="1" applyBorder="1" applyAlignment="1">
      <alignment horizontal="left" vertical="center"/>
    </xf>
    <xf numFmtId="0" fontId="70" fillId="22" borderId="3" xfId="10" applyFont="1" applyFill="1" applyBorder="1" applyAlignment="1">
      <alignment horizontal="left" vertical="center"/>
    </xf>
    <xf numFmtId="0" fontId="70" fillId="22" borderId="4" xfId="10" applyFont="1" applyFill="1" applyBorder="1" applyAlignment="1">
      <alignment horizontal="left" vertical="center"/>
    </xf>
    <xf numFmtId="0" fontId="70" fillId="22" borderId="18" xfId="10" applyFont="1" applyFill="1" applyBorder="1" applyAlignment="1">
      <alignment horizontal="left" vertical="center"/>
    </xf>
    <xf numFmtId="0" fontId="70" fillId="22" borderId="19" xfId="10" applyFont="1" applyFill="1" applyBorder="1" applyAlignment="1">
      <alignment horizontal="left" vertical="center"/>
    </xf>
    <xf numFmtId="0" fontId="70" fillId="22" borderId="20" xfId="10" applyFont="1" applyFill="1" applyBorder="1" applyAlignment="1">
      <alignment horizontal="left" vertical="center"/>
    </xf>
    <xf numFmtId="0" fontId="75" fillId="21" borderId="74" xfId="10" applyFont="1" applyFill="1" applyBorder="1" applyAlignment="1">
      <alignment horizontal="center" vertical="center" wrapText="1"/>
    </xf>
    <xf numFmtId="0" fontId="75" fillId="21" borderId="61" xfId="10" applyFont="1" applyFill="1" applyBorder="1" applyAlignment="1">
      <alignment horizontal="center" vertical="center" wrapText="1"/>
    </xf>
    <xf numFmtId="0" fontId="75" fillId="21" borderId="80" xfId="10" applyFont="1" applyFill="1" applyBorder="1" applyAlignment="1">
      <alignment horizontal="center" vertical="center" wrapText="1"/>
    </xf>
    <xf numFmtId="0" fontId="75" fillId="21" borderId="54" xfId="10" applyFont="1" applyFill="1" applyBorder="1" applyAlignment="1">
      <alignment horizontal="center" vertical="center" wrapText="1"/>
    </xf>
    <xf numFmtId="0" fontId="75" fillId="21" borderId="54" xfId="10" applyFont="1" applyFill="1" applyBorder="1" applyAlignment="1">
      <alignment horizontal="center" vertical="center"/>
    </xf>
    <xf numFmtId="0" fontId="75" fillId="21" borderId="74" xfId="10" applyFont="1" applyFill="1" applyBorder="1" applyAlignment="1">
      <alignment horizontal="center"/>
    </xf>
    <xf numFmtId="0" fontId="75" fillId="21" borderId="61" xfId="10" applyFont="1" applyFill="1" applyBorder="1" applyAlignment="1">
      <alignment horizontal="center"/>
    </xf>
    <xf numFmtId="0" fontId="75" fillId="21" borderId="80" xfId="10" applyFont="1" applyFill="1" applyBorder="1" applyAlignment="1">
      <alignment horizontal="center"/>
    </xf>
    <xf numFmtId="0" fontId="76" fillId="0" borderId="74" xfId="10" applyFont="1" applyBorder="1" applyAlignment="1" applyProtection="1">
      <alignment horizontal="center" vertical="center" wrapText="1"/>
      <protection locked="0"/>
    </xf>
    <xf numFmtId="0" fontId="69" fillId="0" borderId="80" xfId="10" applyFont="1" applyBorder="1" applyAlignment="1" applyProtection="1">
      <alignment horizontal="center" vertical="center" wrapText="1"/>
      <protection locked="0"/>
    </xf>
    <xf numFmtId="0" fontId="77" fillId="0" borderId="54" xfId="10" applyFont="1" applyBorder="1" applyAlignment="1" applyProtection="1">
      <alignment horizontal="center" vertical="center" wrapText="1"/>
      <protection locked="0"/>
    </xf>
    <xf numFmtId="0" fontId="69" fillId="0" borderId="54" xfId="10" applyFont="1" applyBorder="1" applyAlignment="1" applyProtection="1">
      <alignment horizontal="left" vertical="center"/>
      <protection locked="0"/>
    </xf>
    <xf numFmtId="0" fontId="77" fillId="16" borderId="54" xfId="10" applyFont="1" applyFill="1" applyBorder="1" applyAlignment="1" applyProtection="1">
      <alignment horizontal="center" vertical="center" wrapText="1"/>
      <protection locked="0"/>
    </xf>
    <xf numFmtId="0" fontId="69" fillId="0" borderId="74" xfId="10" applyFont="1" applyBorder="1" applyAlignment="1" applyProtection="1">
      <alignment horizontal="center" vertical="center"/>
      <protection locked="0"/>
    </xf>
    <xf numFmtId="0" fontId="69" fillId="0" borderId="61" xfId="10" applyFont="1" applyBorder="1" applyAlignment="1" applyProtection="1">
      <alignment horizontal="center" vertical="center"/>
      <protection locked="0"/>
    </xf>
    <xf numFmtId="0" fontId="69" fillId="0" borderId="80" xfId="10" applyFont="1" applyBorder="1" applyAlignment="1" applyProtection="1">
      <alignment horizontal="center" vertical="center"/>
      <protection locked="0"/>
    </xf>
    <xf numFmtId="0" fontId="75" fillId="21" borderId="54" xfId="10" applyFont="1" applyFill="1" applyBorder="1" applyAlignment="1">
      <alignment horizontal="center" vertical="center" textRotation="255"/>
    </xf>
    <xf numFmtId="0" fontId="75" fillId="21" borderId="61" xfId="10" applyFont="1" applyFill="1" applyBorder="1" applyAlignment="1">
      <alignment horizontal="center" vertical="center"/>
    </xf>
    <xf numFmtId="0" fontId="75" fillId="21" borderId="80" xfId="10" applyFont="1" applyFill="1" applyBorder="1" applyAlignment="1">
      <alignment horizontal="center" vertical="center"/>
    </xf>
    <xf numFmtId="0" fontId="78" fillId="16" borderId="74" xfId="10" applyFont="1" applyFill="1" applyBorder="1" applyAlignment="1" applyProtection="1">
      <alignment horizontal="left" vertical="center" wrapText="1"/>
      <protection locked="0"/>
    </xf>
    <xf numFmtId="0" fontId="78" fillId="16" borderId="80" xfId="10" applyFont="1" applyFill="1" applyBorder="1" applyAlignment="1" applyProtection="1">
      <alignment horizontal="left" vertical="center"/>
      <protection locked="0"/>
    </xf>
    <xf numFmtId="0" fontId="78" fillId="16" borderId="80" xfId="10" applyFont="1" applyFill="1" applyBorder="1" applyAlignment="1" applyProtection="1">
      <alignment horizontal="left" vertical="center" wrapText="1"/>
      <protection locked="0"/>
    </xf>
    <xf numFmtId="0" fontId="69" fillId="16" borderId="74" xfId="10" applyFont="1" applyFill="1" applyBorder="1" applyAlignment="1" applyProtection="1">
      <alignment horizontal="left" vertical="center" wrapText="1"/>
      <protection locked="0"/>
    </xf>
    <xf numFmtId="0" fontId="69" fillId="16" borderId="61" xfId="10" applyFont="1" applyFill="1" applyBorder="1" applyAlignment="1" applyProtection="1">
      <alignment horizontal="left" vertical="center" wrapText="1"/>
      <protection locked="0"/>
    </xf>
    <xf numFmtId="0" fontId="69" fillId="16" borderId="80" xfId="10" applyFont="1" applyFill="1" applyBorder="1" applyAlignment="1" applyProtection="1">
      <alignment horizontal="left" vertical="center" wrapText="1"/>
      <protection locked="0"/>
    </xf>
    <xf numFmtId="0" fontId="78" fillId="24" borderId="74" xfId="10" applyFont="1" applyFill="1" applyBorder="1" applyAlignment="1" applyProtection="1">
      <alignment horizontal="left" vertical="center" wrapText="1"/>
      <protection locked="0"/>
    </xf>
    <xf numFmtId="0" fontId="78" fillId="24" borderId="80" xfId="10" applyFont="1" applyFill="1" applyBorder="1" applyAlignment="1" applyProtection="1">
      <alignment horizontal="left" vertical="center" wrapText="1"/>
      <protection locked="0"/>
    </xf>
    <xf numFmtId="0" fontId="69" fillId="16" borderId="54" xfId="10" applyFont="1" applyFill="1" applyBorder="1" applyAlignment="1" applyProtection="1">
      <alignment horizontal="left" vertical="center"/>
      <protection locked="0"/>
    </xf>
    <xf numFmtId="0" fontId="69" fillId="16" borderId="61" xfId="10" applyFont="1" applyFill="1" applyBorder="1" applyAlignment="1" applyProtection="1">
      <alignment horizontal="left" vertical="center"/>
      <protection locked="0"/>
    </xf>
    <xf numFmtId="0" fontId="69" fillId="16" borderId="80" xfId="10" applyFont="1" applyFill="1" applyBorder="1" applyAlignment="1" applyProtection="1">
      <alignment horizontal="left" vertical="center"/>
      <protection locked="0"/>
    </xf>
    <xf numFmtId="0" fontId="79" fillId="16" borderId="61" xfId="10" applyFont="1" applyFill="1" applyBorder="1" applyAlignment="1" applyProtection="1">
      <alignment horizontal="left" vertical="center" wrapText="1"/>
      <protection locked="0"/>
    </xf>
    <xf numFmtId="0" fontId="79" fillId="16" borderId="80" xfId="10" applyFont="1" applyFill="1" applyBorder="1" applyAlignment="1" applyProtection="1">
      <alignment horizontal="left" vertical="center" wrapText="1"/>
      <protection locked="0"/>
    </xf>
    <xf numFmtId="0" fontId="78" fillId="17" borderId="74" xfId="10" applyFont="1" applyFill="1" applyBorder="1" applyAlignment="1" applyProtection="1">
      <alignment horizontal="left" vertical="center" wrapText="1"/>
      <protection locked="0"/>
    </xf>
    <xf numFmtId="0" fontId="78" fillId="17" borderId="80" xfId="10" applyFont="1" applyFill="1" applyBorder="1" applyAlignment="1" applyProtection="1">
      <alignment horizontal="left" vertical="center" wrapText="1"/>
      <protection locked="0"/>
    </xf>
    <xf numFmtId="0" fontId="78" fillId="16" borderId="54" xfId="10" applyFont="1" applyFill="1" applyBorder="1" applyAlignment="1" applyProtection="1">
      <alignment horizontal="left" vertical="center" wrapText="1"/>
      <protection locked="0"/>
    </xf>
    <xf numFmtId="0" fontId="69" fillId="16" borderId="54" xfId="10" applyFont="1" applyFill="1" applyBorder="1" applyAlignment="1" applyProtection="1">
      <alignment horizontal="left" vertical="center" wrapText="1"/>
      <protection locked="0"/>
    </xf>
    <xf numFmtId="0" fontId="69" fillId="16" borderId="74" xfId="10" applyFont="1" applyFill="1" applyBorder="1" applyAlignment="1" applyProtection="1">
      <alignment horizontal="left" vertical="center"/>
      <protection locked="0"/>
    </xf>
    <xf numFmtId="0" fontId="75" fillId="21" borderId="54" xfId="10" applyFont="1" applyFill="1" applyBorder="1" applyAlignment="1">
      <alignment horizontal="center" wrapText="1"/>
    </xf>
    <xf numFmtId="0" fontId="75" fillId="21" borderId="54" xfId="10" applyFont="1" applyFill="1" applyBorder="1" applyAlignment="1">
      <alignment horizontal="center"/>
    </xf>
    <xf numFmtId="0" fontId="75" fillId="21" borderId="74" xfId="10" applyFont="1" applyFill="1" applyBorder="1" applyAlignment="1">
      <alignment horizontal="center" vertical="top" wrapText="1"/>
    </xf>
    <xf numFmtId="0" fontId="75" fillId="21" borderId="61" xfId="10" applyFont="1" applyFill="1" applyBorder="1" applyAlignment="1">
      <alignment horizontal="center" vertical="top"/>
    </xf>
    <xf numFmtId="0" fontId="75" fillId="21" borderId="80" xfId="10" applyFont="1" applyFill="1" applyBorder="1" applyAlignment="1">
      <alignment horizontal="center" vertical="top"/>
    </xf>
    <xf numFmtId="0" fontId="76" fillId="16" borderId="74" xfId="10" applyFont="1" applyFill="1" applyBorder="1" applyAlignment="1" applyProtection="1">
      <alignment horizontal="left" vertical="center" wrapText="1"/>
      <protection locked="0"/>
    </xf>
    <xf numFmtId="0" fontId="76" fillId="16" borderId="80" xfId="10" applyFont="1" applyFill="1" applyBorder="1" applyAlignment="1" applyProtection="1">
      <alignment horizontal="left" vertical="center" wrapText="1"/>
      <protection locked="0"/>
    </xf>
    <xf numFmtId="0" fontId="69" fillId="17" borderId="74" xfId="10" applyFont="1" applyFill="1" applyBorder="1" applyAlignment="1" applyProtection="1">
      <alignment horizontal="left" vertical="center" wrapText="1"/>
      <protection locked="0"/>
    </xf>
    <xf numFmtId="0" fontId="69" fillId="17" borderId="61" xfId="10" applyFont="1" applyFill="1" applyBorder="1" applyAlignment="1" applyProtection="1">
      <alignment horizontal="left" vertical="center" wrapText="1"/>
      <protection locked="0"/>
    </xf>
    <xf numFmtId="0" fontId="69" fillId="17" borderId="80" xfId="10" applyFont="1" applyFill="1" applyBorder="1" applyAlignment="1" applyProtection="1">
      <alignment horizontal="left" vertical="center" wrapText="1"/>
      <protection locked="0"/>
    </xf>
    <xf numFmtId="0" fontId="69" fillId="16" borderId="40" xfId="10" applyFont="1" applyFill="1" applyBorder="1" applyAlignment="1" applyProtection="1">
      <alignment horizontal="left" vertical="center"/>
      <protection locked="0"/>
    </xf>
    <xf numFmtId="0" fontId="69" fillId="16" borderId="74" xfId="10" applyFont="1" applyFill="1" applyBorder="1" applyAlignment="1" applyProtection="1">
      <alignment horizontal="center" vertical="center"/>
      <protection locked="0"/>
    </xf>
    <xf numFmtId="0" fontId="69" fillId="16" borderId="80" xfId="10" applyFont="1" applyFill="1" applyBorder="1" applyAlignment="1" applyProtection="1">
      <alignment horizontal="center" vertical="center"/>
      <protection locked="0"/>
    </xf>
    <xf numFmtId="0" fontId="69" fillId="16" borderId="61" xfId="10" applyFont="1" applyFill="1" applyBorder="1" applyAlignment="1" applyProtection="1">
      <alignment horizontal="center" vertical="center"/>
      <protection locked="0"/>
    </xf>
    <xf numFmtId="0" fontId="63" fillId="0" borderId="0" xfId="10" applyFont="1" applyAlignment="1">
      <alignment horizontal="center"/>
    </xf>
    <xf numFmtId="0" fontId="69" fillId="16" borderId="0" xfId="10" applyFont="1" applyFill="1" applyAlignment="1">
      <alignment horizontal="left"/>
    </xf>
    <xf numFmtId="0" fontId="74" fillId="21" borderId="81" xfId="10" applyFont="1" applyFill="1" applyBorder="1" applyAlignment="1">
      <alignment horizontal="center" vertical="center" wrapText="1"/>
    </xf>
    <xf numFmtId="0" fontId="74" fillId="21" borderId="30" xfId="10" applyFont="1" applyFill="1" applyBorder="1" applyAlignment="1">
      <alignment horizontal="center" vertical="center" wrapText="1"/>
    </xf>
    <xf numFmtId="0" fontId="74" fillId="21" borderId="66" xfId="10" applyFont="1" applyFill="1" applyBorder="1" applyAlignment="1">
      <alignment horizontal="center" vertical="center" wrapText="1"/>
    </xf>
    <xf numFmtId="0" fontId="74" fillId="21" borderId="82" xfId="10" applyFont="1" applyFill="1" applyBorder="1" applyAlignment="1">
      <alignment horizontal="center" vertical="center" wrapText="1"/>
    </xf>
    <xf numFmtId="0" fontId="74" fillId="21" borderId="0" xfId="10" applyFont="1" applyFill="1" applyAlignment="1">
      <alignment horizontal="center" vertical="center" wrapText="1"/>
    </xf>
    <xf numFmtId="0" fontId="74" fillId="21" borderId="67" xfId="10" applyFont="1" applyFill="1" applyBorder="1" applyAlignment="1">
      <alignment horizontal="center" vertical="center" wrapText="1"/>
    </xf>
    <xf numFmtId="0" fontId="74" fillId="21" borderId="73" xfId="10" applyFont="1" applyFill="1" applyBorder="1" applyAlignment="1">
      <alignment horizontal="center" vertical="center" wrapText="1"/>
    </xf>
    <xf numFmtId="0" fontId="74" fillId="21" borderId="68" xfId="10" applyFont="1" applyFill="1" applyBorder="1" applyAlignment="1">
      <alignment horizontal="center" vertical="center" wrapText="1"/>
    </xf>
    <xf numFmtId="0" fontId="74" fillId="21" borderId="69" xfId="10" applyFont="1" applyFill="1" applyBorder="1" applyAlignment="1">
      <alignment horizontal="center" vertical="center" wrapText="1"/>
    </xf>
    <xf numFmtId="0" fontId="20" fillId="4" borderId="21" xfId="0" applyFont="1" applyFill="1" applyBorder="1" applyAlignment="1">
      <alignment horizontal="center" vertical="center" wrapText="1"/>
    </xf>
    <xf numFmtId="14" fontId="19" fillId="0" borderId="24" xfId="0" applyNumberFormat="1" applyFont="1" applyBorder="1" applyAlignment="1" applyProtection="1">
      <alignment horizontal="center" vertical="center" wrapText="1"/>
      <protection locked="0"/>
    </xf>
    <xf numFmtId="0" fontId="19" fillId="0" borderId="23" xfId="0" applyFont="1" applyBorder="1" applyAlignment="1" applyProtection="1">
      <alignment horizontal="center" vertical="center" wrapText="1"/>
      <protection locked="0"/>
    </xf>
    <xf numFmtId="14" fontId="16" fillId="0" borderId="24" xfId="0" applyNumberFormat="1"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14" fontId="19" fillId="0" borderId="23" xfId="0" applyNumberFormat="1" applyFont="1" applyBorder="1" applyAlignment="1" applyProtection="1">
      <alignment horizontal="center" vertical="center" wrapText="1"/>
      <protection locked="0"/>
    </xf>
    <xf numFmtId="14" fontId="16" fillId="0" borderId="24" xfId="0" applyNumberFormat="1" applyFont="1" applyBorder="1" applyAlignment="1" applyProtection="1">
      <alignment horizontal="center" vertical="center" wrapText="1"/>
      <protection locked="0"/>
    </xf>
    <xf numFmtId="14" fontId="16" fillId="0" borderId="25" xfId="0" applyNumberFormat="1" applyFont="1" applyBorder="1" applyAlignment="1" applyProtection="1">
      <alignment horizontal="center" vertical="center" wrapText="1"/>
      <protection locked="0"/>
    </xf>
    <xf numFmtId="14" fontId="16" fillId="0" borderId="23" xfId="0" applyNumberFormat="1" applyFont="1" applyBorder="1" applyAlignment="1" applyProtection="1">
      <alignment horizontal="center" vertical="center" wrapText="1"/>
      <protection locked="0"/>
    </xf>
    <xf numFmtId="14" fontId="16" fillId="0" borderId="21" xfId="0" applyNumberFormat="1" applyFont="1" applyBorder="1" applyAlignment="1" applyProtection="1">
      <alignment horizontal="center" vertical="center" wrapText="1"/>
      <protection locked="0"/>
    </xf>
    <xf numFmtId="0" fontId="20" fillId="4" borderId="24" xfId="0" applyFont="1" applyFill="1" applyBorder="1" applyAlignment="1">
      <alignment horizontal="center" vertical="center" wrapText="1"/>
    </xf>
    <xf numFmtId="0" fontId="20" fillId="4" borderId="23" xfId="0" applyFont="1" applyFill="1" applyBorder="1" applyAlignment="1">
      <alignment horizontal="center" vertical="center" wrapText="1"/>
    </xf>
    <xf numFmtId="0" fontId="16" fillId="0" borderId="23" xfId="0" applyFont="1" applyBorder="1" applyAlignment="1" applyProtection="1">
      <alignment horizontal="center" vertical="center" wrapText="1"/>
      <protection locked="0"/>
    </xf>
    <xf numFmtId="14" fontId="16" fillId="0" borderId="23" xfId="0" applyNumberFormat="1" applyFont="1" applyBorder="1" applyAlignment="1" applyProtection="1">
      <alignment horizontal="center" vertical="center"/>
      <protection locked="0"/>
    </xf>
    <xf numFmtId="0" fontId="17" fillId="4" borderId="21" xfId="0" applyFont="1" applyFill="1" applyBorder="1" applyAlignment="1">
      <alignment horizontal="center" vertical="center"/>
    </xf>
    <xf numFmtId="0" fontId="18" fillId="4" borderId="22" xfId="0" applyFont="1" applyFill="1" applyBorder="1" applyAlignment="1">
      <alignment horizontal="left" vertical="center"/>
    </xf>
    <xf numFmtId="0" fontId="19" fillId="2" borderId="21" xfId="0" applyFont="1" applyFill="1" applyBorder="1" applyAlignment="1" applyProtection="1">
      <alignment horizontal="left" vertical="center"/>
      <protection locked="0"/>
    </xf>
    <xf numFmtId="0" fontId="16" fillId="2" borderId="21" xfId="0" applyFont="1" applyFill="1" applyBorder="1" applyAlignment="1" applyProtection="1">
      <alignment horizontal="left" vertical="center" wrapText="1"/>
      <protection locked="0"/>
    </xf>
    <xf numFmtId="0" fontId="20" fillId="4" borderId="21" xfId="0" applyFont="1" applyFill="1" applyBorder="1" applyAlignment="1">
      <alignment horizontal="center" vertical="center"/>
    </xf>
    <xf numFmtId="0" fontId="20" fillId="4" borderId="23" xfId="0" applyFont="1" applyFill="1" applyBorder="1" applyAlignment="1">
      <alignment horizontal="center" vertical="center"/>
    </xf>
    <xf numFmtId="0" fontId="21" fillId="4" borderId="21" xfId="0" applyFont="1" applyFill="1" applyBorder="1" applyAlignment="1">
      <alignment horizontal="center" vertical="center" textRotation="90"/>
    </xf>
    <xf numFmtId="0" fontId="20" fillId="4" borderId="25" xfId="0" applyFont="1" applyFill="1" applyBorder="1" applyAlignment="1">
      <alignment horizontal="center" vertical="center"/>
    </xf>
    <xf numFmtId="0" fontId="16" fillId="0" borderId="21" xfId="0" applyFont="1" applyBorder="1" applyAlignment="1">
      <alignment horizontal="center" vertical="center"/>
    </xf>
    <xf numFmtId="0" fontId="19" fillId="2" borderId="21" xfId="0" applyFont="1" applyFill="1" applyBorder="1" applyAlignment="1" applyProtection="1">
      <alignment horizontal="center" vertical="center" wrapText="1"/>
      <protection locked="0"/>
    </xf>
    <xf numFmtId="0" fontId="55" fillId="2" borderId="23" xfId="0" applyFont="1" applyFill="1" applyBorder="1" applyAlignment="1">
      <alignment horizontal="center" vertical="center" wrapText="1"/>
    </xf>
    <xf numFmtId="0" fontId="55" fillId="2" borderId="21" xfId="0" applyFont="1" applyFill="1" applyBorder="1" applyAlignment="1" applyProtection="1">
      <alignment horizontal="center" vertical="center" wrapText="1"/>
      <protection locked="0"/>
    </xf>
    <xf numFmtId="0" fontId="16" fillId="0" borderId="27" xfId="0" applyFont="1" applyBorder="1" applyAlignment="1" applyProtection="1">
      <alignment horizontal="center" vertical="center" wrapText="1"/>
      <protection locked="0"/>
    </xf>
    <xf numFmtId="0" fontId="57" fillId="2" borderId="21" xfId="0" applyFont="1" applyFill="1" applyBorder="1" applyAlignment="1" applyProtection="1">
      <alignment horizontal="center" vertical="center"/>
      <protection locked="0"/>
    </xf>
    <xf numFmtId="0" fontId="20" fillId="0" borderId="21" xfId="0" applyFont="1" applyBorder="1" applyAlignment="1" applyProtection="1">
      <alignment horizontal="center" vertical="center" wrapText="1"/>
      <protection hidden="1"/>
    </xf>
    <xf numFmtId="9" fontId="16" fillId="0" borderId="21" xfId="0" applyNumberFormat="1" applyFont="1" applyBorder="1" applyAlignment="1" applyProtection="1">
      <alignment horizontal="center" vertical="center" wrapText="1"/>
      <protection hidden="1"/>
    </xf>
    <xf numFmtId="9" fontId="19" fillId="0" borderId="21" xfId="0" applyNumberFormat="1" applyFont="1" applyBorder="1" applyAlignment="1" applyProtection="1">
      <alignment horizontal="center" vertical="center" wrapText="1"/>
      <protection locked="0"/>
    </xf>
    <xf numFmtId="9" fontId="19" fillId="0" borderId="21" xfId="0" applyNumberFormat="1" applyFont="1" applyBorder="1" applyAlignment="1" applyProtection="1">
      <alignment horizontal="center" vertical="top" wrapText="1"/>
      <protection hidden="1"/>
    </xf>
    <xf numFmtId="0" fontId="22" fillId="0" borderId="21" xfId="0" applyFont="1" applyBorder="1" applyAlignment="1" applyProtection="1">
      <alignment horizontal="center" vertical="center" wrapText="1"/>
      <protection hidden="1"/>
    </xf>
    <xf numFmtId="9" fontId="19" fillId="0" borderId="21" xfId="0" applyNumberFormat="1" applyFont="1" applyBorder="1" applyAlignment="1" applyProtection="1">
      <alignment horizontal="center" vertical="center" wrapText="1"/>
      <protection hidden="1"/>
    </xf>
    <xf numFmtId="0" fontId="22" fillId="0" borderId="21" xfId="0" applyFont="1" applyBorder="1" applyAlignment="1" applyProtection="1">
      <alignment horizontal="center" vertical="center"/>
      <protection hidden="1"/>
    </xf>
    <xf numFmtId="0" fontId="19" fillId="0" borderId="21" xfId="0" applyFont="1" applyBorder="1" applyAlignment="1" applyProtection="1">
      <alignment horizontal="center" vertical="center" textRotation="90"/>
      <protection locked="0"/>
    </xf>
    <xf numFmtId="0" fontId="16" fillId="0" borderId="21" xfId="0" applyFont="1" applyBorder="1" applyAlignment="1" applyProtection="1">
      <alignment horizontal="center" vertical="center" wrapText="1"/>
      <protection locked="0"/>
    </xf>
    <xf numFmtId="0" fontId="20" fillId="4" borderId="21" xfId="0" applyFont="1" applyFill="1" applyBorder="1" applyAlignment="1">
      <alignment horizontal="center" vertical="center" textRotation="90" wrapText="1"/>
    </xf>
    <xf numFmtId="14" fontId="19" fillId="0" borderId="24" xfId="0" applyNumberFormat="1" applyFont="1" applyBorder="1" applyAlignment="1" applyProtection="1">
      <alignment horizontal="center" vertical="center"/>
      <protection locked="0"/>
    </xf>
    <xf numFmtId="14" fontId="19" fillId="0" borderId="23" xfId="0" applyNumberFormat="1" applyFont="1" applyBorder="1" applyAlignment="1" applyProtection="1">
      <alignment horizontal="center" vertical="center"/>
      <protection locked="0"/>
    </xf>
    <xf numFmtId="0" fontId="55" fillId="0" borderId="22" xfId="0" applyFont="1" applyBorder="1" applyAlignment="1" applyProtection="1">
      <alignment horizontal="center" vertical="center" wrapText="1"/>
      <protection locked="0"/>
    </xf>
    <xf numFmtId="0" fontId="56" fillId="0" borderId="22" xfId="0" applyFont="1" applyBorder="1" applyAlignment="1" applyProtection="1">
      <alignment horizontal="center" vertical="center" wrapText="1"/>
      <protection locked="0"/>
    </xf>
    <xf numFmtId="0" fontId="55" fillId="0" borderId="21"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protection hidden="1"/>
    </xf>
    <xf numFmtId="0" fontId="20" fillId="4" borderId="26" xfId="0" applyFont="1" applyFill="1" applyBorder="1" applyAlignment="1">
      <alignment horizontal="center" vertical="center"/>
    </xf>
    <xf numFmtId="0" fontId="20" fillId="4" borderId="26"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56" fillId="0" borderId="21" xfId="0" applyFont="1" applyBorder="1" applyAlignment="1" applyProtection="1">
      <alignment horizontal="center" vertical="center"/>
      <protection locked="0"/>
    </xf>
    <xf numFmtId="0" fontId="16" fillId="0" borderId="21" xfId="0" applyFont="1" applyBorder="1" applyAlignment="1" applyProtection="1">
      <alignment horizontal="center" vertical="top"/>
      <protection locked="0"/>
    </xf>
    <xf numFmtId="0" fontId="20" fillId="0" borderId="21" xfId="0" applyFont="1" applyBorder="1" applyAlignment="1" applyProtection="1">
      <alignment horizontal="center" vertical="top" wrapText="1"/>
      <protection hidden="1"/>
    </xf>
    <xf numFmtId="9" fontId="16" fillId="0" borderId="21" xfId="0" applyNumberFormat="1" applyFont="1" applyBorder="1" applyAlignment="1" applyProtection="1">
      <alignment horizontal="center" vertical="top" wrapText="1"/>
      <protection hidden="1"/>
    </xf>
    <xf numFmtId="9" fontId="16" fillId="0" borderId="21" xfId="0" applyNumberFormat="1" applyFont="1" applyBorder="1" applyAlignment="1" applyProtection="1">
      <alignment horizontal="center" vertical="top" wrapText="1"/>
      <protection locked="0"/>
    </xf>
    <xf numFmtId="0" fontId="20" fillId="0" borderId="21" xfId="0" applyFont="1" applyBorder="1" applyAlignment="1" applyProtection="1">
      <alignment horizontal="center" vertical="top"/>
      <protection hidden="1"/>
    </xf>
    <xf numFmtId="165" fontId="19" fillId="0" borderId="21" xfId="9" applyFont="1" applyBorder="1" applyAlignment="1" applyProtection="1">
      <alignment horizontal="center" vertical="top" textRotation="90" wrapText="1"/>
      <protection locked="0"/>
    </xf>
    <xf numFmtId="9" fontId="16" fillId="0" borderId="21" xfId="0" applyNumberFormat="1" applyFont="1" applyBorder="1" applyAlignment="1" applyProtection="1">
      <alignment horizontal="center" vertical="center" wrapText="1"/>
      <protection locked="0"/>
    </xf>
    <xf numFmtId="0" fontId="16" fillId="0" borderId="24" xfId="0" applyFont="1" applyBorder="1" applyAlignment="1">
      <alignment horizontal="center" vertical="top"/>
    </xf>
    <xf numFmtId="0" fontId="16" fillId="0" borderId="23" xfId="0" applyFont="1" applyBorder="1" applyAlignment="1">
      <alignment horizontal="center" vertical="top"/>
    </xf>
    <xf numFmtId="0" fontId="16" fillId="0" borderId="21" xfId="0" applyFont="1" applyBorder="1" applyAlignment="1" applyProtection="1">
      <alignment horizontal="center" vertical="top" wrapText="1"/>
      <protection locked="0"/>
    </xf>
    <xf numFmtId="0" fontId="16" fillId="0" borderId="22" xfId="0" applyFont="1" applyBorder="1" applyAlignment="1" applyProtection="1">
      <alignment horizontal="center" vertical="top" wrapText="1"/>
      <protection locked="0"/>
    </xf>
    <xf numFmtId="0" fontId="9" fillId="0" borderId="21" xfId="0" applyFont="1" applyBorder="1" applyAlignment="1" applyProtection="1">
      <alignment horizontal="center" vertical="top" wrapText="1"/>
      <protection locked="0"/>
    </xf>
    <xf numFmtId="0" fontId="16" fillId="0" borderId="27" xfId="0" applyFont="1" applyBorder="1" applyAlignment="1" applyProtection="1">
      <alignment horizontal="center" vertical="top" wrapText="1"/>
      <protection locked="0"/>
    </xf>
    <xf numFmtId="0" fontId="9" fillId="0" borderId="23" xfId="0" applyFont="1" applyBorder="1" applyAlignment="1" applyProtection="1">
      <alignment horizontal="center" vertical="top" wrapText="1"/>
      <protection locked="0"/>
    </xf>
    <xf numFmtId="0" fontId="11" fillId="0" borderId="21" xfId="0" applyFont="1" applyBorder="1" applyAlignment="1">
      <alignment horizontal="left" vertical="center" wrapText="1"/>
    </xf>
    <xf numFmtId="0" fontId="16" fillId="0" borderId="21" xfId="0" applyFont="1" applyBorder="1" applyAlignment="1" applyProtection="1">
      <alignment horizontal="center" vertical="center"/>
      <protection locked="0"/>
    </xf>
    <xf numFmtId="0" fontId="17" fillId="0" borderId="0" xfId="0" applyFont="1" applyAlignment="1">
      <alignment horizontal="center" vertical="center" wrapText="1"/>
    </xf>
    <xf numFmtId="0" fontId="24" fillId="5" borderId="0" xfId="0" applyFont="1" applyFill="1" applyAlignment="1">
      <alignment horizontal="center" vertical="center" wrapText="1" readingOrder="1"/>
    </xf>
    <xf numFmtId="0" fontId="24" fillId="5" borderId="8" xfId="0" applyFont="1" applyFill="1" applyBorder="1" applyAlignment="1">
      <alignment horizontal="center" vertical="center" textRotation="90" wrapText="1" readingOrder="1"/>
    </xf>
    <xf numFmtId="0" fontId="25" fillId="0" borderId="28" xfId="0" applyFont="1" applyBorder="1" applyAlignment="1">
      <alignment horizontal="center" vertical="center" wrapText="1"/>
    </xf>
    <xf numFmtId="0" fontId="26" fillId="6" borderId="29" xfId="0" applyFont="1" applyFill="1" applyBorder="1" applyAlignment="1" applyProtection="1">
      <alignment horizontal="center" vertical="center" wrapText="1" readingOrder="1"/>
      <protection hidden="1"/>
    </xf>
    <xf numFmtId="0" fontId="26" fillId="6" borderId="30" xfId="0" applyFont="1" applyFill="1" applyBorder="1" applyAlignment="1" applyProtection="1">
      <alignment horizontal="center" vertical="center" wrapText="1" readingOrder="1"/>
      <protection hidden="1"/>
    </xf>
    <xf numFmtId="0" fontId="26" fillId="6" borderId="31" xfId="0" applyFont="1" applyFill="1" applyBorder="1" applyAlignment="1" applyProtection="1">
      <alignment horizontal="center" vertical="center" wrapText="1" readingOrder="1"/>
      <protection hidden="1"/>
    </xf>
    <xf numFmtId="0" fontId="26" fillId="7" borderId="29" xfId="0" applyFont="1" applyFill="1" applyBorder="1" applyAlignment="1" applyProtection="1">
      <alignment horizontal="center" wrapText="1" readingOrder="1"/>
      <protection hidden="1"/>
    </xf>
    <xf numFmtId="0" fontId="26" fillId="7" borderId="30" xfId="0" applyFont="1" applyFill="1" applyBorder="1" applyAlignment="1" applyProtection="1">
      <alignment horizontal="center" wrapText="1" readingOrder="1"/>
      <protection hidden="1"/>
    </xf>
    <xf numFmtId="0" fontId="26" fillId="7" borderId="31" xfId="0" applyFont="1" applyFill="1" applyBorder="1" applyAlignment="1" applyProtection="1">
      <alignment horizontal="center" wrapText="1" readingOrder="1"/>
      <protection hidden="1"/>
    </xf>
    <xf numFmtId="0" fontId="26" fillId="6" borderId="8" xfId="0" applyFont="1" applyFill="1" applyBorder="1" applyAlignment="1" applyProtection="1">
      <alignment horizontal="center" vertical="center" wrapText="1" readingOrder="1"/>
      <protection hidden="1"/>
    </xf>
    <xf numFmtId="0" fontId="26" fillId="6" borderId="7" xfId="0" applyFont="1" applyFill="1" applyBorder="1" applyAlignment="1" applyProtection="1">
      <alignment horizontal="center" vertical="center" wrapText="1" readingOrder="1"/>
      <protection hidden="1"/>
    </xf>
    <xf numFmtId="0" fontId="26" fillId="6" borderId="0" xfId="0" applyFont="1" applyFill="1" applyAlignment="1" applyProtection="1">
      <alignment horizontal="center" vertical="center" wrapText="1" readingOrder="1"/>
      <protection hidden="1"/>
    </xf>
    <xf numFmtId="0" fontId="26" fillId="7" borderId="7" xfId="0" applyFont="1" applyFill="1" applyBorder="1" applyAlignment="1" applyProtection="1">
      <alignment horizontal="center" wrapText="1" readingOrder="1"/>
      <protection hidden="1"/>
    </xf>
    <xf numFmtId="0" fontId="27" fillId="7" borderId="32" xfId="0" applyFont="1" applyFill="1" applyBorder="1" applyAlignment="1">
      <alignment horizontal="center" vertical="center" wrapText="1" readingOrder="1"/>
    </xf>
    <xf numFmtId="0" fontId="26" fillId="7" borderId="0" xfId="0" applyFont="1" applyFill="1" applyAlignment="1" applyProtection="1">
      <alignment horizontal="center" wrapText="1" readingOrder="1"/>
      <protection hidden="1"/>
    </xf>
    <xf numFmtId="0" fontId="26" fillId="7" borderId="8" xfId="0" applyFont="1" applyFill="1" applyBorder="1" applyAlignment="1" applyProtection="1">
      <alignment horizontal="center" wrapText="1" readingOrder="1"/>
      <protection hidden="1"/>
    </xf>
    <xf numFmtId="0" fontId="26" fillId="7" borderId="18" xfId="0" applyFont="1" applyFill="1" applyBorder="1" applyAlignment="1" applyProtection="1">
      <alignment horizontal="center" wrapText="1" readingOrder="1"/>
      <protection hidden="1"/>
    </xf>
    <xf numFmtId="0" fontId="26" fillId="7" borderId="19" xfId="0" applyFont="1" applyFill="1" applyBorder="1" applyAlignment="1" applyProtection="1">
      <alignment horizontal="center" wrapText="1" readingOrder="1"/>
      <protection hidden="1"/>
    </xf>
    <xf numFmtId="0" fontId="26" fillId="7" borderId="20" xfId="0" applyFont="1" applyFill="1" applyBorder="1" applyAlignment="1" applyProtection="1">
      <alignment horizontal="center" wrapText="1" readingOrder="1"/>
      <protection hidden="1"/>
    </xf>
    <xf numFmtId="0" fontId="25" fillId="0" borderId="33" xfId="0" applyFont="1" applyBorder="1" applyAlignment="1">
      <alignment horizontal="center" vertical="center" wrapText="1"/>
    </xf>
    <xf numFmtId="0" fontId="26" fillId="8" borderId="29" xfId="0" applyFont="1" applyFill="1" applyBorder="1" applyAlignment="1" applyProtection="1">
      <alignment horizontal="center" wrapText="1" readingOrder="1"/>
      <protection hidden="1"/>
    </xf>
    <xf numFmtId="0" fontId="26" fillId="8" borderId="30" xfId="0" applyFont="1" applyFill="1" applyBorder="1" applyAlignment="1" applyProtection="1">
      <alignment horizontal="center" wrapText="1" readingOrder="1"/>
      <protection hidden="1"/>
    </xf>
    <xf numFmtId="0" fontId="26" fillId="8" borderId="31" xfId="0" applyFont="1" applyFill="1" applyBorder="1" applyAlignment="1" applyProtection="1">
      <alignment horizontal="center" wrapText="1" readingOrder="1"/>
      <protection hidden="1"/>
    </xf>
    <xf numFmtId="0" fontId="26" fillId="8" borderId="0" xfId="0" applyFont="1" applyFill="1" applyAlignment="1" applyProtection="1">
      <alignment horizontal="center" wrapText="1" readingOrder="1"/>
      <protection hidden="1"/>
    </xf>
    <xf numFmtId="0" fontId="26" fillId="8" borderId="8" xfId="0" applyFont="1" applyFill="1" applyBorder="1" applyAlignment="1" applyProtection="1">
      <alignment horizontal="center" wrapText="1" readingOrder="1"/>
      <protection hidden="1"/>
    </xf>
    <xf numFmtId="0" fontId="26" fillId="8" borderId="7" xfId="0" applyFont="1" applyFill="1" applyBorder="1" applyAlignment="1" applyProtection="1">
      <alignment horizontal="center" wrapText="1" readingOrder="1"/>
      <protection hidden="1"/>
    </xf>
    <xf numFmtId="0" fontId="27" fillId="6" borderId="32" xfId="0" applyFont="1" applyFill="1" applyBorder="1" applyAlignment="1">
      <alignment horizontal="center" vertical="center" wrapText="1" readingOrder="1"/>
    </xf>
    <xf numFmtId="0" fontId="26" fillId="8" borderId="18" xfId="0" applyFont="1" applyFill="1" applyBorder="1" applyAlignment="1" applyProtection="1">
      <alignment horizontal="center" wrapText="1" readingOrder="1"/>
      <protection hidden="1"/>
    </xf>
    <xf numFmtId="0" fontId="26" fillId="8" borderId="19" xfId="0" applyFont="1" applyFill="1" applyBorder="1" applyAlignment="1" applyProtection="1">
      <alignment horizontal="center" wrapText="1" readingOrder="1"/>
      <protection hidden="1"/>
    </xf>
    <xf numFmtId="0" fontId="26" fillId="8" borderId="20" xfId="0" applyFont="1" applyFill="1" applyBorder="1" applyAlignment="1" applyProtection="1">
      <alignment horizontal="center" wrapText="1" readingOrder="1"/>
      <protection hidden="1"/>
    </xf>
    <xf numFmtId="0" fontId="26" fillId="6" borderId="18" xfId="0" applyFont="1" applyFill="1" applyBorder="1" applyAlignment="1" applyProtection="1">
      <alignment horizontal="center" vertical="center" wrapText="1" readingOrder="1"/>
      <protection hidden="1"/>
    </xf>
    <xf numFmtId="0" fontId="26" fillId="6" borderId="19" xfId="0" applyFont="1" applyFill="1" applyBorder="1" applyAlignment="1" applyProtection="1">
      <alignment horizontal="center" vertical="center" wrapText="1" readingOrder="1"/>
      <protection hidden="1"/>
    </xf>
    <xf numFmtId="0" fontId="26" fillId="6" borderId="20" xfId="0" applyFont="1" applyFill="1" applyBorder="1" applyAlignment="1" applyProtection="1">
      <alignment horizontal="center" vertical="center" wrapText="1" readingOrder="1"/>
      <protection hidden="1"/>
    </xf>
    <xf numFmtId="0" fontId="27" fillId="8" borderId="32" xfId="0" applyFont="1" applyFill="1" applyBorder="1" applyAlignment="1">
      <alignment horizontal="center" vertical="center" wrapText="1" readingOrder="1"/>
    </xf>
    <xf numFmtId="0" fontId="26" fillId="9" borderId="29" xfId="0" applyFont="1" applyFill="1" applyBorder="1" applyAlignment="1" applyProtection="1">
      <alignment horizontal="center" wrapText="1" readingOrder="1"/>
      <protection hidden="1"/>
    </xf>
    <xf numFmtId="0" fontId="26" fillId="9" borderId="30" xfId="0" applyFont="1" applyFill="1" applyBorder="1" applyAlignment="1" applyProtection="1">
      <alignment horizontal="center" wrapText="1" readingOrder="1"/>
      <protection hidden="1"/>
    </xf>
    <xf numFmtId="0" fontId="26" fillId="9" borderId="31" xfId="0" applyFont="1" applyFill="1" applyBorder="1" applyAlignment="1" applyProtection="1">
      <alignment horizontal="center" wrapText="1" readingOrder="1"/>
      <protection hidden="1"/>
    </xf>
    <xf numFmtId="0" fontId="26" fillId="9" borderId="0" xfId="0" applyFont="1" applyFill="1" applyAlignment="1" applyProtection="1">
      <alignment horizontal="center" wrapText="1" readingOrder="1"/>
      <protection hidden="1"/>
    </xf>
    <xf numFmtId="0" fontId="26" fillId="9" borderId="8" xfId="0" applyFont="1" applyFill="1" applyBorder="1" applyAlignment="1" applyProtection="1">
      <alignment horizontal="center" wrapText="1" readingOrder="1"/>
      <protection hidden="1"/>
    </xf>
    <xf numFmtId="0" fontId="27" fillId="9" borderId="32" xfId="0" applyFont="1" applyFill="1" applyBorder="1" applyAlignment="1">
      <alignment horizontal="center" vertical="center" wrapText="1" readingOrder="1"/>
    </xf>
    <xf numFmtId="0" fontId="26" fillId="9" borderId="7" xfId="0" applyFont="1" applyFill="1" applyBorder="1" applyAlignment="1" applyProtection="1">
      <alignment horizontal="center" wrapText="1" readingOrder="1"/>
      <protection hidden="1"/>
    </xf>
    <xf numFmtId="0" fontId="26" fillId="9" borderId="18" xfId="0" applyFont="1" applyFill="1" applyBorder="1" applyAlignment="1" applyProtection="1">
      <alignment horizontal="center" wrapText="1" readingOrder="1"/>
      <protection hidden="1"/>
    </xf>
    <xf numFmtId="0" fontId="26" fillId="9" borderId="19" xfId="0" applyFont="1" applyFill="1" applyBorder="1" applyAlignment="1" applyProtection="1">
      <alignment horizontal="center" wrapText="1" readingOrder="1"/>
      <protection hidden="1"/>
    </xf>
    <xf numFmtId="0" fontId="26" fillId="9" borderId="20" xfId="0" applyFont="1" applyFill="1" applyBorder="1" applyAlignment="1" applyProtection="1">
      <alignment horizontal="center" wrapText="1" readingOrder="1"/>
      <protection hidden="1"/>
    </xf>
    <xf numFmtId="0" fontId="29" fillId="0" borderId="0" xfId="0" applyFont="1" applyAlignment="1">
      <alignment horizontal="center" vertical="center" wrapText="1"/>
    </xf>
    <xf numFmtId="0" fontId="30" fillId="0" borderId="28" xfId="0" applyFont="1" applyBorder="1" applyAlignment="1">
      <alignment horizontal="center" vertical="center" wrapText="1"/>
    </xf>
    <xf numFmtId="0" fontId="32" fillId="7" borderId="32" xfId="0" applyFont="1" applyFill="1" applyBorder="1" applyAlignment="1">
      <alignment horizontal="center" vertical="center" wrapText="1" readingOrder="1"/>
    </xf>
    <xf numFmtId="0" fontId="30" fillId="0" borderId="33" xfId="0" applyFont="1" applyBorder="1" applyAlignment="1">
      <alignment horizontal="center" vertical="center" wrapText="1"/>
    </xf>
    <xf numFmtId="0" fontId="32" fillId="6" borderId="32" xfId="0" applyFont="1" applyFill="1" applyBorder="1" applyAlignment="1">
      <alignment horizontal="center" vertical="center" wrapText="1" readingOrder="1"/>
    </xf>
    <xf numFmtId="0" fontId="32" fillId="8" borderId="32" xfId="0" applyFont="1" applyFill="1" applyBorder="1" applyAlignment="1">
      <alignment horizontal="center" vertical="center" wrapText="1" readingOrder="1"/>
    </xf>
    <xf numFmtId="0" fontId="32" fillId="9" borderId="32" xfId="0" applyFont="1" applyFill="1" applyBorder="1" applyAlignment="1">
      <alignment horizontal="center" vertical="center" wrapText="1" readingOrder="1"/>
    </xf>
    <xf numFmtId="0" fontId="18" fillId="0" borderId="0" xfId="0" applyFont="1" applyAlignment="1">
      <alignment horizontal="center" vertical="center"/>
    </xf>
    <xf numFmtId="0" fontId="39" fillId="0" borderId="0" xfId="0" applyFont="1" applyAlignment="1">
      <alignment horizontal="center" vertical="center"/>
    </xf>
    <xf numFmtId="0" fontId="21" fillId="15" borderId="28" xfId="0" applyFont="1" applyFill="1" applyBorder="1" applyAlignment="1">
      <alignment horizontal="center" vertical="center" wrapText="1" readingOrder="1"/>
    </xf>
    <xf numFmtId="0" fontId="22" fillId="15" borderId="51" xfId="0" applyFont="1" applyFill="1" applyBorder="1" applyAlignment="1">
      <alignment horizontal="center" vertical="center" wrapText="1" readingOrder="1"/>
    </xf>
    <xf numFmtId="0" fontId="22" fillId="2" borderId="45" xfId="0" applyFont="1" applyFill="1" applyBorder="1" applyAlignment="1">
      <alignment horizontal="center" vertical="center" wrapText="1" readingOrder="1"/>
    </xf>
    <xf numFmtId="0" fontId="22" fillId="2" borderId="46" xfId="0" applyFont="1" applyFill="1" applyBorder="1" applyAlignment="1">
      <alignment horizontal="center" vertical="center" wrapText="1" readingOrder="1"/>
    </xf>
    <xf numFmtId="0" fontId="22" fillId="2" borderId="54" xfId="0" applyFont="1" applyFill="1" applyBorder="1" applyAlignment="1">
      <alignment horizontal="center" vertical="center" wrapText="1" readingOrder="1"/>
    </xf>
    <xf numFmtId="0" fontId="49" fillId="2" borderId="56" xfId="0" applyFont="1" applyFill="1" applyBorder="1" applyAlignment="1">
      <alignment horizontal="center" vertical="center" wrapText="1" readingOrder="1"/>
    </xf>
    <xf numFmtId="0" fontId="22" fillId="2" borderId="57" xfId="0" applyFont="1" applyFill="1" applyBorder="1" applyAlignment="1">
      <alignment horizontal="center" vertical="center" wrapText="1" readingOrder="1"/>
    </xf>
    <xf numFmtId="0" fontId="49" fillId="2" borderId="0" xfId="0" applyFont="1" applyFill="1" applyAlignment="1">
      <alignment horizontal="justify" vertical="center" wrapText="1"/>
    </xf>
    <xf numFmtId="0" fontId="83" fillId="0" borderId="54" xfId="0" applyFont="1" applyBorder="1" applyAlignment="1">
      <alignment horizontal="left" vertical="center" wrapText="1"/>
    </xf>
    <xf numFmtId="0" fontId="82" fillId="0" borderId="66" xfId="0" applyFont="1" applyBorder="1" applyAlignment="1">
      <alignment horizontal="center" vertical="center" wrapText="1"/>
    </xf>
    <xf numFmtId="0" fontId="82" fillId="0" borderId="0" xfId="0" applyFont="1" applyBorder="1" applyAlignment="1">
      <alignment horizontal="center" vertical="center" wrapText="1"/>
    </xf>
    <xf numFmtId="0" fontId="82" fillId="0" borderId="67" xfId="0" applyFont="1" applyBorder="1" applyAlignment="1">
      <alignment horizontal="center" vertical="center" wrapText="1"/>
    </xf>
    <xf numFmtId="0" fontId="82" fillId="0" borderId="69" xfId="0" applyFont="1" applyBorder="1" applyAlignment="1">
      <alignment horizontal="center" vertical="center" wrapText="1"/>
    </xf>
    <xf numFmtId="0" fontId="62" fillId="0" borderId="54" xfId="0" applyFont="1" applyBorder="1" applyAlignment="1">
      <alignment horizontal="center" vertical="center" wrapText="1"/>
    </xf>
    <xf numFmtId="0" fontId="85" fillId="0" borderId="85" xfId="0" applyFont="1" applyBorder="1" applyAlignment="1">
      <alignment horizontal="center" vertical="center" wrapText="1"/>
    </xf>
    <xf numFmtId="0" fontId="85" fillId="0" borderId="25" xfId="0" applyFont="1" applyBorder="1" applyAlignment="1">
      <alignment horizontal="center" vertical="center" wrapText="1"/>
    </xf>
    <xf numFmtId="0" fontId="85" fillId="0" borderId="23" xfId="0" applyFont="1" applyBorder="1" applyAlignment="1">
      <alignment horizontal="center" vertical="center" wrapText="1"/>
    </xf>
    <xf numFmtId="0" fontId="85" fillId="0" borderId="24" xfId="0" applyFont="1" applyBorder="1" applyAlignment="1">
      <alignment horizontal="center" vertical="center" wrapText="1"/>
    </xf>
  </cellXfs>
  <cellStyles count="11">
    <cellStyle name="Campo de la tabla dinámica" xfId="7" xr:uid="{00000000-0005-0000-0000-000000000000}"/>
    <cellStyle name="Categoría de la tabla dinámica" xfId="8" xr:uid="{00000000-0005-0000-0000-000001000000}"/>
    <cellStyle name="Esquina de la tabla dinámica" xfId="5" xr:uid="{00000000-0005-0000-0000-000002000000}"/>
    <cellStyle name="Excel Built-in Currency [0]" xfId="9" xr:uid="{00000000-0005-0000-0000-000003000000}"/>
    <cellStyle name="Normal" xfId="0" builtinId="0"/>
    <cellStyle name="Normal - Style1 2" xfId="2" xr:uid="{00000000-0005-0000-0000-000005000000}"/>
    <cellStyle name="Normal 2" xfId="3" xr:uid="{00000000-0005-0000-0000-000006000000}"/>
    <cellStyle name="Normal 2 2" xfId="4" xr:uid="{00000000-0005-0000-0000-000007000000}"/>
    <cellStyle name="Normal 3" xfId="10" xr:uid="{CB340605-AE01-4451-AC75-AE8912D39F8B}"/>
    <cellStyle name="Porcentaje" xfId="1" builtinId="5"/>
    <cellStyle name="Valor de la tabla dinámica" xfId="6" xr:uid="{00000000-0005-0000-0000-000009000000}"/>
  </cellStyles>
  <dxfs count="33">
    <dxf>
      <fill>
        <patternFill>
          <bgColor rgb="FF92D050"/>
        </patternFill>
      </fill>
    </dxf>
    <dxf>
      <fill>
        <patternFill>
          <bgColor rgb="FFFFFF00"/>
        </patternFill>
      </fill>
    </dxf>
    <dxf>
      <fill>
        <patternFill>
          <bgColor rgb="FFE46C0A"/>
        </patternFill>
      </fill>
    </dxf>
    <dxf>
      <fill>
        <patternFill>
          <bgColor rgb="FFC00000"/>
        </patternFill>
      </fill>
    </dxf>
    <dxf>
      <font>
        <color rgb="FFFFFFFF"/>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FFFFFF"/>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E46C0A"/>
        </patternFill>
      </fill>
    </dxf>
    <dxf>
      <fill>
        <patternFill>
          <bgColor rgb="FFC00000"/>
        </patternFill>
      </fill>
    </dxf>
    <dxf>
      <fill>
        <patternFill>
          <bgColor rgb="FF92D050"/>
        </patternFill>
      </fill>
    </dxf>
    <dxf>
      <fill>
        <patternFill>
          <bgColor rgb="FFFFFF00"/>
        </patternFill>
      </fill>
    </dxf>
    <dxf>
      <fill>
        <patternFill>
          <bgColor rgb="FFE46C0A"/>
        </patternFill>
      </fill>
    </dxf>
    <dxf>
      <fill>
        <patternFill>
          <bgColor rgb="FFC00000"/>
        </patternFill>
      </fill>
    </dxf>
    <dxf>
      <font>
        <color rgb="FFFFFFFF"/>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FFFFFF"/>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77933C"/>
      <rgbColor rgb="FF800080"/>
      <rgbColor rgb="FF008080"/>
      <rgbColor rgb="FFBFBFBF"/>
      <rgbColor rgb="FF808080"/>
      <rgbColor rgb="FF9999FF"/>
      <rgbColor rgb="FF993366"/>
      <rgbColor rgb="FFFDEADA"/>
      <rgbColor rgb="FFCCFFFF"/>
      <rgbColor rgb="FF660066"/>
      <rgbColor rgb="FFE26B0A"/>
      <rgbColor rgb="FF0066CC"/>
      <rgbColor rgb="FFD9D9D9"/>
      <rgbColor rgb="FF000080"/>
      <rgbColor rgb="FFFF00FF"/>
      <rgbColor rgb="FFFFFF00"/>
      <rgbColor rgb="FF00FFFF"/>
      <rgbColor rgb="FF800080"/>
      <rgbColor rgb="FFC00000"/>
      <rgbColor rgb="FF008080"/>
      <rgbColor rgb="FF0000FF"/>
      <rgbColor rgb="FF00B0F0"/>
      <rgbColor rgb="FFCCFFFF"/>
      <rgbColor rgb="FFFCD5B5"/>
      <rgbColor rgb="FFFFFF66"/>
      <rgbColor rgb="FF99CCFF"/>
      <rgbColor rgb="FFFFC7CE"/>
      <rgbColor rgb="FFCC99FF"/>
      <rgbColor rgb="FFFAC090"/>
      <rgbColor rgb="FF3366FF"/>
      <rgbColor rgb="FF33CCCC"/>
      <rgbColor rgb="FF92D050"/>
      <rgbColor rgb="FFFFC000"/>
      <rgbColor rgb="FFF79646"/>
      <rgbColor rgb="FFE46C0A"/>
      <rgbColor rgb="FF604A7B"/>
      <rgbColor rgb="FF969696"/>
      <rgbColor rgb="FF002060"/>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3.emf"/><Relationship Id="rId1" Type="http://schemas.openxmlformats.org/officeDocument/2006/relationships/image" Target="../media/image7.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0</xdr:row>
      <xdr:rowOff>0</xdr:rowOff>
    </xdr:from>
    <xdr:to>
      <xdr:col>5</xdr:col>
      <xdr:colOff>1343025</xdr:colOff>
      <xdr:row>3</xdr:row>
      <xdr:rowOff>159016</xdr:rowOff>
    </xdr:to>
    <xdr:pic>
      <xdr:nvPicPr>
        <xdr:cNvPr id="2" name="Imagen 1">
          <a:extLst>
            <a:ext uri="{FF2B5EF4-FFF2-40B4-BE49-F238E27FC236}">
              <a16:creationId xmlns:a16="http://schemas.microsoft.com/office/drawing/2014/main" id="{B09C9BE4-122D-4F57-82FC-1D4B4D77F4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44225" y="0"/>
          <a:ext cx="619125" cy="730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1828800</xdr:colOff>
      <xdr:row>3</xdr:row>
      <xdr:rowOff>180281</xdr:rowOff>
    </xdr:to>
    <xdr:pic>
      <xdr:nvPicPr>
        <xdr:cNvPr id="3" name="Imagen 2">
          <a:extLst>
            <a:ext uri="{FF2B5EF4-FFF2-40B4-BE49-F238E27FC236}">
              <a16:creationId xmlns:a16="http://schemas.microsoft.com/office/drawing/2014/main" id="{AA6C89E8-17F1-4DB2-9325-165EC9F3C68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828800" cy="751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429203</xdr:rowOff>
    </xdr:from>
    <xdr:to>
      <xdr:col>0</xdr:col>
      <xdr:colOff>28576</xdr:colOff>
      <xdr:row>23</xdr:row>
      <xdr:rowOff>53110</xdr:rowOff>
    </xdr:to>
    <xdr:sp macro="" textlink="">
      <xdr:nvSpPr>
        <xdr:cNvPr id="2" name="CuadroTexto 1">
          <a:extLst>
            <a:ext uri="{FF2B5EF4-FFF2-40B4-BE49-F238E27FC236}">
              <a16:creationId xmlns:a16="http://schemas.microsoft.com/office/drawing/2014/main" id="{B92B5974-3958-49A9-82C0-ADE2C490656A}"/>
            </a:ext>
          </a:extLst>
        </xdr:cNvPr>
        <xdr:cNvSpPr txBox="1"/>
      </xdr:nvSpPr>
      <xdr:spPr>
        <a:xfrm rot="16200000">
          <a:off x="-3580996" y="7911639"/>
          <a:ext cx="7190567" cy="28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E  X  T  E  R  N  O  S</a:t>
          </a:r>
        </a:p>
        <a:p>
          <a:pPr algn="ctr"/>
          <a:r>
            <a:rPr lang="es-CO" sz="1200" b="1">
              <a:latin typeface="Arial" panose="020B0604020202020204" pitchFamily="34" charset="0"/>
              <a:cs typeface="Arial" panose="020B0604020202020204" pitchFamily="34" charset="0"/>
            </a:rPr>
            <a:t>A  M  E  N  A  Z  A  S</a:t>
          </a:r>
        </a:p>
      </xdr:txBody>
    </xdr:sp>
    <xdr:clientData/>
  </xdr:twoCellAnchor>
  <xdr:twoCellAnchor>
    <xdr:from>
      <xdr:col>0</xdr:col>
      <xdr:colOff>0</xdr:colOff>
      <xdr:row>25</xdr:row>
      <xdr:rowOff>288633</xdr:rowOff>
    </xdr:from>
    <xdr:to>
      <xdr:col>0</xdr:col>
      <xdr:colOff>1</xdr:colOff>
      <xdr:row>39</xdr:row>
      <xdr:rowOff>288634</xdr:rowOff>
    </xdr:to>
    <xdr:sp macro="" textlink="">
      <xdr:nvSpPr>
        <xdr:cNvPr id="3" name="CuadroTexto 2">
          <a:extLst>
            <a:ext uri="{FF2B5EF4-FFF2-40B4-BE49-F238E27FC236}">
              <a16:creationId xmlns:a16="http://schemas.microsoft.com/office/drawing/2014/main" id="{E1F5DE5C-0038-46DB-A99E-03AACD8CF146}"/>
            </a:ext>
          </a:extLst>
        </xdr:cNvPr>
        <xdr:cNvSpPr txBox="1"/>
      </xdr:nvSpPr>
      <xdr:spPr>
        <a:xfrm rot="16200000">
          <a:off x="-4259580" y="17022153"/>
          <a:ext cx="851916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DE9706BA-EB60-4555-983B-F79970429EA4}"/>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0</xdr:col>
      <xdr:colOff>0</xdr:colOff>
      <xdr:row>40</xdr:row>
      <xdr:rowOff>0</xdr:rowOff>
    </xdr:from>
    <xdr:to>
      <xdr:col>0</xdr:col>
      <xdr:colOff>2</xdr:colOff>
      <xdr:row>40</xdr:row>
      <xdr:rowOff>0</xdr:rowOff>
    </xdr:to>
    <xdr:sp macro="" textlink="">
      <xdr:nvSpPr>
        <xdr:cNvPr id="5" name="CuadroTexto 4">
          <a:extLst>
            <a:ext uri="{FF2B5EF4-FFF2-40B4-BE49-F238E27FC236}">
              <a16:creationId xmlns:a16="http://schemas.microsoft.com/office/drawing/2014/main" id="{0EE8A4D7-E5D8-41D4-BE6C-359D6E0239F1}"/>
            </a:ext>
          </a:extLst>
        </xdr:cNvPr>
        <xdr:cNvSpPr txBox="1"/>
      </xdr:nvSpPr>
      <xdr:spPr>
        <a:xfrm rot="16200000">
          <a:off x="1" y="2162555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mc:AlternateContent xmlns:mc="http://schemas.openxmlformats.org/markup-compatibility/2006">
    <mc:Choice xmlns:a14="http://schemas.microsoft.com/office/drawing/2010/main" Requires="a14">
      <xdr:twoCellAnchor editAs="oneCell">
        <xdr:from>
          <xdr:col>19</xdr:col>
          <xdr:colOff>632460</xdr:colOff>
          <xdr:row>10</xdr:row>
          <xdr:rowOff>60960</xdr:rowOff>
        </xdr:from>
        <xdr:to>
          <xdr:col>19</xdr:col>
          <xdr:colOff>876300</xdr:colOff>
          <xdr:row>10</xdr:row>
          <xdr:rowOff>457200</xdr:rowOff>
        </xdr:to>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11</xdr:row>
          <xdr:rowOff>160020</xdr:rowOff>
        </xdr:from>
        <xdr:to>
          <xdr:col>19</xdr:col>
          <xdr:colOff>906780</xdr:colOff>
          <xdr:row>11</xdr:row>
          <xdr:rowOff>419100</xdr:rowOff>
        </xdr:to>
        <xdr:sp macro="" textlink="">
          <xdr:nvSpPr>
            <xdr:cNvPr id="3074" name="CheckBox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12</xdr:row>
          <xdr:rowOff>160020</xdr:rowOff>
        </xdr:from>
        <xdr:to>
          <xdr:col>19</xdr:col>
          <xdr:colOff>906780</xdr:colOff>
          <xdr:row>12</xdr:row>
          <xdr:rowOff>419100</xdr:rowOff>
        </xdr:to>
        <xdr:sp macro="" textlink="">
          <xdr:nvSpPr>
            <xdr:cNvPr id="3075" name="CheckBox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13</xdr:row>
          <xdr:rowOff>160020</xdr:rowOff>
        </xdr:from>
        <xdr:to>
          <xdr:col>19</xdr:col>
          <xdr:colOff>906780</xdr:colOff>
          <xdr:row>13</xdr:row>
          <xdr:rowOff>419100</xdr:rowOff>
        </xdr:to>
        <xdr:sp macro="" textlink="">
          <xdr:nvSpPr>
            <xdr:cNvPr id="3076" name="CheckBox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14</xdr:row>
          <xdr:rowOff>175260</xdr:rowOff>
        </xdr:from>
        <xdr:to>
          <xdr:col>19</xdr:col>
          <xdr:colOff>906780</xdr:colOff>
          <xdr:row>14</xdr:row>
          <xdr:rowOff>426720</xdr:rowOff>
        </xdr:to>
        <xdr:sp macro="" textlink="">
          <xdr:nvSpPr>
            <xdr:cNvPr id="3077" name="CheckBox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15</xdr:row>
          <xdr:rowOff>160020</xdr:rowOff>
        </xdr:from>
        <xdr:to>
          <xdr:col>19</xdr:col>
          <xdr:colOff>906780</xdr:colOff>
          <xdr:row>15</xdr:row>
          <xdr:rowOff>419100</xdr:rowOff>
        </xdr:to>
        <xdr:sp macro="" textlink="">
          <xdr:nvSpPr>
            <xdr:cNvPr id="3078" name="CheckBox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16</xdr:row>
          <xdr:rowOff>160020</xdr:rowOff>
        </xdr:from>
        <xdr:to>
          <xdr:col>19</xdr:col>
          <xdr:colOff>906780</xdr:colOff>
          <xdr:row>16</xdr:row>
          <xdr:rowOff>419100</xdr:rowOff>
        </xdr:to>
        <xdr:sp macro="" textlink="">
          <xdr:nvSpPr>
            <xdr:cNvPr id="3079" name="CheckBox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17</xdr:row>
          <xdr:rowOff>160020</xdr:rowOff>
        </xdr:from>
        <xdr:to>
          <xdr:col>19</xdr:col>
          <xdr:colOff>906780</xdr:colOff>
          <xdr:row>17</xdr:row>
          <xdr:rowOff>419100</xdr:rowOff>
        </xdr:to>
        <xdr:sp macro="" textlink="">
          <xdr:nvSpPr>
            <xdr:cNvPr id="3080" name="CheckBox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18</xdr:row>
          <xdr:rowOff>160020</xdr:rowOff>
        </xdr:from>
        <xdr:to>
          <xdr:col>19</xdr:col>
          <xdr:colOff>906780</xdr:colOff>
          <xdr:row>18</xdr:row>
          <xdr:rowOff>419100</xdr:rowOff>
        </xdr:to>
        <xdr:sp macro="" textlink="">
          <xdr:nvSpPr>
            <xdr:cNvPr id="3081" name="CheckBox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19</xdr:row>
          <xdr:rowOff>160020</xdr:rowOff>
        </xdr:from>
        <xdr:to>
          <xdr:col>19</xdr:col>
          <xdr:colOff>906780</xdr:colOff>
          <xdr:row>19</xdr:row>
          <xdr:rowOff>419100</xdr:rowOff>
        </xdr:to>
        <xdr:sp macro="" textlink="">
          <xdr:nvSpPr>
            <xdr:cNvPr id="3082" name="CheckBox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20</xdr:row>
          <xdr:rowOff>160020</xdr:rowOff>
        </xdr:from>
        <xdr:to>
          <xdr:col>19</xdr:col>
          <xdr:colOff>906780</xdr:colOff>
          <xdr:row>20</xdr:row>
          <xdr:rowOff>419100</xdr:rowOff>
        </xdr:to>
        <xdr:sp macro="" textlink="">
          <xdr:nvSpPr>
            <xdr:cNvPr id="3083" name="CheckBox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21</xdr:row>
          <xdr:rowOff>160020</xdr:rowOff>
        </xdr:from>
        <xdr:to>
          <xdr:col>19</xdr:col>
          <xdr:colOff>906780</xdr:colOff>
          <xdr:row>21</xdr:row>
          <xdr:rowOff>419100</xdr:rowOff>
        </xdr:to>
        <xdr:sp macro="" textlink="">
          <xdr:nvSpPr>
            <xdr:cNvPr id="3084" name="CheckBox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22</xdr:row>
          <xdr:rowOff>160020</xdr:rowOff>
        </xdr:from>
        <xdr:to>
          <xdr:col>19</xdr:col>
          <xdr:colOff>906780</xdr:colOff>
          <xdr:row>22</xdr:row>
          <xdr:rowOff>419100</xdr:rowOff>
        </xdr:to>
        <xdr:sp macro="" textlink="">
          <xdr:nvSpPr>
            <xdr:cNvPr id="3085" name="CheckBox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23</xdr:row>
          <xdr:rowOff>160020</xdr:rowOff>
        </xdr:from>
        <xdr:to>
          <xdr:col>19</xdr:col>
          <xdr:colOff>906780</xdr:colOff>
          <xdr:row>23</xdr:row>
          <xdr:rowOff>419100</xdr:rowOff>
        </xdr:to>
        <xdr:sp macro="" textlink="">
          <xdr:nvSpPr>
            <xdr:cNvPr id="3086" name="CheckBox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24</xdr:row>
          <xdr:rowOff>160020</xdr:rowOff>
        </xdr:from>
        <xdr:to>
          <xdr:col>19</xdr:col>
          <xdr:colOff>906780</xdr:colOff>
          <xdr:row>24</xdr:row>
          <xdr:rowOff>419100</xdr:rowOff>
        </xdr:to>
        <xdr:sp macro="" textlink="">
          <xdr:nvSpPr>
            <xdr:cNvPr id="3087" name="CheckBox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25</xdr:row>
          <xdr:rowOff>160020</xdr:rowOff>
        </xdr:from>
        <xdr:to>
          <xdr:col>19</xdr:col>
          <xdr:colOff>906780</xdr:colOff>
          <xdr:row>25</xdr:row>
          <xdr:rowOff>419100</xdr:rowOff>
        </xdr:to>
        <xdr:sp macro="" textlink="">
          <xdr:nvSpPr>
            <xdr:cNvPr id="3088" name="CheckBox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26</xdr:row>
          <xdr:rowOff>160020</xdr:rowOff>
        </xdr:from>
        <xdr:to>
          <xdr:col>19</xdr:col>
          <xdr:colOff>906780</xdr:colOff>
          <xdr:row>26</xdr:row>
          <xdr:rowOff>419100</xdr:rowOff>
        </xdr:to>
        <xdr:sp macro="" textlink="">
          <xdr:nvSpPr>
            <xdr:cNvPr id="3089" name="CheckBox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27</xdr:row>
          <xdr:rowOff>160020</xdr:rowOff>
        </xdr:from>
        <xdr:to>
          <xdr:col>19</xdr:col>
          <xdr:colOff>906780</xdr:colOff>
          <xdr:row>27</xdr:row>
          <xdr:rowOff>419100</xdr:rowOff>
        </xdr:to>
        <xdr:sp macro="" textlink="">
          <xdr:nvSpPr>
            <xdr:cNvPr id="3090" name="CheckBox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28</xdr:row>
          <xdr:rowOff>160020</xdr:rowOff>
        </xdr:from>
        <xdr:to>
          <xdr:col>19</xdr:col>
          <xdr:colOff>906780</xdr:colOff>
          <xdr:row>28</xdr:row>
          <xdr:rowOff>419100</xdr:rowOff>
        </xdr:to>
        <xdr:sp macro="" textlink="">
          <xdr:nvSpPr>
            <xdr:cNvPr id="3091" name="CheckBox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29</xdr:row>
          <xdr:rowOff>160020</xdr:rowOff>
        </xdr:from>
        <xdr:to>
          <xdr:col>19</xdr:col>
          <xdr:colOff>906780</xdr:colOff>
          <xdr:row>29</xdr:row>
          <xdr:rowOff>419100</xdr:rowOff>
        </xdr:to>
        <xdr:sp macro="" textlink="">
          <xdr:nvSpPr>
            <xdr:cNvPr id="3092" name="CheckBox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30</xdr:row>
          <xdr:rowOff>160020</xdr:rowOff>
        </xdr:from>
        <xdr:to>
          <xdr:col>19</xdr:col>
          <xdr:colOff>906780</xdr:colOff>
          <xdr:row>30</xdr:row>
          <xdr:rowOff>419100</xdr:rowOff>
        </xdr:to>
        <xdr:sp macro="" textlink="">
          <xdr:nvSpPr>
            <xdr:cNvPr id="3093" name="CheckBox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31</xdr:row>
          <xdr:rowOff>160020</xdr:rowOff>
        </xdr:from>
        <xdr:to>
          <xdr:col>19</xdr:col>
          <xdr:colOff>906780</xdr:colOff>
          <xdr:row>31</xdr:row>
          <xdr:rowOff>419100</xdr:rowOff>
        </xdr:to>
        <xdr:sp macro="" textlink="">
          <xdr:nvSpPr>
            <xdr:cNvPr id="3094" name="CheckBox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32</xdr:row>
          <xdr:rowOff>160020</xdr:rowOff>
        </xdr:from>
        <xdr:to>
          <xdr:col>19</xdr:col>
          <xdr:colOff>906780</xdr:colOff>
          <xdr:row>32</xdr:row>
          <xdr:rowOff>419100</xdr:rowOff>
        </xdr:to>
        <xdr:sp macro="" textlink="">
          <xdr:nvSpPr>
            <xdr:cNvPr id="3095" name="CheckBox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33</xdr:row>
          <xdr:rowOff>160020</xdr:rowOff>
        </xdr:from>
        <xdr:to>
          <xdr:col>19</xdr:col>
          <xdr:colOff>906780</xdr:colOff>
          <xdr:row>33</xdr:row>
          <xdr:rowOff>419100</xdr:rowOff>
        </xdr:to>
        <xdr:sp macro="" textlink="">
          <xdr:nvSpPr>
            <xdr:cNvPr id="3096" name="CheckBox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34</xdr:row>
          <xdr:rowOff>160020</xdr:rowOff>
        </xdr:from>
        <xdr:to>
          <xdr:col>19</xdr:col>
          <xdr:colOff>906780</xdr:colOff>
          <xdr:row>34</xdr:row>
          <xdr:rowOff>419100</xdr:rowOff>
        </xdr:to>
        <xdr:sp macro="" textlink="">
          <xdr:nvSpPr>
            <xdr:cNvPr id="3097" name="CheckBox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35</xdr:row>
          <xdr:rowOff>160020</xdr:rowOff>
        </xdr:from>
        <xdr:to>
          <xdr:col>19</xdr:col>
          <xdr:colOff>906780</xdr:colOff>
          <xdr:row>35</xdr:row>
          <xdr:rowOff>419100</xdr:rowOff>
        </xdr:to>
        <xdr:sp macro="" textlink="">
          <xdr:nvSpPr>
            <xdr:cNvPr id="3098" name="CheckBox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36</xdr:row>
          <xdr:rowOff>160020</xdr:rowOff>
        </xdr:from>
        <xdr:to>
          <xdr:col>19</xdr:col>
          <xdr:colOff>906780</xdr:colOff>
          <xdr:row>36</xdr:row>
          <xdr:rowOff>419100</xdr:rowOff>
        </xdr:to>
        <xdr:sp macro="" textlink="">
          <xdr:nvSpPr>
            <xdr:cNvPr id="3099" name="CheckBox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37</xdr:row>
          <xdr:rowOff>160020</xdr:rowOff>
        </xdr:from>
        <xdr:to>
          <xdr:col>19</xdr:col>
          <xdr:colOff>906780</xdr:colOff>
          <xdr:row>37</xdr:row>
          <xdr:rowOff>419100</xdr:rowOff>
        </xdr:to>
        <xdr:sp macro="" textlink="">
          <xdr:nvSpPr>
            <xdr:cNvPr id="3100" name="CheckBox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38</xdr:row>
          <xdr:rowOff>160020</xdr:rowOff>
        </xdr:from>
        <xdr:to>
          <xdr:col>19</xdr:col>
          <xdr:colOff>906780</xdr:colOff>
          <xdr:row>38</xdr:row>
          <xdr:rowOff>419100</xdr:rowOff>
        </xdr:to>
        <xdr:sp macro="" textlink="">
          <xdr:nvSpPr>
            <xdr:cNvPr id="3101" name="CheckBox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39</xdr:row>
          <xdr:rowOff>160020</xdr:rowOff>
        </xdr:from>
        <xdr:to>
          <xdr:col>19</xdr:col>
          <xdr:colOff>906780</xdr:colOff>
          <xdr:row>39</xdr:row>
          <xdr:rowOff>419100</xdr:rowOff>
        </xdr:to>
        <xdr:sp macro="" textlink="">
          <xdr:nvSpPr>
            <xdr:cNvPr id="3102" name="CheckBox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03" name="CheckBox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04" name="CheckBox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05" name="CheckBox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06" name="CheckBox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07" name="CheckBox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08" name="CheckBox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09" name="CheckBox38"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10" name="CheckBox39"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11" name="CheckBox40"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12" name="CheckBox41"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13" name="CheckBox42"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14" name="CheckBox43"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15" name="CheckBox44"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16" name="CheckBox45"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0</xdr:rowOff>
        </xdr:from>
        <xdr:to>
          <xdr:col>19</xdr:col>
          <xdr:colOff>906780</xdr:colOff>
          <xdr:row>40</xdr:row>
          <xdr:rowOff>259080</xdr:rowOff>
        </xdr:to>
        <xdr:sp macro="" textlink="">
          <xdr:nvSpPr>
            <xdr:cNvPr id="3117" name="CheckBox46"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19</xdr:col>
      <xdr:colOff>2222499</xdr:colOff>
      <xdr:row>0</xdr:row>
      <xdr:rowOff>0</xdr:rowOff>
    </xdr:from>
    <xdr:to>
      <xdr:col>19</xdr:col>
      <xdr:colOff>3030680</xdr:colOff>
      <xdr:row>3</xdr:row>
      <xdr:rowOff>187614</xdr:rowOff>
    </xdr:to>
    <xdr:sp macro="" textlink="">
      <xdr:nvSpPr>
        <xdr:cNvPr id="11" name="CuadroTexto 10">
          <a:extLst>
            <a:ext uri="{FF2B5EF4-FFF2-40B4-BE49-F238E27FC236}">
              <a16:creationId xmlns:a16="http://schemas.microsoft.com/office/drawing/2014/main" id="{758E3DC3-3E99-4D5A-B395-1BE16C380563}"/>
            </a:ext>
          </a:extLst>
        </xdr:cNvPr>
        <xdr:cNvSpPr txBox="1"/>
      </xdr:nvSpPr>
      <xdr:spPr>
        <a:xfrm>
          <a:off x="13442949" y="0"/>
          <a:ext cx="0" cy="107343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19</xdr:col>
      <xdr:colOff>242453</xdr:colOff>
      <xdr:row>0</xdr:row>
      <xdr:rowOff>0</xdr:rowOff>
    </xdr:from>
    <xdr:to>
      <xdr:col>19</xdr:col>
      <xdr:colOff>931842</xdr:colOff>
      <xdr:row>3</xdr:row>
      <xdr:rowOff>118713</xdr:rowOff>
    </xdr:to>
    <xdr:pic>
      <xdr:nvPicPr>
        <xdr:cNvPr id="12" name="Imagen 11">
          <a:extLst>
            <a:ext uri="{FF2B5EF4-FFF2-40B4-BE49-F238E27FC236}">
              <a16:creationId xmlns:a16="http://schemas.microsoft.com/office/drawing/2014/main" id="{E6EB6A01-BC5B-4036-9FEF-46E027BC80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87544" y="0"/>
          <a:ext cx="689389" cy="811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325582</xdr:colOff>
      <xdr:row>0</xdr:row>
      <xdr:rowOff>55418</xdr:rowOff>
    </xdr:from>
    <xdr:to>
      <xdr:col>1</xdr:col>
      <xdr:colOff>2071470</xdr:colOff>
      <xdr:row>3</xdr:row>
      <xdr:rowOff>131178</xdr:rowOff>
    </xdr:to>
    <xdr:pic>
      <xdr:nvPicPr>
        <xdr:cNvPr id="13" name="Imagen 12">
          <a:extLst>
            <a:ext uri="{FF2B5EF4-FFF2-40B4-BE49-F238E27FC236}">
              <a16:creationId xmlns:a16="http://schemas.microsoft.com/office/drawing/2014/main" id="{4854B98D-D0BC-458F-A9A4-89FC41D77DE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5582" y="55418"/>
          <a:ext cx="2099179" cy="768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152401</xdr:colOff>
      <xdr:row>0</xdr:row>
      <xdr:rowOff>28575</xdr:rowOff>
    </xdr:from>
    <xdr:to>
      <xdr:col>9</xdr:col>
      <xdr:colOff>741701</xdr:colOff>
      <xdr:row>3</xdr:row>
      <xdr:rowOff>152400</xdr:rowOff>
    </xdr:to>
    <xdr:pic>
      <xdr:nvPicPr>
        <xdr:cNvPr id="3" name="Imagen 2">
          <a:extLst>
            <a:ext uri="{FF2B5EF4-FFF2-40B4-BE49-F238E27FC236}">
              <a16:creationId xmlns:a16="http://schemas.microsoft.com/office/drawing/2014/main" id="{BE07411B-B01A-4043-8DA8-0019577DD2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44476" y="28575"/>
          <a:ext cx="589300"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104774</xdr:colOff>
      <xdr:row>0</xdr:row>
      <xdr:rowOff>66674</xdr:rowOff>
    </xdr:from>
    <xdr:to>
      <xdr:col>1</xdr:col>
      <xdr:colOff>895349</xdr:colOff>
      <xdr:row>3</xdr:row>
      <xdr:rowOff>149067</xdr:rowOff>
    </xdr:to>
    <xdr:pic>
      <xdr:nvPicPr>
        <xdr:cNvPr id="4" name="Imagen 3">
          <a:extLst>
            <a:ext uri="{FF2B5EF4-FFF2-40B4-BE49-F238E27FC236}">
              <a16:creationId xmlns:a16="http://schemas.microsoft.com/office/drawing/2014/main" id="{8DA45F00-2FAF-4AA6-90B7-40915202D33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4" y="66674"/>
          <a:ext cx="1609725" cy="653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IGAMI%20-%20copia\Mapa%20de%20Corrupcion\MAPA%20CORRUPCION%20CONTROL%20UNICO%20DISCIPLINARIO%202024.xlsx" TargetMode="External"/><Relationship Id="rId1" Type="http://schemas.openxmlformats.org/officeDocument/2006/relationships/externalLinkPath" Target="file:///G:\SIGAMI%20-%20copia\Mapa%20de%20Corrupcion\MAPA%20CORRUPCION%20CONTROL%20UNICO%20DISCIPLINARI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Hoja14"/>
      <sheetName val="NOO"/>
      <sheetName val="NO"/>
    </sheetNames>
    <sheetDataSet>
      <sheetData sheetId="0"/>
      <sheetData sheetId="1">
        <row r="8">
          <cell r="A8" t="str">
            <v>PROCESO: GESTIÓN Y CONTROL DISCIPLINARIO</v>
          </cell>
        </row>
        <row r="9">
          <cell r="A9" t="str">
            <v xml:space="preserve">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v>
          </cell>
        </row>
        <row r="12">
          <cell r="B12" t="str">
            <v>Constantes Cambio de Gobierno</v>
          </cell>
          <cell r="D12" t="str">
            <v>Escaso Presupuesto de Funcionamiento</v>
          </cell>
        </row>
        <row r="13">
          <cell r="B13" t="str">
            <v xml:space="preserve">Constantes cambios en la Legislacion </v>
          </cell>
          <cell r="D13" t="str">
            <v>Infraestructura insuficienta para el funcionamiento de la Oficina</v>
          </cell>
          <cell r="F13" t="str">
            <v xml:space="preserve">Falta de personal con el conocimiento y experticia idonea </v>
          </cell>
        </row>
        <row r="14">
          <cell r="B14" t="str">
            <v xml:space="preserve">Problemas de Orden Publico </v>
          </cell>
          <cell r="D14" t="str">
            <v>Capacidad Instalada es insuficiente</v>
          </cell>
          <cell r="F14" t="str">
            <v>Falta de Software y hadware para el funcionamiento de la Oficina de Control Unico Disciplinario, con el fin de dar seguimiento y control de termino en cada etapa procesal</v>
          </cell>
        </row>
        <row r="15">
          <cell r="B15" t="str">
            <v>Constantes cambios Normativos (Leyes, Decretos, ordenanzas y acuerdos)</v>
          </cell>
          <cell r="D15" t="str">
            <v xml:space="preserve">Alta rotacion del personal, falta etica y competencia de los mismos  </v>
          </cell>
          <cell r="F15" t="str">
            <v xml:space="preserve">Perdida de la informacion fisica de los expediente en vigencia y falta de digitalizacion de los mismos. </v>
          </cell>
        </row>
        <row r="16">
          <cell r="D16" t="str">
            <v>Competencia del personal no idoneida que desconoce la misionalidad del proceso</v>
          </cell>
          <cell r="F16"/>
        </row>
        <row r="17">
          <cell r="D17" t="str">
            <v>Deficiente disponibilidad del personal externo con el que se relaciona la oficina para el buen funcionamiento de la misma.</v>
          </cell>
        </row>
        <row r="18">
          <cell r="D18" t="str">
            <v xml:space="preserve">Demoras en la dotacion de insumos ergonomicos para el personal de la Oficina de Control Unico Disciplinario </v>
          </cell>
        </row>
        <row r="19">
          <cell r="D19" t="str">
            <v xml:space="preserve">Canales de comunicación internos que impiden la confiencialidad de los procesos </v>
          </cell>
        </row>
        <row r="20">
          <cell r="D20" t="str">
            <v>el flujo de la informacion es interrumpida por quienes deben de suministrar de otras dependencias</v>
          </cell>
        </row>
        <row r="21">
          <cell r="D21" t="str">
            <v xml:space="preserve">desconocimiento de la legislacion para dar respuesta oportuna </v>
          </cell>
        </row>
        <row r="22">
          <cell r="D22" t="str">
            <v xml:space="preserve">obsolensencia tecnologica </v>
          </cell>
        </row>
        <row r="23">
          <cell r="D23" t="str">
            <v>dificultad al acceso de internet</v>
          </cell>
        </row>
        <row r="24">
          <cell r="D24" t="str">
            <v>mantenimiento del sistema de informacion de la alcaldia que puede generar demora en los procesos</v>
          </cell>
        </row>
        <row r="25">
          <cell r="D25" t="str">
            <v xml:space="preserve">Demoras en la contratacion </v>
          </cell>
        </row>
        <row r="26">
          <cell r="D26" t="str">
            <v>Falta de la adecuada division entre el procedimiento y el juzgamiento</v>
          </cell>
        </row>
        <row r="32">
          <cell r="D32"/>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Date="0" createdVersion="3" recordCount="10" xr:uid="{00000000-000A-0000-FFFF-FFFF00000000}">
  <cacheSource type="worksheet">
    <worksheetSource ref="B209:C219" sheet="Tabla Impacto"/>
  </cacheSource>
  <cacheFields count="2">
    <cacheField name="Criterios" numFmtId="0">
      <sharedItems count="2">
        <s v="Afectación Económica o presupuestal"/>
        <s v="Pérdida Reputacional"/>
      </sharedItems>
    </cacheField>
    <cacheField name="Subcriterios" numFmtId="0">
      <sharedItems count="10">
        <s v="Afectación menor a 200 SMLMV"/>
        <s v="El riesgo afecta la imagen de alguna área de la organización"/>
        <s v="El riesgo afecta la imagen de de la entidad con efecto publicitario sostenido a nivel de sector administrativo, nivel departamental o municipal"/>
        <s v="El riesgo afecta la imagen de la entidad a nivel nacional, con efecto publicitarios sostenible a nivel país"/>
        <s v="El riesgo afecta la imagen de la entidad con algunos usuarios de relevancia frente al logro de los objetivos"/>
        <s v="El riesgo afecta la imagen de la entidad internamente, de conocimiento general, nivel interno, de junta dircetiva y accionistas y/o de provedores"/>
        <s v="Entre 1000 y 5000 SMLMV "/>
        <s v="Entre 200 y 1000 SMLMV"/>
        <s v="Entre 5000 y 10000 SMLMV"/>
        <s v="Mayor a 10000 SMLMV"/>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7"/>
  </r>
  <r>
    <x v="0"/>
    <x v="6"/>
  </r>
  <r>
    <x v="0"/>
    <x v="8"/>
  </r>
  <r>
    <x v="0"/>
    <x v="9"/>
  </r>
  <r>
    <x v="1"/>
    <x v="1"/>
  </r>
  <r>
    <x v="1"/>
    <x v="5"/>
  </r>
  <r>
    <x v="1"/>
    <x v="4"/>
  </r>
  <r>
    <x v="1"/>
    <x v="2"/>
  </r>
  <r>
    <x v="1"/>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7" applyNumberFormats="0" applyBorderFormats="0" applyFontFormats="0" applyPatternFormats="0" applyAlignmentFormats="0" applyWidthHeightFormats="0" dataCaption="Values" itemPrintTitles="1" indent="0" compact="0" outline="1" outlineData="1" compactData="0">
  <location ref="D209:F221" firstHeaderRow="1" firstDataRow="1" firstDataCol="2"/>
  <pivotFields count="2">
    <pivotField axis="axisRow" compact="0" showAll="0" defaultSubtotal="0">
      <items count="2">
        <item x="0"/>
        <item x="1"/>
      </items>
    </pivotField>
    <pivotField axis="axisRow" compact="0" showAll="0" defaultSubtotal="0">
      <items count="10">
        <item x="1"/>
        <item x="5"/>
        <item x="4"/>
        <item x="2"/>
        <item x="3"/>
        <item x="0"/>
        <item x="7"/>
        <item x="6"/>
        <item x="8"/>
        <item x="9"/>
      </items>
    </pivotField>
  </pivotFields>
  <rowFields count="2">
    <field x="0"/>
    <field x="1"/>
  </row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autoFilter ref="B209:C219" xr:uid="{00000000-0009-0000-0100-000001000000}"/>
  <tableColumns count="2">
    <tableColumn id="1" xr3:uid="{00000000-0010-0000-0000-000001000000}" name="Criterios"/>
    <tableColumn id="2" xr3:uid="{00000000-0010-0000-0000-000002000000}" name="Subcriterios"/>
  </tableColumns>
  <tableStyleInfo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control" Target="../activeX/activeX8.xml"/><Relationship Id="rId18" Type="http://schemas.openxmlformats.org/officeDocument/2006/relationships/control" Target="../activeX/activeX13.xml"/><Relationship Id="rId26" Type="http://schemas.openxmlformats.org/officeDocument/2006/relationships/control" Target="../activeX/activeX21.xml"/><Relationship Id="rId39" Type="http://schemas.openxmlformats.org/officeDocument/2006/relationships/control" Target="../activeX/activeX32.xml"/><Relationship Id="rId21" Type="http://schemas.openxmlformats.org/officeDocument/2006/relationships/control" Target="../activeX/activeX16.xml"/><Relationship Id="rId34" Type="http://schemas.openxmlformats.org/officeDocument/2006/relationships/control" Target="../activeX/activeX27.xml"/><Relationship Id="rId42" Type="http://schemas.openxmlformats.org/officeDocument/2006/relationships/control" Target="../activeX/activeX35.xml"/><Relationship Id="rId47" Type="http://schemas.openxmlformats.org/officeDocument/2006/relationships/control" Target="../activeX/activeX40.xml"/><Relationship Id="rId50" Type="http://schemas.openxmlformats.org/officeDocument/2006/relationships/control" Target="../activeX/activeX43.xml"/><Relationship Id="rId7" Type="http://schemas.openxmlformats.org/officeDocument/2006/relationships/image" Target="../media/image4.emf"/><Relationship Id="rId2" Type="http://schemas.openxmlformats.org/officeDocument/2006/relationships/drawing" Target="../drawings/drawing2.xml"/><Relationship Id="rId16" Type="http://schemas.openxmlformats.org/officeDocument/2006/relationships/control" Target="../activeX/activeX11.xml"/><Relationship Id="rId29" Type="http://schemas.openxmlformats.org/officeDocument/2006/relationships/control" Target="../activeX/activeX23.xml"/><Relationship Id="rId11" Type="http://schemas.openxmlformats.org/officeDocument/2006/relationships/control" Target="../activeX/activeX6.xml"/><Relationship Id="rId24" Type="http://schemas.openxmlformats.org/officeDocument/2006/relationships/control" Target="../activeX/activeX19.xml"/><Relationship Id="rId32" Type="http://schemas.openxmlformats.org/officeDocument/2006/relationships/control" Target="../activeX/activeX25.xml"/><Relationship Id="rId37" Type="http://schemas.openxmlformats.org/officeDocument/2006/relationships/control" Target="../activeX/activeX30.xml"/><Relationship Id="rId40" Type="http://schemas.openxmlformats.org/officeDocument/2006/relationships/control" Target="../activeX/activeX33.xml"/><Relationship Id="rId45" Type="http://schemas.openxmlformats.org/officeDocument/2006/relationships/control" Target="../activeX/activeX38.xml"/><Relationship Id="rId53" Type="http://schemas.openxmlformats.org/officeDocument/2006/relationships/image" Target="../media/image7.emf"/><Relationship Id="rId5" Type="http://schemas.openxmlformats.org/officeDocument/2006/relationships/image" Target="../media/image3.emf"/><Relationship Id="rId10" Type="http://schemas.openxmlformats.org/officeDocument/2006/relationships/control" Target="../activeX/activeX5.xml"/><Relationship Id="rId19" Type="http://schemas.openxmlformats.org/officeDocument/2006/relationships/control" Target="../activeX/activeX14.xml"/><Relationship Id="rId31" Type="http://schemas.openxmlformats.org/officeDocument/2006/relationships/image" Target="../media/image6.emf"/><Relationship Id="rId44" Type="http://schemas.openxmlformats.org/officeDocument/2006/relationships/control" Target="../activeX/activeX37.xml"/><Relationship Id="rId52" Type="http://schemas.openxmlformats.org/officeDocument/2006/relationships/control" Target="../activeX/activeX45.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9.xml"/><Relationship Id="rId22" Type="http://schemas.openxmlformats.org/officeDocument/2006/relationships/control" Target="../activeX/activeX17.xml"/><Relationship Id="rId27" Type="http://schemas.openxmlformats.org/officeDocument/2006/relationships/control" Target="../activeX/activeX22.xml"/><Relationship Id="rId30" Type="http://schemas.openxmlformats.org/officeDocument/2006/relationships/control" Target="../activeX/activeX24.xml"/><Relationship Id="rId35" Type="http://schemas.openxmlformats.org/officeDocument/2006/relationships/control" Target="../activeX/activeX28.xml"/><Relationship Id="rId43" Type="http://schemas.openxmlformats.org/officeDocument/2006/relationships/control" Target="../activeX/activeX36.xml"/><Relationship Id="rId48" Type="http://schemas.openxmlformats.org/officeDocument/2006/relationships/control" Target="../activeX/activeX41.xml"/><Relationship Id="rId8" Type="http://schemas.openxmlformats.org/officeDocument/2006/relationships/control" Target="../activeX/activeX3.xml"/><Relationship Id="rId51" Type="http://schemas.openxmlformats.org/officeDocument/2006/relationships/control" Target="../activeX/activeX44.xml"/><Relationship Id="rId3" Type="http://schemas.openxmlformats.org/officeDocument/2006/relationships/vmlDrawing" Target="../drawings/vmlDrawing1.vml"/><Relationship Id="rId12" Type="http://schemas.openxmlformats.org/officeDocument/2006/relationships/control" Target="../activeX/activeX7.xml"/><Relationship Id="rId17" Type="http://schemas.openxmlformats.org/officeDocument/2006/relationships/control" Target="../activeX/activeX12.xml"/><Relationship Id="rId25" Type="http://schemas.openxmlformats.org/officeDocument/2006/relationships/control" Target="../activeX/activeX20.xml"/><Relationship Id="rId33" Type="http://schemas.openxmlformats.org/officeDocument/2006/relationships/control" Target="../activeX/activeX26.xml"/><Relationship Id="rId38" Type="http://schemas.openxmlformats.org/officeDocument/2006/relationships/control" Target="../activeX/activeX31.xml"/><Relationship Id="rId46" Type="http://schemas.openxmlformats.org/officeDocument/2006/relationships/control" Target="../activeX/activeX39.xml"/><Relationship Id="rId20" Type="http://schemas.openxmlformats.org/officeDocument/2006/relationships/control" Target="../activeX/activeX15.xml"/><Relationship Id="rId41" Type="http://schemas.openxmlformats.org/officeDocument/2006/relationships/control" Target="../activeX/activeX34.xml"/><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control" Target="../activeX/activeX10.xml"/><Relationship Id="rId23" Type="http://schemas.openxmlformats.org/officeDocument/2006/relationships/control" Target="../activeX/activeX18.xml"/><Relationship Id="rId28" Type="http://schemas.openxmlformats.org/officeDocument/2006/relationships/image" Target="../media/image5.emf"/><Relationship Id="rId36" Type="http://schemas.openxmlformats.org/officeDocument/2006/relationships/control" Target="../activeX/activeX29.xml"/><Relationship Id="rId49" Type="http://schemas.openxmlformats.org/officeDocument/2006/relationships/control" Target="../activeX/activeX4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45"/>
  <sheetViews>
    <sheetView zoomScaleNormal="100" workbookViewId="0">
      <selection activeCell="B40" sqref="B40:H40"/>
    </sheetView>
  </sheetViews>
  <sheetFormatPr baseColWidth="10" defaultColWidth="11.44140625" defaultRowHeight="14.4" x14ac:dyDescent="0.3"/>
  <cols>
    <col min="1" max="1" width="2.88671875" style="1" customWidth="1"/>
    <col min="2" max="3" width="24.6640625" style="1" customWidth="1"/>
    <col min="4" max="4" width="16" style="1" customWidth="1"/>
    <col min="5" max="5" width="24.6640625" style="1" customWidth="1"/>
    <col min="6" max="6" width="27.6640625" style="1" customWidth="1"/>
    <col min="7" max="8" width="24.6640625" style="1" customWidth="1"/>
    <col min="9" max="16384" width="11.44140625" style="1"/>
  </cols>
  <sheetData>
    <row r="2" spans="2:8" ht="18" customHeight="1" x14ac:dyDescent="0.3">
      <c r="B2" s="255" t="s">
        <v>0</v>
      </c>
      <c r="C2" s="255"/>
      <c r="D2" s="255"/>
      <c r="E2" s="255"/>
      <c r="F2" s="255"/>
      <c r="G2" s="255"/>
      <c r="H2" s="255"/>
    </row>
    <row r="3" spans="2:8" x14ac:dyDescent="0.3">
      <c r="B3" s="2"/>
      <c r="C3" s="3"/>
      <c r="D3" s="3"/>
      <c r="E3" s="3"/>
      <c r="F3" s="3"/>
      <c r="G3" s="3"/>
      <c r="H3" s="4"/>
    </row>
    <row r="4" spans="2:8" ht="63" customHeight="1" x14ac:dyDescent="0.3">
      <c r="B4" s="256" t="s">
        <v>1</v>
      </c>
      <c r="C4" s="256"/>
      <c r="D4" s="256"/>
      <c r="E4" s="256"/>
      <c r="F4" s="256"/>
      <c r="G4" s="256"/>
      <c r="H4" s="256"/>
    </row>
    <row r="5" spans="2:8" ht="63" customHeight="1" x14ac:dyDescent="0.3">
      <c r="B5" s="256"/>
      <c r="C5" s="256"/>
      <c r="D5" s="256"/>
      <c r="E5" s="256"/>
      <c r="F5" s="256"/>
      <c r="G5" s="256"/>
      <c r="H5" s="256"/>
    </row>
    <row r="6" spans="2:8" ht="16.5" customHeight="1" x14ac:dyDescent="0.3">
      <c r="B6" s="257" t="s">
        <v>2</v>
      </c>
      <c r="C6" s="257"/>
      <c r="D6" s="257"/>
      <c r="E6" s="257"/>
      <c r="F6" s="257"/>
      <c r="G6" s="257"/>
      <c r="H6" s="257"/>
    </row>
    <row r="7" spans="2:8" ht="95.25" customHeight="1" x14ac:dyDescent="0.3">
      <c r="B7" s="258" t="s">
        <v>3</v>
      </c>
      <c r="C7" s="258"/>
      <c r="D7" s="258"/>
      <c r="E7" s="258"/>
      <c r="F7" s="258"/>
      <c r="G7" s="258"/>
      <c r="H7" s="258"/>
    </row>
    <row r="8" spans="2:8" x14ac:dyDescent="0.3">
      <c r="B8" s="5"/>
      <c r="C8" s="6"/>
      <c r="D8" s="6"/>
      <c r="E8" s="6"/>
      <c r="F8" s="6"/>
      <c r="G8" s="6"/>
      <c r="H8" s="7"/>
    </row>
    <row r="9" spans="2:8" ht="16.5" customHeight="1" x14ac:dyDescent="0.3">
      <c r="B9" s="259" t="s">
        <v>4</v>
      </c>
      <c r="C9" s="259"/>
      <c r="D9" s="259"/>
      <c r="E9" s="259"/>
      <c r="F9" s="259"/>
      <c r="G9" s="259"/>
      <c r="H9" s="259"/>
    </row>
    <row r="10" spans="2:8" ht="44.25" customHeight="1" x14ac:dyDescent="0.3">
      <c r="B10" s="259"/>
      <c r="C10" s="259"/>
      <c r="D10" s="259"/>
      <c r="E10" s="259"/>
      <c r="F10" s="259"/>
      <c r="G10" s="259"/>
      <c r="H10" s="259"/>
    </row>
    <row r="11" spans="2:8" x14ac:dyDescent="0.3">
      <c r="B11" s="8"/>
      <c r="C11" s="9"/>
      <c r="D11" s="10"/>
      <c r="E11" s="11"/>
      <c r="F11" s="11"/>
      <c r="G11" s="11"/>
      <c r="H11" s="12"/>
    </row>
    <row r="12" spans="2:8" ht="15.75" customHeight="1" x14ac:dyDescent="0.3">
      <c r="B12" s="8"/>
      <c r="C12" s="260" t="s">
        <v>5</v>
      </c>
      <c r="D12" s="260"/>
      <c r="E12" s="261" t="s">
        <v>6</v>
      </c>
      <c r="F12" s="261"/>
      <c r="G12" s="9"/>
      <c r="H12" s="12"/>
    </row>
    <row r="13" spans="2:8" ht="35.25" customHeight="1" x14ac:dyDescent="0.3">
      <c r="B13" s="8"/>
      <c r="C13" s="262" t="s">
        <v>7</v>
      </c>
      <c r="D13" s="262"/>
      <c r="E13" s="263" t="s">
        <v>8</v>
      </c>
      <c r="F13" s="263"/>
      <c r="G13" s="9"/>
      <c r="H13" s="12"/>
    </row>
    <row r="14" spans="2:8" ht="17.25" customHeight="1" x14ac:dyDescent="0.3">
      <c r="B14" s="8"/>
      <c r="C14" s="262" t="s">
        <v>9</v>
      </c>
      <c r="D14" s="262"/>
      <c r="E14" s="263" t="s">
        <v>10</v>
      </c>
      <c r="F14" s="263"/>
      <c r="G14" s="9"/>
      <c r="H14" s="12"/>
    </row>
    <row r="15" spans="2:8" ht="19.5" customHeight="1" x14ac:dyDescent="0.3">
      <c r="B15" s="8"/>
      <c r="C15" s="262" t="s">
        <v>11</v>
      </c>
      <c r="D15" s="262"/>
      <c r="E15" s="263" t="s">
        <v>12</v>
      </c>
      <c r="F15" s="263"/>
      <c r="G15" s="9"/>
      <c r="H15" s="12"/>
    </row>
    <row r="16" spans="2:8" ht="69.75" customHeight="1" x14ac:dyDescent="0.3">
      <c r="B16" s="8"/>
      <c r="C16" s="262" t="s">
        <v>13</v>
      </c>
      <c r="D16" s="262"/>
      <c r="E16" s="263" t="s">
        <v>14</v>
      </c>
      <c r="F16" s="263"/>
      <c r="G16" s="9"/>
      <c r="H16" s="12"/>
    </row>
    <row r="17" spans="2:8" ht="34.5" customHeight="1" x14ac:dyDescent="0.3">
      <c r="B17" s="8"/>
      <c r="C17" s="264" t="s">
        <v>15</v>
      </c>
      <c r="D17" s="264"/>
      <c r="E17" s="265" t="s">
        <v>16</v>
      </c>
      <c r="F17" s="265"/>
      <c r="G17" s="9"/>
      <c r="H17" s="12"/>
    </row>
    <row r="18" spans="2:8" ht="27.75" customHeight="1" x14ac:dyDescent="0.3">
      <c r="B18" s="8"/>
      <c r="C18" s="264" t="s">
        <v>17</v>
      </c>
      <c r="D18" s="264"/>
      <c r="E18" s="265" t="s">
        <v>18</v>
      </c>
      <c r="F18" s="265"/>
      <c r="G18" s="9"/>
      <c r="H18" s="12"/>
    </row>
    <row r="19" spans="2:8" ht="28.5" customHeight="1" x14ac:dyDescent="0.3">
      <c r="B19" s="8"/>
      <c r="C19" s="264" t="s">
        <v>19</v>
      </c>
      <c r="D19" s="264"/>
      <c r="E19" s="265" t="s">
        <v>20</v>
      </c>
      <c r="F19" s="265"/>
      <c r="G19" s="9"/>
      <c r="H19" s="12"/>
    </row>
    <row r="20" spans="2:8" ht="72.75" customHeight="1" x14ac:dyDescent="0.3">
      <c r="B20" s="8"/>
      <c r="C20" s="264" t="s">
        <v>21</v>
      </c>
      <c r="D20" s="264"/>
      <c r="E20" s="265" t="s">
        <v>22</v>
      </c>
      <c r="F20" s="265"/>
      <c r="G20" s="9"/>
      <c r="H20" s="12"/>
    </row>
    <row r="21" spans="2:8" ht="64.5" customHeight="1" x14ac:dyDescent="0.3">
      <c r="B21" s="8"/>
      <c r="C21" s="264" t="s">
        <v>23</v>
      </c>
      <c r="D21" s="264"/>
      <c r="E21" s="265" t="s">
        <v>24</v>
      </c>
      <c r="F21" s="265"/>
      <c r="G21" s="9"/>
      <c r="H21" s="12"/>
    </row>
    <row r="22" spans="2:8" ht="71.25" customHeight="1" x14ac:dyDescent="0.3">
      <c r="B22" s="8"/>
      <c r="C22" s="264" t="s">
        <v>25</v>
      </c>
      <c r="D22" s="264"/>
      <c r="E22" s="265" t="s">
        <v>26</v>
      </c>
      <c r="F22" s="265"/>
      <c r="G22" s="9"/>
      <c r="H22" s="12"/>
    </row>
    <row r="23" spans="2:8" ht="55.5" customHeight="1" x14ac:dyDescent="0.3">
      <c r="B23" s="8"/>
      <c r="C23" s="264" t="s">
        <v>27</v>
      </c>
      <c r="D23" s="264"/>
      <c r="E23" s="265" t="s">
        <v>28</v>
      </c>
      <c r="F23" s="265"/>
      <c r="G23" s="9"/>
      <c r="H23" s="12"/>
    </row>
    <row r="24" spans="2:8" ht="42" customHeight="1" x14ac:dyDescent="0.3">
      <c r="B24" s="8"/>
      <c r="C24" s="264" t="s">
        <v>29</v>
      </c>
      <c r="D24" s="264"/>
      <c r="E24" s="265" t="s">
        <v>30</v>
      </c>
      <c r="F24" s="265"/>
      <c r="G24" s="9"/>
      <c r="H24" s="12"/>
    </row>
    <row r="25" spans="2:8" ht="59.25" customHeight="1" x14ac:dyDescent="0.3">
      <c r="B25" s="8"/>
      <c r="C25" s="264" t="s">
        <v>31</v>
      </c>
      <c r="D25" s="264"/>
      <c r="E25" s="265" t="s">
        <v>32</v>
      </c>
      <c r="F25" s="265"/>
      <c r="G25" s="9"/>
      <c r="H25" s="12"/>
    </row>
    <row r="26" spans="2:8" ht="23.25" customHeight="1" x14ac:dyDescent="0.3">
      <c r="B26" s="8"/>
      <c r="C26" s="264" t="s">
        <v>33</v>
      </c>
      <c r="D26" s="264"/>
      <c r="E26" s="265" t="s">
        <v>34</v>
      </c>
      <c r="F26" s="265"/>
      <c r="G26" s="9"/>
      <c r="H26" s="12"/>
    </row>
    <row r="27" spans="2:8" ht="30.75" customHeight="1" x14ac:dyDescent="0.3">
      <c r="B27" s="8"/>
      <c r="C27" s="264" t="s">
        <v>35</v>
      </c>
      <c r="D27" s="264"/>
      <c r="E27" s="265" t="s">
        <v>36</v>
      </c>
      <c r="F27" s="265"/>
      <c r="G27" s="9"/>
      <c r="H27" s="12"/>
    </row>
    <row r="28" spans="2:8" ht="35.25" customHeight="1" x14ac:dyDescent="0.3">
      <c r="B28" s="8"/>
      <c r="C28" s="264" t="s">
        <v>37</v>
      </c>
      <c r="D28" s="264"/>
      <c r="E28" s="265" t="s">
        <v>38</v>
      </c>
      <c r="F28" s="265"/>
      <c r="G28" s="9"/>
      <c r="H28" s="12"/>
    </row>
    <row r="29" spans="2:8" ht="33" customHeight="1" x14ac:dyDescent="0.3">
      <c r="B29" s="8"/>
      <c r="C29" s="264" t="s">
        <v>37</v>
      </c>
      <c r="D29" s="264"/>
      <c r="E29" s="265" t="s">
        <v>38</v>
      </c>
      <c r="F29" s="265"/>
      <c r="G29" s="9"/>
      <c r="H29" s="12"/>
    </row>
    <row r="30" spans="2:8" ht="30" customHeight="1" x14ac:dyDescent="0.3">
      <c r="B30" s="8"/>
      <c r="C30" s="264" t="s">
        <v>39</v>
      </c>
      <c r="D30" s="264"/>
      <c r="E30" s="265" t="s">
        <v>40</v>
      </c>
      <c r="F30" s="265"/>
      <c r="G30" s="9"/>
      <c r="H30" s="12"/>
    </row>
    <row r="31" spans="2:8" ht="35.25" customHeight="1" x14ac:dyDescent="0.3">
      <c r="B31" s="8"/>
      <c r="C31" s="264" t="s">
        <v>41</v>
      </c>
      <c r="D31" s="264"/>
      <c r="E31" s="265" t="s">
        <v>42</v>
      </c>
      <c r="F31" s="265"/>
      <c r="G31" s="9"/>
      <c r="H31" s="12"/>
    </row>
    <row r="32" spans="2:8" ht="31.5" customHeight="1" x14ac:dyDescent="0.3">
      <c r="B32" s="8"/>
      <c r="C32" s="264" t="s">
        <v>43</v>
      </c>
      <c r="D32" s="264"/>
      <c r="E32" s="265" t="s">
        <v>44</v>
      </c>
      <c r="F32" s="265"/>
      <c r="G32" s="9"/>
      <c r="H32" s="12"/>
    </row>
    <row r="33" spans="2:8" ht="35.25" customHeight="1" x14ac:dyDescent="0.3">
      <c r="B33" s="8"/>
      <c r="C33" s="264" t="s">
        <v>45</v>
      </c>
      <c r="D33" s="264"/>
      <c r="E33" s="265" t="s">
        <v>46</v>
      </c>
      <c r="F33" s="265"/>
      <c r="G33" s="9"/>
      <c r="H33" s="12"/>
    </row>
    <row r="34" spans="2:8" ht="59.25" customHeight="1" x14ac:dyDescent="0.3">
      <c r="B34" s="8"/>
      <c r="C34" s="264" t="s">
        <v>47</v>
      </c>
      <c r="D34" s="264"/>
      <c r="E34" s="265" t="s">
        <v>48</v>
      </c>
      <c r="F34" s="265"/>
      <c r="G34" s="9"/>
      <c r="H34" s="12"/>
    </row>
    <row r="35" spans="2:8" ht="29.25" customHeight="1" x14ac:dyDescent="0.3">
      <c r="B35" s="8"/>
      <c r="C35" s="264" t="s">
        <v>49</v>
      </c>
      <c r="D35" s="264"/>
      <c r="E35" s="265" t="s">
        <v>50</v>
      </c>
      <c r="F35" s="265"/>
      <c r="G35" s="9"/>
      <c r="H35" s="12"/>
    </row>
    <row r="36" spans="2:8" ht="82.5" customHeight="1" x14ac:dyDescent="0.3">
      <c r="B36" s="8"/>
      <c r="C36" s="264" t="s">
        <v>51</v>
      </c>
      <c r="D36" s="264"/>
      <c r="E36" s="265" t="s">
        <v>52</v>
      </c>
      <c r="F36" s="265"/>
      <c r="G36" s="9"/>
      <c r="H36" s="12"/>
    </row>
    <row r="37" spans="2:8" ht="46.5" customHeight="1" x14ac:dyDescent="0.3">
      <c r="B37" s="8"/>
      <c r="C37" s="264" t="s">
        <v>53</v>
      </c>
      <c r="D37" s="264"/>
      <c r="E37" s="265" t="s">
        <v>54</v>
      </c>
      <c r="F37" s="265"/>
      <c r="G37" s="9"/>
      <c r="H37" s="12"/>
    </row>
    <row r="38" spans="2:8" ht="6.75" customHeight="1" x14ac:dyDescent="0.3">
      <c r="B38" s="8"/>
      <c r="C38" s="266"/>
      <c r="D38" s="266"/>
      <c r="E38" s="267"/>
      <c r="F38" s="267"/>
      <c r="G38" s="9"/>
      <c r="H38" s="12"/>
    </row>
    <row r="39" spans="2:8" x14ac:dyDescent="0.3">
      <c r="B39" s="8"/>
      <c r="C39" s="13"/>
      <c r="D39" s="13"/>
      <c r="E39" s="14"/>
      <c r="F39" s="14"/>
      <c r="G39" s="9"/>
      <c r="H39" s="12"/>
    </row>
    <row r="40" spans="2:8" ht="21" customHeight="1" x14ac:dyDescent="0.3">
      <c r="B40" s="268" t="s">
        <v>55</v>
      </c>
      <c r="C40" s="268"/>
      <c r="D40" s="268"/>
      <c r="E40" s="268"/>
      <c r="F40" s="268"/>
      <c r="G40" s="268"/>
      <c r="H40" s="268"/>
    </row>
    <row r="41" spans="2:8" ht="20.25" customHeight="1" x14ac:dyDescent="0.3">
      <c r="B41" s="268" t="s">
        <v>56</v>
      </c>
      <c r="C41" s="268"/>
      <c r="D41" s="268"/>
      <c r="E41" s="268"/>
      <c r="F41" s="268"/>
      <c r="G41" s="268"/>
      <c r="H41" s="268"/>
    </row>
    <row r="42" spans="2:8" ht="20.25" customHeight="1" x14ac:dyDescent="0.3">
      <c r="B42" s="268" t="s">
        <v>57</v>
      </c>
      <c r="C42" s="268"/>
      <c r="D42" s="268"/>
      <c r="E42" s="268"/>
      <c r="F42" s="268"/>
      <c r="G42" s="268"/>
      <c r="H42" s="268"/>
    </row>
    <row r="43" spans="2:8" ht="20.25" customHeight="1" x14ac:dyDescent="0.3">
      <c r="B43" s="268" t="s">
        <v>58</v>
      </c>
      <c r="C43" s="268"/>
      <c r="D43" s="268"/>
      <c r="E43" s="268"/>
      <c r="F43" s="268"/>
      <c r="G43" s="268"/>
      <c r="H43" s="268"/>
    </row>
    <row r="44" spans="2:8" ht="15" customHeight="1" x14ac:dyDescent="0.3">
      <c r="B44" s="268" t="s">
        <v>59</v>
      </c>
      <c r="C44" s="268"/>
      <c r="D44" s="268"/>
      <c r="E44" s="268"/>
      <c r="F44" s="268"/>
      <c r="G44" s="268"/>
      <c r="H44" s="268"/>
    </row>
    <row r="45" spans="2:8" x14ac:dyDescent="0.3">
      <c r="B45" s="15"/>
      <c r="C45" s="16"/>
      <c r="D45" s="16"/>
      <c r="E45" s="16"/>
      <c r="F45" s="16"/>
      <c r="G45" s="16"/>
      <c r="H45" s="17"/>
    </row>
  </sheetData>
  <mergeCells count="64">
    <mergeCell ref="B40:H40"/>
    <mergeCell ref="B41:H41"/>
    <mergeCell ref="B42:H42"/>
    <mergeCell ref="B43:H43"/>
    <mergeCell ref="B44:H44"/>
    <mergeCell ref="C36:D36"/>
    <mergeCell ref="E36:F36"/>
    <mergeCell ref="C37:D37"/>
    <mergeCell ref="E37:F37"/>
    <mergeCell ref="C38:D38"/>
    <mergeCell ref="E38:F38"/>
    <mergeCell ref="C33:D33"/>
    <mergeCell ref="E33:F33"/>
    <mergeCell ref="C34:D34"/>
    <mergeCell ref="E34:F34"/>
    <mergeCell ref="C35:D35"/>
    <mergeCell ref="E35:F35"/>
    <mergeCell ref="C30:D30"/>
    <mergeCell ref="E30:F30"/>
    <mergeCell ref="C31:D31"/>
    <mergeCell ref="E31:F31"/>
    <mergeCell ref="C32:D32"/>
    <mergeCell ref="E32:F32"/>
    <mergeCell ref="C27:D27"/>
    <mergeCell ref="E27:F27"/>
    <mergeCell ref="C28:D28"/>
    <mergeCell ref="E28:F28"/>
    <mergeCell ref="C29:D29"/>
    <mergeCell ref="E29:F29"/>
    <mergeCell ref="C24:D24"/>
    <mergeCell ref="E24:F24"/>
    <mergeCell ref="C25:D25"/>
    <mergeCell ref="E25:F25"/>
    <mergeCell ref="C26:D26"/>
    <mergeCell ref="E26:F26"/>
    <mergeCell ref="C21:D21"/>
    <mergeCell ref="E21:F21"/>
    <mergeCell ref="C22:D22"/>
    <mergeCell ref="E22:F22"/>
    <mergeCell ref="C23:D23"/>
    <mergeCell ref="E23:F23"/>
    <mergeCell ref="C18:D18"/>
    <mergeCell ref="E18:F18"/>
    <mergeCell ref="C19:D19"/>
    <mergeCell ref="E19:F19"/>
    <mergeCell ref="C20:D20"/>
    <mergeCell ref="E20:F20"/>
    <mergeCell ref="C15:D15"/>
    <mergeCell ref="E15:F15"/>
    <mergeCell ref="C16:D16"/>
    <mergeCell ref="E16:F16"/>
    <mergeCell ref="C17:D17"/>
    <mergeCell ref="E17:F17"/>
    <mergeCell ref="C12:D12"/>
    <mergeCell ref="E12:F12"/>
    <mergeCell ref="C13:D13"/>
    <mergeCell ref="E13:F13"/>
    <mergeCell ref="C14:D14"/>
    <mergeCell ref="E14:F14"/>
    <mergeCell ref="B2:H2"/>
    <mergeCell ref="B4:H5"/>
    <mergeCell ref="B6:H6"/>
    <mergeCell ref="B7:H7"/>
    <mergeCell ref="B9:H10"/>
  </mergeCells>
  <pageMargins left="0.7" right="0.7" top="0.75" bottom="0.75" header="0.511811023622047" footer="0.511811023622047"/>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04A7B"/>
  </sheetPr>
  <dimension ref="B1:F16"/>
  <sheetViews>
    <sheetView topLeftCell="B1" zoomScaleNormal="100" workbookViewId="0">
      <selection activeCell="K4" sqref="K4"/>
    </sheetView>
  </sheetViews>
  <sheetFormatPr baseColWidth="10" defaultColWidth="14.33203125" defaultRowHeight="13.8" x14ac:dyDescent="0.3"/>
  <cols>
    <col min="1" max="2" width="14.33203125" style="150"/>
    <col min="3" max="3" width="17" style="150" customWidth="1"/>
    <col min="4" max="4" width="14.33203125" style="150"/>
    <col min="5" max="5" width="46" style="150" customWidth="1"/>
    <col min="6" max="16384" width="14.33203125" style="150"/>
  </cols>
  <sheetData>
    <row r="1" spans="2:6" ht="24" customHeight="1" x14ac:dyDescent="0.3">
      <c r="B1" s="510" t="s">
        <v>190</v>
      </c>
      <c r="C1" s="510"/>
      <c r="D1" s="510"/>
      <c r="E1" s="510"/>
      <c r="F1" s="510"/>
    </row>
    <row r="2" spans="2:6" ht="15.6" x14ac:dyDescent="0.3">
      <c r="B2" s="151"/>
      <c r="C2" s="151"/>
      <c r="D2" s="151"/>
      <c r="E2" s="151"/>
      <c r="F2" s="151"/>
    </row>
    <row r="3" spans="2:6" ht="16.5" customHeight="1" x14ac:dyDescent="0.3">
      <c r="B3" s="511" t="s">
        <v>191</v>
      </c>
      <c r="C3" s="511"/>
      <c r="D3" s="511"/>
      <c r="E3" s="152" t="s">
        <v>192</v>
      </c>
      <c r="F3" s="153" t="s">
        <v>193</v>
      </c>
    </row>
    <row r="4" spans="2:6" ht="31.5" customHeight="1" x14ac:dyDescent="0.3">
      <c r="B4" s="512" t="s">
        <v>194</v>
      </c>
      <c r="C4" s="513" t="s">
        <v>91</v>
      </c>
      <c r="D4" s="154" t="s">
        <v>102</v>
      </c>
      <c r="E4" s="155" t="s">
        <v>195</v>
      </c>
      <c r="F4" s="156">
        <v>0.25</v>
      </c>
    </row>
    <row r="5" spans="2:6" ht="46.8" x14ac:dyDescent="0.3">
      <c r="B5" s="512"/>
      <c r="C5" s="513"/>
      <c r="D5" s="157" t="s">
        <v>116</v>
      </c>
      <c r="E5" s="158" t="s">
        <v>196</v>
      </c>
      <c r="F5" s="159">
        <v>0.15</v>
      </c>
    </row>
    <row r="6" spans="2:6" ht="46.8" x14ac:dyDescent="0.3">
      <c r="B6" s="512"/>
      <c r="C6" s="513"/>
      <c r="D6" s="157" t="s">
        <v>121</v>
      </c>
      <c r="E6" s="158" t="s">
        <v>197</v>
      </c>
      <c r="F6" s="159">
        <v>0.1</v>
      </c>
    </row>
    <row r="7" spans="2:6" ht="63" customHeight="1" x14ac:dyDescent="0.3">
      <c r="B7" s="512"/>
      <c r="C7" s="514" t="s">
        <v>92</v>
      </c>
      <c r="D7" s="157" t="s">
        <v>198</v>
      </c>
      <c r="E7" s="158" t="s">
        <v>199</v>
      </c>
      <c r="F7" s="159">
        <v>0.25</v>
      </c>
    </row>
    <row r="8" spans="2:6" ht="31.2" x14ac:dyDescent="0.3">
      <c r="B8" s="512"/>
      <c r="C8" s="514"/>
      <c r="D8" s="157" t="s">
        <v>103</v>
      </c>
      <c r="E8" s="158" t="s">
        <v>200</v>
      </c>
      <c r="F8" s="159">
        <v>0.15</v>
      </c>
    </row>
    <row r="9" spans="2:6" ht="47.25" customHeight="1" x14ac:dyDescent="0.3">
      <c r="B9" s="515" t="s">
        <v>201</v>
      </c>
      <c r="C9" s="514" t="s">
        <v>94</v>
      </c>
      <c r="D9" s="157" t="s">
        <v>122</v>
      </c>
      <c r="E9" s="158" t="s">
        <v>202</v>
      </c>
      <c r="F9" s="160" t="s">
        <v>203</v>
      </c>
    </row>
    <row r="10" spans="2:6" ht="46.8" x14ac:dyDescent="0.3">
      <c r="B10" s="515"/>
      <c r="C10" s="514"/>
      <c r="D10" s="157" t="s">
        <v>104</v>
      </c>
      <c r="E10" s="158" t="s">
        <v>204</v>
      </c>
      <c r="F10" s="160" t="s">
        <v>203</v>
      </c>
    </row>
    <row r="11" spans="2:6" ht="47.25" customHeight="1" x14ac:dyDescent="0.3">
      <c r="B11" s="515"/>
      <c r="C11" s="514" t="s">
        <v>95</v>
      </c>
      <c r="D11" s="157" t="s">
        <v>105</v>
      </c>
      <c r="E11" s="158" t="s">
        <v>205</v>
      </c>
      <c r="F11" s="160" t="s">
        <v>203</v>
      </c>
    </row>
    <row r="12" spans="2:6" ht="46.8" x14ac:dyDescent="0.3">
      <c r="B12" s="515"/>
      <c r="C12" s="514"/>
      <c r="D12" s="157" t="s">
        <v>206</v>
      </c>
      <c r="E12" s="158" t="s">
        <v>207</v>
      </c>
      <c r="F12" s="160" t="s">
        <v>203</v>
      </c>
    </row>
    <row r="13" spans="2:6" ht="31.5" customHeight="1" x14ac:dyDescent="0.3">
      <c r="B13" s="515"/>
      <c r="C13" s="516" t="s">
        <v>96</v>
      </c>
      <c r="D13" s="157" t="s">
        <v>112</v>
      </c>
      <c r="E13" s="158" t="s">
        <v>208</v>
      </c>
      <c r="F13" s="160" t="s">
        <v>203</v>
      </c>
    </row>
    <row r="14" spans="2:6" ht="15.6" x14ac:dyDescent="0.3">
      <c r="B14" s="515"/>
      <c r="C14" s="516"/>
      <c r="D14" s="161" t="s">
        <v>106</v>
      </c>
      <c r="E14" s="162" t="s">
        <v>209</v>
      </c>
      <c r="F14" s="163" t="s">
        <v>203</v>
      </c>
    </row>
    <row r="15" spans="2:6" ht="49.5" customHeight="1" x14ac:dyDescent="0.3">
      <c r="B15" s="517" t="s">
        <v>210</v>
      </c>
      <c r="C15" s="517"/>
      <c r="D15" s="517"/>
      <c r="E15" s="517"/>
      <c r="F15" s="517"/>
    </row>
    <row r="16" spans="2:6" ht="27" customHeight="1" x14ac:dyDescent="0.3">
      <c r="B16" s="164"/>
    </row>
  </sheetData>
  <mergeCells count="10">
    <mergeCell ref="B9:B14"/>
    <mergeCell ref="C9:C10"/>
    <mergeCell ref="C11:C12"/>
    <mergeCell ref="C13:C14"/>
    <mergeCell ref="B15:F15"/>
    <mergeCell ref="B1:F1"/>
    <mergeCell ref="B3:D3"/>
    <mergeCell ref="B4:B8"/>
    <mergeCell ref="C4:C6"/>
    <mergeCell ref="C7:C8"/>
  </mergeCells>
  <pageMargins left="0.7" right="0.7" top="0.75" bottom="0.75" header="0.511811023622047" footer="0.511811023622047"/>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zoomScaleNormal="100" workbookViewId="0"/>
  </sheetViews>
  <sheetFormatPr baseColWidth="10" defaultColWidth="10.6640625" defaultRowHeight="14.4" x14ac:dyDescent="0.3"/>
  <sheetData>
    <row r="2" spans="2:5" x14ac:dyDescent="0.3">
      <c r="B2" t="s">
        <v>211</v>
      </c>
      <c r="E2" t="s">
        <v>212</v>
      </c>
    </row>
    <row r="3" spans="2:5" x14ac:dyDescent="0.3">
      <c r="B3" t="s">
        <v>213</v>
      </c>
      <c r="E3" t="s">
        <v>97</v>
      </c>
    </row>
    <row r="4" spans="2:5" x14ac:dyDescent="0.3">
      <c r="B4" t="s">
        <v>107</v>
      </c>
      <c r="E4" t="s">
        <v>214</v>
      </c>
    </row>
    <row r="5" spans="2:5" x14ac:dyDescent="0.3">
      <c r="B5" t="s">
        <v>113</v>
      </c>
    </row>
    <row r="8" spans="2:5" x14ac:dyDescent="0.3">
      <c r="B8" t="s">
        <v>215</v>
      </c>
    </row>
    <row r="9" spans="2:5" x14ac:dyDescent="0.3">
      <c r="B9" t="s">
        <v>216</v>
      </c>
    </row>
    <row r="10" spans="2:5" x14ac:dyDescent="0.3">
      <c r="B10" t="s">
        <v>217</v>
      </c>
    </row>
    <row r="13" spans="2:5" x14ac:dyDescent="0.3">
      <c r="B13" t="s">
        <v>218</v>
      </c>
    </row>
    <row r="14" spans="2:5" x14ac:dyDescent="0.3">
      <c r="B14" t="s">
        <v>110</v>
      </c>
    </row>
    <row r="15" spans="2:5" x14ac:dyDescent="0.3">
      <c r="B15" t="s">
        <v>219</v>
      </c>
    </row>
    <row r="16" spans="2:5" x14ac:dyDescent="0.3">
      <c r="B16" t="s">
        <v>220</v>
      </c>
    </row>
    <row r="17" spans="2:2" x14ac:dyDescent="0.3">
      <c r="B17" t="s">
        <v>221</v>
      </c>
    </row>
    <row r="18" spans="2:2" x14ac:dyDescent="0.3">
      <c r="B18" t="s">
        <v>222</v>
      </c>
    </row>
    <row r="19" spans="2:2" x14ac:dyDescent="0.3">
      <c r="B19" t="s">
        <v>100</v>
      </c>
    </row>
  </sheetData>
  <pageMargins left="0.7" right="0.7" top="0.75" bottom="0.75" header="0.511811023622047" footer="0.511811023622047"/>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zoomScaleNormal="100" workbookViewId="0"/>
  </sheetViews>
  <sheetFormatPr baseColWidth="10" defaultColWidth="11.44140625" defaultRowHeight="13.8" x14ac:dyDescent="0.3"/>
  <cols>
    <col min="1" max="1" width="32.88671875" style="165" customWidth="1"/>
    <col min="2" max="16384" width="11.44140625" style="165"/>
  </cols>
  <sheetData>
    <row r="3" spans="1:1" x14ac:dyDescent="0.3">
      <c r="A3" s="166" t="s">
        <v>102</v>
      </c>
    </row>
    <row r="4" spans="1:1" x14ac:dyDescent="0.3">
      <c r="A4" s="166" t="s">
        <v>116</v>
      </c>
    </row>
    <row r="5" spans="1:1" x14ac:dyDescent="0.3">
      <c r="A5" s="166" t="s">
        <v>121</v>
      </c>
    </row>
    <row r="6" spans="1:1" x14ac:dyDescent="0.3">
      <c r="A6" s="166" t="s">
        <v>198</v>
      </c>
    </row>
    <row r="7" spans="1:1" x14ac:dyDescent="0.3">
      <c r="A7" s="166" t="s">
        <v>103</v>
      </c>
    </row>
    <row r="8" spans="1:1" x14ac:dyDescent="0.3">
      <c r="A8" s="166" t="s">
        <v>122</v>
      </c>
    </row>
    <row r="9" spans="1:1" x14ac:dyDescent="0.3">
      <c r="A9" s="166" t="s">
        <v>104</v>
      </c>
    </row>
    <row r="10" spans="1:1" x14ac:dyDescent="0.3">
      <c r="A10" s="166" t="s">
        <v>105</v>
      </c>
    </row>
    <row r="11" spans="1:1" x14ac:dyDescent="0.3">
      <c r="A11" s="166" t="s">
        <v>206</v>
      </c>
    </row>
    <row r="12" spans="1:1" x14ac:dyDescent="0.3">
      <c r="A12" s="166" t="s">
        <v>223</v>
      </c>
    </row>
    <row r="13" spans="1:1" x14ac:dyDescent="0.3">
      <c r="A13" s="166" t="s">
        <v>224</v>
      </c>
    </row>
    <row r="14" spans="1:1" x14ac:dyDescent="0.3">
      <c r="A14" s="166" t="s">
        <v>225</v>
      </c>
    </row>
    <row r="16" spans="1:1" x14ac:dyDescent="0.3">
      <c r="A16" s="166" t="s">
        <v>226</v>
      </c>
    </row>
    <row r="17" spans="1:1" x14ac:dyDescent="0.3">
      <c r="A17" s="166" t="s">
        <v>211</v>
      </c>
    </row>
    <row r="18" spans="1:1" x14ac:dyDescent="0.3">
      <c r="A18" s="166" t="s">
        <v>213</v>
      </c>
    </row>
    <row r="20" spans="1:1" x14ac:dyDescent="0.3">
      <c r="A20" s="166" t="s">
        <v>216</v>
      </c>
    </row>
    <row r="21" spans="1:1" x14ac:dyDescent="0.3">
      <c r="A21" s="166" t="s">
        <v>217</v>
      </c>
    </row>
  </sheetData>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2812A-5162-4EF1-B472-0BD4348111B0}">
  <sheetPr>
    <tabColor rgb="FFFFC000"/>
  </sheetPr>
  <dimension ref="A1:J53"/>
  <sheetViews>
    <sheetView zoomScaleNormal="100" workbookViewId="0">
      <selection activeCell="A8" sqref="A8:F8"/>
    </sheetView>
  </sheetViews>
  <sheetFormatPr baseColWidth="10" defaultColWidth="11.44140625" defaultRowHeight="13.8" x14ac:dyDescent="0.25"/>
  <cols>
    <col min="1" max="1" width="29.44140625" style="173" customWidth="1"/>
    <col min="2" max="2" width="29.109375" style="173" customWidth="1"/>
    <col min="3" max="3" width="30.33203125" style="173" customWidth="1"/>
    <col min="4" max="4" width="31.88671875" style="173" customWidth="1"/>
    <col min="5" max="5" width="32.5546875" style="173" customWidth="1"/>
    <col min="6" max="6" width="32" style="173" customWidth="1"/>
    <col min="7" max="16384" width="11.44140625" style="173"/>
  </cols>
  <sheetData>
    <row r="1" spans="1:10" s="252" customFormat="1" ht="15" customHeight="1" x14ac:dyDescent="0.25">
      <c r="A1" s="284"/>
      <c r="B1" s="286" t="s">
        <v>393</v>
      </c>
      <c r="C1" s="286"/>
      <c r="D1" s="286"/>
      <c r="E1" s="253" t="s">
        <v>389</v>
      </c>
      <c r="F1" s="287"/>
      <c r="G1" s="251"/>
      <c r="J1" s="269"/>
    </row>
    <row r="2" spans="1:10" s="252" customFormat="1" ht="15" customHeight="1" x14ac:dyDescent="0.25">
      <c r="A2" s="285"/>
      <c r="B2" s="270"/>
      <c r="C2" s="270"/>
      <c r="D2" s="270"/>
      <c r="E2" s="254" t="s">
        <v>390</v>
      </c>
      <c r="F2" s="288"/>
      <c r="G2" s="251"/>
      <c r="J2" s="269"/>
    </row>
    <row r="3" spans="1:10" s="252" customFormat="1" ht="15" customHeight="1" x14ac:dyDescent="0.25">
      <c r="A3" s="285"/>
      <c r="B3" s="270" t="s">
        <v>397</v>
      </c>
      <c r="C3" s="270"/>
      <c r="D3" s="270"/>
      <c r="E3" s="254" t="s">
        <v>391</v>
      </c>
      <c r="F3" s="288"/>
      <c r="G3" s="251"/>
      <c r="J3" s="269"/>
    </row>
    <row r="4" spans="1:10" s="252" customFormat="1" ht="15.75" customHeight="1" x14ac:dyDescent="0.25">
      <c r="A4" s="285"/>
      <c r="B4" s="270"/>
      <c r="C4" s="270"/>
      <c r="D4" s="270"/>
      <c r="E4" s="254" t="s">
        <v>392</v>
      </c>
      <c r="F4" s="288"/>
      <c r="G4" s="251"/>
      <c r="J4" s="269"/>
    </row>
    <row r="5" spans="1:10" ht="15.75" customHeight="1" x14ac:dyDescent="0.25">
      <c r="A5" s="271"/>
      <c r="B5" s="272"/>
      <c r="C5" s="272"/>
      <c r="D5" s="272"/>
      <c r="E5" s="272"/>
      <c r="F5" s="273"/>
      <c r="G5" s="172"/>
      <c r="J5" s="174"/>
    </row>
    <row r="6" spans="1:10" ht="15" customHeight="1" x14ac:dyDescent="0.25">
      <c r="A6" s="274" t="s">
        <v>249</v>
      </c>
      <c r="B6" s="275"/>
      <c r="C6" s="275"/>
      <c r="D6" s="275"/>
      <c r="E6" s="275"/>
      <c r="F6" s="276"/>
    </row>
    <row r="7" spans="1:10" ht="15.75" customHeight="1" x14ac:dyDescent="0.25">
      <c r="A7" s="274"/>
      <c r="B7" s="275"/>
      <c r="C7" s="275"/>
      <c r="D7" s="275"/>
      <c r="E7" s="275"/>
      <c r="F7" s="276"/>
    </row>
    <row r="8" spans="1:10" ht="27" customHeight="1" x14ac:dyDescent="0.25">
      <c r="A8" s="277" t="s">
        <v>250</v>
      </c>
      <c r="B8" s="278"/>
      <c r="C8" s="278"/>
      <c r="D8" s="278"/>
      <c r="E8" s="278"/>
      <c r="F8" s="279"/>
    </row>
    <row r="9" spans="1:10" ht="77.25" customHeight="1" thickBot="1" x14ac:dyDescent="0.3">
      <c r="A9" s="280" t="s">
        <v>251</v>
      </c>
      <c r="B9" s="281"/>
      <c r="C9" s="281"/>
      <c r="D9" s="281"/>
      <c r="E9" s="281"/>
      <c r="F9" s="282"/>
    </row>
    <row r="10" spans="1:10" ht="18.75" customHeight="1" thickBot="1" x14ac:dyDescent="0.3">
      <c r="A10" s="283"/>
      <c r="B10" s="283"/>
      <c r="C10" s="283"/>
      <c r="D10" s="283"/>
      <c r="E10" s="283"/>
      <c r="F10" s="283"/>
    </row>
    <row r="11" spans="1:10" ht="22.5" customHeight="1" thickBot="1" x14ac:dyDescent="0.3">
      <c r="A11" s="175" t="s">
        <v>252</v>
      </c>
      <c r="B11" s="176" t="s">
        <v>253</v>
      </c>
      <c r="C11" s="176" t="s">
        <v>254</v>
      </c>
      <c r="D11" s="176" t="s">
        <v>253</v>
      </c>
      <c r="E11" s="176" t="s">
        <v>255</v>
      </c>
      <c r="F11" s="177" t="s">
        <v>253</v>
      </c>
    </row>
    <row r="12" spans="1:10" ht="75" customHeight="1" x14ac:dyDescent="0.25">
      <c r="A12" s="178" t="s">
        <v>256</v>
      </c>
      <c r="B12" s="179" t="s">
        <v>257</v>
      </c>
      <c r="C12" s="180" t="s">
        <v>258</v>
      </c>
      <c r="D12" s="179" t="s">
        <v>259</v>
      </c>
      <c r="E12" s="180" t="s">
        <v>260</v>
      </c>
      <c r="F12" s="181" t="s">
        <v>230</v>
      </c>
    </row>
    <row r="13" spans="1:10" ht="60" customHeight="1" x14ac:dyDescent="0.25">
      <c r="A13" s="182" t="s">
        <v>256</v>
      </c>
      <c r="B13" s="183" t="s">
        <v>261</v>
      </c>
      <c r="C13" s="184" t="s">
        <v>258</v>
      </c>
      <c r="D13" s="185" t="s">
        <v>262</v>
      </c>
      <c r="E13" s="184" t="s">
        <v>263</v>
      </c>
      <c r="F13" s="186" t="s">
        <v>264</v>
      </c>
    </row>
    <row r="14" spans="1:10" ht="82.5" customHeight="1" x14ac:dyDescent="0.25">
      <c r="A14" s="182" t="s">
        <v>265</v>
      </c>
      <c r="B14" s="183" t="s">
        <v>266</v>
      </c>
      <c r="C14" s="184" t="s">
        <v>258</v>
      </c>
      <c r="D14" s="185" t="s">
        <v>267</v>
      </c>
      <c r="E14" s="184" t="s">
        <v>268</v>
      </c>
      <c r="F14" s="186" t="s">
        <v>269</v>
      </c>
    </row>
    <row r="15" spans="1:10" ht="73.5" customHeight="1" x14ac:dyDescent="0.25">
      <c r="A15" s="182" t="s">
        <v>270</v>
      </c>
      <c r="B15" s="185" t="s">
        <v>271</v>
      </c>
      <c r="C15" s="184" t="s">
        <v>272</v>
      </c>
      <c r="D15" s="185" t="s">
        <v>273</v>
      </c>
      <c r="E15" s="184" t="s">
        <v>274</v>
      </c>
      <c r="F15" s="186" t="s">
        <v>275</v>
      </c>
    </row>
    <row r="16" spans="1:10" ht="59.25" customHeight="1" x14ac:dyDescent="0.25">
      <c r="A16" s="182" t="s">
        <v>369</v>
      </c>
      <c r="B16" s="187" t="s">
        <v>368</v>
      </c>
      <c r="C16" s="184" t="s">
        <v>272</v>
      </c>
      <c r="D16" s="185" t="str">
        <f>+'Mapa final'!E10</f>
        <v xml:space="preserve">Falta de continuidad del personal con las competencias administrativas idoneas </v>
      </c>
      <c r="E16" s="184"/>
      <c r="F16" s="188"/>
    </row>
    <row r="17" spans="1:6" ht="69.75" customHeight="1" x14ac:dyDescent="0.25">
      <c r="A17" s="182"/>
      <c r="B17" s="187"/>
      <c r="C17" s="184" t="s">
        <v>272</v>
      </c>
      <c r="D17" s="185" t="s">
        <v>276</v>
      </c>
      <c r="E17" s="184"/>
      <c r="F17" s="188"/>
    </row>
    <row r="18" spans="1:6" ht="66.75" customHeight="1" x14ac:dyDescent="0.25">
      <c r="A18" s="182"/>
      <c r="B18" s="187"/>
      <c r="C18" s="184" t="s">
        <v>272</v>
      </c>
      <c r="D18" s="185" t="s">
        <v>277</v>
      </c>
      <c r="E18" s="184"/>
      <c r="F18" s="188"/>
    </row>
    <row r="19" spans="1:6" ht="73.5" customHeight="1" x14ac:dyDescent="0.25">
      <c r="A19" s="182"/>
      <c r="B19" s="187"/>
      <c r="C19" s="184" t="s">
        <v>278</v>
      </c>
      <c r="D19" s="185" t="s">
        <v>279</v>
      </c>
      <c r="E19" s="184"/>
      <c r="F19" s="188"/>
    </row>
    <row r="20" spans="1:6" ht="65.25" customHeight="1" x14ac:dyDescent="0.25">
      <c r="A20" s="182"/>
      <c r="B20" s="187"/>
      <c r="C20" s="184" t="s">
        <v>278</v>
      </c>
      <c r="D20" s="189" t="s">
        <v>280</v>
      </c>
      <c r="E20" s="184"/>
      <c r="F20" s="188"/>
    </row>
    <row r="21" spans="1:6" ht="66.75" customHeight="1" x14ac:dyDescent="0.25">
      <c r="A21" s="182"/>
      <c r="B21" s="187"/>
      <c r="C21" s="184" t="s">
        <v>272</v>
      </c>
      <c r="D21" s="189" t="s">
        <v>281</v>
      </c>
      <c r="E21" s="184"/>
      <c r="F21" s="188"/>
    </row>
    <row r="22" spans="1:6" ht="69" customHeight="1" x14ac:dyDescent="0.25">
      <c r="A22" s="182"/>
      <c r="B22" s="187"/>
      <c r="C22" s="184" t="s">
        <v>282</v>
      </c>
      <c r="D22" s="189" t="s">
        <v>283</v>
      </c>
      <c r="E22" s="184"/>
      <c r="F22" s="188"/>
    </row>
    <row r="23" spans="1:6" ht="69.75" customHeight="1" x14ac:dyDescent="0.25">
      <c r="A23" s="182"/>
      <c r="B23" s="187"/>
      <c r="C23" s="184" t="s">
        <v>282</v>
      </c>
      <c r="D23" s="189" t="s">
        <v>284</v>
      </c>
      <c r="E23" s="184"/>
      <c r="F23" s="188"/>
    </row>
    <row r="24" spans="1:6" ht="69" x14ac:dyDescent="0.25">
      <c r="A24" s="182"/>
      <c r="B24" s="187"/>
      <c r="C24" s="184" t="s">
        <v>282</v>
      </c>
      <c r="D24" s="189" t="s">
        <v>285</v>
      </c>
      <c r="E24" s="184"/>
      <c r="F24" s="188"/>
    </row>
    <row r="25" spans="1:6" ht="62.25" customHeight="1" x14ac:dyDescent="0.25">
      <c r="A25" s="182"/>
      <c r="B25" s="187"/>
      <c r="C25" s="184" t="s">
        <v>286</v>
      </c>
      <c r="D25" s="189" t="s">
        <v>287</v>
      </c>
      <c r="E25" s="184"/>
      <c r="F25" s="188"/>
    </row>
    <row r="26" spans="1:6" ht="56.25" customHeight="1" thickBot="1" x14ac:dyDescent="0.3">
      <c r="A26" s="190"/>
      <c r="B26" s="191"/>
      <c r="C26" s="192" t="s">
        <v>286</v>
      </c>
      <c r="D26" s="193" t="s">
        <v>288</v>
      </c>
      <c r="E26" s="192"/>
      <c r="F26" s="194"/>
    </row>
    <row r="27" spans="1:6" ht="65.25" customHeight="1" x14ac:dyDescent="0.25">
      <c r="A27" s="195"/>
      <c r="B27" s="196"/>
      <c r="C27" s="195"/>
      <c r="D27" s="197"/>
      <c r="E27" s="195"/>
      <c r="F27" s="197"/>
    </row>
    <row r="28" spans="1:6" ht="62.25" customHeight="1" x14ac:dyDescent="0.25">
      <c r="A28" s="195"/>
      <c r="B28" s="196"/>
      <c r="C28" s="195"/>
      <c r="D28" s="197"/>
      <c r="E28" s="195"/>
      <c r="F28" s="197"/>
    </row>
    <row r="29" spans="1:6" ht="63" customHeight="1" x14ac:dyDescent="0.25">
      <c r="A29" s="195"/>
      <c r="B29" s="196"/>
      <c r="C29" s="195"/>
      <c r="D29" s="197"/>
      <c r="E29" s="195"/>
      <c r="F29" s="196"/>
    </row>
    <row r="30" spans="1:6" ht="51.75" customHeight="1" x14ac:dyDescent="0.25">
      <c r="A30" s="195"/>
      <c r="B30" s="196"/>
      <c r="C30" s="195"/>
      <c r="D30" s="197"/>
      <c r="E30" s="195"/>
      <c r="F30" s="196"/>
    </row>
    <row r="31" spans="1:6" ht="52.5" customHeight="1" x14ac:dyDescent="0.25">
      <c r="A31" s="195"/>
      <c r="B31" s="197"/>
      <c r="C31" s="195"/>
      <c r="D31" s="197"/>
      <c r="E31" s="195"/>
      <c r="F31" s="197"/>
    </row>
    <row r="32" spans="1:6" ht="63.75" customHeight="1" x14ac:dyDescent="0.25">
      <c r="A32" s="195"/>
      <c r="B32" s="197"/>
      <c r="C32" s="195"/>
      <c r="D32" s="197"/>
      <c r="E32" s="195"/>
      <c r="F32" s="197"/>
    </row>
    <row r="33" spans="1:6" ht="66" customHeight="1" x14ac:dyDescent="0.25">
      <c r="A33" s="195"/>
      <c r="B33" s="198"/>
      <c r="C33" s="195"/>
      <c r="D33" s="199"/>
      <c r="E33" s="195"/>
      <c r="F33" s="198"/>
    </row>
    <row r="34" spans="1:6" ht="55.5" customHeight="1" x14ac:dyDescent="0.25">
      <c r="A34" s="195"/>
      <c r="B34" s="198"/>
      <c r="C34" s="195"/>
      <c r="D34" s="199"/>
      <c r="E34" s="195"/>
      <c r="F34" s="200"/>
    </row>
    <row r="35" spans="1:6" ht="51.75" customHeight="1" x14ac:dyDescent="0.25">
      <c r="A35" s="195"/>
      <c r="B35" s="200"/>
      <c r="C35" s="195"/>
      <c r="D35" s="201"/>
      <c r="E35" s="195"/>
      <c r="F35" s="200"/>
    </row>
    <row r="36" spans="1:6" ht="55.5" customHeight="1" x14ac:dyDescent="0.25">
      <c r="A36" s="195"/>
      <c r="B36" s="200"/>
      <c r="C36" s="195"/>
      <c r="D36" s="200"/>
      <c r="E36" s="195"/>
      <c r="F36" s="200"/>
    </row>
    <row r="37" spans="1:6" ht="55.5" customHeight="1" x14ac:dyDescent="0.25">
      <c r="A37" s="195"/>
      <c r="B37" s="200"/>
      <c r="C37" s="195"/>
      <c r="D37" s="200"/>
      <c r="E37" s="195"/>
      <c r="F37" s="200"/>
    </row>
    <row r="38" spans="1:6" ht="54.75" customHeight="1" x14ac:dyDescent="0.25">
      <c r="A38" s="195"/>
      <c r="B38" s="200"/>
      <c r="C38" s="195"/>
      <c r="D38" s="200"/>
      <c r="E38" s="195"/>
      <c r="F38" s="200"/>
    </row>
    <row r="39" spans="1:6" ht="56.25" customHeight="1" x14ac:dyDescent="0.25">
      <c r="A39" s="195"/>
      <c r="B39" s="200"/>
      <c r="C39" s="195"/>
      <c r="D39" s="200"/>
      <c r="E39" s="195"/>
      <c r="F39" s="200"/>
    </row>
    <row r="40" spans="1:6" ht="54.75" customHeight="1" x14ac:dyDescent="0.25">
      <c r="A40" s="195"/>
      <c r="B40" s="198"/>
      <c r="C40" s="195"/>
      <c r="D40" s="199"/>
      <c r="E40" s="195"/>
      <c r="F40" s="198"/>
    </row>
    <row r="41" spans="1:6" ht="55.5" customHeight="1" x14ac:dyDescent="0.25">
      <c r="A41" s="195"/>
      <c r="B41" s="198"/>
      <c r="C41" s="195"/>
      <c r="D41" s="199"/>
      <c r="E41" s="195"/>
      <c r="F41" s="200"/>
    </row>
    <row r="42" spans="1:6" ht="54.75" customHeight="1" x14ac:dyDescent="0.25">
      <c r="A42" s="195"/>
      <c r="B42" s="200"/>
      <c r="C42" s="195"/>
      <c r="D42" s="201"/>
      <c r="E42" s="195"/>
      <c r="F42" s="200"/>
    </row>
    <row r="43" spans="1:6" ht="55.5" customHeight="1" x14ac:dyDescent="0.25">
      <c r="A43" s="195"/>
      <c r="B43" s="200"/>
      <c r="C43" s="195"/>
      <c r="D43" s="200"/>
      <c r="E43" s="195"/>
      <c r="F43" s="200"/>
    </row>
    <row r="44" spans="1:6" ht="56.25" customHeight="1" x14ac:dyDescent="0.25">
      <c r="A44" s="195"/>
      <c r="B44" s="200"/>
      <c r="C44" s="195"/>
      <c r="D44" s="200"/>
      <c r="E44" s="195"/>
      <c r="F44" s="200"/>
    </row>
    <row r="45" spans="1:6" ht="59.25" customHeight="1" x14ac:dyDescent="0.25">
      <c r="A45" s="195"/>
      <c r="B45" s="200"/>
      <c r="C45" s="195"/>
      <c r="D45" s="200"/>
      <c r="E45" s="195"/>
      <c r="F45" s="200"/>
    </row>
    <row r="46" spans="1:6" ht="55.5" customHeight="1" x14ac:dyDescent="0.25">
      <c r="A46" s="195"/>
      <c r="B46" s="200"/>
      <c r="C46" s="195"/>
      <c r="D46" s="200"/>
      <c r="E46" s="195"/>
      <c r="F46" s="200"/>
    </row>
    <row r="47" spans="1:6" ht="55.5" customHeight="1" x14ac:dyDescent="0.25">
      <c r="A47" s="195"/>
      <c r="B47" s="198"/>
      <c r="C47" s="195"/>
      <c r="D47" s="199"/>
      <c r="E47" s="195"/>
      <c r="F47" s="198"/>
    </row>
    <row r="48" spans="1:6" ht="56.25" customHeight="1" x14ac:dyDescent="0.25">
      <c r="A48" s="195"/>
      <c r="B48" s="198"/>
      <c r="C48" s="195"/>
      <c r="D48" s="199"/>
      <c r="E48" s="195"/>
      <c r="F48" s="200"/>
    </row>
    <row r="49" spans="1:6" ht="54" customHeight="1" x14ac:dyDescent="0.25">
      <c r="A49" s="195"/>
      <c r="B49" s="200"/>
      <c r="C49" s="195"/>
      <c r="D49" s="201"/>
      <c r="E49" s="195"/>
      <c r="F49" s="200"/>
    </row>
    <row r="50" spans="1:6" ht="56.25" customHeight="1" x14ac:dyDescent="0.25">
      <c r="A50" s="195"/>
      <c r="B50" s="200"/>
      <c r="C50" s="195"/>
      <c r="D50" s="200"/>
      <c r="E50" s="195"/>
      <c r="F50" s="200"/>
    </row>
    <row r="51" spans="1:6" ht="59.25" customHeight="1" x14ac:dyDescent="0.25">
      <c r="A51" s="195"/>
      <c r="B51" s="200"/>
      <c r="C51" s="195"/>
      <c r="D51" s="200"/>
      <c r="E51" s="195"/>
      <c r="F51" s="200"/>
    </row>
    <row r="52" spans="1:6" ht="54.75" customHeight="1" x14ac:dyDescent="0.25">
      <c r="A52" s="195"/>
      <c r="B52" s="200"/>
      <c r="C52" s="195"/>
      <c r="D52" s="200"/>
      <c r="E52" s="195"/>
      <c r="F52" s="200"/>
    </row>
    <row r="53" spans="1:6" ht="55.5" customHeight="1" x14ac:dyDescent="0.25">
      <c r="A53" s="195"/>
      <c r="B53" s="200"/>
      <c r="C53" s="195"/>
      <c r="D53" s="200"/>
      <c r="E53" s="195"/>
      <c r="F53" s="200"/>
    </row>
  </sheetData>
  <mergeCells count="10">
    <mergeCell ref="A9:F9"/>
    <mergeCell ref="A10:F10"/>
    <mergeCell ref="A1:A4"/>
    <mergeCell ref="B1:D2"/>
    <mergeCell ref="F1:F4"/>
    <mergeCell ref="J1:J4"/>
    <mergeCell ref="B3:D4"/>
    <mergeCell ref="A5:F5"/>
    <mergeCell ref="A6:F7"/>
    <mergeCell ref="A8:F8"/>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6C930-5FC3-47CA-BD9F-FDCC62E1A553}">
  <sheetPr codeName="Hoja1">
    <tabColor rgb="FFFFC000"/>
  </sheetPr>
  <dimension ref="A1:X42"/>
  <sheetViews>
    <sheetView zoomScale="110" zoomScaleNormal="110" workbookViewId="0">
      <selection activeCell="S42" sqref="S42"/>
    </sheetView>
  </sheetViews>
  <sheetFormatPr baseColWidth="10" defaultColWidth="11.44140625" defaultRowHeight="14.4" x14ac:dyDescent="0.3"/>
  <cols>
    <col min="1" max="1" width="5.109375" style="230" customWidth="1"/>
    <col min="2" max="2" width="39.44140625" style="231" customWidth="1"/>
    <col min="3" max="17" width="6.44140625" style="231" customWidth="1"/>
    <col min="18" max="18" width="8.109375" style="231" customWidth="1"/>
    <col min="19" max="19" width="14.21875" style="232" customWidth="1"/>
    <col min="20" max="20" width="19.6640625" style="202" customWidth="1"/>
    <col min="21" max="23" width="11.44140625" style="202" hidden="1" customWidth="1"/>
    <col min="24" max="16384" width="11.44140625" style="202"/>
  </cols>
  <sheetData>
    <row r="1" spans="1:24" s="115" customFormat="1" ht="21" customHeight="1" x14ac:dyDescent="0.3">
      <c r="A1" s="300"/>
      <c r="B1" s="519"/>
      <c r="C1" s="270" t="s">
        <v>399</v>
      </c>
      <c r="D1" s="270"/>
      <c r="E1" s="270"/>
      <c r="F1" s="270"/>
      <c r="G1" s="270"/>
      <c r="H1" s="270"/>
      <c r="I1" s="270"/>
      <c r="J1" s="270"/>
      <c r="K1" s="270"/>
      <c r="L1" s="270"/>
      <c r="M1" s="270"/>
      <c r="N1" s="270"/>
      <c r="O1" s="270"/>
      <c r="P1" s="270"/>
      <c r="Q1" s="270"/>
      <c r="R1" s="270"/>
      <c r="S1" s="518" t="s">
        <v>394</v>
      </c>
      <c r="T1" s="301"/>
      <c r="U1" s="302"/>
      <c r="V1" s="302"/>
      <c r="W1" s="303"/>
    </row>
    <row r="2" spans="1:24" s="115" customFormat="1" ht="12" customHeight="1" x14ac:dyDescent="0.3">
      <c r="A2" s="520"/>
      <c r="B2" s="521"/>
      <c r="C2" s="270"/>
      <c r="D2" s="270"/>
      <c r="E2" s="270"/>
      <c r="F2" s="270"/>
      <c r="G2" s="270"/>
      <c r="H2" s="270"/>
      <c r="I2" s="270"/>
      <c r="J2" s="270"/>
      <c r="K2" s="270"/>
      <c r="L2" s="270"/>
      <c r="M2" s="270"/>
      <c r="N2" s="270"/>
      <c r="O2" s="270"/>
      <c r="P2" s="270"/>
      <c r="Q2" s="270"/>
      <c r="R2" s="270"/>
      <c r="S2" s="518" t="s">
        <v>395</v>
      </c>
      <c r="T2" s="304"/>
      <c r="U2" s="305"/>
      <c r="V2" s="305"/>
      <c r="W2" s="306"/>
    </row>
    <row r="3" spans="1:24" s="115" customFormat="1" ht="21" customHeight="1" x14ac:dyDescent="0.3">
      <c r="A3" s="520"/>
      <c r="B3" s="521"/>
      <c r="C3" s="270" t="s">
        <v>289</v>
      </c>
      <c r="D3" s="270"/>
      <c r="E3" s="270"/>
      <c r="F3" s="270"/>
      <c r="G3" s="270"/>
      <c r="H3" s="270"/>
      <c r="I3" s="270"/>
      <c r="J3" s="270"/>
      <c r="K3" s="270"/>
      <c r="L3" s="270"/>
      <c r="M3" s="270"/>
      <c r="N3" s="270"/>
      <c r="O3" s="270"/>
      <c r="P3" s="270"/>
      <c r="Q3" s="270"/>
      <c r="R3" s="270"/>
      <c r="S3" s="518" t="s">
        <v>398</v>
      </c>
      <c r="T3" s="304"/>
      <c r="U3" s="305"/>
      <c r="V3" s="305"/>
      <c r="W3" s="306"/>
    </row>
    <row r="4" spans="1:24" s="115" customFormat="1" ht="12.75" customHeight="1" x14ac:dyDescent="0.3">
      <c r="A4" s="310"/>
      <c r="B4" s="522"/>
      <c r="C4" s="270"/>
      <c r="D4" s="270"/>
      <c r="E4" s="270"/>
      <c r="F4" s="270"/>
      <c r="G4" s="270"/>
      <c r="H4" s="270"/>
      <c r="I4" s="270"/>
      <c r="J4" s="270"/>
      <c r="K4" s="270"/>
      <c r="L4" s="270"/>
      <c r="M4" s="270"/>
      <c r="N4" s="270"/>
      <c r="O4" s="270"/>
      <c r="P4" s="270"/>
      <c r="Q4" s="270"/>
      <c r="R4" s="270"/>
      <c r="S4" s="518" t="s">
        <v>396</v>
      </c>
      <c r="T4" s="307"/>
      <c r="U4" s="308"/>
      <c r="V4" s="308"/>
      <c r="W4" s="309"/>
    </row>
    <row r="5" spans="1:24" ht="15.75" customHeight="1" x14ac:dyDescent="0.3">
      <c r="A5" s="296"/>
      <c r="B5" s="296"/>
      <c r="C5" s="296"/>
      <c r="D5" s="296"/>
      <c r="E5" s="296"/>
      <c r="F5" s="296"/>
      <c r="G5" s="296"/>
      <c r="H5" s="296"/>
      <c r="I5" s="296"/>
      <c r="J5" s="296"/>
      <c r="K5" s="296"/>
      <c r="L5" s="296"/>
      <c r="M5" s="296"/>
      <c r="N5" s="296"/>
      <c r="O5" s="296"/>
      <c r="P5" s="296"/>
      <c r="Q5" s="296"/>
      <c r="R5" s="296"/>
      <c r="S5" s="296"/>
      <c r="T5" s="297"/>
      <c r="U5" s="196"/>
      <c r="V5" s="196"/>
      <c r="W5" s="203"/>
    </row>
    <row r="6" spans="1:24" s="173" customFormat="1" ht="27" customHeight="1" x14ac:dyDescent="0.25">
      <c r="A6" s="298" t="str">
        <f>+[1]CONTEXTO!A8</f>
        <v>PROCESO: GESTIÓN Y CONTROL DISCIPLINARIO</v>
      </c>
      <c r="B6" s="298"/>
      <c r="C6" s="298"/>
      <c r="D6" s="298"/>
      <c r="E6" s="298"/>
      <c r="F6" s="298"/>
      <c r="G6" s="298"/>
      <c r="H6" s="298"/>
      <c r="I6" s="298"/>
      <c r="J6" s="298"/>
      <c r="K6" s="298"/>
      <c r="L6" s="298"/>
      <c r="M6" s="298"/>
      <c r="N6" s="298"/>
      <c r="O6" s="298"/>
      <c r="P6" s="298"/>
      <c r="Q6" s="298"/>
      <c r="R6" s="298"/>
      <c r="S6" s="298"/>
      <c r="T6" s="298"/>
      <c r="W6" s="204"/>
    </row>
    <row r="7" spans="1:24" s="173" customFormat="1" ht="81" customHeight="1" thickBot="1" x14ac:dyDescent="0.3">
      <c r="A7" s="299" t="str">
        <f>+[1]CONTEXTO!A9</f>
        <v xml:space="preserve">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v>
      </c>
      <c r="B7" s="299"/>
      <c r="C7" s="299"/>
      <c r="D7" s="299"/>
      <c r="E7" s="299"/>
      <c r="F7" s="299"/>
      <c r="G7" s="299"/>
      <c r="H7" s="299"/>
      <c r="I7" s="299"/>
      <c r="J7" s="299"/>
      <c r="K7" s="299"/>
      <c r="L7" s="299"/>
      <c r="M7" s="299"/>
      <c r="N7" s="299"/>
      <c r="O7" s="299"/>
      <c r="P7" s="299"/>
      <c r="Q7" s="299"/>
      <c r="R7" s="299"/>
      <c r="S7" s="299"/>
      <c r="T7" s="299"/>
      <c r="U7" s="205"/>
      <c r="V7" s="205"/>
      <c r="W7" s="206"/>
    </row>
    <row r="8" spans="1:24" s="173" customFormat="1" ht="26.25" customHeight="1" thickBot="1" x14ac:dyDescent="0.3">
      <c r="A8" s="207"/>
      <c r="B8" s="207"/>
      <c r="C8" s="207"/>
      <c r="D8" s="207"/>
      <c r="E8" s="207"/>
      <c r="F8" s="207"/>
      <c r="G8" s="207"/>
      <c r="H8" s="207"/>
      <c r="I8" s="207"/>
      <c r="J8" s="207"/>
      <c r="K8" s="207"/>
      <c r="L8" s="207"/>
      <c r="M8" s="207"/>
      <c r="N8" s="207"/>
      <c r="O8" s="207"/>
      <c r="P8" s="207"/>
      <c r="Q8" s="207"/>
      <c r="R8" s="207"/>
      <c r="S8" s="207"/>
      <c r="T8" s="208"/>
      <c r="X8" s="209"/>
    </row>
    <row r="9" spans="1:24" s="173" customFormat="1" ht="39.75" customHeight="1" thickBot="1" x14ac:dyDescent="0.3">
      <c r="A9" s="289"/>
      <c r="B9" s="289"/>
      <c r="C9" s="289" t="b">
        <v>0</v>
      </c>
      <c r="D9" s="289"/>
      <c r="E9" s="289"/>
      <c r="F9" s="289"/>
      <c r="G9" s="289"/>
      <c r="H9" s="289"/>
      <c r="I9" s="289"/>
      <c r="J9" s="289"/>
      <c r="K9" s="289"/>
      <c r="L9" s="289"/>
      <c r="M9" s="289"/>
      <c r="N9" s="289"/>
      <c r="O9" s="289"/>
      <c r="P9" s="289"/>
      <c r="Q9" s="289"/>
      <c r="R9" s="289"/>
      <c r="S9" s="289"/>
      <c r="T9" s="290"/>
    </row>
    <row r="10" spans="1:24" s="215" customFormat="1" ht="32.25" customHeight="1" thickBot="1" x14ac:dyDescent="0.35">
      <c r="A10" s="210" t="s">
        <v>290</v>
      </c>
      <c r="B10" s="211" t="s">
        <v>291</v>
      </c>
      <c r="C10" s="211" t="s">
        <v>292</v>
      </c>
      <c r="D10" s="211" t="s">
        <v>293</v>
      </c>
      <c r="E10" s="211" t="s">
        <v>294</v>
      </c>
      <c r="F10" s="211" t="s">
        <v>295</v>
      </c>
      <c r="G10" s="211" t="s">
        <v>296</v>
      </c>
      <c r="H10" s="211" t="s">
        <v>297</v>
      </c>
      <c r="I10" s="211" t="s">
        <v>298</v>
      </c>
      <c r="J10" s="211" t="s">
        <v>299</v>
      </c>
      <c r="K10" s="211" t="s">
        <v>300</v>
      </c>
      <c r="L10" s="211" t="s">
        <v>301</v>
      </c>
      <c r="M10" s="211" t="s">
        <v>302</v>
      </c>
      <c r="N10" s="211" t="s">
        <v>303</v>
      </c>
      <c r="O10" s="211" t="s">
        <v>304</v>
      </c>
      <c r="P10" s="211" t="s">
        <v>305</v>
      </c>
      <c r="Q10" s="211" t="s">
        <v>306</v>
      </c>
      <c r="R10" s="212" t="s">
        <v>307</v>
      </c>
      <c r="S10" s="213" t="s">
        <v>308</v>
      </c>
      <c r="T10" s="214" t="s">
        <v>309</v>
      </c>
    </row>
    <row r="11" spans="1:24" ht="39.75" customHeight="1" x14ac:dyDescent="0.3">
      <c r="A11" s="216">
        <v>1</v>
      </c>
      <c r="B11" s="179" t="s">
        <v>257</v>
      </c>
      <c r="C11" s="217">
        <v>1</v>
      </c>
      <c r="D11" s="217">
        <v>1</v>
      </c>
      <c r="E11" s="217">
        <v>3</v>
      </c>
      <c r="F11" s="217">
        <v>2</v>
      </c>
      <c r="G11" s="217">
        <v>1</v>
      </c>
      <c r="H11" s="217"/>
      <c r="I11" s="217"/>
      <c r="J11" s="217"/>
      <c r="K11" s="217"/>
      <c r="L11" s="217"/>
      <c r="M11" s="217"/>
      <c r="N11" s="217"/>
      <c r="O11" s="217"/>
      <c r="P11" s="217"/>
      <c r="Q11" s="217"/>
      <c r="R11" s="216">
        <f>SUM(C11:Q11)</f>
        <v>8</v>
      </c>
      <c r="S11" s="218">
        <f>AVERAGE(C11:Q11)</f>
        <v>1.6</v>
      </c>
      <c r="T11" s="219"/>
    </row>
    <row r="12" spans="1:24" ht="45.75" customHeight="1" x14ac:dyDescent="0.3">
      <c r="A12" s="216">
        <v>2</v>
      </c>
      <c r="B12" s="183" t="s">
        <v>261</v>
      </c>
      <c r="C12" s="217">
        <v>1</v>
      </c>
      <c r="D12" s="217">
        <v>2</v>
      </c>
      <c r="E12" s="217">
        <v>5</v>
      </c>
      <c r="F12" s="217">
        <v>5</v>
      </c>
      <c r="G12" s="217">
        <v>5</v>
      </c>
      <c r="H12" s="217"/>
      <c r="I12" s="217"/>
      <c r="J12" s="217"/>
      <c r="K12" s="217"/>
      <c r="L12" s="217"/>
      <c r="M12" s="217"/>
      <c r="N12" s="217"/>
      <c r="O12" s="217"/>
      <c r="P12" s="217"/>
      <c r="Q12" s="217"/>
      <c r="R12" s="216">
        <f t="shared" ref="R12:R32" si="0">SUM(C12:Q12)</f>
        <v>18</v>
      </c>
      <c r="S12" s="218">
        <f t="shared" ref="S12:S33" si="1">AVERAGE(C12:Q12)</f>
        <v>3.6</v>
      </c>
      <c r="T12" s="220"/>
    </row>
    <row r="13" spans="1:24" ht="65.25" customHeight="1" x14ac:dyDescent="0.3">
      <c r="A13" s="216">
        <v>3</v>
      </c>
      <c r="B13" s="183" t="str">
        <f>+[1]CONTEXTO!B14</f>
        <v xml:space="preserve">Problemas de Orden Publico </v>
      </c>
      <c r="C13" s="217">
        <v>1</v>
      </c>
      <c r="D13" s="217">
        <v>2</v>
      </c>
      <c r="E13" s="217">
        <v>2</v>
      </c>
      <c r="F13" s="217">
        <v>2</v>
      </c>
      <c r="G13" s="217">
        <v>1</v>
      </c>
      <c r="H13" s="217"/>
      <c r="I13" s="217"/>
      <c r="J13" s="217"/>
      <c r="K13" s="217"/>
      <c r="L13" s="217"/>
      <c r="M13" s="217"/>
      <c r="N13" s="217"/>
      <c r="O13" s="217"/>
      <c r="P13" s="217"/>
      <c r="Q13" s="217"/>
      <c r="R13" s="216">
        <f t="shared" si="0"/>
        <v>8</v>
      </c>
      <c r="S13" s="218">
        <f t="shared" si="1"/>
        <v>1.6</v>
      </c>
      <c r="T13" s="221"/>
    </row>
    <row r="14" spans="1:24" ht="39.75" customHeight="1" x14ac:dyDescent="0.3">
      <c r="A14" s="216">
        <v>4</v>
      </c>
      <c r="B14" s="183" t="str">
        <f>+[1]CONTEXTO!B15</f>
        <v>Constantes cambios Normativos (Leyes, Decretos, ordenanzas y acuerdos)</v>
      </c>
      <c r="C14" s="217">
        <v>3</v>
      </c>
      <c r="D14" s="217">
        <v>3</v>
      </c>
      <c r="E14" s="217">
        <v>4</v>
      </c>
      <c r="F14" s="217">
        <v>3</v>
      </c>
      <c r="G14" s="217">
        <v>3</v>
      </c>
      <c r="H14" s="217"/>
      <c r="I14" s="217"/>
      <c r="J14" s="217"/>
      <c r="K14" s="217"/>
      <c r="L14" s="217"/>
      <c r="M14" s="217"/>
      <c r="N14" s="217"/>
      <c r="O14" s="217"/>
      <c r="P14" s="217"/>
      <c r="Q14" s="217"/>
      <c r="R14" s="216">
        <f t="shared" si="0"/>
        <v>16</v>
      </c>
      <c r="S14" s="218">
        <f t="shared" si="1"/>
        <v>3.2</v>
      </c>
      <c r="T14" s="221"/>
    </row>
    <row r="15" spans="1:24" ht="39.75" customHeight="1" x14ac:dyDescent="0.3">
      <c r="A15" s="216">
        <v>5</v>
      </c>
      <c r="B15" s="183" t="str">
        <f>+[1]CONTEXTO!D12</f>
        <v>Escaso Presupuesto de Funcionamiento</v>
      </c>
      <c r="C15" s="217">
        <v>5</v>
      </c>
      <c r="D15" s="217">
        <v>3</v>
      </c>
      <c r="E15" s="217">
        <v>2</v>
      </c>
      <c r="F15" s="217">
        <v>5</v>
      </c>
      <c r="G15" s="217">
        <v>2</v>
      </c>
      <c r="H15" s="217"/>
      <c r="I15" s="217"/>
      <c r="J15" s="217"/>
      <c r="K15" s="217"/>
      <c r="L15" s="217"/>
      <c r="M15" s="217"/>
      <c r="N15" s="217"/>
      <c r="O15" s="217"/>
      <c r="P15" s="217"/>
      <c r="Q15" s="217"/>
      <c r="R15" s="216">
        <f t="shared" si="0"/>
        <v>17</v>
      </c>
      <c r="S15" s="218">
        <f t="shared" si="1"/>
        <v>3.4</v>
      </c>
      <c r="T15" s="221"/>
    </row>
    <row r="16" spans="1:24" ht="39.75" customHeight="1" x14ac:dyDescent="0.3">
      <c r="A16" s="216">
        <v>6</v>
      </c>
      <c r="B16" s="183" t="str">
        <f>+[1]CONTEXTO!D13</f>
        <v>Infraestructura insuficienta para el funcionamiento de la Oficina</v>
      </c>
      <c r="C16" s="217">
        <v>3</v>
      </c>
      <c r="D16" s="217">
        <v>2</v>
      </c>
      <c r="E16" s="217">
        <v>3</v>
      </c>
      <c r="F16" s="217">
        <v>2</v>
      </c>
      <c r="G16" s="217">
        <v>4</v>
      </c>
      <c r="H16" s="217"/>
      <c r="I16" s="217"/>
      <c r="J16" s="217"/>
      <c r="K16" s="217"/>
      <c r="L16" s="217"/>
      <c r="M16" s="217"/>
      <c r="N16" s="217"/>
      <c r="O16" s="217"/>
      <c r="P16" s="217"/>
      <c r="Q16" s="217"/>
      <c r="R16" s="216">
        <f t="shared" si="0"/>
        <v>14</v>
      </c>
      <c r="S16" s="218">
        <f t="shared" si="1"/>
        <v>2.8</v>
      </c>
      <c r="T16" s="221"/>
    </row>
    <row r="17" spans="1:20" ht="39.75" customHeight="1" x14ac:dyDescent="0.3">
      <c r="A17" s="216">
        <v>7</v>
      </c>
      <c r="B17" s="183" t="str">
        <f>+[1]CONTEXTO!D14</f>
        <v>Capacidad Instalada es insuficiente</v>
      </c>
      <c r="C17" s="217">
        <v>5</v>
      </c>
      <c r="D17" s="217">
        <v>5</v>
      </c>
      <c r="E17" s="217">
        <v>5</v>
      </c>
      <c r="F17" s="217">
        <v>5</v>
      </c>
      <c r="G17" s="217">
        <v>5</v>
      </c>
      <c r="H17" s="217"/>
      <c r="I17" s="217"/>
      <c r="J17" s="217"/>
      <c r="K17" s="217"/>
      <c r="L17" s="217"/>
      <c r="M17" s="217"/>
      <c r="N17" s="217"/>
      <c r="O17" s="217"/>
      <c r="P17" s="217"/>
      <c r="Q17" s="217"/>
      <c r="R17" s="216">
        <f t="shared" si="0"/>
        <v>25</v>
      </c>
      <c r="S17" s="218">
        <f t="shared" si="1"/>
        <v>5</v>
      </c>
      <c r="T17" s="221"/>
    </row>
    <row r="18" spans="1:20" ht="46.5" customHeight="1" x14ac:dyDescent="0.3">
      <c r="A18" s="216">
        <v>8</v>
      </c>
      <c r="B18" s="183" t="str">
        <f>+[1]CONTEXTO!D15</f>
        <v xml:space="preserve">Alta rotacion del personal, falta etica y competencia de los mismos  </v>
      </c>
      <c r="C18" s="217">
        <v>5</v>
      </c>
      <c r="D18" s="217">
        <v>5</v>
      </c>
      <c r="E18" s="217">
        <v>5</v>
      </c>
      <c r="F18" s="217">
        <v>5</v>
      </c>
      <c r="G18" s="217">
        <v>5</v>
      </c>
      <c r="H18" s="217"/>
      <c r="I18" s="217"/>
      <c r="J18" s="217"/>
      <c r="K18" s="217"/>
      <c r="L18" s="217"/>
      <c r="M18" s="217"/>
      <c r="N18" s="217"/>
      <c r="O18" s="217"/>
      <c r="P18" s="217"/>
      <c r="Q18" s="217"/>
      <c r="R18" s="216">
        <f t="shared" si="0"/>
        <v>25</v>
      </c>
      <c r="S18" s="218">
        <f t="shared" si="1"/>
        <v>5</v>
      </c>
      <c r="T18" s="221"/>
    </row>
    <row r="19" spans="1:20" ht="47.25" customHeight="1" x14ac:dyDescent="0.3">
      <c r="A19" s="216">
        <v>9</v>
      </c>
      <c r="B19" s="183" t="str">
        <f>+[1]CONTEXTO!D16</f>
        <v>Competencia del personal no idoneida que desconoce la misionalidad del proceso</v>
      </c>
      <c r="C19" s="217">
        <v>5</v>
      </c>
      <c r="D19" s="217">
        <v>4</v>
      </c>
      <c r="E19" s="217">
        <v>5</v>
      </c>
      <c r="F19" s="217">
        <v>4</v>
      </c>
      <c r="G19" s="217">
        <v>4</v>
      </c>
      <c r="H19" s="217"/>
      <c r="I19" s="217"/>
      <c r="J19" s="217"/>
      <c r="K19" s="217"/>
      <c r="L19" s="217"/>
      <c r="M19" s="217"/>
      <c r="N19" s="217"/>
      <c r="O19" s="217"/>
      <c r="P19" s="217"/>
      <c r="Q19" s="217"/>
      <c r="R19" s="216">
        <f t="shared" si="0"/>
        <v>22</v>
      </c>
      <c r="S19" s="218">
        <f t="shared" si="1"/>
        <v>4.4000000000000004</v>
      </c>
      <c r="T19" s="221"/>
    </row>
    <row r="20" spans="1:20" ht="48" customHeight="1" x14ac:dyDescent="0.3">
      <c r="A20" s="216">
        <v>10</v>
      </c>
      <c r="B20" s="183" t="str">
        <f>+[1]CONTEXTO!D17</f>
        <v>Deficiente disponibilidad del personal externo con el que se relaciona la oficina para el buen funcionamiento de la misma.</v>
      </c>
      <c r="C20" s="217">
        <v>2</v>
      </c>
      <c r="D20" s="217">
        <v>2</v>
      </c>
      <c r="E20" s="217">
        <v>4</v>
      </c>
      <c r="F20" s="217">
        <v>5</v>
      </c>
      <c r="G20" s="217">
        <v>4</v>
      </c>
      <c r="H20" s="217"/>
      <c r="I20" s="217"/>
      <c r="J20" s="217"/>
      <c r="K20" s="217"/>
      <c r="L20" s="217"/>
      <c r="M20" s="217"/>
      <c r="N20" s="217"/>
      <c r="O20" s="217"/>
      <c r="P20" s="217"/>
      <c r="Q20" s="217"/>
      <c r="R20" s="216">
        <f t="shared" si="0"/>
        <v>17</v>
      </c>
      <c r="S20" s="218">
        <f t="shared" si="1"/>
        <v>3.4</v>
      </c>
      <c r="T20" s="221"/>
    </row>
    <row r="21" spans="1:20" ht="51.6" customHeight="1" x14ac:dyDescent="0.3">
      <c r="A21" s="216">
        <v>11</v>
      </c>
      <c r="B21" s="183" t="str">
        <f>+[1]CONTEXTO!D18</f>
        <v xml:space="preserve">Demoras en la dotacion de insumos ergonomicos para el personal de la Oficina de Control Unico Disciplinario </v>
      </c>
      <c r="C21" s="217">
        <v>4</v>
      </c>
      <c r="D21" s="217">
        <v>4</v>
      </c>
      <c r="E21" s="217">
        <v>4</v>
      </c>
      <c r="F21" s="217">
        <v>5</v>
      </c>
      <c r="G21" s="217">
        <v>4</v>
      </c>
      <c r="H21" s="217"/>
      <c r="I21" s="217"/>
      <c r="J21" s="217"/>
      <c r="K21" s="217"/>
      <c r="L21" s="217"/>
      <c r="M21" s="217"/>
      <c r="N21" s="217"/>
      <c r="O21" s="217"/>
      <c r="P21" s="217"/>
      <c r="Q21" s="217"/>
      <c r="R21" s="216">
        <f t="shared" si="0"/>
        <v>21</v>
      </c>
      <c r="S21" s="218">
        <f t="shared" si="1"/>
        <v>4.2</v>
      </c>
      <c r="T21" s="221"/>
    </row>
    <row r="22" spans="1:20" ht="45.75" customHeight="1" x14ac:dyDescent="0.3">
      <c r="A22" s="216">
        <v>12</v>
      </c>
      <c r="B22" s="183" t="str">
        <f>+[1]CONTEXTO!D19</f>
        <v xml:space="preserve">Canales de comunicación internos que impiden la confiencialidad de los procesos </v>
      </c>
      <c r="C22" s="217">
        <v>5</v>
      </c>
      <c r="D22" s="217">
        <v>5</v>
      </c>
      <c r="E22" s="217">
        <v>5</v>
      </c>
      <c r="F22" s="217">
        <v>5</v>
      </c>
      <c r="G22" s="217">
        <v>5</v>
      </c>
      <c r="H22" s="217"/>
      <c r="I22" s="217"/>
      <c r="J22" s="217"/>
      <c r="K22" s="217"/>
      <c r="L22" s="217"/>
      <c r="M22" s="217"/>
      <c r="N22" s="217"/>
      <c r="O22" s="217"/>
      <c r="P22" s="217"/>
      <c r="Q22" s="217"/>
      <c r="R22" s="216">
        <f t="shared" si="0"/>
        <v>25</v>
      </c>
      <c r="S22" s="218">
        <f t="shared" si="1"/>
        <v>5</v>
      </c>
      <c r="T22" s="221"/>
    </row>
    <row r="23" spans="1:20" ht="49.5" customHeight="1" x14ac:dyDescent="0.3">
      <c r="A23" s="216">
        <v>13</v>
      </c>
      <c r="B23" s="183" t="str">
        <f>+[1]CONTEXTO!D20</f>
        <v>el flujo de la informacion es interrumpida por quienes deben de suministrar de otras dependencias</v>
      </c>
      <c r="C23" s="217">
        <v>4</v>
      </c>
      <c r="D23" s="217">
        <v>5</v>
      </c>
      <c r="E23" s="217">
        <v>5</v>
      </c>
      <c r="F23" s="217">
        <v>5</v>
      </c>
      <c r="G23" s="217">
        <v>5</v>
      </c>
      <c r="H23" s="217"/>
      <c r="I23" s="217"/>
      <c r="J23" s="217"/>
      <c r="K23" s="217"/>
      <c r="L23" s="217"/>
      <c r="M23" s="217"/>
      <c r="N23" s="217"/>
      <c r="O23" s="217"/>
      <c r="P23" s="217"/>
      <c r="Q23" s="217"/>
      <c r="R23" s="216">
        <f t="shared" si="0"/>
        <v>24</v>
      </c>
      <c r="S23" s="218">
        <f t="shared" si="1"/>
        <v>4.8</v>
      </c>
      <c r="T23" s="221"/>
    </row>
    <row r="24" spans="1:20" ht="39.75" customHeight="1" x14ac:dyDescent="0.3">
      <c r="A24" s="216">
        <v>14</v>
      </c>
      <c r="B24" s="183" t="str">
        <f>+[1]CONTEXTO!D21</f>
        <v xml:space="preserve">desconocimiento de la legislacion para dar respuesta oportuna </v>
      </c>
      <c r="C24" s="217">
        <v>3</v>
      </c>
      <c r="D24" s="217">
        <v>3</v>
      </c>
      <c r="E24" s="217">
        <v>4</v>
      </c>
      <c r="F24" s="217">
        <v>3</v>
      </c>
      <c r="G24" s="217">
        <v>3</v>
      </c>
      <c r="H24" s="217"/>
      <c r="I24" s="217"/>
      <c r="J24" s="217"/>
      <c r="K24" s="217"/>
      <c r="L24" s="217"/>
      <c r="M24" s="217"/>
      <c r="N24" s="217"/>
      <c r="O24" s="217"/>
      <c r="P24" s="217"/>
      <c r="Q24" s="217"/>
      <c r="R24" s="216">
        <f t="shared" si="0"/>
        <v>16</v>
      </c>
      <c r="S24" s="218">
        <f t="shared" si="1"/>
        <v>3.2</v>
      </c>
      <c r="T24" s="221"/>
    </row>
    <row r="25" spans="1:20" ht="39.75" customHeight="1" x14ac:dyDescent="0.3">
      <c r="A25" s="216">
        <v>15</v>
      </c>
      <c r="B25" s="183" t="str">
        <f>+[1]CONTEXTO!D22</f>
        <v xml:space="preserve">obsolensencia tecnologica </v>
      </c>
      <c r="C25" s="217">
        <v>5</v>
      </c>
      <c r="D25" s="217">
        <v>5</v>
      </c>
      <c r="E25" s="217">
        <v>5</v>
      </c>
      <c r="F25" s="217">
        <v>5</v>
      </c>
      <c r="G25" s="217">
        <v>5</v>
      </c>
      <c r="H25" s="217"/>
      <c r="I25" s="217"/>
      <c r="J25" s="217"/>
      <c r="K25" s="217"/>
      <c r="L25" s="217"/>
      <c r="M25" s="217"/>
      <c r="N25" s="217"/>
      <c r="O25" s="217"/>
      <c r="P25" s="217"/>
      <c r="Q25" s="217"/>
      <c r="R25" s="216">
        <f t="shared" si="0"/>
        <v>25</v>
      </c>
      <c r="S25" s="218">
        <f t="shared" si="1"/>
        <v>5</v>
      </c>
      <c r="T25" s="221"/>
    </row>
    <row r="26" spans="1:20" ht="48.75" customHeight="1" x14ac:dyDescent="0.3">
      <c r="A26" s="216">
        <v>16</v>
      </c>
      <c r="B26" s="183" t="str">
        <f>+[1]CONTEXTO!D23</f>
        <v>dificultad al acceso de internet</v>
      </c>
      <c r="C26" s="217">
        <v>5</v>
      </c>
      <c r="D26" s="217">
        <v>5</v>
      </c>
      <c r="E26" s="217">
        <v>5</v>
      </c>
      <c r="F26" s="217">
        <v>5</v>
      </c>
      <c r="G26" s="217">
        <v>5</v>
      </c>
      <c r="H26" s="217"/>
      <c r="I26" s="217"/>
      <c r="J26" s="217"/>
      <c r="K26" s="217"/>
      <c r="L26" s="217"/>
      <c r="M26" s="217"/>
      <c r="N26" s="217"/>
      <c r="O26" s="217"/>
      <c r="P26" s="217"/>
      <c r="Q26" s="217"/>
      <c r="R26" s="216">
        <f t="shared" si="0"/>
        <v>25</v>
      </c>
      <c r="S26" s="218">
        <f t="shared" si="1"/>
        <v>5</v>
      </c>
      <c r="T26" s="221"/>
    </row>
    <row r="27" spans="1:20" ht="39.75" customHeight="1" x14ac:dyDescent="0.3">
      <c r="A27" s="216">
        <v>17</v>
      </c>
      <c r="B27" s="183" t="str">
        <f>+[1]CONTEXTO!D24</f>
        <v>mantenimiento del sistema de informacion de la alcaldia que puede generar demora en los procesos</v>
      </c>
      <c r="C27" s="217">
        <v>3</v>
      </c>
      <c r="D27" s="217">
        <v>4</v>
      </c>
      <c r="E27" s="217">
        <v>3</v>
      </c>
      <c r="F27" s="217">
        <v>4</v>
      </c>
      <c r="G27" s="217">
        <v>4</v>
      </c>
      <c r="H27" s="217"/>
      <c r="I27" s="217"/>
      <c r="J27" s="217"/>
      <c r="K27" s="217"/>
      <c r="L27" s="217"/>
      <c r="M27" s="217"/>
      <c r="N27" s="217"/>
      <c r="O27" s="217"/>
      <c r="P27" s="217"/>
      <c r="Q27" s="217"/>
      <c r="R27" s="216">
        <f t="shared" si="0"/>
        <v>18</v>
      </c>
      <c r="S27" s="218">
        <f t="shared" si="1"/>
        <v>3.6</v>
      </c>
      <c r="T27" s="221"/>
    </row>
    <row r="28" spans="1:20" ht="39.75" customHeight="1" x14ac:dyDescent="0.3">
      <c r="A28" s="216">
        <v>18</v>
      </c>
      <c r="B28" s="183" t="str">
        <f>+[1]CONTEXTO!D25</f>
        <v xml:space="preserve">Demoras en la contratacion </v>
      </c>
      <c r="C28" s="217">
        <v>5</v>
      </c>
      <c r="D28" s="217">
        <v>5</v>
      </c>
      <c r="E28" s="217">
        <v>5</v>
      </c>
      <c r="F28" s="217">
        <v>5</v>
      </c>
      <c r="G28" s="217">
        <v>5</v>
      </c>
      <c r="H28" s="217"/>
      <c r="I28" s="217"/>
      <c r="J28" s="217"/>
      <c r="K28" s="217"/>
      <c r="L28" s="217"/>
      <c r="M28" s="217"/>
      <c r="N28" s="217"/>
      <c r="O28" s="217"/>
      <c r="P28" s="217"/>
      <c r="Q28" s="217"/>
      <c r="R28" s="216">
        <f t="shared" si="0"/>
        <v>25</v>
      </c>
      <c r="S28" s="218">
        <f t="shared" si="1"/>
        <v>5</v>
      </c>
      <c r="T28" s="221"/>
    </row>
    <row r="29" spans="1:20" ht="48" customHeight="1" x14ac:dyDescent="0.3">
      <c r="A29" s="216">
        <v>19</v>
      </c>
      <c r="B29" s="183" t="str">
        <f>+[1]CONTEXTO!D26</f>
        <v>Falta de la adecuada division entre el procedimiento y el juzgamiento</v>
      </c>
      <c r="C29" s="217">
        <v>2</v>
      </c>
      <c r="D29" s="217">
        <v>3</v>
      </c>
      <c r="E29" s="217">
        <v>2</v>
      </c>
      <c r="F29" s="217">
        <v>5</v>
      </c>
      <c r="G29" s="217">
        <v>3</v>
      </c>
      <c r="H29" s="217"/>
      <c r="I29" s="217"/>
      <c r="J29" s="217"/>
      <c r="K29" s="217"/>
      <c r="L29" s="217"/>
      <c r="M29" s="217"/>
      <c r="N29" s="217"/>
      <c r="O29" s="217"/>
      <c r="P29" s="217"/>
      <c r="Q29" s="217"/>
      <c r="R29" s="216">
        <f t="shared" si="0"/>
        <v>15</v>
      </c>
      <c r="S29" s="218">
        <f t="shared" si="1"/>
        <v>3</v>
      </c>
      <c r="T29" s="221"/>
    </row>
    <row r="30" spans="1:20" ht="39.75" customHeight="1" x14ac:dyDescent="0.3">
      <c r="A30" s="216">
        <v>20</v>
      </c>
      <c r="B30" s="183" t="str">
        <f>+CONTEXTO!F12</f>
        <v>Ausencia de archivadores y gondolas para el resguardo de los expedientes</v>
      </c>
      <c r="C30" s="217">
        <v>4</v>
      </c>
      <c r="D30" s="217">
        <v>4</v>
      </c>
      <c r="E30" s="217">
        <v>4</v>
      </c>
      <c r="F30" s="217">
        <v>4</v>
      </c>
      <c r="G30" s="217">
        <v>4</v>
      </c>
      <c r="H30" s="217"/>
      <c r="I30" s="217"/>
      <c r="J30" s="217"/>
      <c r="K30" s="217"/>
      <c r="L30" s="217"/>
      <c r="M30" s="217"/>
      <c r="N30" s="217"/>
      <c r="O30" s="217"/>
      <c r="P30" s="217"/>
      <c r="Q30" s="217"/>
      <c r="R30" s="216">
        <f t="shared" si="0"/>
        <v>20</v>
      </c>
      <c r="S30" s="218">
        <f t="shared" si="1"/>
        <v>4</v>
      </c>
      <c r="T30" s="221"/>
    </row>
    <row r="31" spans="1:20" ht="73.5" customHeight="1" x14ac:dyDescent="0.3">
      <c r="A31" s="216">
        <v>21</v>
      </c>
      <c r="B31" s="183" t="str">
        <f>+[1]CONTEXTO!F13</f>
        <v xml:space="preserve">Falta de personal con el conocimiento y experticia idonea </v>
      </c>
      <c r="C31" s="217">
        <v>5</v>
      </c>
      <c r="D31" s="217">
        <v>4</v>
      </c>
      <c r="E31" s="217">
        <v>5</v>
      </c>
      <c r="F31" s="217">
        <v>5</v>
      </c>
      <c r="G31" s="217">
        <v>5</v>
      </c>
      <c r="H31" s="217"/>
      <c r="I31" s="217"/>
      <c r="J31" s="217"/>
      <c r="K31" s="217"/>
      <c r="L31" s="217"/>
      <c r="M31" s="217"/>
      <c r="N31" s="217"/>
      <c r="O31" s="217"/>
      <c r="P31" s="217"/>
      <c r="Q31" s="217"/>
      <c r="R31" s="216">
        <f t="shared" si="0"/>
        <v>24</v>
      </c>
      <c r="S31" s="218">
        <f t="shared" si="1"/>
        <v>4.8</v>
      </c>
      <c r="T31" s="221"/>
    </row>
    <row r="32" spans="1:20" ht="70.2" customHeight="1" x14ac:dyDescent="0.3">
      <c r="A32" s="216">
        <v>22</v>
      </c>
      <c r="B32" s="183" t="str">
        <f>+[1]CONTEXTO!F14</f>
        <v>Falta de Software y hadware para el funcionamiento de la Oficina de Control Unico Disciplinario, con el fin de dar seguimiento y control de termino en cada etapa procesal</v>
      </c>
      <c r="C32" s="217">
        <v>2</v>
      </c>
      <c r="D32" s="217">
        <v>5</v>
      </c>
      <c r="E32" s="217">
        <v>5</v>
      </c>
      <c r="F32" s="217">
        <v>5</v>
      </c>
      <c r="G32" s="217">
        <v>5</v>
      </c>
      <c r="H32" s="217"/>
      <c r="I32" s="217"/>
      <c r="J32" s="217"/>
      <c r="K32" s="217"/>
      <c r="L32" s="217"/>
      <c r="M32" s="217"/>
      <c r="N32" s="217"/>
      <c r="O32" s="217"/>
      <c r="P32" s="217"/>
      <c r="Q32" s="217"/>
      <c r="R32" s="216">
        <f t="shared" si="0"/>
        <v>22</v>
      </c>
      <c r="S32" s="218">
        <f t="shared" si="1"/>
        <v>4.4000000000000004</v>
      </c>
      <c r="T32" s="221"/>
    </row>
    <row r="33" spans="1:20" ht="48" customHeight="1" x14ac:dyDescent="0.3">
      <c r="A33" s="216">
        <v>23</v>
      </c>
      <c r="B33" s="183" t="str">
        <f>+[1]CONTEXTO!F15</f>
        <v xml:space="preserve">Perdida de la informacion fisica de los expediente en vigencia y falta de digitalizacion de los mismos. </v>
      </c>
      <c r="C33" s="217">
        <v>5</v>
      </c>
      <c r="D33" s="217">
        <v>4</v>
      </c>
      <c r="E33" s="217">
        <v>3</v>
      </c>
      <c r="F33" s="217">
        <v>4</v>
      </c>
      <c r="G33" s="217">
        <v>4</v>
      </c>
      <c r="H33" s="217"/>
      <c r="I33" s="217"/>
      <c r="J33" s="217"/>
      <c r="K33" s="217"/>
      <c r="L33" s="217"/>
      <c r="M33" s="217"/>
      <c r="N33" s="217"/>
      <c r="O33" s="217"/>
      <c r="P33" s="217"/>
      <c r="Q33" s="217"/>
      <c r="R33" s="216">
        <f>SUM(C33:Q33)</f>
        <v>20</v>
      </c>
      <c r="S33" s="218">
        <f t="shared" si="1"/>
        <v>4</v>
      </c>
      <c r="T33" s="221"/>
    </row>
    <row r="34" spans="1:20" ht="46.5" customHeight="1" x14ac:dyDescent="0.3">
      <c r="A34" s="216">
        <v>24</v>
      </c>
      <c r="B34" s="185" t="s">
        <v>370</v>
      </c>
      <c r="C34" s="217">
        <v>5</v>
      </c>
      <c r="D34" s="217">
        <v>4</v>
      </c>
      <c r="E34" s="217">
        <v>3</v>
      </c>
      <c r="F34" s="217">
        <v>4</v>
      </c>
      <c r="G34" s="217">
        <v>4</v>
      </c>
      <c r="H34" s="217"/>
      <c r="I34" s="217"/>
      <c r="J34" s="217"/>
      <c r="K34" s="217"/>
      <c r="L34" s="217"/>
      <c r="M34" s="217"/>
      <c r="N34" s="217"/>
      <c r="O34" s="217"/>
      <c r="P34" s="217"/>
      <c r="Q34" s="217"/>
      <c r="R34" s="216">
        <f>SUM(C34:Q34)</f>
        <v>20</v>
      </c>
      <c r="S34" s="218">
        <f t="shared" ref="S34" si="2">AVERAGE(C34:Q34)</f>
        <v>4</v>
      </c>
      <c r="T34" s="221"/>
    </row>
    <row r="35" spans="1:20" ht="44.25" customHeight="1" x14ac:dyDescent="0.3">
      <c r="A35" s="216">
        <v>25</v>
      </c>
      <c r="B35" s="187"/>
      <c r="C35" s="217"/>
      <c r="D35" s="217"/>
      <c r="E35" s="217"/>
      <c r="F35" s="217"/>
      <c r="G35" s="217"/>
      <c r="H35" s="217"/>
      <c r="I35" s="217"/>
      <c r="J35" s="217"/>
      <c r="K35" s="217"/>
      <c r="L35" s="217"/>
      <c r="M35" s="217"/>
      <c r="N35" s="217"/>
      <c r="O35" s="217"/>
      <c r="P35" s="217"/>
      <c r="Q35" s="217"/>
      <c r="R35" s="216">
        <f t="shared" ref="R35:R39" si="3">SUM(C35:Q35)</f>
        <v>0</v>
      </c>
      <c r="S35" s="222">
        <f t="shared" ref="S35:S39" si="4">IF(ISERROR(AVERAGE(C35:Q35)),0,AVERAGE(C35:Q35))</f>
        <v>0</v>
      </c>
      <c r="T35" s="221"/>
    </row>
    <row r="36" spans="1:20" ht="42.75" customHeight="1" x14ac:dyDescent="0.3">
      <c r="A36" s="216">
        <v>26</v>
      </c>
      <c r="B36" s="187"/>
      <c r="C36" s="217"/>
      <c r="D36" s="217"/>
      <c r="E36" s="217"/>
      <c r="F36" s="217"/>
      <c r="G36" s="217"/>
      <c r="H36" s="217"/>
      <c r="I36" s="217"/>
      <c r="J36" s="217"/>
      <c r="K36" s="217"/>
      <c r="L36" s="217"/>
      <c r="M36" s="217"/>
      <c r="N36" s="217"/>
      <c r="O36" s="217"/>
      <c r="P36" s="217"/>
      <c r="Q36" s="217"/>
      <c r="R36" s="216">
        <f t="shared" si="3"/>
        <v>0</v>
      </c>
      <c r="S36" s="222">
        <f t="shared" si="4"/>
        <v>0</v>
      </c>
      <c r="T36" s="221"/>
    </row>
    <row r="37" spans="1:20" ht="42" customHeight="1" x14ac:dyDescent="0.3">
      <c r="A37" s="216">
        <v>27</v>
      </c>
      <c r="B37" s="187"/>
      <c r="C37" s="217"/>
      <c r="D37" s="217"/>
      <c r="E37" s="217"/>
      <c r="F37" s="217"/>
      <c r="G37" s="217"/>
      <c r="H37" s="217"/>
      <c r="I37" s="217"/>
      <c r="J37" s="217"/>
      <c r="K37" s="217"/>
      <c r="L37" s="217"/>
      <c r="M37" s="217"/>
      <c r="N37" s="217"/>
      <c r="O37" s="217"/>
      <c r="P37" s="217"/>
      <c r="Q37" s="217"/>
      <c r="R37" s="216">
        <f t="shared" si="3"/>
        <v>0</v>
      </c>
      <c r="S37" s="222">
        <f t="shared" si="4"/>
        <v>0</v>
      </c>
      <c r="T37" s="221"/>
    </row>
    <row r="38" spans="1:20" ht="42.75" customHeight="1" x14ac:dyDescent="0.3">
      <c r="A38" s="216">
        <v>28</v>
      </c>
      <c r="B38" s="187"/>
      <c r="C38" s="217"/>
      <c r="D38" s="217"/>
      <c r="E38" s="217"/>
      <c r="F38" s="217"/>
      <c r="G38" s="217"/>
      <c r="H38" s="217"/>
      <c r="I38" s="217"/>
      <c r="J38" s="217"/>
      <c r="K38" s="217"/>
      <c r="L38" s="217"/>
      <c r="M38" s="217"/>
      <c r="N38" s="217"/>
      <c r="O38" s="217"/>
      <c r="P38" s="217"/>
      <c r="Q38" s="217"/>
      <c r="R38" s="216">
        <f t="shared" si="3"/>
        <v>0</v>
      </c>
      <c r="S38" s="222">
        <f t="shared" si="4"/>
        <v>0</v>
      </c>
      <c r="T38" s="221"/>
    </row>
    <row r="39" spans="1:20" ht="47.25" customHeight="1" x14ac:dyDescent="0.3">
      <c r="A39" s="216">
        <v>29</v>
      </c>
      <c r="B39" s="187"/>
      <c r="C39" s="217"/>
      <c r="D39" s="217"/>
      <c r="E39" s="217"/>
      <c r="F39" s="217"/>
      <c r="G39" s="217"/>
      <c r="H39" s="217"/>
      <c r="I39" s="217"/>
      <c r="J39" s="217"/>
      <c r="K39" s="217"/>
      <c r="L39" s="217"/>
      <c r="M39" s="217"/>
      <c r="N39" s="217"/>
      <c r="O39" s="217"/>
      <c r="P39" s="217"/>
      <c r="Q39" s="217"/>
      <c r="R39" s="216">
        <f t="shared" si="3"/>
        <v>0</v>
      </c>
      <c r="S39" s="222">
        <f t="shared" si="4"/>
        <v>0</v>
      </c>
      <c r="T39" s="221"/>
    </row>
    <row r="40" spans="1:20" ht="50.25" customHeight="1" thickBot="1" x14ac:dyDescent="0.35">
      <c r="A40" s="223">
        <v>30</v>
      </c>
      <c r="B40" s="224"/>
      <c r="C40" s="225"/>
      <c r="D40" s="225"/>
      <c r="E40" s="225"/>
      <c r="F40" s="225"/>
      <c r="G40" s="225"/>
      <c r="H40" s="225"/>
      <c r="I40" s="225"/>
      <c r="J40" s="225"/>
      <c r="K40" s="225"/>
      <c r="L40" s="225"/>
      <c r="M40" s="225"/>
      <c r="N40" s="225"/>
      <c r="O40" s="225"/>
      <c r="P40" s="225"/>
      <c r="Q40" s="225"/>
      <c r="R40" s="223">
        <f>SUM(C40:Q40)</f>
        <v>0</v>
      </c>
      <c r="S40" s="226">
        <f>IF(ISERROR(AVERAGE(C40:Q40)),0,AVERAGE(C40:Q40))</f>
        <v>0</v>
      </c>
      <c r="T40" s="227"/>
    </row>
    <row r="41" spans="1:20" ht="24" customHeight="1" x14ac:dyDescent="0.3">
      <c r="A41" s="291" t="s">
        <v>310</v>
      </c>
      <c r="B41" s="292"/>
      <c r="C41" s="292"/>
      <c r="D41" s="292"/>
      <c r="E41" s="292"/>
      <c r="F41" s="292"/>
      <c r="G41" s="292"/>
      <c r="H41" s="292"/>
      <c r="I41" s="292"/>
      <c r="J41" s="292"/>
      <c r="K41" s="292"/>
      <c r="L41" s="292"/>
      <c r="M41" s="292"/>
      <c r="N41" s="292"/>
      <c r="O41" s="292"/>
      <c r="P41" s="292"/>
      <c r="Q41" s="292"/>
      <c r="R41" s="293"/>
      <c r="S41" s="228">
        <f>SUM(S11:S40)</f>
        <v>94</v>
      </c>
    </row>
    <row r="42" spans="1:20" ht="28.5" customHeight="1" thickBot="1" x14ac:dyDescent="0.35">
      <c r="A42" s="294" t="s">
        <v>308</v>
      </c>
      <c r="B42" s="295"/>
      <c r="C42" s="295"/>
      <c r="D42" s="295"/>
      <c r="E42" s="295"/>
      <c r="F42" s="295"/>
      <c r="G42" s="295"/>
      <c r="H42" s="295"/>
      <c r="I42" s="295"/>
      <c r="J42" s="295"/>
      <c r="K42" s="295"/>
      <c r="L42" s="295"/>
      <c r="M42" s="295"/>
      <c r="N42" s="295"/>
      <c r="O42" s="295"/>
      <c r="P42" s="295"/>
      <c r="Q42" s="295"/>
      <c r="R42" s="295"/>
      <c r="S42" s="229">
        <f>S41/A33</f>
        <v>4.0869565217391308</v>
      </c>
    </row>
  </sheetData>
  <sheetProtection selectLockedCells="1"/>
  <mergeCells count="10">
    <mergeCell ref="A9:T9"/>
    <mergeCell ref="A41:R41"/>
    <mergeCell ref="A42:R42"/>
    <mergeCell ref="A5:T5"/>
    <mergeCell ref="A6:T6"/>
    <mergeCell ref="A7:T7"/>
    <mergeCell ref="T1:W4"/>
    <mergeCell ref="C1:R2"/>
    <mergeCell ref="C3:R4"/>
    <mergeCell ref="A1:B4"/>
  </mergeCells>
  <conditionalFormatting sqref="Z14">
    <cfRule type="dataBar" priority="1">
      <dataBar>
        <cfvo type="min"/>
        <cfvo type="max"/>
        <color rgb="FFFFB628"/>
      </dataBar>
      <extLst>
        <ext xmlns:x14="http://schemas.microsoft.com/office/spreadsheetml/2009/9/main" uri="{B025F937-C7B1-47D3-B67F-A62EFF666E3E}">
          <x14:id>{ACBA76BD-65B2-40C9-8CCE-7465A9CA102E}</x14:id>
        </ext>
      </extLst>
    </cfRule>
  </conditionalFormatting>
  <dataValidations count="1">
    <dataValidation type="whole" showErrorMessage="1" error="DATO INVÁLIDO_x000a_Tenga en cuenta que la escala de calificación va de 1 a 5" sqref="C11:Q40" xr:uid="{29BF0723-2CB3-4523-AAF8-7CD81D0A7CDD}">
      <formula1>1</formula1>
      <formula2>5</formula2>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3117" r:id="rId4" name="CheckBox46">
          <controlPr defaultSize="0" autoLine="0" r:id="rId5">
            <anchor moveWithCells="1">
              <from>
                <xdr:col>19</xdr:col>
                <xdr:colOff>617220</xdr:colOff>
                <xdr:row>40</xdr:row>
                <xdr:rowOff>0</xdr:rowOff>
              </from>
              <to>
                <xdr:col>19</xdr:col>
                <xdr:colOff>906780</xdr:colOff>
                <xdr:row>40</xdr:row>
                <xdr:rowOff>259080</xdr:rowOff>
              </to>
            </anchor>
          </controlPr>
        </control>
      </mc:Choice>
      <mc:Fallback>
        <control shapeId="3117" r:id="rId4" name="CheckBox46"/>
      </mc:Fallback>
    </mc:AlternateContent>
    <mc:AlternateContent xmlns:mc="http://schemas.openxmlformats.org/markup-compatibility/2006">
      <mc:Choice Requires="x14">
        <control shapeId="3116" r:id="rId6" name="CheckBox45">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16" r:id="rId6" name="CheckBox45"/>
      </mc:Fallback>
    </mc:AlternateContent>
    <mc:AlternateContent xmlns:mc="http://schemas.openxmlformats.org/markup-compatibility/2006">
      <mc:Choice Requires="x14">
        <control shapeId="3115" r:id="rId8" name="CheckBox44">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15" r:id="rId8" name="CheckBox44"/>
      </mc:Fallback>
    </mc:AlternateContent>
    <mc:AlternateContent xmlns:mc="http://schemas.openxmlformats.org/markup-compatibility/2006">
      <mc:Choice Requires="x14">
        <control shapeId="3114" r:id="rId9" name="CheckBox43">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14" r:id="rId9" name="CheckBox43"/>
      </mc:Fallback>
    </mc:AlternateContent>
    <mc:AlternateContent xmlns:mc="http://schemas.openxmlformats.org/markup-compatibility/2006">
      <mc:Choice Requires="x14">
        <control shapeId="3113" r:id="rId10" name="CheckBox42">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13" r:id="rId10" name="CheckBox42"/>
      </mc:Fallback>
    </mc:AlternateContent>
    <mc:AlternateContent xmlns:mc="http://schemas.openxmlformats.org/markup-compatibility/2006">
      <mc:Choice Requires="x14">
        <control shapeId="3112" r:id="rId11" name="CheckBox41">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12" r:id="rId11" name="CheckBox41"/>
      </mc:Fallback>
    </mc:AlternateContent>
    <mc:AlternateContent xmlns:mc="http://schemas.openxmlformats.org/markup-compatibility/2006">
      <mc:Choice Requires="x14">
        <control shapeId="3111" r:id="rId12" name="CheckBox40">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11" r:id="rId12" name="CheckBox40"/>
      </mc:Fallback>
    </mc:AlternateContent>
    <mc:AlternateContent xmlns:mc="http://schemas.openxmlformats.org/markup-compatibility/2006">
      <mc:Choice Requires="x14">
        <control shapeId="3110" r:id="rId13" name="CheckBox39">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10" r:id="rId13" name="CheckBox39"/>
      </mc:Fallback>
    </mc:AlternateContent>
    <mc:AlternateContent xmlns:mc="http://schemas.openxmlformats.org/markup-compatibility/2006">
      <mc:Choice Requires="x14">
        <control shapeId="3109" r:id="rId14" name="CheckBox38">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09" r:id="rId14" name="CheckBox38"/>
      </mc:Fallback>
    </mc:AlternateContent>
    <mc:AlternateContent xmlns:mc="http://schemas.openxmlformats.org/markup-compatibility/2006">
      <mc:Choice Requires="x14">
        <control shapeId="3108" r:id="rId15" name="CheckBox36">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08" r:id="rId15" name="CheckBox36"/>
      </mc:Fallback>
    </mc:AlternateContent>
    <mc:AlternateContent xmlns:mc="http://schemas.openxmlformats.org/markup-compatibility/2006">
      <mc:Choice Requires="x14">
        <control shapeId="3107" r:id="rId16" name="CheckBox35">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07" r:id="rId16" name="CheckBox35"/>
      </mc:Fallback>
    </mc:AlternateContent>
    <mc:AlternateContent xmlns:mc="http://schemas.openxmlformats.org/markup-compatibility/2006">
      <mc:Choice Requires="x14">
        <control shapeId="3106" r:id="rId17" name="CheckBox34">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06" r:id="rId17" name="CheckBox34"/>
      </mc:Fallback>
    </mc:AlternateContent>
    <mc:AlternateContent xmlns:mc="http://schemas.openxmlformats.org/markup-compatibility/2006">
      <mc:Choice Requires="x14">
        <control shapeId="3105" r:id="rId18" name="CheckBox33">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05" r:id="rId18" name="CheckBox33"/>
      </mc:Fallback>
    </mc:AlternateContent>
    <mc:AlternateContent xmlns:mc="http://schemas.openxmlformats.org/markup-compatibility/2006">
      <mc:Choice Requires="x14">
        <control shapeId="3104" r:id="rId19" name="CheckBox32">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04" r:id="rId19" name="CheckBox32"/>
      </mc:Fallback>
    </mc:AlternateContent>
    <mc:AlternateContent xmlns:mc="http://schemas.openxmlformats.org/markup-compatibility/2006">
      <mc:Choice Requires="x14">
        <control shapeId="3103" r:id="rId20" name="CheckBox31">
          <controlPr defaultSize="0" autoLine="0" r:id="rId7">
            <anchor moveWithCells="1">
              <from>
                <xdr:col>19</xdr:col>
                <xdr:colOff>617220</xdr:colOff>
                <xdr:row>40</xdr:row>
                <xdr:rowOff>0</xdr:rowOff>
              </from>
              <to>
                <xdr:col>19</xdr:col>
                <xdr:colOff>899160</xdr:colOff>
                <xdr:row>40</xdr:row>
                <xdr:rowOff>259080</xdr:rowOff>
              </to>
            </anchor>
          </controlPr>
        </control>
      </mc:Choice>
      <mc:Fallback>
        <control shapeId="3103" r:id="rId20" name="CheckBox31"/>
      </mc:Fallback>
    </mc:AlternateContent>
    <mc:AlternateContent xmlns:mc="http://schemas.openxmlformats.org/markup-compatibility/2006">
      <mc:Choice Requires="x14">
        <control shapeId="3102" r:id="rId21" name="CheckBox30">
          <controlPr defaultSize="0" autoLine="0" r:id="rId7">
            <anchor moveWithCells="1">
              <from>
                <xdr:col>19</xdr:col>
                <xdr:colOff>617220</xdr:colOff>
                <xdr:row>39</xdr:row>
                <xdr:rowOff>160020</xdr:rowOff>
              </from>
              <to>
                <xdr:col>19</xdr:col>
                <xdr:colOff>899160</xdr:colOff>
                <xdr:row>39</xdr:row>
                <xdr:rowOff>419100</xdr:rowOff>
              </to>
            </anchor>
          </controlPr>
        </control>
      </mc:Choice>
      <mc:Fallback>
        <control shapeId="3102" r:id="rId21" name="CheckBox30"/>
      </mc:Fallback>
    </mc:AlternateContent>
    <mc:AlternateContent xmlns:mc="http://schemas.openxmlformats.org/markup-compatibility/2006">
      <mc:Choice Requires="x14">
        <control shapeId="3101" r:id="rId22" name="CheckBox29">
          <controlPr defaultSize="0" autoLine="0" r:id="rId7">
            <anchor moveWithCells="1">
              <from>
                <xdr:col>19</xdr:col>
                <xdr:colOff>617220</xdr:colOff>
                <xdr:row>38</xdr:row>
                <xdr:rowOff>160020</xdr:rowOff>
              </from>
              <to>
                <xdr:col>19</xdr:col>
                <xdr:colOff>899160</xdr:colOff>
                <xdr:row>38</xdr:row>
                <xdr:rowOff>419100</xdr:rowOff>
              </to>
            </anchor>
          </controlPr>
        </control>
      </mc:Choice>
      <mc:Fallback>
        <control shapeId="3101" r:id="rId22" name="CheckBox29"/>
      </mc:Fallback>
    </mc:AlternateContent>
    <mc:AlternateContent xmlns:mc="http://schemas.openxmlformats.org/markup-compatibility/2006">
      <mc:Choice Requires="x14">
        <control shapeId="3100" r:id="rId23" name="CheckBox28">
          <controlPr defaultSize="0" autoLine="0" r:id="rId7">
            <anchor moveWithCells="1">
              <from>
                <xdr:col>19</xdr:col>
                <xdr:colOff>617220</xdr:colOff>
                <xdr:row>37</xdr:row>
                <xdr:rowOff>160020</xdr:rowOff>
              </from>
              <to>
                <xdr:col>19</xdr:col>
                <xdr:colOff>899160</xdr:colOff>
                <xdr:row>37</xdr:row>
                <xdr:rowOff>419100</xdr:rowOff>
              </to>
            </anchor>
          </controlPr>
        </control>
      </mc:Choice>
      <mc:Fallback>
        <control shapeId="3100" r:id="rId23" name="CheckBox28"/>
      </mc:Fallback>
    </mc:AlternateContent>
    <mc:AlternateContent xmlns:mc="http://schemas.openxmlformats.org/markup-compatibility/2006">
      <mc:Choice Requires="x14">
        <control shapeId="3099" r:id="rId24" name="CheckBox27">
          <controlPr defaultSize="0" autoLine="0" r:id="rId7">
            <anchor moveWithCells="1">
              <from>
                <xdr:col>19</xdr:col>
                <xdr:colOff>617220</xdr:colOff>
                <xdr:row>36</xdr:row>
                <xdr:rowOff>160020</xdr:rowOff>
              </from>
              <to>
                <xdr:col>19</xdr:col>
                <xdr:colOff>899160</xdr:colOff>
                <xdr:row>36</xdr:row>
                <xdr:rowOff>419100</xdr:rowOff>
              </to>
            </anchor>
          </controlPr>
        </control>
      </mc:Choice>
      <mc:Fallback>
        <control shapeId="3099" r:id="rId24" name="CheckBox27"/>
      </mc:Fallback>
    </mc:AlternateContent>
    <mc:AlternateContent xmlns:mc="http://schemas.openxmlformats.org/markup-compatibility/2006">
      <mc:Choice Requires="x14">
        <control shapeId="3098" r:id="rId25" name="CheckBox26">
          <controlPr defaultSize="0" autoLine="0" r:id="rId7">
            <anchor moveWithCells="1">
              <from>
                <xdr:col>19</xdr:col>
                <xdr:colOff>617220</xdr:colOff>
                <xdr:row>35</xdr:row>
                <xdr:rowOff>160020</xdr:rowOff>
              </from>
              <to>
                <xdr:col>19</xdr:col>
                <xdr:colOff>899160</xdr:colOff>
                <xdr:row>35</xdr:row>
                <xdr:rowOff>419100</xdr:rowOff>
              </to>
            </anchor>
          </controlPr>
        </control>
      </mc:Choice>
      <mc:Fallback>
        <control shapeId="3098" r:id="rId25" name="CheckBox26"/>
      </mc:Fallback>
    </mc:AlternateContent>
    <mc:AlternateContent xmlns:mc="http://schemas.openxmlformats.org/markup-compatibility/2006">
      <mc:Choice Requires="x14">
        <control shapeId="3097" r:id="rId26" name="CheckBox25">
          <controlPr defaultSize="0" autoLine="0" r:id="rId7">
            <anchor moveWithCells="1">
              <from>
                <xdr:col>19</xdr:col>
                <xdr:colOff>617220</xdr:colOff>
                <xdr:row>34</xdr:row>
                <xdr:rowOff>160020</xdr:rowOff>
              </from>
              <to>
                <xdr:col>19</xdr:col>
                <xdr:colOff>899160</xdr:colOff>
                <xdr:row>34</xdr:row>
                <xdr:rowOff>419100</xdr:rowOff>
              </to>
            </anchor>
          </controlPr>
        </control>
      </mc:Choice>
      <mc:Fallback>
        <control shapeId="3097" r:id="rId26" name="CheckBox25"/>
      </mc:Fallback>
    </mc:AlternateContent>
    <mc:AlternateContent xmlns:mc="http://schemas.openxmlformats.org/markup-compatibility/2006">
      <mc:Choice Requires="x14">
        <control shapeId="3096" r:id="rId27" name="CheckBox24">
          <controlPr defaultSize="0" autoLine="0" r:id="rId28">
            <anchor moveWithCells="1">
              <from>
                <xdr:col>19</xdr:col>
                <xdr:colOff>617220</xdr:colOff>
                <xdr:row>33</xdr:row>
                <xdr:rowOff>160020</xdr:rowOff>
              </from>
              <to>
                <xdr:col>19</xdr:col>
                <xdr:colOff>899160</xdr:colOff>
                <xdr:row>33</xdr:row>
                <xdr:rowOff>419100</xdr:rowOff>
              </to>
            </anchor>
          </controlPr>
        </control>
      </mc:Choice>
      <mc:Fallback>
        <control shapeId="3096" r:id="rId27" name="CheckBox24"/>
      </mc:Fallback>
    </mc:AlternateContent>
    <mc:AlternateContent xmlns:mc="http://schemas.openxmlformats.org/markup-compatibility/2006">
      <mc:Choice Requires="x14">
        <control shapeId="3095" r:id="rId29" name="CheckBox23">
          <controlPr defaultSize="0" autoLine="0" r:id="rId28">
            <anchor moveWithCells="1">
              <from>
                <xdr:col>19</xdr:col>
                <xdr:colOff>617220</xdr:colOff>
                <xdr:row>32</xdr:row>
                <xdr:rowOff>160020</xdr:rowOff>
              </from>
              <to>
                <xdr:col>19</xdr:col>
                <xdr:colOff>899160</xdr:colOff>
                <xdr:row>32</xdr:row>
                <xdr:rowOff>419100</xdr:rowOff>
              </to>
            </anchor>
          </controlPr>
        </control>
      </mc:Choice>
      <mc:Fallback>
        <control shapeId="3095" r:id="rId29" name="CheckBox23"/>
      </mc:Fallback>
    </mc:AlternateContent>
    <mc:AlternateContent xmlns:mc="http://schemas.openxmlformats.org/markup-compatibility/2006">
      <mc:Choice Requires="x14">
        <control shapeId="3094" r:id="rId30" name="CheckBox22">
          <controlPr defaultSize="0" autoLine="0" r:id="rId31">
            <anchor moveWithCells="1">
              <from>
                <xdr:col>19</xdr:col>
                <xdr:colOff>617220</xdr:colOff>
                <xdr:row>31</xdr:row>
                <xdr:rowOff>160020</xdr:rowOff>
              </from>
              <to>
                <xdr:col>19</xdr:col>
                <xdr:colOff>906780</xdr:colOff>
                <xdr:row>31</xdr:row>
                <xdr:rowOff>419100</xdr:rowOff>
              </to>
            </anchor>
          </controlPr>
        </control>
      </mc:Choice>
      <mc:Fallback>
        <control shapeId="3094" r:id="rId30" name="CheckBox22"/>
      </mc:Fallback>
    </mc:AlternateContent>
    <mc:AlternateContent xmlns:mc="http://schemas.openxmlformats.org/markup-compatibility/2006">
      <mc:Choice Requires="x14">
        <control shapeId="3093" r:id="rId32" name="CheckBox21">
          <controlPr defaultSize="0" autoLine="0" r:id="rId31">
            <anchor moveWithCells="1">
              <from>
                <xdr:col>19</xdr:col>
                <xdr:colOff>617220</xdr:colOff>
                <xdr:row>30</xdr:row>
                <xdr:rowOff>160020</xdr:rowOff>
              </from>
              <to>
                <xdr:col>19</xdr:col>
                <xdr:colOff>906780</xdr:colOff>
                <xdr:row>30</xdr:row>
                <xdr:rowOff>419100</xdr:rowOff>
              </to>
            </anchor>
          </controlPr>
        </control>
      </mc:Choice>
      <mc:Fallback>
        <control shapeId="3093" r:id="rId32" name="CheckBox21"/>
      </mc:Fallback>
    </mc:AlternateContent>
    <mc:AlternateContent xmlns:mc="http://schemas.openxmlformats.org/markup-compatibility/2006">
      <mc:Choice Requires="x14">
        <control shapeId="3092" r:id="rId33" name="CheckBox20">
          <controlPr defaultSize="0" autoLine="0" r:id="rId31">
            <anchor moveWithCells="1">
              <from>
                <xdr:col>19</xdr:col>
                <xdr:colOff>617220</xdr:colOff>
                <xdr:row>29</xdr:row>
                <xdr:rowOff>160020</xdr:rowOff>
              </from>
              <to>
                <xdr:col>19</xdr:col>
                <xdr:colOff>906780</xdr:colOff>
                <xdr:row>29</xdr:row>
                <xdr:rowOff>419100</xdr:rowOff>
              </to>
            </anchor>
          </controlPr>
        </control>
      </mc:Choice>
      <mc:Fallback>
        <control shapeId="3092" r:id="rId33" name="CheckBox20"/>
      </mc:Fallback>
    </mc:AlternateContent>
    <mc:AlternateContent xmlns:mc="http://schemas.openxmlformats.org/markup-compatibility/2006">
      <mc:Choice Requires="x14">
        <control shapeId="3091" r:id="rId34" name="CheckBox19">
          <controlPr defaultSize="0" autoLine="0" r:id="rId7">
            <anchor moveWithCells="1">
              <from>
                <xdr:col>19</xdr:col>
                <xdr:colOff>617220</xdr:colOff>
                <xdr:row>28</xdr:row>
                <xdr:rowOff>160020</xdr:rowOff>
              </from>
              <to>
                <xdr:col>19</xdr:col>
                <xdr:colOff>899160</xdr:colOff>
                <xdr:row>28</xdr:row>
                <xdr:rowOff>419100</xdr:rowOff>
              </to>
            </anchor>
          </controlPr>
        </control>
      </mc:Choice>
      <mc:Fallback>
        <control shapeId="3091" r:id="rId34" name="CheckBox19"/>
      </mc:Fallback>
    </mc:AlternateContent>
    <mc:AlternateContent xmlns:mc="http://schemas.openxmlformats.org/markup-compatibility/2006">
      <mc:Choice Requires="x14">
        <control shapeId="3090" r:id="rId35" name="CheckBox18">
          <controlPr defaultSize="0" autoLine="0" r:id="rId31">
            <anchor moveWithCells="1">
              <from>
                <xdr:col>19</xdr:col>
                <xdr:colOff>617220</xdr:colOff>
                <xdr:row>27</xdr:row>
                <xdr:rowOff>160020</xdr:rowOff>
              </from>
              <to>
                <xdr:col>19</xdr:col>
                <xdr:colOff>906780</xdr:colOff>
                <xdr:row>27</xdr:row>
                <xdr:rowOff>419100</xdr:rowOff>
              </to>
            </anchor>
          </controlPr>
        </control>
      </mc:Choice>
      <mc:Fallback>
        <control shapeId="3090" r:id="rId35" name="CheckBox18"/>
      </mc:Fallback>
    </mc:AlternateContent>
    <mc:AlternateContent xmlns:mc="http://schemas.openxmlformats.org/markup-compatibility/2006">
      <mc:Choice Requires="x14">
        <control shapeId="3089" r:id="rId36" name="CheckBox17">
          <controlPr defaultSize="0" autoLine="0" r:id="rId5">
            <anchor moveWithCells="1">
              <from>
                <xdr:col>19</xdr:col>
                <xdr:colOff>617220</xdr:colOff>
                <xdr:row>26</xdr:row>
                <xdr:rowOff>160020</xdr:rowOff>
              </from>
              <to>
                <xdr:col>19</xdr:col>
                <xdr:colOff>906780</xdr:colOff>
                <xdr:row>26</xdr:row>
                <xdr:rowOff>419100</xdr:rowOff>
              </to>
            </anchor>
          </controlPr>
        </control>
      </mc:Choice>
      <mc:Fallback>
        <control shapeId="3089" r:id="rId36" name="CheckBox17"/>
      </mc:Fallback>
    </mc:AlternateContent>
    <mc:AlternateContent xmlns:mc="http://schemas.openxmlformats.org/markup-compatibility/2006">
      <mc:Choice Requires="x14">
        <control shapeId="3088" r:id="rId37" name="CheckBox16">
          <controlPr defaultSize="0" autoLine="0" r:id="rId31">
            <anchor moveWithCells="1">
              <from>
                <xdr:col>19</xdr:col>
                <xdr:colOff>617220</xdr:colOff>
                <xdr:row>25</xdr:row>
                <xdr:rowOff>160020</xdr:rowOff>
              </from>
              <to>
                <xdr:col>19</xdr:col>
                <xdr:colOff>906780</xdr:colOff>
                <xdr:row>25</xdr:row>
                <xdr:rowOff>419100</xdr:rowOff>
              </to>
            </anchor>
          </controlPr>
        </control>
      </mc:Choice>
      <mc:Fallback>
        <control shapeId="3088" r:id="rId37" name="CheckBox16"/>
      </mc:Fallback>
    </mc:AlternateContent>
    <mc:AlternateContent xmlns:mc="http://schemas.openxmlformats.org/markup-compatibility/2006">
      <mc:Choice Requires="x14">
        <control shapeId="3087" r:id="rId38" name="CheckBox15">
          <controlPr defaultSize="0" autoLine="0" r:id="rId31">
            <anchor moveWithCells="1">
              <from>
                <xdr:col>19</xdr:col>
                <xdr:colOff>617220</xdr:colOff>
                <xdr:row>24</xdr:row>
                <xdr:rowOff>160020</xdr:rowOff>
              </from>
              <to>
                <xdr:col>19</xdr:col>
                <xdr:colOff>906780</xdr:colOff>
                <xdr:row>24</xdr:row>
                <xdr:rowOff>419100</xdr:rowOff>
              </to>
            </anchor>
          </controlPr>
        </control>
      </mc:Choice>
      <mc:Fallback>
        <control shapeId="3087" r:id="rId38" name="CheckBox15"/>
      </mc:Fallback>
    </mc:AlternateContent>
    <mc:AlternateContent xmlns:mc="http://schemas.openxmlformats.org/markup-compatibility/2006">
      <mc:Choice Requires="x14">
        <control shapeId="3086" r:id="rId39" name="CheckBox14">
          <controlPr defaultSize="0" autoLine="0" r:id="rId7">
            <anchor moveWithCells="1">
              <from>
                <xdr:col>19</xdr:col>
                <xdr:colOff>617220</xdr:colOff>
                <xdr:row>23</xdr:row>
                <xdr:rowOff>160020</xdr:rowOff>
              </from>
              <to>
                <xdr:col>19</xdr:col>
                <xdr:colOff>899160</xdr:colOff>
                <xdr:row>23</xdr:row>
                <xdr:rowOff>419100</xdr:rowOff>
              </to>
            </anchor>
          </controlPr>
        </control>
      </mc:Choice>
      <mc:Fallback>
        <control shapeId="3086" r:id="rId39" name="CheckBox14"/>
      </mc:Fallback>
    </mc:AlternateContent>
    <mc:AlternateContent xmlns:mc="http://schemas.openxmlformats.org/markup-compatibility/2006">
      <mc:Choice Requires="x14">
        <control shapeId="3085" r:id="rId40" name="CheckBox13">
          <controlPr defaultSize="0" autoLine="0" r:id="rId31">
            <anchor moveWithCells="1">
              <from>
                <xdr:col>19</xdr:col>
                <xdr:colOff>617220</xdr:colOff>
                <xdr:row>22</xdr:row>
                <xdr:rowOff>160020</xdr:rowOff>
              </from>
              <to>
                <xdr:col>19</xdr:col>
                <xdr:colOff>906780</xdr:colOff>
                <xdr:row>22</xdr:row>
                <xdr:rowOff>419100</xdr:rowOff>
              </to>
            </anchor>
          </controlPr>
        </control>
      </mc:Choice>
      <mc:Fallback>
        <control shapeId="3085" r:id="rId40" name="CheckBox13"/>
      </mc:Fallback>
    </mc:AlternateContent>
    <mc:AlternateContent xmlns:mc="http://schemas.openxmlformats.org/markup-compatibility/2006">
      <mc:Choice Requires="x14">
        <control shapeId="3084" r:id="rId41" name="CheckBox12">
          <controlPr defaultSize="0" autoLine="0" r:id="rId31">
            <anchor moveWithCells="1">
              <from>
                <xdr:col>19</xdr:col>
                <xdr:colOff>617220</xdr:colOff>
                <xdr:row>21</xdr:row>
                <xdr:rowOff>160020</xdr:rowOff>
              </from>
              <to>
                <xdr:col>19</xdr:col>
                <xdr:colOff>906780</xdr:colOff>
                <xdr:row>21</xdr:row>
                <xdr:rowOff>419100</xdr:rowOff>
              </to>
            </anchor>
          </controlPr>
        </control>
      </mc:Choice>
      <mc:Fallback>
        <control shapeId="3084" r:id="rId41" name="CheckBox12"/>
      </mc:Fallback>
    </mc:AlternateContent>
    <mc:AlternateContent xmlns:mc="http://schemas.openxmlformats.org/markup-compatibility/2006">
      <mc:Choice Requires="x14">
        <control shapeId="3083" r:id="rId42" name="CheckBox11">
          <controlPr defaultSize="0" autoLine="0" r:id="rId31">
            <anchor moveWithCells="1">
              <from>
                <xdr:col>19</xdr:col>
                <xdr:colOff>617220</xdr:colOff>
                <xdr:row>20</xdr:row>
                <xdr:rowOff>160020</xdr:rowOff>
              </from>
              <to>
                <xdr:col>19</xdr:col>
                <xdr:colOff>906780</xdr:colOff>
                <xdr:row>20</xdr:row>
                <xdr:rowOff>419100</xdr:rowOff>
              </to>
            </anchor>
          </controlPr>
        </control>
      </mc:Choice>
      <mc:Fallback>
        <control shapeId="3083" r:id="rId42" name="CheckBox11"/>
      </mc:Fallback>
    </mc:AlternateContent>
    <mc:AlternateContent xmlns:mc="http://schemas.openxmlformats.org/markup-compatibility/2006">
      <mc:Choice Requires="x14">
        <control shapeId="3082" r:id="rId43" name="CheckBox10">
          <controlPr defaultSize="0" autoLine="0" r:id="rId7">
            <anchor moveWithCells="1">
              <from>
                <xdr:col>19</xdr:col>
                <xdr:colOff>617220</xdr:colOff>
                <xdr:row>19</xdr:row>
                <xdr:rowOff>160020</xdr:rowOff>
              </from>
              <to>
                <xdr:col>19</xdr:col>
                <xdr:colOff>899160</xdr:colOff>
                <xdr:row>19</xdr:row>
                <xdr:rowOff>419100</xdr:rowOff>
              </to>
            </anchor>
          </controlPr>
        </control>
      </mc:Choice>
      <mc:Fallback>
        <control shapeId="3082" r:id="rId43" name="CheckBox10"/>
      </mc:Fallback>
    </mc:AlternateContent>
    <mc:AlternateContent xmlns:mc="http://schemas.openxmlformats.org/markup-compatibility/2006">
      <mc:Choice Requires="x14">
        <control shapeId="3081" r:id="rId44" name="CheckBox9">
          <controlPr defaultSize="0" autoLine="0" r:id="rId31">
            <anchor moveWithCells="1">
              <from>
                <xdr:col>19</xdr:col>
                <xdr:colOff>617220</xdr:colOff>
                <xdr:row>18</xdr:row>
                <xdr:rowOff>160020</xdr:rowOff>
              </from>
              <to>
                <xdr:col>19</xdr:col>
                <xdr:colOff>906780</xdr:colOff>
                <xdr:row>18</xdr:row>
                <xdr:rowOff>419100</xdr:rowOff>
              </to>
            </anchor>
          </controlPr>
        </control>
      </mc:Choice>
      <mc:Fallback>
        <control shapeId="3081" r:id="rId44" name="CheckBox9"/>
      </mc:Fallback>
    </mc:AlternateContent>
    <mc:AlternateContent xmlns:mc="http://schemas.openxmlformats.org/markup-compatibility/2006">
      <mc:Choice Requires="x14">
        <control shapeId="3080" r:id="rId45" name="CheckBox8">
          <controlPr defaultSize="0" autoLine="0" r:id="rId31">
            <anchor moveWithCells="1">
              <from>
                <xdr:col>19</xdr:col>
                <xdr:colOff>617220</xdr:colOff>
                <xdr:row>17</xdr:row>
                <xdr:rowOff>160020</xdr:rowOff>
              </from>
              <to>
                <xdr:col>19</xdr:col>
                <xdr:colOff>906780</xdr:colOff>
                <xdr:row>17</xdr:row>
                <xdr:rowOff>419100</xdr:rowOff>
              </to>
            </anchor>
          </controlPr>
        </control>
      </mc:Choice>
      <mc:Fallback>
        <control shapeId="3080" r:id="rId45" name="CheckBox8"/>
      </mc:Fallback>
    </mc:AlternateContent>
    <mc:AlternateContent xmlns:mc="http://schemas.openxmlformats.org/markup-compatibility/2006">
      <mc:Choice Requires="x14">
        <control shapeId="3079" r:id="rId46" name="CheckBox7">
          <controlPr defaultSize="0" autoLine="0" r:id="rId31">
            <anchor moveWithCells="1">
              <from>
                <xdr:col>19</xdr:col>
                <xdr:colOff>617220</xdr:colOff>
                <xdr:row>16</xdr:row>
                <xdr:rowOff>160020</xdr:rowOff>
              </from>
              <to>
                <xdr:col>19</xdr:col>
                <xdr:colOff>906780</xdr:colOff>
                <xdr:row>16</xdr:row>
                <xdr:rowOff>419100</xdr:rowOff>
              </to>
            </anchor>
          </controlPr>
        </control>
      </mc:Choice>
      <mc:Fallback>
        <control shapeId="3079" r:id="rId46" name="CheckBox7"/>
      </mc:Fallback>
    </mc:AlternateContent>
    <mc:AlternateContent xmlns:mc="http://schemas.openxmlformats.org/markup-compatibility/2006">
      <mc:Choice Requires="x14">
        <control shapeId="3078" r:id="rId47" name="CheckBox6">
          <controlPr defaultSize="0" autoLine="0" r:id="rId5">
            <anchor moveWithCells="1">
              <from>
                <xdr:col>19</xdr:col>
                <xdr:colOff>617220</xdr:colOff>
                <xdr:row>15</xdr:row>
                <xdr:rowOff>160020</xdr:rowOff>
              </from>
              <to>
                <xdr:col>19</xdr:col>
                <xdr:colOff>906780</xdr:colOff>
                <xdr:row>15</xdr:row>
                <xdr:rowOff>419100</xdr:rowOff>
              </to>
            </anchor>
          </controlPr>
        </control>
      </mc:Choice>
      <mc:Fallback>
        <control shapeId="3078" r:id="rId47" name="CheckBox6"/>
      </mc:Fallback>
    </mc:AlternateContent>
    <mc:AlternateContent xmlns:mc="http://schemas.openxmlformats.org/markup-compatibility/2006">
      <mc:Choice Requires="x14">
        <control shapeId="3077" r:id="rId48" name="CheckBox5">
          <controlPr defaultSize="0" autoLine="0" r:id="rId5">
            <anchor moveWithCells="1">
              <from>
                <xdr:col>19</xdr:col>
                <xdr:colOff>617220</xdr:colOff>
                <xdr:row>14</xdr:row>
                <xdr:rowOff>175260</xdr:rowOff>
              </from>
              <to>
                <xdr:col>19</xdr:col>
                <xdr:colOff>906780</xdr:colOff>
                <xdr:row>14</xdr:row>
                <xdr:rowOff>434340</xdr:rowOff>
              </to>
            </anchor>
          </controlPr>
        </control>
      </mc:Choice>
      <mc:Fallback>
        <control shapeId="3077" r:id="rId48" name="CheckBox5"/>
      </mc:Fallback>
    </mc:AlternateContent>
    <mc:AlternateContent xmlns:mc="http://schemas.openxmlformats.org/markup-compatibility/2006">
      <mc:Choice Requires="x14">
        <control shapeId="3076" r:id="rId49" name="CheckBox4">
          <controlPr defaultSize="0" autoLine="0" r:id="rId5">
            <anchor moveWithCells="1">
              <from>
                <xdr:col>19</xdr:col>
                <xdr:colOff>617220</xdr:colOff>
                <xdr:row>13</xdr:row>
                <xdr:rowOff>160020</xdr:rowOff>
              </from>
              <to>
                <xdr:col>19</xdr:col>
                <xdr:colOff>906780</xdr:colOff>
                <xdr:row>13</xdr:row>
                <xdr:rowOff>419100</xdr:rowOff>
              </to>
            </anchor>
          </controlPr>
        </control>
      </mc:Choice>
      <mc:Fallback>
        <control shapeId="3076" r:id="rId49" name="CheckBox4"/>
      </mc:Fallback>
    </mc:AlternateContent>
    <mc:AlternateContent xmlns:mc="http://schemas.openxmlformats.org/markup-compatibility/2006">
      <mc:Choice Requires="x14">
        <control shapeId="3075" r:id="rId50" name="CheckBox3">
          <controlPr defaultSize="0" autoLine="0" r:id="rId5">
            <anchor moveWithCells="1">
              <from>
                <xdr:col>19</xdr:col>
                <xdr:colOff>617220</xdr:colOff>
                <xdr:row>12</xdr:row>
                <xdr:rowOff>160020</xdr:rowOff>
              </from>
              <to>
                <xdr:col>19</xdr:col>
                <xdr:colOff>906780</xdr:colOff>
                <xdr:row>12</xdr:row>
                <xdr:rowOff>419100</xdr:rowOff>
              </to>
            </anchor>
          </controlPr>
        </control>
      </mc:Choice>
      <mc:Fallback>
        <control shapeId="3075" r:id="rId50" name="CheckBox3"/>
      </mc:Fallback>
    </mc:AlternateContent>
    <mc:AlternateContent xmlns:mc="http://schemas.openxmlformats.org/markup-compatibility/2006">
      <mc:Choice Requires="x14">
        <control shapeId="3074" r:id="rId51" name="CheckBox2">
          <controlPr defaultSize="0" autoLine="0" r:id="rId5">
            <anchor moveWithCells="1">
              <from>
                <xdr:col>19</xdr:col>
                <xdr:colOff>617220</xdr:colOff>
                <xdr:row>11</xdr:row>
                <xdr:rowOff>160020</xdr:rowOff>
              </from>
              <to>
                <xdr:col>19</xdr:col>
                <xdr:colOff>906780</xdr:colOff>
                <xdr:row>11</xdr:row>
                <xdr:rowOff>419100</xdr:rowOff>
              </to>
            </anchor>
          </controlPr>
        </control>
      </mc:Choice>
      <mc:Fallback>
        <control shapeId="3074" r:id="rId51" name="CheckBox2"/>
      </mc:Fallback>
    </mc:AlternateContent>
    <mc:AlternateContent xmlns:mc="http://schemas.openxmlformats.org/markup-compatibility/2006">
      <mc:Choice Requires="x14">
        <control shapeId="3073" r:id="rId52" name="CheckBox1">
          <controlPr defaultSize="0" autoLine="0" r:id="rId53">
            <anchor moveWithCells="1">
              <from>
                <xdr:col>19</xdr:col>
                <xdr:colOff>632460</xdr:colOff>
                <xdr:row>10</xdr:row>
                <xdr:rowOff>60960</xdr:rowOff>
              </from>
              <to>
                <xdr:col>19</xdr:col>
                <xdr:colOff>883920</xdr:colOff>
                <xdr:row>10</xdr:row>
                <xdr:rowOff>457200</xdr:rowOff>
              </to>
            </anchor>
          </controlPr>
        </control>
      </mc:Choice>
      <mc:Fallback>
        <control shapeId="3073" r:id="rId52" name="CheckBox1"/>
      </mc:Fallback>
    </mc:AlternateContent>
  </controls>
  <extLst>
    <ext xmlns:x14="http://schemas.microsoft.com/office/spreadsheetml/2009/9/main" uri="{78C0D931-6437-407d-A8EE-F0AAD7539E65}">
      <x14:conditionalFormattings>
        <x14:conditionalFormatting xmlns:xm="http://schemas.microsoft.com/office/excel/2006/main">
          <x14:cfRule type="dataBar" id="{ACBA76BD-65B2-40C9-8CCE-7465A9CA102E}">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7611D-94E6-40B0-8C3E-3EA16C5733D4}">
  <sheetPr>
    <tabColor rgb="FFFFC000"/>
  </sheetPr>
  <dimension ref="A1:N139"/>
  <sheetViews>
    <sheetView zoomScale="80" zoomScaleNormal="80" workbookViewId="0">
      <selection activeCell="L11" sqref="L11"/>
    </sheetView>
  </sheetViews>
  <sheetFormatPr baseColWidth="10" defaultColWidth="11.44140625" defaultRowHeight="13.8" x14ac:dyDescent="0.25"/>
  <cols>
    <col min="1" max="1" width="12" style="173" customWidth="1"/>
    <col min="2" max="2" width="13.88671875" style="173" customWidth="1"/>
    <col min="3" max="3" width="29.21875" style="173" customWidth="1"/>
    <col min="4" max="4" width="7.44140625" style="173" customWidth="1"/>
    <col min="5" max="5" width="38" style="173" customWidth="1"/>
    <col min="6" max="6" width="30.33203125" style="173" customWidth="1"/>
    <col min="7" max="7" width="18.33203125" style="173" customWidth="1"/>
    <col min="8" max="8" width="15.5546875" style="173" customWidth="1"/>
    <col min="9" max="9" width="19.33203125" style="173" customWidth="1"/>
    <col min="10" max="10" width="14.5546875" style="173" customWidth="1"/>
    <col min="11" max="16384" width="11.44140625" style="173"/>
  </cols>
  <sheetData>
    <row r="1" spans="1:14" s="252" customFormat="1" ht="15" customHeight="1" x14ac:dyDescent="0.25">
      <c r="A1" s="523"/>
      <c r="B1" s="523"/>
      <c r="C1" s="523" t="s">
        <v>387</v>
      </c>
      <c r="D1" s="523"/>
      <c r="E1" s="523"/>
      <c r="F1" s="523"/>
      <c r="G1" s="523"/>
      <c r="H1" s="311" t="s">
        <v>383</v>
      </c>
      <c r="I1" s="312"/>
      <c r="J1" s="313"/>
      <c r="K1" s="251"/>
      <c r="N1" s="269"/>
    </row>
    <row r="2" spans="1:14" s="252" customFormat="1" ht="15" customHeight="1" x14ac:dyDescent="0.25">
      <c r="A2" s="523"/>
      <c r="B2" s="523"/>
      <c r="C2" s="523"/>
      <c r="D2" s="523"/>
      <c r="E2" s="523"/>
      <c r="F2" s="523"/>
      <c r="G2" s="523"/>
      <c r="H2" s="316" t="s">
        <v>384</v>
      </c>
      <c r="I2" s="317"/>
      <c r="J2" s="314"/>
      <c r="K2" s="251"/>
      <c r="N2" s="269"/>
    </row>
    <row r="3" spans="1:14" s="252" customFormat="1" ht="15" customHeight="1" x14ac:dyDescent="0.25">
      <c r="A3" s="523"/>
      <c r="B3" s="523"/>
      <c r="C3" s="523" t="s">
        <v>388</v>
      </c>
      <c r="D3" s="523"/>
      <c r="E3" s="523"/>
      <c r="F3" s="523"/>
      <c r="G3" s="523"/>
      <c r="H3" s="316" t="s">
        <v>385</v>
      </c>
      <c r="I3" s="317"/>
      <c r="J3" s="314"/>
      <c r="K3" s="251"/>
      <c r="N3" s="269"/>
    </row>
    <row r="4" spans="1:14" s="252" customFormat="1" ht="15.75" customHeight="1" x14ac:dyDescent="0.25">
      <c r="A4" s="523"/>
      <c r="B4" s="523"/>
      <c r="C4" s="523"/>
      <c r="D4" s="523"/>
      <c r="E4" s="523"/>
      <c r="F4" s="523"/>
      <c r="G4" s="523"/>
      <c r="H4" s="316" t="s">
        <v>386</v>
      </c>
      <c r="I4" s="317"/>
      <c r="J4" s="315"/>
      <c r="K4" s="251"/>
      <c r="N4" s="269"/>
    </row>
    <row r="5" spans="1:14" ht="15.75" customHeight="1" x14ac:dyDescent="0.25">
      <c r="A5" s="320"/>
      <c r="B5" s="321"/>
      <c r="C5" s="321"/>
      <c r="D5" s="321"/>
      <c r="E5" s="321"/>
      <c r="F5" s="321"/>
      <c r="G5" s="321"/>
      <c r="H5" s="321"/>
      <c r="I5" s="321"/>
      <c r="J5" s="322"/>
      <c r="K5" s="172"/>
      <c r="N5" s="174"/>
    </row>
    <row r="6" spans="1:14" ht="15" customHeight="1" x14ac:dyDescent="0.25">
      <c r="A6" s="323" t="str">
        <f>[1]CONTEXTO!A8</f>
        <v>PROCESO: GESTIÓN Y CONTROL DISCIPLINARIO</v>
      </c>
      <c r="B6" s="324"/>
      <c r="C6" s="324"/>
      <c r="D6" s="324"/>
      <c r="E6" s="324"/>
      <c r="F6" s="324"/>
      <c r="G6" s="324"/>
      <c r="H6" s="324"/>
      <c r="I6" s="324"/>
      <c r="J6" s="325"/>
    </row>
    <row r="7" spans="1:14" ht="32.25" customHeight="1" thickBot="1" x14ac:dyDescent="0.3">
      <c r="A7" s="326"/>
      <c r="B7" s="327"/>
      <c r="C7" s="327"/>
      <c r="D7" s="327"/>
      <c r="E7" s="327"/>
      <c r="F7" s="327"/>
      <c r="G7" s="327"/>
      <c r="H7" s="327"/>
      <c r="I7" s="327"/>
      <c r="J7" s="328"/>
    </row>
    <row r="8" spans="1:14" ht="23.25" customHeight="1" x14ac:dyDescent="0.25">
      <c r="A8" s="382" t="s">
        <v>311</v>
      </c>
      <c r="B8" s="383"/>
      <c r="C8" s="384"/>
      <c r="D8" s="236"/>
      <c r="E8" s="329" t="s">
        <v>254</v>
      </c>
      <c r="F8" s="330"/>
      <c r="G8" s="330"/>
      <c r="H8" s="330"/>
      <c r="I8" s="330"/>
      <c r="J8" s="331"/>
    </row>
    <row r="9" spans="1:14" ht="23.25" customHeight="1" x14ac:dyDescent="0.25">
      <c r="A9" s="385"/>
      <c r="B9" s="386"/>
      <c r="C9" s="387"/>
      <c r="D9" s="236"/>
      <c r="E9" s="332" t="s">
        <v>312</v>
      </c>
      <c r="F9" s="332"/>
      <c r="G9" s="332" t="s">
        <v>313</v>
      </c>
      <c r="H9" s="332"/>
      <c r="I9" s="332"/>
      <c r="J9" s="332"/>
    </row>
    <row r="10" spans="1:14" ht="23.25" customHeight="1" x14ac:dyDescent="0.3">
      <c r="A10" s="385"/>
      <c r="B10" s="386"/>
      <c r="C10" s="387"/>
      <c r="D10" s="236"/>
      <c r="E10" s="333" t="s">
        <v>314</v>
      </c>
      <c r="F10" s="333"/>
      <c r="G10" s="334" t="s">
        <v>315</v>
      </c>
      <c r="H10" s="335"/>
      <c r="I10" s="335"/>
      <c r="J10" s="336"/>
    </row>
    <row r="11" spans="1:14" ht="43.5" customHeight="1" x14ac:dyDescent="0.25">
      <c r="A11" s="385"/>
      <c r="B11" s="386"/>
      <c r="C11" s="387"/>
      <c r="D11" s="237">
        <v>1</v>
      </c>
      <c r="E11" s="337" t="str">
        <f>+[1]CONTEXTO!D12</f>
        <v>Escaso Presupuesto de Funcionamiento</v>
      </c>
      <c r="F11" s="338"/>
      <c r="G11" s="339" t="s">
        <v>316</v>
      </c>
      <c r="H11" s="339"/>
      <c r="I11" s="339"/>
      <c r="J11" s="339"/>
    </row>
    <row r="12" spans="1:14" ht="43.5" customHeight="1" x14ac:dyDescent="0.25">
      <c r="A12" s="385"/>
      <c r="B12" s="386"/>
      <c r="C12" s="387"/>
      <c r="D12" s="237">
        <v>2</v>
      </c>
      <c r="E12" s="337" t="str">
        <f>+[1]CONTEXTO!D13</f>
        <v>Infraestructura insuficienta para el funcionamiento de la Oficina</v>
      </c>
      <c r="F12" s="338"/>
      <c r="G12" s="339" t="s">
        <v>317</v>
      </c>
      <c r="H12" s="339"/>
      <c r="I12" s="339"/>
      <c r="J12" s="339"/>
    </row>
    <row r="13" spans="1:14" ht="70.2" customHeight="1" x14ac:dyDescent="0.25">
      <c r="A13" s="385"/>
      <c r="B13" s="386"/>
      <c r="C13" s="387"/>
      <c r="D13" s="237">
        <v>3</v>
      </c>
      <c r="E13" s="337" t="str">
        <f>+[1]CONTEXTO!D14</f>
        <v>Capacidad Instalada es insuficiente</v>
      </c>
      <c r="F13" s="338"/>
      <c r="G13" s="341" t="s">
        <v>318</v>
      </c>
      <c r="H13" s="341"/>
      <c r="I13" s="341"/>
      <c r="J13" s="341"/>
    </row>
    <row r="14" spans="1:14" ht="43.5" customHeight="1" x14ac:dyDescent="0.25">
      <c r="A14" s="385"/>
      <c r="B14" s="386"/>
      <c r="C14" s="387"/>
      <c r="D14" s="237">
        <v>4</v>
      </c>
      <c r="E14" s="337" t="str">
        <f>+[1]CONTEXTO!D15</f>
        <v xml:space="preserve">Alta rotacion del personal, falta etica y competencia de los mismos  </v>
      </c>
      <c r="F14" s="338"/>
      <c r="G14" s="339" t="s">
        <v>319</v>
      </c>
      <c r="H14" s="339"/>
      <c r="I14" s="339"/>
      <c r="J14" s="339"/>
    </row>
    <row r="15" spans="1:14" ht="49.5" customHeight="1" x14ac:dyDescent="0.25">
      <c r="A15" s="385"/>
      <c r="B15" s="386"/>
      <c r="C15" s="387"/>
      <c r="D15" s="237">
        <v>5</v>
      </c>
      <c r="E15" s="337" t="str">
        <f>+[1]CONTEXTO!D16</f>
        <v>Competencia del personal no idoneida que desconoce la misionalidad del proceso</v>
      </c>
      <c r="F15" s="338"/>
      <c r="G15" s="339" t="s">
        <v>320</v>
      </c>
      <c r="H15" s="339"/>
      <c r="I15" s="339"/>
      <c r="J15" s="339"/>
    </row>
    <row r="16" spans="1:14" ht="67.5" customHeight="1" x14ac:dyDescent="0.25">
      <c r="A16" s="385"/>
      <c r="B16" s="386"/>
      <c r="C16" s="387"/>
      <c r="D16" s="237">
        <v>6</v>
      </c>
      <c r="E16" s="337" t="str">
        <f>+[1]CONTEXTO!D17</f>
        <v>Deficiente disponibilidad del personal externo con el que se relaciona la oficina para el buen funcionamiento de la misma.</v>
      </c>
      <c r="F16" s="338"/>
      <c r="G16" s="339" t="s">
        <v>321</v>
      </c>
      <c r="H16" s="339"/>
      <c r="I16" s="339"/>
      <c r="J16" s="339"/>
    </row>
    <row r="17" spans="1:10" ht="92.4" customHeight="1" x14ac:dyDescent="0.25">
      <c r="A17" s="385"/>
      <c r="B17" s="386"/>
      <c r="C17" s="387"/>
      <c r="D17" s="237">
        <v>7</v>
      </c>
      <c r="E17" s="337" t="str">
        <f>+[1]CONTEXTO!D18</f>
        <v xml:space="preserve">Demoras en la dotacion de insumos ergonomicos para el personal de la Oficina de Control Unico Disciplinario </v>
      </c>
      <c r="F17" s="338"/>
      <c r="G17" s="340"/>
      <c r="H17" s="340"/>
      <c r="I17" s="340"/>
      <c r="J17" s="340"/>
    </row>
    <row r="18" spans="1:10" ht="73.2" customHeight="1" x14ac:dyDescent="0.25">
      <c r="A18" s="385"/>
      <c r="B18" s="386"/>
      <c r="C18" s="387"/>
      <c r="D18" s="237">
        <v>8</v>
      </c>
      <c r="E18" s="337" t="str">
        <f>+[1]CONTEXTO!D19</f>
        <v xml:space="preserve">Canales de comunicación internos que impiden la confiencialidad de los procesos </v>
      </c>
      <c r="F18" s="338"/>
      <c r="G18" s="340"/>
      <c r="H18" s="340"/>
      <c r="I18" s="340"/>
      <c r="J18" s="340"/>
    </row>
    <row r="19" spans="1:10" ht="79.2" customHeight="1" x14ac:dyDescent="0.25">
      <c r="A19" s="385"/>
      <c r="B19" s="386"/>
      <c r="C19" s="387"/>
      <c r="D19" s="237">
        <v>9</v>
      </c>
      <c r="E19" s="337" t="str">
        <f>+[1]CONTEXTO!D20</f>
        <v>el flujo de la informacion es interrumpida por quienes deben de suministrar de otras dependencias</v>
      </c>
      <c r="F19" s="338"/>
      <c r="G19" s="340"/>
      <c r="H19" s="340"/>
      <c r="I19" s="340"/>
      <c r="J19" s="340"/>
    </row>
    <row r="20" spans="1:10" ht="59.25" customHeight="1" x14ac:dyDescent="0.25">
      <c r="A20" s="385"/>
      <c r="B20" s="386"/>
      <c r="C20" s="387"/>
      <c r="D20" s="237">
        <v>10</v>
      </c>
      <c r="E20" s="337" t="str">
        <f>+[1]CONTEXTO!D21</f>
        <v xml:space="preserve">desconocimiento de la legislacion para dar respuesta oportuna </v>
      </c>
      <c r="F20" s="338"/>
      <c r="G20" s="340"/>
      <c r="H20" s="340"/>
      <c r="I20" s="340"/>
      <c r="J20" s="340"/>
    </row>
    <row r="21" spans="1:10" ht="91.5" customHeight="1" x14ac:dyDescent="0.25">
      <c r="A21" s="385"/>
      <c r="B21" s="386"/>
      <c r="C21" s="387"/>
      <c r="D21" s="237">
        <v>11</v>
      </c>
      <c r="E21" s="337" t="str">
        <f>+[1]CONTEXTO!D22</f>
        <v xml:space="preserve">obsolensencia tecnologica </v>
      </c>
      <c r="F21" s="338"/>
      <c r="G21" s="342"/>
      <c r="H21" s="343"/>
      <c r="I21" s="343"/>
      <c r="J21" s="344"/>
    </row>
    <row r="22" spans="1:10" ht="91.5" customHeight="1" x14ac:dyDescent="0.25">
      <c r="A22" s="385"/>
      <c r="B22" s="386"/>
      <c r="C22" s="387"/>
      <c r="D22" s="237">
        <v>12</v>
      </c>
      <c r="E22" s="337" t="str">
        <f>+[1]CONTEXTO!D23</f>
        <v>dificultad al acceso de internet</v>
      </c>
      <c r="F22" s="338"/>
      <c r="G22" s="342"/>
      <c r="H22" s="343"/>
      <c r="I22" s="343"/>
      <c r="J22" s="344"/>
    </row>
    <row r="23" spans="1:10" ht="91.5" customHeight="1" x14ac:dyDescent="0.25">
      <c r="A23" s="385"/>
      <c r="B23" s="386"/>
      <c r="C23" s="387"/>
      <c r="D23" s="237">
        <v>13</v>
      </c>
      <c r="E23" s="337" t="str">
        <f>+[1]CONTEXTO!D24</f>
        <v>mantenimiento del sistema de informacion de la alcaldia que puede generar demora en los procesos</v>
      </c>
      <c r="F23" s="338"/>
      <c r="G23" s="342"/>
      <c r="H23" s="343"/>
      <c r="I23" s="343"/>
      <c r="J23" s="344"/>
    </row>
    <row r="24" spans="1:10" ht="91.5" customHeight="1" x14ac:dyDescent="0.25">
      <c r="A24" s="385"/>
      <c r="B24" s="386"/>
      <c r="C24" s="387"/>
      <c r="D24" s="237">
        <v>14</v>
      </c>
      <c r="E24" s="337" t="str">
        <f>+[1]CONTEXTO!D25</f>
        <v xml:space="preserve">Demoras en la contratacion </v>
      </c>
      <c r="F24" s="338"/>
      <c r="G24" s="342"/>
      <c r="H24" s="343"/>
      <c r="I24" s="343"/>
      <c r="J24" s="344"/>
    </row>
    <row r="25" spans="1:10" ht="91.5" customHeight="1" x14ac:dyDescent="0.25">
      <c r="A25" s="385"/>
      <c r="B25" s="386"/>
      <c r="C25" s="387"/>
      <c r="D25" s="237">
        <v>15</v>
      </c>
      <c r="E25" s="337" t="str">
        <f>+[1]CONTEXTO!D26</f>
        <v>Falta de la adecuada division entre el procedimiento y el juzgamiento</v>
      </c>
      <c r="F25" s="338"/>
      <c r="G25" s="342"/>
      <c r="H25" s="343"/>
      <c r="I25" s="343"/>
      <c r="J25" s="344"/>
    </row>
    <row r="26" spans="1:10" ht="91.5" customHeight="1" x14ac:dyDescent="0.25">
      <c r="A26" s="385"/>
      <c r="B26" s="386"/>
      <c r="C26" s="387"/>
      <c r="D26" s="237">
        <v>16</v>
      </c>
      <c r="E26" s="337" t="str">
        <f>+'Mapa final'!E11</f>
        <v>Ausencia de archivadores y gondolas para el resguardo de los expedientes</v>
      </c>
      <c r="F26" s="338"/>
      <c r="G26" s="342"/>
      <c r="H26" s="343"/>
      <c r="I26" s="343"/>
      <c r="J26" s="344"/>
    </row>
    <row r="27" spans="1:10" ht="91.5" customHeight="1" x14ac:dyDescent="0.25">
      <c r="A27" s="385"/>
      <c r="B27" s="386"/>
      <c r="C27" s="387"/>
      <c r="D27" s="237">
        <v>17</v>
      </c>
      <c r="E27" s="337" t="str">
        <f>+[1]CONTEXTO!F13</f>
        <v xml:space="preserve">Falta de personal con el conocimiento y experticia idonea </v>
      </c>
      <c r="F27" s="338"/>
      <c r="G27" s="342"/>
      <c r="H27" s="343"/>
      <c r="I27" s="343"/>
      <c r="J27" s="344"/>
    </row>
    <row r="28" spans="1:10" ht="91.5" customHeight="1" x14ac:dyDescent="0.25">
      <c r="A28" s="385"/>
      <c r="B28" s="386"/>
      <c r="C28" s="387"/>
      <c r="D28" s="237">
        <v>18</v>
      </c>
      <c r="E28" s="337" t="str">
        <f>+[1]CONTEXTO!F14</f>
        <v>Falta de Software y hadware para el funcionamiento de la Oficina de Control Unico Disciplinario, con el fin de dar seguimiento y control de termino en cada etapa procesal</v>
      </c>
      <c r="F28" s="338"/>
      <c r="G28" s="342"/>
      <c r="H28" s="343"/>
      <c r="I28" s="343"/>
      <c r="J28" s="344"/>
    </row>
    <row r="29" spans="1:10" ht="91.5" customHeight="1" x14ac:dyDescent="0.25">
      <c r="A29" s="385"/>
      <c r="B29" s="386"/>
      <c r="C29" s="387"/>
      <c r="D29" s="237">
        <v>19</v>
      </c>
      <c r="E29" s="337" t="str">
        <f>+[1]CONTEXTO!F15</f>
        <v xml:space="preserve">Perdida de la informacion fisica de los expediente en vigencia y falta de digitalizacion de los mismos. </v>
      </c>
      <c r="F29" s="338"/>
      <c r="G29" s="342"/>
      <c r="H29" s="343"/>
      <c r="I29" s="343"/>
      <c r="J29" s="344"/>
    </row>
    <row r="30" spans="1:10" ht="91.5" customHeight="1" x14ac:dyDescent="0.25">
      <c r="A30" s="385"/>
      <c r="B30" s="386"/>
      <c r="C30" s="387"/>
      <c r="D30" s="236"/>
      <c r="E30" s="337">
        <f>+[1]CONTEXTO!F16</f>
        <v>0</v>
      </c>
      <c r="F30" s="338"/>
      <c r="G30" s="342"/>
      <c r="H30" s="343"/>
      <c r="I30" s="343"/>
      <c r="J30" s="344"/>
    </row>
    <row r="31" spans="1:10" ht="49.5" customHeight="1" x14ac:dyDescent="0.25">
      <c r="A31" s="388"/>
      <c r="B31" s="389"/>
      <c r="C31" s="390"/>
      <c r="D31" s="236"/>
      <c r="E31" s="337">
        <f>+[1]CONTEXTO!D32</f>
        <v>0</v>
      </c>
      <c r="F31" s="338"/>
      <c r="G31" s="342"/>
      <c r="H31" s="343"/>
      <c r="I31" s="343"/>
      <c r="J31" s="344"/>
    </row>
    <row r="32" spans="1:10" ht="51.75" customHeight="1" x14ac:dyDescent="0.25">
      <c r="A32" s="345" t="s">
        <v>252</v>
      </c>
      <c r="B32" s="345" t="s">
        <v>313</v>
      </c>
      <c r="C32" s="333" t="s">
        <v>322</v>
      </c>
      <c r="D32" s="333"/>
      <c r="E32" s="332" t="s">
        <v>323</v>
      </c>
      <c r="F32" s="333"/>
      <c r="G32" s="329" t="s">
        <v>324</v>
      </c>
      <c r="H32" s="346"/>
      <c r="I32" s="346"/>
      <c r="J32" s="347"/>
    </row>
    <row r="33" spans="1:10" ht="77.400000000000006" customHeight="1" x14ac:dyDescent="0.25">
      <c r="A33" s="345"/>
      <c r="B33" s="345"/>
      <c r="C33" s="348" t="s">
        <v>325</v>
      </c>
      <c r="D33" s="349"/>
      <c r="E33" s="318" t="s">
        <v>326</v>
      </c>
      <c r="F33" s="319"/>
      <c r="G33" s="348" t="s">
        <v>327</v>
      </c>
      <c r="H33" s="359"/>
      <c r="I33" s="359"/>
      <c r="J33" s="360"/>
    </row>
    <row r="34" spans="1:10" ht="72" customHeight="1" x14ac:dyDescent="0.25">
      <c r="A34" s="345"/>
      <c r="B34" s="345"/>
      <c r="C34" s="348" t="s">
        <v>328</v>
      </c>
      <c r="D34" s="349"/>
      <c r="E34" s="361" t="s">
        <v>372</v>
      </c>
      <c r="F34" s="362"/>
      <c r="G34" s="348" t="s">
        <v>329</v>
      </c>
      <c r="H34" s="352"/>
      <c r="I34" s="352"/>
      <c r="J34" s="353"/>
    </row>
    <row r="35" spans="1:10" ht="70.2" customHeight="1" x14ac:dyDescent="0.25">
      <c r="A35" s="345"/>
      <c r="B35" s="345"/>
      <c r="C35" s="348" t="s">
        <v>330</v>
      </c>
      <c r="D35" s="349"/>
      <c r="E35" s="361" t="s">
        <v>331</v>
      </c>
      <c r="F35" s="362"/>
      <c r="G35" s="348" t="s">
        <v>332</v>
      </c>
      <c r="H35" s="352"/>
      <c r="I35" s="352"/>
      <c r="J35" s="353"/>
    </row>
    <row r="36" spans="1:10" ht="103.2" customHeight="1" x14ac:dyDescent="0.25">
      <c r="A36" s="345"/>
      <c r="B36" s="345"/>
      <c r="C36" s="348" t="s">
        <v>353</v>
      </c>
      <c r="D36" s="349"/>
      <c r="E36" s="348" t="s">
        <v>333</v>
      </c>
      <c r="F36" s="350"/>
      <c r="G36" s="351"/>
      <c r="H36" s="352"/>
      <c r="I36" s="352"/>
      <c r="J36" s="353"/>
    </row>
    <row r="37" spans="1:10" ht="87.6" customHeight="1" x14ac:dyDescent="0.25">
      <c r="A37" s="345"/>
      <c r="B37" s="345"/>
      <c r="C37" s="348" t="s">
        <v>334</v>
      </c>
      <c r="D37" s="349"/>
      <c r="E37" s="354" t="s">
        <v>335</v>
      </c>
      <c r="F37" s="355"/>
      <c r="G37" s="356"/>
      <c r="H37" s="357"/>
      <c r="I37" s="357"/>
      <c r="J37" s="358"/>
    </row>
    <row r="38" spans="1:10" ht="85.2" customHeight="1" x14ac:dyDescent="0.25">
      <c r="A38" s="345"/>
      <c r="B38" s="345"/>
      <c r="C38" s="363" t="s">
        <v>336</v>
      </c>
      <c r="D38" s="363"/>
      <c r="E38" s="354" t="s">
        <v>337</v>
      </c>
      <c r="F38" s="355"/>
      <c r="G38" s="356"/>
      <c r="H38" s="356"/>
      <c r="I38" s="356"/>
      <c r="J38" s="356"/>
    </row>
    <row r="39" spans="1:10" ht="67.2" customHeight="1" x14ac:dyDescent="0.25">
      <c r="A39" s="345"/>
      <c r="B39" s="345"/>
      <c r="C39" s="363" t="s">
        <v>366</v>
      </c>
      <c r="D39" s="363"/>
      <c r="E39" s="354" t="s">
        <v>338</v>
      </c>
      <c r="F39" s="355"/>
      <c r="G39" s="365"/>
      <c r="H39" s="357"/>
      <c r="I39" s="357"/>
      <c r="J39" s="358"/>
    </row>
    <row r="40" spans="1:10" ht="162.6" customHeight="1" x14ac:dyDescent="0.25">
      <c r="A40" s="345"/>
      <c r="B40" s="345"/>
      <c r="C40" s="363" t="s">
        <v>371</v>
      </c>
      <c r="D40" s="363"/>
      <c r="E40" s="348" t="s">
        <v>354</v>
      </c>
      <c r="F40" s="350"/>
      <c r="G40" s="356"/>
      <c r="H40" s="356"/>
      <c r="I40" s="356"/>
      <c r="J40" s="356"/>
    </row>
    <row r="41" spans="1:10" ht="96.6" customHeight="1" x14ac:dyDescent="0.25">
      <c r="A41" s="345"/>
      <c r="B41" s="345"/>
      <c r="C41" s="364" t="s">
        <v>374</v>
      </c>
      <c r="D41" s="364"/>
      <c r="E41" s="363" t="s">
        <v>367</v>
      </c>
      <c r="F41" s="363"/>
      <c r="G41" s="356"/>
      <c r="H41" s="356"/>
      <c r="I41" s="356"/>
      <c r="J41" s="356"/>
    </row>
    <row r="42" spans="1:10" ht="78" customHeight="1" x14ac:dyDescent="0.25">
      <c r="A42" s="345"/>
      <c r="B42" s="345"/>
      <c r="C42" s="351"/>
      <c r="D42" s="353"/>
      <c r="E42" s="348" t="s">
        <v>373</v>
      </c>
      <c r="F42" s="350"/>
      <c r="G42" s="365"/>
      <c r="H42" s="357"/>
      <c r="I42" s="357"/>
      <c r="J42" s="358"/>
    </row>
    <row r="43" spans="1:10" ht="98.4" customHeight="1" x14ac:dyDescent="0.25">
      <c r="A43" s="345"/>
      <c r="B43" s="345"/>
      <c r="C43" s="351"/>
      <c r="D43" s="353"/>
      <c r="E43" s="348" t="s">
        <v>375</v>
      </c>
      <c r="F43" s="350"/>
      <c r="G43" s="365"/>
      <c r="H43" s="357"/>
      <c r="I43" s="357"/>
      <c r="J43" s="358"/>
    </row>
    <row r="44" spans="1:10" ht="98.4" customHeight="1" x14ac:dyDescent="0.25">
      <c r="A44" s="345"/>
      <c r="B44" s="345"/>
      <c r="C44" s="234"/>
      <c r="D44" s="233"/>
      <c r="E44" s="318" t="s">
        <v>376</v>
      </c>
      <c r="F44" s="319"/>
      <c r="G44" s="247"/>
      <c r="H44" s="248"/>
      <c r="I44" s="248"/>
      <c r="J44" s="249"/>
    </row>
    <row r="45" spans="1:10" ht="41.25" customHeight="1" x14ac:dyDescent="0.25">
      <c r="A45" s="345"/>
      <c r="B45" s="345"/>
      <c r="C45" s="356"/>
      <c r="D45" s="356"/>
      <c r="E45" s="376"/>
      <c r="F45" s="376"/>
      <c r="G45" s="376"/>
      <c r="H45" s="376"/>
      <c r="I45" s="376"/>
      <c r="J45" s="376"/>
    </row>
    <row r="46" spans="1:10" ht="66" customHeight="1" x14ac:dyDescent="0.3">
      <c r="A46" s="345"/>
      <c r="B46" s="345" t="s">
        <v>312</v>
      </c>
      <c r="C46" s="333" t="s">
        <v>339</v>
      </c>
      <c r="D46" s="333"/>
      <c r="E46" s="366" t="s">
        <v>340</v>
      </c>
      <c r="F46" s="367"/>
      <c r="G46" s="368" t="s">
        <v>341</v>
      </c>
      <c r="H46" s="369"/>
      <c r="I46" s="369"/>
      <c r="J46" s="370"/>
    </row>
    <row r="47" spans="1:10" ht="114" customHeight="1" x14ac:dyDescent="0.25">
      <c r="A47" s="345"/>
      <c r="B47" s="345"/>
      <c r="C47" s="371" t="str">
        <f>+[1]CONTEXTO!B12</f>
        <v>Constantes Cambio de Gobierno</v>
      </c>
      <c r="D47" s="372"/>
      <c r="E47" s="354" t="s">
        <v>342</v>
      </c>
      <c r="F47" s="355"/>
      <c r="G47" s="373" t="s">
        <v>343</v>
      </c>
      <c r="H47" s="374"/>
      <c r="I47" s="374"/>
      <c r="J47" s="375"/>
    </row>
    <row r="48" spans="1:10" ht="47.25" customHeight="1" x14ac:dyDescent="0.25">
      <c r="A48" s="345"/>
      <c r="B48" s="345"/>
      <c r="C48" s="371" t="str">
        <f>+[1]CONTEXTO!B13</f>
        <v xml:space="preserve">Constantes cambios en la Legislacion </v>
      </c>
      <c r="D48" s="372"/>
      <c r="E48" s="351" t="s">
        <v>344</v>
      </c>
      <c r="F48" s="353"/>
      <c r="G48" s="373" t="s">
        <v>345</v>
      </c>
      <c r="H48" s="374"/>
      <c r="I48" s="374"/>
      <c r="J48" s="375"/>
    </row>
    <row r="49" spans="1:10" ht="49.5" customHeight="1" x14ac:dyDescent="0.25">
      <c r="A49" s="345"/>
      <c r="B49" s="345"/>
      <c r="C49" s="371" t="str">
        <f>+[1]CONTEXTO!B14</f>
        <v xml:space="preserve">Problemas de Orden Publico </v>
      </c>
      <c r="D49" s="372"/>
      <c r="E49" s="364"/>
      <c r="F49" s="364"/>
      <c r="G49" s="351"/>
      <c r="H49" s="352"/>
      <c r="I49" s="352"/>
      <c r="J49" s="353"/>
    </row>
    <row r="50" spans="1:10" ht="48" customHeight="1" x14ac:dyDescent="0.25">
      <c r="A50" s="345"/>
      <c r="B50" s="345"/>
      <c r="C50" s="371" t="str">
        <f>+[1]CONTEXTO!B15</f>
        <v>Constantes cambios Normativos (Leyes, Decretos, ordenanzas y acuerdos)</v>
      </c>
      <c r="D50" s="372"/>
      <c r="E50" s="364"/>
      <c r="F50" s="364"/>
      <c r="G50" s="356"/>
      <c r="H50" s="356"/>
      <c r="I50" s="356"/>
      <c r="J50" s="356"/>
    </row>
    <row r="51" spans="1:10" ht="45.75" customHeight="1" x14ac:dyDescent="0.25">
      <c r="A51" s="345"/>
      <c r="B51" s="345"/>
      <c r="C51" s="371"/>
      <c r="D51" s="372"/>
      <c r="E51" s="356"/>
      <c r="F51" s="356"/>
      <c r="G51" s="356"/>
      <c r="H51" s="356"/>
      <c r="I51" s="356"/>
      <c r="J51" s="356"/>
    </row>
    <row r="52" spans="1:10" ht="45.75" customHeight="1" x14ac:dyDescent="0.25">
      <c r="A52" s="345"/>
      <c r="B52" s="345"/>
      <c r="C52" s="371"/>
      <c r="D52" s="372"/>
      <c r="E52" s="356"/>
      <c r="F52" s="356"/>
      <c r="G52" s="356"/>
      <c r="H52" s="356"/>
      <c r="I52" s="356"/>
      <c r="J52" s="356"/>
    </row>
    <row r="53" spans="1:10" ht="45" customHeight="1" x14ac:dyDescent="0.25">
      <c r="A53" s="345"/>
      <c r="B53" s="345"/>
      <c r="C53" s="371"/>
      <c r="D53" s="372"/>
      <c r="E53" s="365"/>
      <c r="F53" s="358"/>
      <c r="G53" s="365"/>
      <c r="H53" s="357"/>
      <c r="I53" s="357"/>
      <c r="J53" s="358"/>
    </row>
    <row r="54" spans="1:10" ht="50.25" customHeight="1" x14ac:dyDescent="0.25">
      <c r="A54" s="345"/>
      <c r="B54" s="345"/>
      <c r="C54" s="371"/>
      <c r="D54" s="372"/>
      <c r="E54" s="365"/>
      <c r="F54" s="358"/>
      <c r="G54" s="365"/>
      <c r="H54" s="357"/>
      <c r="I54" s="357"/>
      <c r="J54" s="358"/>
    </row>
    <row r="55" spans="1:10" ht="52.5" customHeight="1" x14ac:dyDescent="0.25">
      <c r="A55" s="345"/>
      <c r="B55" s="345"/>
      <c r="C55" s="365"/>
      <c r="D55" s="358"/>
      <c r="E55" s="377"/>
      <c r="F55" s="378"/>
      <c r="G55" s="377"/>
      <c r="H55" s="379"/>
      <c r="I55" s="379"/>
      <c r="J55" s="378"/>
    </row>
    <row r="56" spans="1:10" ht="48" customHeight="1" x14ac:dyDescent="0.25">
      <c r="A56" s="345"/>
      <c r="B56" s="345"/>
      <c r="C56" s="365"/>
      <c r="D56" s="358"/>
      <c r="E56" s="365"/>
      <c r="F56" s="358"/>
      <c r="G56" s="365"/>
      <c r="H56" s="357"/>
      <c r="I56" s="357"/>
      <c r="J56" s="358"/>
    </row>
    <row r="57" spans="1:10" ht="46.5" customHeight="1" x14ac:dyDescent="0.25">
      <c r="A57" s="345"/>
      <c r="B57" s="345"/>
      <c r="C57" s="365"/>
      <c r="D57" s="358"/>
      <c r="E57" s="377"/>
      <c r="F57" s="378"/>
      <c r="G57" s="377"/>
      <c r="H57" s="379"/>
      <c r="I57" s="379"/>
      <c r="J57" s="378"/>
    </row>
    <row r="58" spans="1:10" ht="48" customHeight="1" x14ac:dyDescent="0.25">
      <c r="A58" s="345"/>
      <c r="B58" s="345"/>
      <c r="C58" s="365"/>
      <c r="D58" s="358"/>
      <c r="E58" s="365"/>
      <c r="F58" s="358"/>
      <c r="G58" s="365"/>
      <c r="H58" s="357"/>
      <c r="I58" s="357"/>
      <c r="J58" s="358"/>
    </row>
    <row r="59" spans="1:10" ht="53.25" customHeight="1" x14ac:dyDescent="0.25">
      <c r="A59" s="345"/>
      <c r="B59" s="345"/>
      <c r="C59" s="365"/>
      <c r="D59" s="358"/>
      <c r="E59" s="365"/>
      <c r="F59" s="358"/>
      <c r="G59" s="365"/>
      <c r="H59" s="357"/>
      <c r="I59" s="357"/>
      <c r="J59" s="358"/>
    </row>
    <row r="60" spans="1:10" ht="43.5" customHeight="1" x14ac:dyDescent="0.25">
      <c r="A60" s="345"/>
      <c r="B60" s="345"/>
      <c r="C60" s="356"/>
      <c r="D60" s="356"/>
      <c r="E60" s="356"/>
      <c r="F60" s="356"/>
      <c r="G60" s="356"/>
      <c r="H60" s="356"/>
      <c r="I60" s="356"/>
      <c r="J60" s="356"/>
    </row>
    <row r="61" spans="1:10" ht="48.75" customHeight="1" x14ac:dyDescent="0.25">
      <c r="A61" s="345"/>
      <c r="B61" s="345"/>
      <c r="C61" s="356"/>
      <c r="D61" s="356"/>
      <c r="E61" s="356"/>
      <c r="F61" s="356"/>
      <c r="G61" s="356"/>
      <c r="H61" s="356"/>
      <c r="I61" s="356"/>
      <c r="J61" s="356"/>
    </row>
    <row r="62" spans="1:10" x14ac:dyDescent="0.25">
      <c r="C62" s="235"/>
      <c r="D62" s="235"/>
      <c r="E62" s="381"/>
      <c r="F62" s="381"/>
      <c r="G62" s="381"/>
      <c r="H62" s="381"/>
      <c r="I62" s="381"/>
      <c r="J62" s="381"/>
    </row>
    <row r="63" spans="1:10" x14ac:dyDescent="0.25">
      <c r="C63" s="235"/>
      <c r="D63" s="235"/>
      <c r="E63" s="381"/>
      <c r="F63" s="381"/>
      <c r="G63" s="381"/>
      <c r="H63" s="381"/>
      <c r="I63" s="381"/>
      <c r="J63" s="381"/>
    </row>
    <row r="64" spans="1:10" x14ac:dyDescent="0.25">
      <c r="E64" s="380"/>
      <c r="F64" s="380"/>
      <c r="G64" s="380"/>
      <c r="H64" s="380"/>
      <c r="I64" s="380"/>
      <c r="J64" s="380"/>
    </row>
    <row r="65" spans="5:10" x14ac:dyDescent="0.25">
      <c r="E65" s="380"/>
      <c r="F65" s="380"/>
      <c r="G65" s="380"/>
      <c r="H65" s="380"/>
      <c r="I65" s="380"/>
      <c r="J65" s="380"/>
    </row>
    <row r="66" spans="5:10" x14ac:dyDescent="0.25">
      <c r="E66" s="380"/>
      <c r="F66" s="380"/>
      <c r="G66" s="380"/>
      <c r="H66" s="380"/>
      <c r="I66" s="380"/>
      <c r="J66" s="380"/>
    </row>
    <row r="67" spans="5:10" x14ac:dyDescent="0.25">
      <c r="E67" s="380"/>
      <c r="F67" s="380"/>
      <c r="G67" s="380"/>
      <c r="H67" s="380"/>
      <c r="I67" s="380"/>
      <c r="J67" s="380"/>
    </row>
    <row r="68" spans="5:10" x14ac:dyDescent="0.25">
      <c r="E68" s="380"/>
      <c r="F68" s="380"/>
      <c r="G68" s="380"/>
      <c r="H68" s="380"/>
      <c r="I68" s="380"/>
      <c r="J68" s="380"/>
    </row>
    <row r="69" spans="5:10" x14ac:dyDescent="0.25">
      <c r="E69" s="380"/>
      <c r="F69" s="380"/>
      <c r="G69" s="380"/>
      <c r="H69" s="380"/>
      <c r="I69" s="380"/>
      <c r="J69" s="380"/>
    </row>
    <row r="70" spans="5:10" x14ac:dyDescent="0.25">
      <c r="E70" s="380"/>
      <c r="F70" s="380"/>
      <c r="G70" s="380"/>
      <c r="H70" s="380"/>
      <c r="I70" s="380"/>
      <c r="J70" s="380"/>
    </row>
    <row r="71" spans="5:10" x14ac:dyDescent="0.25">
      <c r="E71" s="380"/>
      <c r="F71" s="380"/>
      <c r="G71" s="380"/>
      <c r="H71" s="380"/>
      <c r="I71" s="380"/>
      <c r="J71" s="380"/>
    </row>
    <row r="72" spans="5:10" x14ac:dyDescent="0.25">
      <c r="E72" s="380"/>
      <c r="F72" s="380"/>
      <c r="G72" s="380"/>
      <c r="H72" s="380"/>
      <c r="I72" s="380"/>
      <c r="J72" s="380"/>
    </row>
    <row r="73" spans="5:10" x14ac:dyDescent="0.25">
      <c r="E73" s="380"/>
      <c r="F73" s="380"/>
      <c r="G73" s="380"/>
      <c r="H73" s="380"/>
      <c r="I73" s="380"/>
      <c r="J73" s="380"/>
    </row>
    <row r="74" spans="5:10" x14ac:dyDescent="0.25">
      <c r="E74" s="380"/>
      <c r="F74" s="380"/>
      <c r="G74" s="380"/>
      <c r="H74" s="380"/>
      <c r="I74" s="380"/>
      <c r="J74" s="380"/>
    </row>
    <row r="75" spans="5:10" x14ac:dyDescent="0.25">
      <c r="E75" s="380"/>
      <c r="F75" s="380"/>
      <c r="G75" s="380"/>
      <c r="H75" s="380"/>
      <c r="I75" s="380"/>
      <c r="J75" s="380"/>
    </row>
    <row r="76" spans="5:10" x14ac:dyDescent="0.25">
      <c r="E76" s="380"/>
      <c r="F76" s="380"/>
      <c r="G76" s="380"/>
      <c r="H76" s="380"/>
      <c r="I76" s="380"/>
      <c r="J76" s="380"/>
    </row>
    <row r="77" spans="5:10" x14ac:dyDescent="0.25">
      <c r="E77" s="380"/>
      <c r="F77" s="380"/>
      <c r="G77" s="380"/>
      <c r="H77" s="380"/>
      <c r="I77" s="380"/>
      <c r="J77" s="380"/>
    </row>
    <row r="78" spans="5:10" x14ac:dyDescent="0.25">
      <c r="E78" s="380"/>
      <c r="F78" s="380"/>
      <c r="G78" s="380"/>
      <c r="H78" s="380"/>
      <c r="I78" s="380"/>
      <c r="J78" s="380"/>
    </row>
    <row r="79" spans="5:10" x14ac:dyDescent="0.25">
      <c r="E79" s="380"/>
      <c r="F79" s="380"/>
      <c r="G79" s="380"/>
      <c r="H79" s="380"/>
      <c r="I79" s="380"/>
      <c r="J79" s="380"/>
    </row>
    <row r="80" spans="5:10" x14ac:dyDescent="0.25">
      <c r="E80" s="380"/>
      <c r="F80" s="380"/>
      <c r="G80" s="380"/>
      <c r="H80" s="380"/>
      <c r="I80" s="380"/>
      <c r="J80" s="380"/>
    </row>
    <row r="81" spans="5:10" x14ac:dyDescent="0.25">
      <c r="E81" s="380"/>
      <c r="F81" s="380"/>
      <c r="G81" s="380"/>
      <c r="H81" s="380"/>
      <c r="I81" s="380"/>
      <c r="J81" s="380"/>
    </row>
    <row r="82" spans="5:10" x14ac:dyDescent="0.25">
      <c r="E82" s="380"/>
      <c r="F82" s="380"/>
      <c r="G82" s="380"/>
      <c r="H82" s="380"/>
      <c r="I82" s="380"/>
      <c r="J82" s="380"/>
    </row>
    <row r="83" spans="5:10" x14ac:dyDescent="0.25">
      <c r="E83" s="380"/>
      <c r="F83" s="380"/>
      <c r="G83" s="380"/>
      <c r="H83" s="380"/>
      <c r="I83" s="380"/>
      <c r="J83" s="380"/>
    </row>
    <row r="84" spans="5:10" x14ac:dyDescent="0.25">
      <c r="E84" s="380"/>
      <c r="F84" s="380"/>
      <c r="G84" s="380"/>
      <c r="H84" s="380"/>
      <c r="I84" s="380"/>
      <c r="J84" s="380"/>
    </row>
    <row r="85" spans="5:10" x14ac:dyDescent="0.25">
      <c r="E85" s="380"/>
      <c r="F85" s="380"/>
      <c r="G85" s="380"/>
      <c r="H85" s="380"/>
      <c r="I85" s="380"/>
      <c r="J85" s="380"/>
    </row>
    <row r="86" spans="5:10" x14ac:dyDescent="0.25">
      <c r="E86" s="380"/>
      <c r="F86" s="380"/>
      <c r="G86" s="380"/>
      <c r="H86" s="380"/>
      <c r="I86" s="380"/>
      <c r="J86" s="380"/>
    </row>
    <row r="87" spans="5:10" x14ac:dyDescent="0.25">
      <c r="E87" s="380"/>
      <c r="F87" s="380"/>
      <c r="G87" s="380"/>
      <c r="H87" s="380"/>
      <c r="I87" s="380"/>
      <c r="J87" s="380"/>
    </row>
    <row r="88" spans="5:10" x14ac:dyDescent="0.25">
      <c r="E88" s="380"/>
      <c r="F88" s="380"/>
      <c r="G88" s="380"/>
      <c r="H88" s="380"/>
      <c r="I88" s="380"/>
      <c r="J88" s="380"/>
    </row>
    <row r="89" spans="5:10" x14ac:dyDescent="0.25">
      <c r="E89" s="380"/>
      <c r="F89" s="380"/>
      <c r="G89" s="380"/>
      <c r="H89" s="380"/>
      <c r="I89" s="380"/>
      <c r="J89" s="380"/>
    </row>
    <row r="90" spans="5:10" x14ac:dyDescent="0.25">
      <c r="E90" s="380"/>
      <c r="F90" s="380"/>
      <c r="G90" s="380"/>
      <c r="H90" s="380"/>
      <c r="I90" s="380"/>
      <c r="J90" s="380"/>
    </row>
    <row r="91" spans="5:10" x14ac:dyDescent="0.25">
      <c r="E91" s="380"/>
      <c r="F91" s="380"/>
      <c r="G91" s="380"/>
      <c r="H91" s="380"/>
      <c r="I91" s="380"/>
      <c r="J91" s="380"/>
    </row>
    <row r="92" spans="5:10" x14ac:dyDescent="0.25">
      <c r="E92" s="380"/>
      <c r="F92" s="380"/>
      <c r="G92" s="380"/>
      <c r="H92" s="380"/>
      <c r="I92" s="380"/>
      <c r="J92" s="380"/>
    </row>
    <row r="93" spans="5:10" x14ac:dyDescent="0.25">
      <c r="E93" s="380"/>
      <c r="F93" s="380"/>
      <c r="G93" s="380"/>
      <c r="H93" s="380"/>
      <c r="I93" s="380"/>
      <c r="J93" s="380"/>
    </row>
    <row r="94" spans="5:10" x14ac:dyDescent="0.25">
      <c r="E94" s="380"/>
      <c r="F94" s="380"/>
      <c r="G94" s="380"/>
      <c r="H94" s="380"/>
      <c r="I94" s="380"/>
      <c r="J94" s="380"/>
    </row>
    <row r="95" spans="5:10" x14ac:dyDescent="0.25">
      <c r="E95" s="380"/>
      <c r="F95" s="380"/>
      <c r="G95" s="380"/>
      <c r="H95" s="380"/>
      <c r="I95" s="380"/>
      <c r="J95" s="380"/>
    </row>
    <row r="96" spans="5:10" x14ac:dyDescent="0.25">
      <c r="E96" s="380"/>
      <c r="F96" s="380"/>
      <c r="G96" s="380"/>
      <c r="H96" s="380"/>
      <c r="I96" s="380"/>
      <c r="J96" s="380"/>
    </row>
    <row r="97" spans="5:10" x14ac:dyDescent="0.25">
      <c r="E97" s="380"/>
      <c r="F97" s="380"/>
      <c r="G97" s="380"/>
      <c r="H97" s="380"/>
      <c r="I97" s="380"/>
      <c r="J97" s="380"/>
    </row>
    <row r="98" spans="5:10" x14ac:dyDescent="0.25">
      <c r="E98" s="380"/>
      <c r="F98" s="380"/>
      <c r="G98" s="380"/>
      <c r="H98" s="380"/>
      <c r="I98" s="380"/>
      <c r="J98" s="380"/>
    </row>
    <row r="99" spans="5:10" x14ac:dyDescent="0.25">
      <c r="E99" s="380"/>
      <c r="F99" s="380"/>
      <c r="G99" s="380"/>
      <c r="H99" s="380"/>
      <c r="I99" s="380"/>
      <c r="J99" s="380"/>
    </row>
    <row r="100" spans="5:10" x14ac:dyDescent="0.25">
      <c r="E100" s="380"/>
      <c r="F100" s="380"/>
      <c r="G100" s="380"/>
      <c r="H100" s="380"/>
      <c r="I100" s="380"/>
      <c r="J100" s="380"/>
    </row>
    <row r="101" spans="5:10" x14ac:dyDescent="0.25">
      <c r="E101" s="380"/>
      <c r="F101" s="380"/>
      <c r="G101" s="380"/>
      <c r="H101" s="380"/>
      <c r="I101" s="380"/>
      <c r="J101" s="380"/>
    </row>
    <row r="102" spans="5:10" x14ac:dyDescent="0.25">
      <c r="E102" s="380"/>
      <c r="F102" s="380"/>
      <c r="G102" s="380"/>
      <c r="H102" s="380"/>
      <c r="I102" s="380"/>
      <c r="J102" s="380"/>
    </row>
    <row r="103" spans="5:10" x14ac:dyDescent="0.25">
      <c r="E103" s="380"/>
      <c r="F103" s="380"/>
      <c r="G103" s="380"/>
      <c r="H103" s="380"/>
      <c r="I103" s="380"/>
      <c r="J103" s="380"/>
    </row>
    <row r="104" spans="5:10" x14ac:dyDescent="0.25">
      <c r="E104" s="380"/>
      <c r="F104" s="380"/>
      <c r="G104" s="380"/>
      <c r="H104" s="380"/>
      <c r="I104" s="380"/>
      <c r="J104" s="380"/>
    </row>
    <row r="105" spans="5:10" x14ac:dyDescent="0.25">
      <c r="E105" s="380"/>
      <c r="F105" s="380"/>
      <c r="G105" s="380"/>
      <c r="H105" s="380"/>
      <c r="I105" s="380"/>
      <c r="J105" s="380"/>
    </row>
    <row r="106" spans="5:10" x14ac:dyDescent="0.25">
      <c r="E106" s="380"/>
      <c r="F106" s="380"/>
      <c r="G106" s="380"/>
      <c r="H106" s="380"/>
      <c r="I106" s="380"/>
      <c r="J106" s="380"/>
    </row>
    <row r="107" spans="5:10" x14ac:dyDescent="0.25">
      <c r="E107" s="380"/>
      <c r="F107" s="380"/>
      <c r="G107" s="380"/>
      <c r="H107" s="380"/>
      <c r="I107" s="380"/>
      <c r="J107" s="380"/>
    </row>
    <row r="108" spans="5:10" x14ac:dyDescent="0.25">
      <c r="E108" s="380"/>
      <c r="F108" s="380"/>
      <c r="G108" s="380"/>
      <c r="H108" s="380"/>
      <c r="I108" s="380"/>
      <c r="J108" s="380"/>
    </row>
    <row r="109" spans="5:10" x14ac:dyDescent="0.25">
      <c r="E109" s="380"/>
      <c r="F109" s="380"/>
      <c r="G109" s="380"/>
      <c r="H109" s="380"/>
      <c r="I109" s="380"/>
      <c r="J109" s="380"/>
    </row>
    <row r="110" spans="5:10" x14ac:dyDescent="0.25">
      <c r="E110" s="380"/>
      <c r="F110" s="380"/>
      <c r="G110" s="380"/>
      <c r="H110" s="380"/>
      <c r="I110" s="380"/>
      <c r="J110" s="380"/>
    </row>
    <row r="111" spans="5:10" x14ac:dyDescent="0.25">
      <c r="E111" s="380"/>
      <c r="F111" s="380"/>
      <c r="G111" s="380"/>
      <c r="H111" s="380"/>
      <c r="I111" s="380"/>
      <c r="J111" s="380"/>
    </row>
    <row r="112" spans="5:10" x14ac:dyDescent="0.25">
      <c r="E112" s="380"/>
      <c r="F112" s="380"/>
      <c r="G112" s="380"/>
      <c r="H112" s="380"/>
      <c r="I112" s="380"/>
      <c r="J112" s="380"/>
    </row>
    <row r="113" spans="5:10" x14ac:dyDescent="0.25">
      <c r="E113" s="380"/>
      <c r="F113" s="380"/>
      <c r="G113" s="380"/>
      <c r="H113" s="380"/>
      <c r="I113" s="380"/>
      <c r="J113" s="380"/>
    </row>
    <row r="114" spans="5:10" x14ac:dyDescent="0.25">
      <c r="E114" s="380"/>
      <c r="F114" s="380"/>
      <c r="G114" s="380"/>
      <c r="H114" s="380"/>
      <c r="I114" s="380"/>
      <c r="J114" s="380"/>
    </row>
    <row r="115" spans="5:10" x14ac:dyDescent="0.25">
      <c r="E115" s="380"/>
      <c r="F115" s="380"/>
      <c r="G115" s="380"/>
      <c r="H115" s="380"/>
      <c r="I115" s="380"/>
      <c r="J115" s="380"/>
    </row>
    <row r="116" spans="5:10" x14ac:dyDescent="0.25">
      <c r="E116" s="380"/>
      <c r="F116" s="380"/>
      <c r="G116" s="380"/>
      <c r="H116" s="380"/>
      <c r="I116" s="380"/>
      <c r="J116" s="380"/>
    </row>
    <row r="117" spans="5:10" x14ac:dyDescent="0.25">
      <c r="E117" s="380"/>
      <c r="F117" s="380"/>
      <c r="G117" s="380"/>
      <c r="H117" s="380"/>
      <c r="I117" s="380"/>
      <c r="J117" s="380"/>
    </row>
    <row r="118" spans="5:10" x14ac:dyDescent="0.25">
      <c r="E118" s="380"/>
      <c r="F118" s="380"/>
      <c r="G118" s="380"/>
      <c r="H118" s="380"/>
      <c r="I118" s="380"/>
      <c r="J118" s="380"/>
    </row>
    <row r="119" spans="5:10" x14ac:dyDescent="0.25">
      <c r="E119" s="380"/>
      <c r="F119" s="380"/>
      <c r="G119" s="380"/>
      <c r="H119" s="380"/>
      <c r="I119" s="380"/>
      <c r="J119" s="380"/>
    </row>
    <row r="120" spans="5:10" x14ac:dyDescent="0.25">
      <c r="E120" s="380"/>
      <c r="F120" s="380"/>
      <c r="G120" s="380"/>
      <c r="H120" s="380"/>
      <c r="I120" s="380"/>
      <c r="J120" s="380"/>
    </row>
    <row r="121" spans="5:10" x14ac:dyDescent="0.25">
      <c r="E121" s="380"/>
      <c r="F121" s="380"/>
      <c r="G121" s="380"/>
      <c r="H121" s="380"/>
      <c r="I121" s="380"/>
      <c r="J121" s="380"/>
    </row>
    <row r="122" spans="5:10" x14ac:dyDescent="0.25">
      <c r="E122" s="380"/>
      <c r="F122" s="380"/>
      <c r="G122" s="380"/>
      <c r="H122" s="380"/>
      <c r="I122" s="380"/>
      <c r="J122" s="380"/>
    </row>
    <row r="123" spans="5:10" x14ac:dyDescent="0.25">
      <c r="E123" s="380"/>
      <c r="F123" s="380"/>
      <c r="G123" s="380"/>
      <c r="H123" s="380"/>
      <c r="I123" s="380"/>
      <c r="J123" s="380"/>
    </row>
    <row r="124" spans="5:10" x14ac:dyDescent="0.25">
      <c r="E124" s="380"/>
      <c r="F124" s="380"/>
      <c r="G124" s="380"/>
      <c r="H124" s="380"/>
      <c r="I124" s="380"/>
      <c r="J124" s="380"/>
    </row>
    <row r="125" spans="5:10" x14ac:dyDescent="0.25">
      <c r="E125" s="380"/>
      <c r="F125" s="380"/>
      <c r="G125" s="380"/>
      <c r="H125" s="380"/>
      <c r="I125" s="380"/>
      <c r="J125" s="380"/>
    </row>
    <row r="126" spans="5:10" x14ac:dyDescent="0.25">
      <c r="E126" s="380"/>
      <c r="F126" s="380"/>
      <c r="G126" s="380"/>
      <c r="H126" s="380"/>
      <c r="I126" s="380"/>
      <c r="J126" s="380"/>
    </row>
    <row r="127" spans="5:10" x14ac:dyDescent="0.25">
      <c r="E127" s="380"/>
      <c r="F127" s="380"/>
      <c r="G127" s="380"/>
      <c r="H127" s="380"/>
      <c r="I127" s="380"/>
      <c r="J127" s="380"/>
    </row>
    <row r="128" spans="5:10" x14ac:dyDescent="0.25">
      <c r="E128" s="380"/>
      <c r="F128" s="380"/>
      <c r="G128" s="380"/>
      <c r="H128" s="380"/>
      <c r="I128" s="380"/>
      <c r="J128" s="380"/>
    </row>
    <row r="129" spans="5:10" x14ac:dyDescent="0.25">
      <c r="E129" s="380"/>
      <c r="F129" s="380"/>
      <c r="G129" s="380"/>
      <c r="H129" s="380"/>
      <c r="I129" s="380"/>
      <c r="J129" s="380"/>
    </row>
    <row r="130" spans="5:10" x14ac:dyDescent="0.25">
      <c r="E130" s="380"/>
      <c r="F130" s="380"/>
      <c r="G130" s="380"/>
      <c r="H130" s="380"/>
      <c r="I130" s="380"/>
      <c r="J130" s="380"/>
    </row>
    <row r="131" spans="5:10" x14ac:dyDescent="0.25">
      <c r="E131" s="380"/>
      <c r="F131" s="380"/>
      <c r="G131" s="380"/>
      <c r="H131" s="380"/>
      <c r="I131" s="380"/>
      <c r="J131" s="380"/>
    </row>
    <row r="132" spans="5:10" x14ac:dyDescent="0.25">
      <c r="E132" s="380"/>
      <c r="F132" s="380"/>
      <c r="G132" s="380"/>
      <c r="H132" s="380"/>
      <c r="I132" s="380"/>
      <c r="J132" s="380"/>
    </row>
    <row r="133" spans="5:10" x14ac:dyDescent="0.25">
      <c r="E133" s="380"/>
      <c r="F133" s="380"/>
      <c r="G133" s="380"/>
      <c r="H133" s="380"/>
      <c r="I133" s="380"/>
      <c r="J133" s="380"/>
    </row>
    <row r="134" spans="5:10" x14ac:dyDescent="0.25">
      <c r="E134" s="380"/>
      <c r="F134" s="380"/>
      <c r="G134" s="380"/>
      <c r="H134" s="380"/>
      <c r="I134" s="380"/>
      <c r="J134" s="380"/>
    </row>
    <row r="135" spans="5:10" x14ac:dyDescent="0.25">
      <c r="E135" s="380"/>
      <c r="F135" s="380"/>
      <c r="G135" s="380"/>
      <c r="H135" s="380"/>
      <c r="I135" s="380"/>
      <c r="J135" s="380"/>
    </row>
    <row r="136" spans="5:10" x14ac:dyDescent="0.25">
      <c r="E136" s="380"/>
      <c r="F136" s="380"/>
      <c r="G136" s="380"/>
      <c r="H136" s="380"/>
      <c r="I136" s="380"/>
      <c r="J136" s="380"/>
    </row>
    <row r="137" spans="5:10" x14ac:dyDescent="0.25">
      <c r="E137" s="380"/>
      <c r="F137" s="380"/>
      <c r="G137" s="380"/>
      <c r="H137" s="380"/>
      <c r="I137" s="380"/>
      <c r="J137" s="380"/>
    </row>
    <row r="138" spans="5:10" x14ac:dyDescent="0.25">
      <c r="E138" s="380"/>
      <c r="F138" s="380"/>
      <c r="G138" s="380"/>
      <c r="H138" s="380"/>
      <c r="I138" s="380"/>
      <c r="J138" s="380"/>
    </row>
    <row r="139" spans="5:10" x14ac:dyDescent="0.25">
      <c r="E139" s="380"/>
      <c r="F139" s="380"/>
      <c r="G139" s="380"/>
      <c r="H139" s="380"/>
      <c r="I139" s="380"/>
      <c r="J139" s="380"/>
    </row>
  </sheetData>
  <sheetProtection selectLockedCells="1"/>
  <mergeCells count="306">
    <mergeCell ref="A8:C31"/>
    <mergeCell ref="E137:F137"/>
    <mergeCell ref="G137:J137"/>
    <mergeCell ref="E138:F138"/>
    <mergeCell ref="G138:J138"/>
    <mergeCell ref="E139:F139"/>
    <mergeCell ref="G139:J139"/>
    <mergeCell ref="E134:F134"/>
    <mergeCell ref="G134:J134"/>
    <mergeCell ref="E135:F135"/>
    <mergeCell ref="G135:J135"/>
    <mergeCell ref="E136:F136"/>
    <mergeCell ref="G136:J136"/>
    <mergeCell ref="E131:F131"/>
    <mergeCell ref="G131:J131"/>
    <mergeCell ref="E132:F132"/>
    <mergeCell ref="G132:J132"/>
    <mergeCell ref="E133:F133"/>
    <mergeCell ref="G133:J133"/>
    <mergeCell ref="E128:F128"/>
    <mergeCell ref="G128:J128"/>
    <mergeCell ref="E129:F129"/>
    <mergeCell ref="G129:J129"/>
    <mergeCell ref="E130:F130"/>
    <mergeCell ref="G130:J130"/>
    <mergeCell ref="E125:F125"/>
    <mergeCell ref="G125:J125"/>
    <mergeCell ref="E126:F126"/>
    <mergeCell ref="G126:J126"/>
    <mergeCell ref="E127:F127"/>
    <mergeCell ref="G127:J127"/>
    <mergeCell ref="E122:F122"/>
    <mergeCell ref="G122:J122"/>
    <mergeCell ref="E123:F123"/>
    <mergeCell ref="G123:J123"/>
    <mergeCell ref="E124:F124"/>
    <mergeCell ref="G124:J124"/>
    <mergeCell ref="E119:F119"/>
    <mergeCell ref="G119:J119"/>
    <mergeCell ref="E120:F120"/>
    <mergeCell ref="G120:J120"/>
    <mergeCell ref="E121:F121"/>
    <mergeCell ref="G121:J121"/>
    <mergeCell ref="E116:F116"/>
    <mergeCell ref="G116:J116"/>
    <mergeCell ref="E117:F117"/>
    <mergeCell ref="G117:J117"/>
    <mergeCell ref="E118:F118"/>
    <mergeCell ref="G118:J118"/>
    <mergeCell ref="E113:F113"/>
    <mergeCell ref="G113:J113"/>
    <mergeCell ref="E114:F114"/>
    <mergeCell ref="G114:J114"/>
    <mergeCell ref="E115:F115"/>
    <mergeCell ref="G115:J115"/>
    <mergeCell ref="E110:F110"/>
    <mergeCell ref="G110:J110"/>
    <mergeCell ref="E111:F111"/>
    <mergeCell ref="G111:J111"/>
    <mergeCell ref="E112:F112"/>
    <mergeCell ref="G112:J112"/>
    <mergeCell ref="E107:F107"/>
    <mergeCell ref="G107:J107"/>
    <mergeCell ref="E108:F108"/>
    <mergeCell ref="G108:J108"/>
    <mergeCell ref="E109:F109"/>
    <mergeCell ref="G109:J109"/>
    <mergeCell ref="E104:F104"/>
    <mergeCell ref="G104:J104"/>
    <mergeCell ref="E105:F105"/>
    <mergeCell ref="G105:J105"/>
    <mergeCell ref="E106:F106"/>
    <mergeCell ref="G106:J106"/>
    <mergeCell ref="E101:F101"/>
    <mergeCell ref="G101:J101"/>
    <mergeCell ref="E102:F102"/>
    <mergeCell ref="G102:J102"/>
    <mergeCell ref="E103:F103"/>
    <mergeCell ref="G103:J103"/>
    <mergeCell ref="E98:F98"/>
    <mergeCell ref="G98:J98"/>
    <mergeCell ref="E99:F99"/>
    <mergeCell ref="G99:J99"/>
    <mergeCell ref="E100:F100"/>
    <mergeCell ref="G100:J100"/>
    <mergeCell ref="E95:F95"/>
    <mergeCell ref="G95:J95"/>
    <mergeCell ref="E96:F96"/>
    <mergeCell ref="G96:J96"/>
    <mergeCell ref="E97:F97"/>
    <mergeCell ref="G97:J97"/>
    <mergeCell ref="E92:F92"/>
    <mergeCell ref="G92:J92"/>
    <mergeCell ref="E93:F93"/>
    <mergeCell ref="G93:J93"/>
    <mergeCell ref="E94:F94"/>
    <mergeCell ref="G94:J94"/>
    <mergeCell ref="E89:F89"/>
    <mergeCell ref="G89:J89"/>
    <mergeCell ref="E90:F90"/>
    <mergeCell ref="G90:J90"/>
    <mergeCell ref="E91:F91"/>
    <mergeCell ref="G91:J91"/>
    <mergeCell ref="E86:F86"/>
    <mergeCell ref="G86:J86"/>
    <mergeCell ref="E87:F87"/>
    <mergeCell ref="G87:J87"/>
    <mergeCell ref="E88:F88"/>
    <mergeCell ref="G88:J88"/>
    <mergeCell ref="E83:F83"/>
    <mergeCell ref="G83:J83"/>
    <mergeCell ref="E84:F84"/>
    <mergeCell ref="G84:J84"/>
    <mergeCell ref="E85:F85"/>
    <mergeCell ref="G85:J85"/>
    <mergeCell ref="E80:F80"/>
    <mergeCell ref="G80:J80"/>
    <mergeCell ref="E81:F81"/>
    <mergeCell ref="G81:J81"/>
    <mergeCell ref="E82:F82"/>
    <mergeCell ref="G82:J82"/>
    <mergeCell ref="E77:F77"/>
    <mergeCell ref="G77:J77"/>
    <mergeCell ref="E78:F78"/>
    <mergeCell ref="G78:J78"/>
    <mergeCell ref="E79:F79"/>
    <mergeCell ref="G79:J79"/>
    <mergeCell ref="E74:F74"/>
    <mergeCell ref="G74:J74"/>
    <mergeCell ref="E75:F75"/>
    <mergeCell ref="G75:J75"/>
    <mergeCell ref="E76:F76"/>
    <mergeCell ref="G76:J76"/>
    <mergeCell ref="E71:F71"/>
    <mergeCell ref="G71:J71"/>
    <mergeCell ref="E72:F72"/>
    <mergeCell ref="G72:J72"/>
    <mergeCell ref="E73:F73"/>
    <mergeCell ref="G73:J73"/>
    <mergeCell ref="E68:F68"/>
    <mergeCell ref="G68:J68"/>
    <mergeCell ref="E69:F69"/>
    <mergeCell ref="G69:J69"/>
    <mergeCell ref="E70:F70"/>
    <mergeCell ref="G70:J70"/>
    <mergeCell ref="E65:F65"/>
    <mergeCell ref="G65:J65"/>
    <mergeCell ref="E66:F66"/>
    <mergeCell ref="G66:J66"/>
    <mergeCell ref="E67:F67"/>
    <mergeCell ref="G67:J67"/>
    <mergeCell ref="E62:F62"/>
    <mergeCell ref="G62:J62"/>
    <mergeCell ref="E63:F63"/>
    <mergeCell ref="G63:J63"/>
    <mergeCell ref="E64:F64"/>
    <mergeCell ref="G64:J64"/>
    <mergeCell ref="C60:D60"/>
    <mergeCell ref="E60:F60"/>
    <mergeCell ref="G60:J60"/>
    <mergeCell ref="C61:D61"/>
    <mergeCell ref="E61:F61"/>
    <mergeCell ref="G61:J61"/>
    <mergeCell ref="C58:D58"/>
    <mergeCell ref="E58:F58"/>
    <mergeCell ref="G58:J58"/>
    <mergeCell ref="C59:D59"/>
    <mergeCell ref="E59:F59"/>
    <mergeCell ref="G59:J59"/>
    <mergeCell ref="C56:D56"/>
    <mergeCell ref="E56:F56"/>
    <mergeCell ref="G56:J56"/>
    <mergeCell ref="C57:D57"/>
    <mergeCell ref="E57:F57"/>
    <mergeCell ref="G57:J57"/>
    <mergeCell ref="C54:D54"/>
    <mergeCell ref="E54:F54"/>
    <mergeCell ref="G54:J54"/>
    <mergeCell ref="C55:D55"/>
    <mergeCell ref="E55:F55"/>
    <mergeCell ref="G55:J55"/>
    <mergeCell ref="G52:J52"/>
    <mergeCell ref="C53:D53"/>
    <mergeCell ref="E53:F53"/>
    <mergeCell ref="G53:J53"/>
    <mergeCell ref="C50:D50"/>
    <mergeCell ref="E50:F50"/>
    <mergeCell ref="G50:J50"/>
    <mergeCell ref="C51:D51"/>
    <mergeCell ref="E51:F51"/>
    <mergeCell ref="G51:J51"/>
    <mergeCell ref="B46:B61"/>
    <mergeCell ref="C46:D46"/>
    <mergeCell ref="E46:F46"/>
    <mergeCell ref="G46:J46"/>
    <mergeCell ref="C47:D47"/>
    <mergeCell ref="E47:F47"/>
    <mergeCell ref="G47:J47"/>
    <mergeCell ref="C42:D42"/>
    <mergeCell ref="E42:F42"/>
    <mergeCell ref="G42:J42"/>
    <mergeCell ref="C43:D43"/>
    <mergeCell ref="E43:F43"/>
    <mergeCell ref="G43:J43"/>
    <mergeCell ref="C48:D48"/>
    <mergeCell ref="E48:F48"/>
    <mergeCell ref="G48:J48"/>
    <mergeCell ref="C49:D49"/>
    <mergeCell ref="E49:F49"/>
    <mergeCell ref="G49:J49"/>
    <mergeCell ref="C45:D45"/>
    <mergeCell ref="E45:F45"/>
    <mergeCell ref="G45:J45"/>
    <mergeCell ref="C52:D52"/>
    <mergeCell ref="E52:F52"/>
    <mergeCell ref="C40:D40"/>
    <mergeCell ref="E40:F40"/>
    <mergeCell ref="G40:J40"/>
    <mergeCell ref="C41:D41"/>
    <mergeCell ref="E41:F41"/>
    <mergeCell ref="G41:J41"/>
    <mergeCell ref="C38:D38"/>
    <mergeCell ref="E38:F38"/>
    <mergeCell ref="G38:J38"/>
    <mergeCell ref="C39:D39"/>
    <mergeCell ref="E39:F39"/>
    <mergeCell ref="G39:J39"/>
    <mergeCell ref="E30:F30"/>
    <mergeCell ref="G30:J30"/>
    <mergeCell ref="E31:F31"/>
    <mergeCell ref="G31:J31"/>
    <mergeCell ref="A32:A61"/>
    <mergeCell ref="B32:B45"/>
    <mergeCell ref="C32:D32"/>
    <mergeCell ref="E32:F32"/>
    <mergeCell ref="G32:J32"/>
    <mergeCell ref="C33:D33"/>
    <mergeCell ref="C36:D36"/>
    <mergeCell ref="E36:F36"/>
    <mergeCell ref="G36:J36"/>
    <mergeCell ref="C37:D37"/>
    <mergeCell ref="E37:F37"/>
    <mergeCell ref="G37:J37"/>
    <mergeCell ref="E33:F33"/>
    <mergeCell ref="G33:J33"/>
    <mergeCell ref="C34:D34"/>
    <mergeCell ref="E34:F34"/>
    <mergeCell ref="G34:J34"/>
    <mergeCell ref="C35:D35"/>
    <mergeCell ref="E35:F35"/>
    <mergeCell ref="G35:J35"/>
    <mergeCell ref="E27:F27"/>
    <mergeCell ref="G27:J27"/>
    <mergeCell ref="E28:F28"/>
    <mergeCell ref="G28:J28"/>
    <mergeCell ref="E29:F29"/>
    <mergeCell ref="G29:J29"/>
    <mergeCell ref="E24:F24"/>
    <mergeCell ref="G24:J24"/>
    <mergeCell ref="E25:F25"/>
    <mergeCell ref="G25:J25"/>
    <mergeCell ref="E26:F26"/>
    <mergeCell ref="G26:J26"/>
    <mergeCell ref="E22:F22"/>
    <mergeCell ref="G22:J22"/>
    <mergeCell ref="E23:F23"/>
    <mergeCell ref="G23:J23"/>
    <mergeCell ref="E18:F18"/>
    <mergeCell ref="G18:J18"/>
    <mergeCell ref="E19:F19"/>
    <mergeCell ref="G19:J19"/>
    <mergeCell ref="E20:F20"/>
    <mergeCell ref="G20:J20"/>
    <mergeCell ref="E44:F44"/>
    <mergeCell ref="A5:J5"/>
    <mergeCell ref="A6:J7"/>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 ref="G14:J14"/>
    <mergeCell ref="E21:F21"/>
    <mergeCell ref="G21:J21"/>
    <mergeCell ref="A1:B4"/>
    <mergeCell ref="C1:G2"/>
    <mergeCell ref="C3:G4"/>
    <mergeCell ref="H1:I1"/>
    <mergeCell ref="J1:J4"/>
    <mergeCell ref="N1:N4"/>
    <mergeCell ref="H2:I2"/>
    <mergeCell ref="H3:I3"/>
    <mergeCell ref="H4:I4"/>
  </mergeCells>
  <pageMargins left="0.25" right="0.25" top="0.75" bottom="0.75" header="0.3" footer="0.3"/>
  <pageSetup paperSize="258" scale="7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L68"/>
  <sheetViews>
    <sheetView tabSelected="1" topLeftCell="AP16" zoomScale="60" zoomScaleNormal="60" workbookViewId="0">
      <selection activeCell="A16" sqref="A16:BA23"/>
    </sheetView>
  </sheetViews>
  <sheetFormatPr baseColWidth="10" defaultColWidth="11.44140625" defaultRowHeight="13.8" x14ac:dyDescent="0.25"/>
  <cols>
    <col min="1" max="1" width="4" style="18" customWidth="1"/>
    <col min="2" max="2" width="14.109375" style="18" customWidth="1"/>
    <col min="3" max="3" width="14" style="18" customWidth="1"/>
    <col min="4" max="4" width="16.109375" style="18" customWidth="1"/>
    <col min="5" max="5" width="30.33203125" style="18" customWidth="1"/>
    <col min="6" max="7" width="49.44140625" style="19" customWidth="1"/>
    <col min="8" max="8" width="35" style="19" customWidth="1"/>
    <col min="9" max="9" width="18.109375" style="20" customWidth="1"/>
    <col min="10" max="10" width="14.33203125" style="19" customWidth="1"/>
    <col min="11" max="11" width="12" style="19" customWidth="1"/>
    <col min="12" max="12" width="6.33203125" style="19" customWidth="1"/>
    <col min="13" max="13" width="24.44140625" style="19" customWidth="1"/>
    <col min="14" max="14" width="28.33203125" style="19" hidden="1" customWidth="1"/>
    <col min="15" max="15" width="17.5546875" style="19" customWidth="1"/>
    <col min="16" max="16" width="6.33203125" style="19" customWidth="1"/>
    <col min="17" max="17" width="16" style="19" customWidth="1"/>
    <col min="18" max="18" width="5.88671875" style="19" customWidth="1"/>
    <col min="19" max="19" width="55" style="19" customWidth="1"/>
    <col min="20" max="20" width="15.109375" style="19" customWidth="1"/>
    <col min="21" max="21" width="6.88671875" style="19" customWidth="1"/>
    <col min="22" max="22" width="5" style="19" customWidth="1"/>
    <col min="23" max="23" width="5.5546875" style="19" customWidth="1"/>
    <col min="24" max="24" width="7.109375" style="19" customWidth="1"/>
    <col min="25" max="25" width="6.6640625" style="19" customWidth="1"/>
    <col min="26" max="26" width="4.6640625" style="19" customWidth="1"/>
    <col min="27" max="27" width="38.5546875" style="19" customWidth="1"/>
    <col min="28" max="28" width="8.6640625" style="19" customWidth="1"/>
    <col min="29" max="29" width="10.44140625" style="19" customWidth="1"/>
    <col min="30" max="30" width="9.33203125" style="19" customWidth="1"/>
    <col min="31" max="31" width="9.109375" style="19" customWidth="1"/>
    <col min="32" max="32" width="8.44140625" style="19" customWidth="1"/>
    <col min="33" max="33" width="14.44140625" style="19" customWidth="1"/>
    <col min="34" max="34" width="35.5546875" style="19" customWidth="1"/>
    <col min="35" max="35" width="18.88671875" style="19" customWidth="1"/>
    <col min="36" max="36" width="17.88671875" style="19" bestFit="1" customWidth="1"/>
    <col min="37" max="37" width="48.109375" style="19" bestFit="1" customWidth="1"/>
    <col min="38" max="38" width="20.88671875" style="19" bestFit="1" customWidth="1"/>
    <col min="39" max="39" width="17.88671875" style="19" bestFit="1" customWidth="1"/>
    <col min="40" max="40" width="48.109375" style="19" bestFit="1" customWidth="1"/>
    <col min="41" max="41" width="20.88671875" style="19" bestFit="1" customWidth="1"/>
    <col min="42" max="42" width="11.44140625" style="19"/>
    <col min="43" max="43" width="48.109375" style="19" customWidth="1"/>
    <col min="44" max="44" width="20.88671875" style="19" bestFit="1" customWidth="1"/>
    <col min="45" max="45" width="11.44140625" style="19"/>
    <col min="46" max="46" width="48.109375" style="19" customWidth="1"/>
    <col min="47" max="47" width="20.88671875" style="19" bestFit="1" customWidth="1"/>
    <col min="48" max="48" width="11.44140625" style="19"/>
    <col min="49" max="49" width="48.109375" style="19" customWidth="1"/>
    <col min="50" max="50" width="20.88671875" style="19" bestFit="1" customWidth="1"/>
    <col min="51" max="51" width="11.44140625" style="19"/>
    <col min="52" max="52" width="41.5546875" style="19" customWidth="1"/>
    <col min="53" max="53" width="20.88671875" style="19" bestFit="1" customWidth="1"/>
    <col min="54" max="16384" width="11.44140625" style="19"/>
  </cols>
  <sheetData>
    <row r="1" spans="1:64" ht="16.5" customHeight="1" x14ac:dyDescent="0.25">
      <c r="A1" s="405" t="s">
        <v>60</v>
      </c>
      <c r="B1" s="405"/>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05"/>
      <c r="AL1" s="405"/>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row>
    <row r="2" spans="1:64" ht="24" customHeight="1" x14ac:dyDescent="0.25">
      <c r="A2" s="405"/>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row>
    <row r="3" spans="1:64" x14ac:dyDescent="0.25">
      <c r="A3" s="22"/>
      <c r="B3" s="23"/>
      <c r="C3" s="22"/>
      <c r="D3" s="22"/>
      <c r="E3" s="22"/>
      <c r="F3" s="21"/>
      <c r="G3" s="21"/>
      <c r="H3" s="21"/>
      <c r="I3" s="24"/>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row>
    <row r="4" spans="1:64" ht="26.25" customHeight="1" x14ac:dyDescent="0.25">
      <c r="A4" s="406" t="s">
        <v>61</v>
      </c>
      <c r="B4" s="406"/>
      <c r="C4" s="407" t="s">
        <v>62</v>
      </c>
      <c r="D4" s="407"/>
      <c r="E4" s="407"/>
      <c r="F4" s="407"/>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row>
    <row r="5" spans="1:64" ht="30" customHeight="1" x14ac:dyDescent="0.25">
      <c r="A5" s="406" t="s">
        <v>63</v>
      </c>
      <c r="B5" s="406"/>
      <c r="C5" s="408" t="s">
        <v>64</v>
      </c>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row>
    <row r="6" spans="1:64" ht="49.5" customHeight="1" x14ac:dyDescent="0.25">
      <c r="A6" s="406" t="s">
        <v>65</v>
      </c>
      <c r="B6" s="406"/>
      <c r="C6" s="408" t="s">
        <v>66</v>
      </c>
      <c r="D6" s="408"/>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I6" s="408"/>
      <c r="AJ6" s="408"/>
      <c r="AK6" s="408"/>
      <c r="AL6" s="408"/>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row>
    <row r="7" spans="1:64" x14ac:dyDescent="0.25">
      <c r="A7" s="409" t="s">
        <v>67</v>
      </c>
      <c r="B7" s="409"/>
      <c r="C7" s="409"/>
      <c r="D7" s="409"/>
      <c r="E7" s="409"/>
      <c r="F7" s="409"/>
      <c r="G7" s="409"/>
      <c r="H7" s="409"/>
      <c r="I7" s="409"/>
      <c r="J7" s="409"/>
      <c r="K7" s="410" t="s">
        <v>68</v>
      </c>
      <c r="L7" s="410"/>
      <c r="M7" s="410"/>
      <c r="N7" s="410"/>
      <c r="O7" s="410"/>
      <c r="P7" s="410"/>
      <c r="Q7" s="410"/>
      <c r="R7" s="410" t="s">
        <v>69</v>
      </c>
      <c r="S7" s="410"/>
      <c r="T7" s="410"/>
      <c r="U7" s="410"/>
      <c r="V7" s="410"/>
      <c r="W7" s="410"/>
      <c r="X7" s="410"/>
      <c r="Y7" s="410"/>
      <c r="Z7" s="410"/>
      <c r="AA7" s="410" t="s">
        <v>70</v>
      </c>
      <c r="AB7" s="410"/>
      <c r="AC7" s="410"/>
      <c r="AD7" s="410"/>
      <c r="AE7" s="410"/>
      <c r="AF7" s="410"/>
      <c r="AG7" s="410"/>
      <c r="AH7" s="410" t="s">
        <v>71</v>
      </c>
      <c r="AI7" s="410"/>
      <c r="AJ7" s="410"/>
      <c r="AK7" s="410"/>
      <c r="AL7" s="410"/>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row>
    <row r="8" spans="1:64" ht="16.5" customHeight="1" x14ac:dyDescent="0.25">
      <c r="A8" s="411" t="s">
        <v>72</v>
      </c>
      <c r="B8" s="409" t="s">
        <v>15</v>
      </c>
      <c r="C8" s="402" t="s">
        <v>17</v>
      </c>
      <c r="D8" s="402" t="s">
        <v>19</v>
      </c>
      <c r="E8" s="401" t="s">
        <v>73</v>
      </c>
      <c r="F8" s="412" t="s">
        <v>21</v>
      </c>
      <c r="G8" s="412" t="s">
        <v>400</v>
      </c>
      <c r="H8" s="25"/>
      <c r="I8" s="391" t="s">
        <v>23</v>
      </c>
      <c r="J8" s="402" t="s">
        <v>74</v>
      </c>
      <c r="K8" s="402" t="s">
        <v>75</v>
      </c>
      <c r="L8" s="436" t="s">
        <v>76</v>
      </c>
      <c r="M8" s="391" t="s">
        <v>77</v>
      </c>
      <c r="N8" s="391" t="s">
        <v>78</v>
      </c>
      <c r="O8" s="437" t="s">
        <v>79</v>
      </c>
      <c r="P8" s="436" t="s">
        <v>76</v>
      </c>
      <c r="Q8" s="402" t="s">
        <v>29</v>
      </c>
      <c r="R8" s="428" t="s">
        <v>80</v>
      </c>
      <c r="S8" s="391" t="s">
        <v>31</v>
      </c>
      <c r="T8" s="391" t="s">
        <v>33</v>
      </c>
      <c r="U8" s="391" t="s">
        <v>81</v>
      </c>
      <c r="V8" s="391"/>
      <c r="W8" s="391"/>
      <c r="X8" s="391"/>
      <c r="Y8" s="391"/>
      <c r="Z8" s="391"/>
      <c r="AA8" s="428" t="s">
        <v>82</v>
      </c>
      <c r="AB8" s="428" t="s">
        <v>83</v>
      </c>
      <c r="AC8" s="428" t="s">
        <v>76</v>
      </c>
      <c r="AD8" s="428" t="s">
        <v>84</v>
      </c>
      <c r="AE8" s="428" t="s">
        <v>76</v>
      </c>
      <c r="AF8" s="428" t="s">
        <v>85</v>
      </c>
      <c r="AG8" s="428" t="s">
        <v>49</v>
      </c>
      <c r="AH8" s="391" t="s">
        <v>71</v>
      </c>
      <c r="AI8" s="391" t="s">
        <v>86</v>
      </c>
      <c r="AJ8" s="391" t="s">
        <v>88</v>
      </c>
      <c r="AK8" s="391" t="s">
        <v>89</v>
      </c>
      <c r="AL8" s="391" t="s">
        <v>87</v>
      </c>
      <c r="AM8" s="391" t="s">
        <v>88</v>
      </c>
      <c r="AN8" s="391" t="s">
        <v>89</v>
      </c>
      <c r="AO8" s="391" t="s">
        <v>87</v>
      </c>
      <c r="AP8" s="391" t="s">
        <v>88</v>
      </c>
      <c r="AQ8" s="391" t="s">
        <v>89</v>
      </c>
      <c r="AR8" s="391" t="s">
        <v>87</v>
      </c>
      <c r="AS8" s="391" t="s">
        <v>88</v>
      </c>
      <c r="AT8" s="391" t="s">
        <v>89</v>
      </c>
      <c r="AU8" s="391" t="s">
        <v>87</v>
      </c>
      <c r="AV8" s="391" t="s">
        <v>88</v>
      </c>
      <c r="AW8" s="391" t="s">
        <v>89</v>
      </c>
      <c r="AX8" s="391" t="s">
        <v>87</v>
      </c>
      <c r="AY8" s="391" t="s">
        <v>88</v>
      </c>
      <c r="AZ8" s="401" t="s">
        <v>89</v>
      </c>
      <c r="BA8" s="391" t="s">
        <v>87</v>
      </c>
      <c r="BB8" s="21"/>
      <c r="BC8" s="21"/>
      <c r="BD8" s="21"/>
      <c r="BE8" s="21"/>
      <c r="BF8" s="21"/>
      <c r="BG8" s="21"/>
      <c r="BH8" s="21"/>
      <c r="BI8" s="21"/>
      <c r="BJ8" s="21"/>
      <c r="BK8" s="21"/>
      <c r="BL8" s="21"/>
    </row>
    <row r="9" spans="1:64" s="28" customFormat="1" ht="94.5" customHeight="1" x14ac:dyDescent="0.3">
      <c r="A9" s="411"/>
      <c r="B9" s="409"/>
      <c r="C9" s="402"/>
      <c r="D9" s="402"/>
      <c r="E9" s="401"/>
      <c r="F9" s="412"/>
      <c r="G9" s="412"/>
      <c r="H9" s="25" t="s">
        <v>90</v>
      </c>
      <c r="I9" s="391"/>
      <c r="J9" s="402"/>
      <c r="K9" s="402"/>
      <c r="L9" s="436"/>
      <c r="M9" s="391"/>
      <c r="N9" s="391"/>
      <c r="O9" s="437"/>
      <c r="P9" s="437"/>
      <c r="Q9" s="402"/>
      <c r="R9" s="428"/>
      <c r="S9" s="391"/>
      <c r="T9" s="391"/>
      <c r="U9" s="26" t="s">
        <v>91</v>
      </c>
      <c r="V9" s="26" t="s">
        <v>92</v>
      </c>
      <c r="W9" s="26" t="s">
        <v>93</v>
      </c>
      <c r="X9" s="26" t="s">
        <v>94</v>
      </c>
      <c r="Y9" s="26" t="s">
        <v>95</v>
      </c>
      <c r="Z9" s="26" t="s">
        <v>96</v>
      </c>
      <c r="AA9" s="428"/>
      <c r="AB9" s="428"/>
      <c r="AC9" s="428"/>
      <c r="AD9" s="428"/>
      <c r="AE9" s="428"/>
      <c r="AF9" s="428"/>
      <c r="AG9" s="428"/>
      <c r="AH9" s="391"/>
      <c r="AI9" s="391"/>
      <c r="AJ9" s="391"/>
      <c r="AK9" s="391"/>
      <c r="AL9" s="391"/>
      <c r="AM9" s="391"/>
      <c r="AN9" s="391"/>
      <c r="AO9" s="391"/>
      <c r="AP9" s="391"/>
      <c r="AQ9" s="391"/>
      <c r="AR9" s="391"/>
      <c r="AS9" s="391"/>
      <c r="AT9" s="391"/>
      <c r="AU9" s="391"/>
      <c r="AV9" s="391"/>
      <c r="AW9" s="391"/>
      <c r="AX9" s="391"/>
      <c r="AY9" s="391"/>
      <c r="AZ9" s="402"/>
      <c r="BA9" s="391"/>
      <c r="BB9" s="27"/>
      <c r="BC9" s="27"/>
      <c r="BD9" s="27"/>
      <c r="BE9" s="27"/>
      <c r="BF9" s="27"/>
      <c r="BG9" s="27"/>
      <c r="BH9" s="27"/>
      <c r="BI9" s="27"/>
      <c r="BJ9" s="27"/>
      <c r="BK9" s="27"/>
      <c r="BL9" s="27"/>
    </row>
    <row r="10" spans="1:64" s="40" customFormat="1" ht="183" customHeight="1" x14ac:dyDescent="0.3">
      <c r="A10" s="413">
        <v>1</v>
      </c>
      <c r="B10" s="414" t="s">
        <v>97</v>
      </c>
      <c r="C10" s="414" t="s">
        <v>98</v>
      </c>
      <c r="D10" s="414" t="s">
        <v>347</v>
      </c>
      <c r="E10" s="30" t="s">
        <v>99</v>
      </c>
      <c r="F10" s="415" t="s">
        <v>346</v>
      </c>
      <c r="G10" s="524" t="s">
        <v>401</v>
      </c>
      <c r="H10" s="416" t="s">
        <v>348</v>
      </c>
      <c r="I10" s="417" t="s">
        <v>110</v>
      </c>
      <c r="J10" s="418">
        <v>240</v>
      </c>
      <c r="K10" s="419" t="str">
        <f>IF(J10&lt;=0,"",IF(J10&lt;=2,"Muy Baja",IF(J10&lt;=24,"Baja",IF(J10&lt;=500,"Media",IF(J10&lt;=5000,"Alta","Muy Alta")))))</f>
        <v>Media</v>
      </c>
      <c r="L10" s="420">
        <f>IF(K10="","",IF(K10="Muy Baja",0.2,IF(K10="Baja",0.4,IF(K10="Media",0.6,IF(K10="Alta",0.8,IF(K10="Muy Alta",1,))))))</f>
        <v>0.6</v>
      </c>
      <c r="M10" s="421" t="s">
        <v>101</v>
      </c>
      <c r="N10" s="422" t="str">
        <f>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423" t="str">
        <f>IF(OR(N10='Tabla Impacto'!$C$11,N10='Tabla Impacto'!$D$11),"Leve",IF(OR(N10='Tabla Impacto'!$C$12,N10='Tabla Impacto'!$D$12),"Menor",IF(OR(N10='Tabla Impacto'!$C$13,N10='Tabla Impacto'!$D$13),"Moderado",IF(OR(N10='Tabla Impacto'!$C$14,N10='Tabla Impacto'!$D$14),"Mayor",IF(OR(N10='Tabla Impacto'!$C$15,N10='Tabla Impacto'!$D$15),"Catastrófico","")))))</f>
        <v>Moderado</v>
      </c>
      <c r="P10" s="424">
        <f>IF(O10="","",IF(O10="Leve",0.2,IF(O10="Menor",0.4,IF(O10="Moderado",0.6,IF(O10="Mayor",0.8,IF(O10="Catastrófico",1,))))))</f>
        <v>0.6</v>
      </c>
      <c r="Q10" s="425"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31">
        <v>1</v>
      </c>
      <c r="S10" s="168" t="s">
        <v>352</v>
      </c>
      <c r="T10" s="32" t="str">
        <f t="shared" ref="T10:T21" si="0">IF(OR(U10="Preventivo",U10="Detectivo"),"Probabilidad",IF(U10="Correctivo","Impacto",""))</f>
        <v>Probabilidad</v>
      </c>
      <c r="U10" s="33" t="s">
        <v>102</v>
      </c>
      <c r="V10" s="33" t="s">
        <v>103</v>
      </c>
      <c r="W10" s="34" t="str">
        <f t="shared" ref="W10:W37" si="1">IF(AND(U10="Preventivo",V10="Automático"),"50%",IF(AND(U10="Preventivo",V10="Manual"),"40%",IF(AND(U10="Detectivo",V10="Automático"),"40%",IF(AND(U10="Detectivo",V10="Manual"),"30%",IF(AND(U10="Correctivo",V10="Automático"),"35%",IF(AND(U10="Correctivo",V10="Manual"),"25%",""))))))</f>
        <v>40%</v>
      </c>
      <c r="X10" s="33" t="s">
        <v>104</v>
      </c>
      <c r="Y10" s="33" t="s">
        <v>105</v>
      </c>
      <c r="Z10" s="33" t="s">
        <v>106</v>
      </c>
      <c r="AA10" s="35">
        <f>IFERROR(IF(T10="Probabilidad",(L10-(+L10*W10)),IF(T10="Impacto",L10,"")),"")</f>
        <v>0.36</v>
      </c>
      <c r="AB10" s="36" t="str">
        <f t="shared" ref="AB10:AB37" si="2">IFERROR(IF(AA10="","",IF(AA10&lt;=0.2,"Muy Baja",IF(AA10&lt;=0.4,"Baja",IF(AA10&lt;=0.6,"Media",IF(AA10&lt;=0.8,"Alta","Muy Alta"))))),"")</f>
        <v>Baja</v>
      </c>
      <c r="AC10" s="37">
        <f t="shared" ref="AC10:AC37" si="3">+AA10</f>
        <v>0.36</v>
      </c>
      <c r="AD10" s="36" t="str">
        <f t="shared" ref="AD10:AD21" si="4">IFERROR(IF(AE10="","",IF(AE10&lt;=0.2,"Leve",IF(AE10&lt;=0.4,"Menor",IF(AE10&lt;=0.6,"Moderado",IF(AE10&lt;=0.8,"Mayor","Catastrófico"))))),"")</f>
        <v>Moderado</v>
      </c>
      <c r="AE10" s="37">
        <f>IFERROR(IF(T10="Impacto",(P10-(+P10*W10)),IF(T10="Probabilidad",P10,"")),"")</f>
        <v>0.6</v>
      </c>
      <c r="AF10" s="38" t="str">
        <f t="shared" ref="AF10:AF37" si="5">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426" t="s">
        <v>107</v>
      </c>
      <c r="AH10" s="242" t="s">
        <v>361</v>
      </c>
      <c r="AI10" s="427" t="s">
        <v>114</v>
      </c>
      <c r="AJ10" s="392" t="s">
        <v>227</v>
      </c>
      <c r="AK10" s="243" t="s">
        <v>377</v>
      </c>
      <c r="AL10" s="429">
        <v>45342</v>
      </c>
      <c r="AM10" s="392" t="s">
        <v>228</v>
      </c>
      <c r="AN10" s="243" t="s">
        <v>377</v>
      </c>
      <c r="AO10" s="392">
        <v>45412</v>
      </c>
      <c r="AP10" s="392" t="s">
        <v>229</v>
      </c>
      <c r="AQ10" s="243" t="s">
        <v>377</v>
      </c>
      <c r="AR10" s="392">
        <v>45473</v>
      </c>
      <c r="AS10" s="392" t="s">
        <v>242</v>
      </c>
      <c r="AT10" s="243" t="s">
        <v>377</v>
      </c>
      <c r="AU10" s="392">
        <v>45534</v>
      </c>
      <c r="AV10" s="392" t="s">
        <v>243</v>
      </c>
      <c r="AW10" s="243" t="s">
        <v>381</v>
      </c>
      <c r="AX10" s="392">
        <v>45595</v>
      </c>
      <c r="AY10" s="392" t="s">
        <v>382</v>
      </c>
      <c r="AZ10" s="243" t="s">
        <v>381</v>
      </c>
      <c r="BA10" s="392">
        <v>45657</v>
      </c>
      <c r="BB10" s="39"/>
      <c r="BC10" s="39"/>
      <c r="BD10" s="39"/>
      <c r="BE10" s="39"/>
      <c r="BF10" s="39"/>
      <c r="BG10" s="39"/>
      <c r="BH10" s="39"/>
      <c r="BI10" s="39"/>
      <c r="BJ10" s="39"/>
      <c r="BK10" s="39"/>
      <c r="BL10" s="39"/>
    </row>
    <row r="11" spans="1:64" ht="150" customHeight="1" x14ac:dyDescent="0.25">
      <c r="A11" s="413"/>
      <c r="B11" s="414"/>
      <c r="C11" s="414"/>
      <c r="D11" s="414"/>
      <c r="E11" s="30" t="s">
        <v>230</v>
      </c>
      <c r="F11" s="415"/>
      <c r="G11" s="525"/>
      <c r="H11" s="416"/>
      <c r="I11" s="417"/>
      <c r="J11" s="418"/>
      <c r="K11" s="419"/>
      <c r="L11" s="420"/>
      <c r="M11" s="421"/>
      <c r="N11" s="422">
        <f>IF(NOT(ISERROR(MATCH(M11,_xlfn.ANCHORARRAY(F22),0))),#REF!&amp;"Por favor no seleccionar los criterios de impacto",M11)</f>
        <v>0</v>
      </c>
      <c r="O11" s="423"/>
      <c r="P11" s="424"/>
      <c r="Q11" s="425"/>
      <c r="R11" s="31">
        <v>2</v>
      </c>
      <c r="S11" s="171" t="s">
        <v>240</v>
      </c>
      <c r="T11" s="32" t="str">
        <f t="shared" si="0"/>
        <v>Probabilidad</v>
      </c>
      <c r="U11" s="33" t="s">
        <v>102</v>
      </c>
      <c r="V11" s="33" t="s">
        <v>103</v>
      </c>
      <c r="W11" s="34" t="str">
        <f t="shared" si="1"/>
        <v>40%</v>
      </c>
      <c r="X11" s="33" t="s">
        <v>104</v>
      </c>
      <c r="Y11" s="33" t="s">
        <v>105</v>
      </c>
      <c r="Z11" s="33" t="s">
        <v>106</v>
      </c>
      <c r="AA11" s="35">
        <f>IFERROR(IF(AND(T10="Probabilidad",T11="Probabilidad"),(AC10-(+AC10*W11)),IF(AND(T10="Impacto",T11="Probabilidad"),(L10-(+L10*W11)),IF(T11="Impacto",AC10,""))),"")</f>
        <v>0.216</v>
      </c>
      <c r="AB11" s="36" t="str">
        <f t="shared" si="2"/>
        <v>Baja</v>
      </c>
      <c r="AC11" s="37">
        <f t="shared" si="3"/>
        <v>0.216</v>
      </c>
      <c r="AD11" s="36" t="str">
        <f t="shared" si="4"/>
        <v>Moderado</v>
      </c>
      <c r="AE11" s="37">
        <f>IFERROR(IF(AND(T10="Impacto",T11="Impacto"),(AE10-(+AE10*W11)),IF(AND(T10="Probabilidad",T11="Impacto"),(P10-(+P10*W11)),IF(T11="Probabilidad",AE10,""))),"")</f>
        <v>0.6</v>
      </c>
      <c r="AF11" s="38" t="str">
        <f t="shared" si="5"/>
        <v>Moderado</v>
      </c>
      <c r="AG11" s="426"/>
      <c r="AH11" s="244" t="s">
        <v>231</v>
      </c>
      <c r="AI11" s="427"/>
      <c r="AJ11" s="396"/>
      <c r="AK11" s="245" t="s">
        <v>244</v>
      </c>
      <c r="AL11" s="430"/>
      <c r="AM11" s="396"/>
      <c r="AN11" s="245" t="s">
        <v>244</v>
      </c>
      <c r="AO11" s="393"/>
      <c r="AP11" s="396"/>
      <c r="AQ11" s="245" t="s">
        <v>380</v>
      </c>
      <c r="AR11" s="393"/>
      <c r="AS11" s="396"/>
      <c r="AT11" s="245" t="s">
        <v>380</v>
      </c>
      <c r="AU11" s="393"/>
      <c r="AV11" s="396"/>
      <c r="AW11" s="245" t="s">
        <v>380</v>
      </c>
      <c r="AX11" s="393"/>
      <c r="AY11" s="396"/>
      <c r="AZ11" s="245" t="s">
        <v>380</v>
      </c>
      <c r="BA11" s="393"/>
      <c r="BB11" s="21"/>
      <c r="BC11" s="21"/>
      <c r="BD11" s="21"/>
      <c r="BE11" s="21"/>
      <c r="BF11" s="21"/>
      <c r="BG11" s="21"/>
      <c r="BH11" s="21"/>
      <c r="BI11" s="21"/>
      <c r="BJ11" s="21"/>
      <c r="BK11" s="21"/>
      <c r="BL11" s="21"/>
    </row>
    <row r="12" spans="1:64" ht="89.4" customHeight="1" x14ac:dyDescent="0.25">
      <c r="A12" s="413"/>
      <c r="B12" s="414"/>
      <c r="C12" s="414"/>
      <c r="D12" s="414"/>
      <c r="E12" s="43" t="s">
        <v>108</v>
      </c>
      <c r="F12" s="415"/>
      <c r="G12" s="525"/>
      <c r="H12" s="416"/>
      <c r="I12" s="417"/>
      <c r="J12" s="418"/>
      <c r="K12" s="419"/>
      <c r="L12" s="420"/>
      <c r="M12" s="421"/>
      <c r="N12" s="422">
        <f>IF(NOT(ISERROR(MATCH(M12,_xlfn.ANCHORARRAY(F23),0))),#REF!&amp;"Por favor no seleccionar los criterios de impacto",M12)</f>
        <v>0</v>
      </c>
      <c r="O12" s="423"/>
      <c r="P12" s="424"/>
      <c r="Q12" s="425"/>
      <c r="R12" s="31">
        <v>3</v>
      </c>
      <c r="S12" s="171" t="s">
        <v>355</v>
      </c>
      <c r="T12" s="45" t="str">
        <f t="shared" si="0"/>
        <v>Probabilidad</v>
      </c>
      <c r="U12" s="33" t="s">
        <v>102</v>
      </c>
      <c r="V12" s="33" t="s">
        <v>103</v>
      </c>
      <c r="W12" s="47" t="str">
        <f t="shared" si="1"/>
        <v>40%</v>
      </c>
      <c r="X12" s="33" t="s">
        <v>104</v>
      </c>
      <c r="Y12" s="33" t="s">
        <v>105</v>
      </c>
      <c r="Z12" s="33" t="s">
        <v>106</v>
      </c>
      <c r="AA12" s="35">
        <f>IFERROR(IF(AND(T11="Probabilidad",T12="Probabilidad"),(AC11-(+AC11*W12)),IF(AND(T11="Impacto",T12="Probabilidad"),(AC10-(+AC10*W12)),IF(T12="Impacto",AC11,""))),"")</f>
        <v>0.12959999999999999</v>
      </c>
      <c r="AB12" s="36" t="str">
        <f t="shared" si="2"/>
        <v>Muy Baja</v>
      </c>
      <c r="AC12" s="37">
        <f t="shared" si="3"/>
        <v>0.12959999999999999</v>
      </c>
      <c r="AD12" s="36" t="str">
        <f t="shared" si="4"/>
        <v>Moderado</v>
      </c>
      <c r="AE12" s="37">
        <f>IFERROR(IF(AND(T11="Impacto",T12="Impacto"),(AE11-(+AE11*W12)),IF(AND(T11="Probabilidad",T12="Impacto"),(AE10-(+AE10*W12)),IF(T12="Probabilidad",AE11,""))),"")</f>
        <v>0.6</v>
      </c>
      <c r="AF12" s="38" t="str">
        <f t="shared" si="5"/>
        <v>Moderado</v>
      </c>
      <c r="AG12" s="48"/>
      <c r="AH12" s="49" t="s">
        <v>360</v>
      </c>
      <c r="AI12" s="42" t="s">
        <v>356</v>
      </c>
      <c r="AJ12" s="41" t="s">
        <v>363</v>
      </c>
      <c r="AK12" s="246" t="s">
        <v>378</v>
      </c>
      <c r="AL12" s="41">
        <v>45350</v>
      </c>
      <c r="AM12" s="41" t="s">
        <v>228</v>
      </c>
      <c r="AN12" s="238" t="s">
        <v>362</v>
      </c>
      <c r="AO12" s="250">
        <v>45412</v>
      </c>
      <c r="AP12" s="250" t="s">
        <v>364</v>
      </c>
      <c r="AQ12" s="238" t="s">
        <v>362</v>
      </c>
      <c r="AR12" s="250">
        <v>45469</v>
      </c>
      <c r="AS12" s="250" t="s">
        <v>365</v>
      </c>
      <c r="AT12" s="238" t="s">
        <v>362</v>
      </c>
      <c r="AU12" s="250">
        <v>45534</v>
      </c>
      <c r="AV12" s="250" t="s">
        <v>243</v>
      </c>
      <c r="AW12" s="238" t="s">
        <v>362</v>
      </c>
      <c r="AX12" s="250">
        <v>45595</v>
      </c>
      <c r="AY12" s="250" t="s">
        <v>382</v>
      </c>
      <c r="AZ12" s="238" t="s">
        <v>362</v>
      </c>
      <c r="BA12" s="250">
        <v>45657</v>
      </c>
      <c r="BB12" s="21"/>
      <c r="BC12" s="21"/>
      <c r="BD12" s="21"/>
      <c r="BE12" s="21"/>
      <c r="BF12" s="21"/>
      <c r="BG12" s="21"/>
      <c r="BH12" s="21"/>
      <c r="BI12" s="21"/>
      <c r="BJ12" s="21"/>
      <c r="BK12" s="21"/>
      <c r="BL12" s="21"/>
    </row>
    <row r="13" spans="1:64" ht="46.5" customHeight="1" x14ac:dyDescent="0.25">
      <c r="A13" s="413"/>
      <c r="B13" s="414"/>
      <c r="C13" s="414"/>
      <c r="D13" s="414"/>
      <c r="E13" s="43"/>
      <c r="F13" s="415"/>
      <c r="G13" s="525"/>
      <c r="H13" s="416"/>
      <c r="I13" s="417"/>
      <c r="J13" s="418"/>
      <c r="K13" s="419"/>
      <c r="L13" s="420"/>
      <c r="M13" s="421"/>
      <c r="N13" s="422">
        <f>IF(NOT(ISERROR(MATCH(M13,_xlfn.ANCHORARRAY(#REF!),0))),#REF!&amp;"Por favor no seleccionar los criterios de impacto",M13)</f>
        <v>0</v>
      </c>
      <c r="O13" s="423"/>
      <c r="P13" s="424"/>
      <c r="Q13" s="425"/>
      <c r="R13" s="31">
        <v>4</v>
      </c>
      <c r="S13" s="50"/>
      <c r="T13" s="45" t="str">
        <f t="shared" si="0"/>
        <v/>
      </c>
      <c r="U13" s="46"/>
      <c r="V13" s="46"/>
      <c r="W13" s="47" t="str">
        <f t="shared" si="1"/>
        <v/>
      </c>
      <c r="X13" s="46"/>
      <c r="Y13" s="46"/>
      <c r="Z13" s="46"/>
      <c r="AA13" s="35" t="str">
        <f>IFERROR(IF(AND(T12="Probabilidad",T13="Probabilidad"),(AC12-(+AC12*W13)),IF(AND(T12="Impacto",T13="Probabilidad"),(AC11-(+AC11*W13)),IF(T13="Impacto",AC12,""))),"")</f>
        <v/>
      </c>
      <c r="AB13" s="36" t="str">
        <f t="shared" si="2"/>
        <v/>
      </c>
      <c r="AC13" s="37" t="str">
        <f t="shared" si="3"/>
        <v/>
      </c>
      <c r="AD13" s="36" t="str">
        <f t="shared" si="4"/>
        <v/>
      </c>
      <c r="AE13" s="37" t="str">
        <f>IFERROR(IF(AND(T12="Impacto",T13="Impacto"),(AE12-(+AE12*W13)),IF(AND(T12="Probabilidad",T13="Impacto"),(AE11-(+AE11*W13)),IF(T13="Probabilidad",AE12,""))),"")</f>
        <v/>
      </c>
      <c r="AF13" s="38" t="str">
        <f t="shared" si="5"/>
        <v/>
      </c>
      <c r="AG13" s="48"/>
      <c r="AH13" s="49"/>
      <c r="AI13" s="42"/>
      <c r="AJ13" s="41"/>
      <c r="AK13" s="41"/>
      <c r="AL13" s="42"/>
      <c r="AM13" s="41"/>
      <c r="AN13" s="41"/>
      <c r="AO13" s="42"/>
      <c r="AP13" s="41"/>
      <c r="AQ13" s="41"/>
      <c r="AR13" s="42"/>
      <c r="AS13" s="41"/>
      <c r="AT13" s="41"/>
      <c r="AU13" s="42"/>
      <c r="AV13" s="41"/>
      <c r="AW13" s="41"/>
      <c r="AX13" s="42"/>
      <c r="AY13" s="41"/>
      <c r="AZ13" s="41"/>
      <c r="BA13" s="42"/>
      <c r="BB13" s="21"/>
      <c r="BC13" s="21"/>
      <c r="BD13" s="21"/>
      <c r="BE13" s="21"/>
      <c r="BF13" s="21"/>
      <c r="BG13" s="21"/>
      <c r="BH13" s="21"/>
      <c r="BI13" s="21"/>
      <c r="BJ13" s="21"/>
      <c r="BK13" s="21"/>
      <c r="BL13" s="21"/>
    </row>
    <row r="14" spans="1:64" ht="48.75" customHeight="1" x14ac:dyDescent="0.25">
      <c r="A14" s="413"/>
      <c r="B14" s="414"/>
      <c r="C14" s="414"/>
      <c r="D14" s="414"/>
      <c r="E14" s="43"/>
      <c r="F14" s="415"/>
      <c r="G14" s="525"/>
      <c r="H14" s="416"/>
      <c r="I14" s="417"/>
      <c r="J14" s="418"/>
      <c r="K14" s="419"/>
      <c r="L14" s="420"/>
      <c r="M14" s="421"/>
      <c r="N14" s="422">
        <f>IF(NOT(ISERROR(MATCH(M14,_xlfn.ANCHORARRAY(#REF!),0))),#REF!&amp;"Por favor no seleccionar los criterios de impacto",M14)</f>
        <v>0</v>
      </c>
      <c r="O14" s="423"/>
      <c r="P14" s="424"/>
      <c r="Q14" s="425"/>
      <c r="R14" s="31">
        <v>5</v>
      </c>
      <c r="S14" s="50"/>
      <c r="T14" s="45" t="str">
        <f t="shared" si="0"/>
        <v/>
      </c>
      <c r="U14" s="46"/>
      <c r="V14" s="46"/>
      <c r="W14" s="47" t="str">
        <f t="shared" si="1"/>
        <v/>
      </c>
      <c r="X14" s="46"/>
      <c r="Y14" s="46"/>
      <c r="Z14" s="46"/>
      <c r="AA14" s="35" t="str">
        <f>IFERROR(IF(AND(T13="Probabilidad",T14="Probabilidad"),(AC13-(+AC13*W14)),IF(AND(T13="Impacto",T14="Probabilidad"),(AC12-(+AC12*W14)),IF(T14="Impacto",AC13,""))),"")</f>
        <v/>
      </c>
      <c r="AB14" s="36" t="str">
        <f t="shared" si="2"/>
        <v/>
      </c>
      <c r="AC14" s="37" t="str">
        <f t="shared" si="3"/>
        <v/>
      </c>
      <c r="AD14" s="36" t="str">
        <f t="shared" si="4"/>
        <v/>
      </c>
      <c r="AE14" s="37" t="str">
        <f>IFERROR(IF(AND(T13="Impacto",T14="Impacto"),(AE13-(+AE13*W14)),IF(AND(T13="Probabilidad",T14="Impacto"),(AE12-(+AE12*W14)),IF(T14="Probabilidad",AE13,""))),"")</f>
        <v/>
      </c>
      <c r="AF14" s="38" t="str">
        <f t="shared" si="5"/>
        <v/>
      </c>
      <c r="AG14" s="48"/>
      <c r="AH14" s="49"/>
      <c r="AI14" s="42"/>
      <c r="AJ14" s="41"/>
      <c r="AK14" s="41"/>
      <c r="AL14" s="42"/>
      <c r="AM14" s="41"/>
      <c r="AN14" s="41"/>
      <c r="AO14" s="42"/>
      <c r="AP14" s="41"/>
      <c r="AQ14" s="41"/>
      <c r="AR14" s="42"/>
      <c r="AS14" s="41"/>
      <c r="AT14" s="41"/>
      <c r="AU14" s="42"/>
      <c r="AV14" s="41"/>
      <c r="AW14" s="41"/>
      <c r="AX14" s="42"/>
      <c r="AY14" s="41"/>
      <c r="AZ14" s="41"/>
      <c r="BA14" s="42"/>
      <c r="BB14" s="21"/>
      <c r="BC14" s="21"/>
      <c r="BD14" s="21"/>
      <c r="BE14" s="21"/>
      <c r="BF14" s="21"/>
      <c r="BG14" s="21"/>
      <c r="BH14" s="21"/>
      <c r="BI14" s="21"/>
      <c r="BJ14" s="21"/>
      <c r="BK14" s="21"/>
      <c r="BL14" s="21"/>
    </row>
    <row r="15" spans="1:64" ht="42.75" customHeight="1" x14ac:dyDescent="0.25">
      <c r="A15" s="413"/>
      <c r="B15" s="414"/>
      <c r="C15" s="414"/>
      <c r="D15" s="414"/>
      <c r="E15" s="43"/>
      <c r="F15" s="415"/>
      <c r="G15" s="526"/>
      <c r="H15" s="416"/>
      <c r="I15" s="417"/>
      <c r="J15" s="418"/>
      <c r="K15" s="419"/>
      <c r="L15" s="420"/>
      <c r="M15" s="421"/>
      <c r="N15" s="422">
        <f>IF(NOT(ISERROR(MATCH(M15,_xlfn.ANCHORARRAY(#REF!),0))),L24&amp;"Por favor no seleccionar los criterios de impacto",M15)</f>
        <v>0</v>
      </c>
      <c r="O15" s="423"/>
      <c r="P15" s="424"/>
      <c r="Q15" s="425"/>
      <c r="R15" s="31">
        <v>6</v>
      </c>
      <c r="S15" s="50"/>
      <c r="T15" s="45" t="str">
        <f t="shared" si="0"/>
        <v/>
      </c>
      <c r="U15" s="46"/>
      <c r="V15" s="46"/>
      <c r="W15" s="47" t="str">
        <f t="shared" si="1"/>
        <v/>
      </c>
      <c r="X15" s="46"/>
      <c r="Y15" s="46"/>
      <c r="Z15" s="46"/>
      <c r="AA15" s="35" t="str">
        <f>IFERROR(IF(AND(T14="Probabilidad",T15="Probabilidad"),(AC14-(+AC14*W15)),IF(AND(T14="Impacto",T15="Probabilidad"),(AC13-(+AC13*W15)),IF(T15="Impacto",AC14,""))),"")</f>
        <v/>
      </c>
      <c r="AB15" s="36" t="str">
        <f t="shared" si="2"/>
        <v/>
      </c>
      <c r="AC15" s="37" t="str">
        <f t="shared" si="3"/>
        <v/>
      </c>
      <c r="AD15" s="36" t="str">
        <f t="shared" si="4"/>
        <v/>
      </c>
      <c r="AE15" s="37" t="str">
        <f>IFERROR(IF(AND(T14="Impacto",T15="Impacto"),(AE14-(+AE14*W15)),IF(AND(T14="Probabilidad",T15="Impacto"),(AE13-(+AE13*W15)),IF(T15="Probabilidad",AE14,""))),"")</f>
        <v/>
      </c>
      <c r="AF15" s="38" t="str">
        <f t="shared" si="5"/>
        <v/>
      </c>
      <c r="AG15" s="48"/>
      <c r="AH15" s="49"/>
      <c r="AI15" s="42"/>
      <c r="AJ15" s="41"/>
      <c r="AK15" s="41"/>
      <c r="AL15" s="42"/>
      <c r="AM15" s="41"/>
      <c r="AN15" s="41"/>
      <c r="AO15" s="42"/>
      <c r="AP15" s="41"/>
      <c r="AQ15" s="41"/>
      <c r="AR15" s="42"/>
      <c r="AS15" s="41"/>
      <c r="AT15" s="41"/>
      <c r="AU15" s="42"/>
      <c r="AV15" s="41"/>
      <c r="AW15" s="41"/>
      <c r="AX15" s="42"/>
      <c r="AY15" s="41"/>
      <c r="AZ15" s="41"/>
      <c r="BA15" s="42"/>
      <c r="BB15" s="21"/>
      <c r="BC15" s="21"/>
      <c r="BD15" s="21"/>
      <c r="BE15" s="21"/>
      <c r="BF15" s="21"/>
      <c r="BG15" s="21"/>
      <c r="BH15" s="21"/>
      <c r="BI15" s="21"/>
      <c r="BJ15" s="21"/>
      <c r="BK15" s="21"/>
      <c r="BL15" s="21"/>
    </row>
    <row r="16" spans="1:64" ht="104.25" customHeight="1" x14ac:dyDescent="0.25">
      <c r="A16" s="413">
        <v>2</v>
      </c>
      <c r="B16" s="427" t="s">
        <v>97</v>
      </c>
      <c r="C16" s="438" t="s">
        <v>350</v>
      </c>
      <c r="D16" s="427" t="s">
        <v>109</v>
      </c>
      <c r="E16" s="51" t="s">
        <v>232</v>
      </c>
      <c r="F16" s="433" t="s">
        <v>351</v>
      </c>
      <c r="G16" s="524" t="s">
        <v>401</v>
      </c>
      <c r="H16" s="434" t="s">
        <v>236</v>
      </c>
      <c r="I16" s="417" t="s">
        <v>110</v>
      </c>
      <c r="J16" s="439">
        <v>12</v>
      </c>
      <c r="K16" s="419" t="str">
        <f>IF(J16&lt;=0,"",IF(J16&lt;=2,"Muy Baja",IF(J16&lt;=24,"Baja",IF(J16&lt;=500,"Media",IF(J16&lt;=5000,"Alta","Muy Alta")))))</f>
        <v>Baja</v>
      </c>
      <c r="L16" s="420">
        <f>IF(K16="","",IF(K16="Muy Baja",0.2,IF(K16="Baja",0.4,IF(K16="Media",0.6,IF(K16="Alta",0.8,IF(K16="Muy Alta",1,))))))</f>
        <v>0.4</v>
      </c>
      <c r="M16" s="446" t="s">
        <v>111</v>
      </c>
      <c r="N16" s="420" t="str">
        <f>IF(NOT(ISERROR(MATCH(M16,'Tabla Impacto'!$B$221:$B$223,0))),'Tabla Impacto'!$F$223&amp;"Por favor no seleccionar los criterios de impacto(Afectación Económica o presupuestal y Pérdida Reputacional)",M16)</f>
        <v xml:space="preserve">     El riesgo afecta la imagen de la entidad internamente, de conocimiento general, nivel interno, de junta dircetiva y accionistas y/o de provedores</v>
      </c>
      <c r="O16" s="419" t="str">
        <f>IF(OR(N16='Tabla Impacto'!$C$11,N16='Tabla Impacto'!$D$11),"Leve",IF(OR(N16='Tabla Impacto'!$C$12,N16='Tabla Impacto'!$D$12),"Menor",IF(OR(N16='Tabla Impacto'!$C$13,N16='Tabla Impacto'!$D$13),"Moderado",IF(OR(N16='Tabla Impacto'!$C$14,N16='Tabla Impacto'!$D$14),"Mayor",IF(OR(N16='Tabla Impacto'!$C$15,N16='Tabla Impacto'!$D$15),"Catastrófico","")))))</f>
        <v>Menor</v>
      </c>
      <c r="P16" s="420">
        <f>IF(O16="","",IF(O16="Leve",0.2,IF(O16="Menor",0.4,IF(O16="Moderado",0.6,IF(O16="Mayor",0.8,IF(O16="Catastrófico",1,))))))</f>
        <v>0.4</v>
      </c>
      <c r="Q16" s="435"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Moderado</v>
      </c>
      <c r="R16" s="31">
        <v>1</v>
      </c>
      <c r="S16" s="170" t="s">
        <v>239</v>
      </c>
      <c r="T16" s="32" t="str">
        <f t="shared" si="0"/>
        <v>Probabilidad</v>
      </c>
      <c r="U16" s="33" t="s">
        <v>102</v>
      </c>
      <c r="V16" s="33" t="s">
        <v>103</v>
      </c>
      <c r="W16" s="34" t="str">
        <f t="shared" si="1"/>
        <v>40%</v>
      </c>
      <c r="X16" s="33" t="s">
        <v>104</v>
      </c>
      <c r="Y16" s="33" t="s">
        <v>105</v>
      </c>
      <c r="Z16" s="33" t="s">
        <v>112</v>
      </c>
      <c r="AA16" s="52">
        <f>IFERROR(IF(T16="Probabilidad",(L16-(+L16*W16)),IF(T16="Impacto",L16,"")),"")</f>
        <v>0.24</v>
      </c>
      <c r="AB16" s="53" t="str">
        <f t="shared" si="2"/>
        <v>Baja</v>
      </c>
      <c r="AC16" s="54">
        <f t="shared" si="3"/>
        <v>0.24</v>
      </c>
      <c r="AD16" s="53" t="str">
        <f t="shared" si="4"/>
        <v>Menor</v>
      </c>
      <c r="AE16" s="54">
        <f>IFERROR(IF(T16="Impacto",(P16-(+P16*W16)),IF(T16="Probabilidad",P16,"")),"")</f>
        <v>0.4</v>
      </c>
      <c r="AF16" s="55" t="str">
        <f t="shared" si="5"/>
        <v>Moderado</v>
      </c>
      <c r="AG16" s="426" t="s">
        <v>113</v>
      </c>
      <c r="AH16" s="242" t="s">
        <v>233</v>
      </c>
      <c r="AI16" s="427" t="s">
        <v>114</v>
      </c>
      <c r="AJ16" s="397" t="s">
        <v>227</v>
      </c>
      <c r="AK16" s="243" t="s">
        <v>245</v>
      </c>
      <c r="AL16" s="394">
        <v>45351</v>
      </c>
      <c r="AM16" s="397" t="s">
        <v>228</v>
      </c>
      <c r="AN16" s="243" t="s">
        <v>245</v>
      </c>
      <c r="AO16" s="394">
        <v>45412</v>
      </c>
      <c r="AP16" s="397" t="s">
        <v>229</v>
      </c>
      <c r="AQ16" s="243" t="s">
        <v>245</v>
      </c>
      <c r="AR16" s="394" t="s">
        <v>246</v>
      </c>
      <c r="AS16" s="397" t="s">
        <v>242</v>
      </c>
      <c r="AT16" s="243" t="s">
        <v>245</v>
      </c>
      <c r="AU16" s="394">
        <v>45534</v>
      </c>
      <c r="AV16" s="397" t="s">
        <v>243</v>
      </c>
      <c r="AW16" s="243" t="s">
        <v>245</v>
      </c>
      <c r="AX16" s="394">
        <v>45595</v>
      </c>
      <c r="AY16" s="397" t="s">
        <v>382</v>
      </c>
      <c r="AZ16" s="243" t="s">
        <v>245</v>
      </c>
      <c r="BA16" s="394">
        <v>45657</v>
      </c>
      <c r="BB16" s="21"/>
      <c r="BC16" s="21"/>
      <c r="BD16" s="21"/>
      <c r="BE16" s="21"/>
      <c r="BF16" s="21"/>
      <c r="BG16" s="21"/>
      <c r="BH16" s="21"/>
      <c r="BI16" s="21"/>
      <c r="BJ16" s="21"/>
      <c r="BK16" s="21"/>
      <c r="BL16" s="21"/>
    </row>
    <row r="17" spans="1:64" ht="123" customHeight="1" x14ac:dyDescent="0.25">
      <c r="A17" s="413"/>
      <c r="B17" s="427"/>
      <c r="C17" s="438"/>
      <c r="D17" s="427"/>
      <c r="E17" s="427" t="s">
        <v>115</v>
      </c>
      <c r="F17" s="433"/>
      <c r="G17" s="525"/>
      <c r="H17" s="434"/>
      <c r="I17" s="417"/>
      <c r="J17" s="439"/>
      <c r="K17" s="419"/>
      <c r="L17" s="420"/>
      <c r="M17" s="446"/>
      <c r="N17" s="420">
        <f>IF(NOT(ISERROR(MATCH(M17,_xlfn.ANCHORARRAY(F24),0))),L26&amp;"Por favor no seleccionar los criterios de impacto",M17)</f>
        <v>0</v>
      </c>
      <c r="O17" s="419"/>
      <c r="P17" s="420"/>
      <c r="Q17" s="435"/>
      <c r="R17" s="31">
        <v>2</v>
      </c>
      <c r="S17" s="169" t="s">
        <v>235</v>
      </c>
      <c r="T17" s="32" t="str">
        <f t="shared" si="0"/>
        <v>Probabilidad</v>
      </c>
      <c r="U17" s="33" t="s">
        <v>116</v>
      </c>
      <c r="V17" s="33" t="s">
        <v>103</v>
      </c>
      <c r="W17" s="34" t="str">
        <f t="shared" si="1"/>
        <v>30%</v>
      </c>
      <c r="X17" s="33" t="s">
        <v>104</v>
      </c>
      <c r="Y17" s="33" t="s">
        <v>105</v>
      </c>
      <c r="Z17" s="33" t="s">
        <v>112</v>
      </c>
      <c r="AA17" s="52">
        <f>IFERROR(IF(AND(T16="Probabilidad",T17="Probabilidad"),(AC16-(+AC16*W17)),IF(AND(T16="Impacto",T17="Probabilidad"),(L16-(+L16*W17)),IF(T17="Impacto",AC16,""))),"")</f>
        <v>0.16799999999999998</v>
      </c>
      <c r="AB17" s="53" t="str">
        <f t="shared" si="2"/>
        <v>Muy Baja</v>
      </c>
      <c r="AC17" s="54">
        <f t="shared" si="3"/>
        <v>0.16799999999999998</v>
      </c>
      <c r="AD17" s="53" t="str">
        <f t="shared" si="4"/>
        <v>Menor</v>
      </c>
      <c r="AE17" s="54">
        <f>IFERROR(IF(AND(T16="Impacto",T17="Impacto"),(AE16-(+AE16*W17)),IF(AND(T16="Probabilidad",T17="Impacto"),(P16-(+P16*W17)),IF(T17="Probabilidad",AE16,""))),"")</f>
        <v>0.4</v>
      </c>
      <c r="AF17" s="55" t="str">
        <f t="shared" si="5"/>
        <v>Bajo</v>
      </c>
      <c r="AG17" s="426"/>
      <c r="AH17" s="242" t="s">
        <v>379</v>
      </c>
      <c r="AI17" s="427"/>
      <c r="AJ17" s="398"/>
      <c r="AK17" s="242" t="s">
        <v>358</v>
      </c>
      <c r="AL17" s="404"/>
      <c r="AM17" s="398"/>
      <c r="AN17" s="242" t="s">
        <v>358</v>
      </c>
      <c r="AO17" s="395"/>
      <c r="AP17" s="398"/>
      <c r="AQ17" s="242" t="s">
        <v>358</v>
      </c>
      <c r="AR17" s="395"/>
      <c r="AS17" s="398"/>
      <c r="AT17" s="242" t="s">
        <v>358</v>
      </c>
      <c r="AU17" s="395"/>
      <c r="AV17" s="398"/>
      <c r="AW17" s="242" t="s">
        <v>358</v>
      </c>
      <c r="AX17" s="395"/>
      <c r="AY17" s="398"/>
      <c r="AZ17" s="242" t="s">
        <v>358</v>
      </c>
      <c r="BA17" s="395"/>
      <c r="BB17" s="21"/>
      <c r="BC17" s="21"/>
      <c r="BD17" s="21"/>
      <c r="BE17" s="21"/>
      <c r="BF17" s="21"/>
      <c r="BG17" s="21"/>
      <c r="BH17" s="21"/>
      <c r="BI17" s="21"/>
      <c r="BJ17" s="21"/>
      <c r="BK17" s="21"/>
      <c r="BL17" s="21"/>
    </row>
    <row r="18" spans="1:64" ht="15.6" x14ac:dyDescent="0.25">
      <c r="A18" s="413"/>
      <c r="B18" s="427"/>
      <c r="C18" s="438"/>
      <c r="D18" s="427"/>
      <c r="E18" s="427"/>
      <c r="F18" s="433"/>
      <c r="G18" s="525"/>
      <c r="H18" s="434"/>
      <c r="I18" s="417"/>
      <c r="J18" s="439"/>
      <c r="K18" s="419"/>
      <c r="L18" s="420"/>
      <c r="M18" s="446"/>
      <c r="N18" s="420">
        <f>IF(NOT(ISERROR(MATCH(M18,_xlfn.ANCHORARRAY(F25),0))),L27&amp;"Por favor no seleccionar los criterios de impacto",M18)</f>
        <v>0</v>
      </c>
      <c r="O18" s="419"/>
      <c r="P18" s="420"/>
      <c r="Q18" s="435"/>
      <c r="R18" s="31">
        <v>3</v>
      </c>
      <c r="S18" s="44"/>
      <c r="T18" s="45" t="str">
        <f t="shared" si="0"/>
        <v/>
      </c>
      <c r="U18" s="46"/>
      <c r="V18" s="46"/>
      <c r="W18" s="47" t="str">
        <f t="shared" si="1"/>
        <v/>
      </c>
      <c r="X18" s="46"/>
      <c r="Y18" s="46"/>
      <c r="Z18" s="46"/>
      <c r="AA18" s="35" t="str">
        <f>IFERROR(IF(AND(T17="Probabilidad",T18="Probabilidad"),(AC17-(+AC17*W18)),IF(AND(T17="Impacto",T18="Probabilidad"),(AC16-(+AC16*W18)),IF(T18="Impacto",AC17,""))),"")</f>
        <v/>
      </c>
      <c r="AB18" s="36" t="str">
        <f t="shared" si="2"/>
        <v/>
      </c>
      <c r="AC18" s="37" t="str">
        <f t="shared" si="3"/>
        <v/>
      </c>
      <c r="AD18" s="36" t="str">
        <f t="shared" si="4"/>
        <v/>
      </c>
      <c r="AE18" s="37" t="str">
        <f>IFERROR(IF(AND(T17="Impacto",T18="Impacto"),(AE17-(+AE17*W18)),IF(AND(T17="Probabilidad",T18="Impacto"),(AE16-(+AE16*W18)),IF(T18="Probabilidad",AE17,""))),"")</f>
        <v/>
      </c>
      <c r="AF18" s="38" t="str">
        <f t="shared" si="5"/>
        <v/>
      </c>
      <c r="AG18" s="48"/>
      <c r="AH18" s="49"/>
      <c r="AI18" s="42"/>
      <c r="AJ18" s="167"/>
      <c r="AK18" s="41"/>
      <c r="AL18" s="42"/>
      <c r="AM18" s="167"/>
      <c r="AN18" s="41"/>
      <c r="AO18" s="42"/>
      <c r="AP18" s="167"/>
      <c r="AQ18" s="41"/>
      <c r="AR18" s="42"/>
      <c r="AS18" s="167"/>
      <c r="AT18" s="41"/>
      <c r="AU18" s="42"/>
      <c r="AV18" s="167"/>
      <c r="AW18" s="41"/>
      <c r="AX18" s="42"/>
      <c r="AY18" s="167"/>
      <c r="AZ18" s="41"/>
      <c r="BA18" s="42"/>
      <c r="BB18" s="21"/>
      <c r="BC18" s="21"/>
      <c r="BD18" s="21"/>
      <c r="BE18" s="21"/>
      <c r="BF18" s="21"/>
      <c r="BG18" s="21"/>
      <c r="BH18" s="21"/>
      <c r="BI18" s="21"/>
      <c r="BJ18" s="21"/>
      <c r="BK18" s="21"/>
      <c r="BL18" s="21"/>
    </row>
    <row r="19" spans="1:64" ht="25.5" customHeight="1" x14ac:dyDescent="0.25">
      <c r="A19" s="413"/>
      <c r="B19" s="427"/>
      <c r="C19" s="438"/>
      <c r="D19" s="427"/>
      <c r="E19" s="427"/>
      <c r="F19" s="433"/>
      <c r="G19" s="525"/>
      <c r="H19" s="434"/>
      <c r="I19" s="417"/>
      <c r="J19" s="439"/>
      <c r="K19" s="419"/>
      <c r="L19" s="420"/>
      <c r="M19" s="446"/>
      <c r="N19" s="420">
        <f>IF(NOT(ISERROR(MATCH(M19,_xlfn.ANCHORARRAY(F26),0))),L28&amp;"Por favor no seleccionar los criterios de impacto",M19)</f>
        <v>0</v>
      </c>
      <c r="O19" s="419"/>
      <c r="P19" s="420"/>
      <c r="Q19" s="435"/>
      <c r="R19" s="31">
        <v>4</v>
      </c>
      <c r="S19" s="50"/>
      <c r="T19" s="45" t="str">
        <f t="shared" si="0"/>
        <v/>
      </c>
      <c r="U19" s="46"/>
      <c r="V19" s="46"/>
      <c r="W19" s="47" t="str">
        <f t="shared" si="1"/>
        <v/>
      </c>
      <c r="X19" s="46"/>
      <c r="Y19" s="46"/>
      <c r="Z19" s="46"/>
      <c r="AA19" s="35" t="str">
        <f>IFERROR(IF(AND(T18="Probabilidad",T19="Probabilidad"),(AC18-(+AC18*W19)),IF(AND(T18="Impacto",T19="Probabilidad"),(AC17-(+AC17*W19)),IF(T19="Impacto",AC18,""))),"")</f>
        <v/>
      </c>
      <c r="AB19" s="36" t="str">
        <f t="shared" si="2"/>
        <v/>
      </c>
      <c r="AC19" s="37" t="str">
        <f t="shared" si="3"/>
        <v/>
      </c>
      <c r="AD19" s="36" t="str">
        <f t="shared" si="4"/>
        <v/>
      </c>
      <c r="AE19" s="37" t="str">
        <f>IFERROR(IF(AND(T18="Impacto",T19="Impacto"),(AE18-(+AE18*W19)),IF(AND(T18="Probabilidad",T19="Impacto"),(AE17-(+AE17*W19)),IF(T19="Probabilidad",AE18,""))),"")</f>
        <v/>
      </c>
      <c r="AF19" s="38" t="str">
        <f t="shared" si="5"/>
        <v/>
      </c>
      <c r="AG19" s="48"/>
      <c r="AH19" s="49"/>
      <c r="AI19" s="42"/>
      <c r="AJ19" s="41"/>
      <c r="AK19" s="41"/>
      <c r="AL19" s="42"/>
      <c r="AM19" s="41"/>
      <c r="AN19" s="41"/>
      <c r="AO19" s="42"/>
      <c r="AP19" s="41"/>
      <c r="AQ19" s="41"/>
      <c r="AR19" s="42"/>
      <c r="AS19" s="41"/>
      <c r="AT19" s="41"/>
      <c r="AU19" s="42"/>
      <c r="AV19" s="41"/>
      <c r="AW19" s="41"/>
      <c r="AX19" s="42"/>
      <c r="AY19" s="41"/>
      <c r="AZ19" s="41"/>
      <c r="BA19" s="42"/>
      <c r="BB19" s="21"/>
      <c r="BC19" s="21"/>
      <c r="BD19" s="21"/>
      <c r="BE19" s="21"/>
      <c r="BF19" s="21"/>
      <c r="BG19" s="21"/>
      <c r="BH19" s="21"/>
      <c r="BI19" s="21"/>
      <c r="BJ19" s="21"/>
      <c r="BK19" s="21"/>
      <c r="BL19" s="21"/>
    </row>
    <row r="20" spans="1:64" ht="24" customHeight="1" x14ac:dyDescent="0.25">
      <c r="A20" s="413"/>
      <c r="B20" s="427"/>
      <c r="C20" s="438"/>
      <c r="D20" s="427"/>
      <c r="E20" s="427"/>
      <c r="F20" s="433"/>
      <c r="G20" s="525"/>
      <c r="H20" s="434"/>
      <c r="I20" s="417"/>
      <c r="J20" s="439"/>
      <c r="K20" s="419"/>
      <c r="L20" s="420"/>
      <c r="M20" s="446"/>
      <c r="N20" s="420">
        <f>IF(NOT(ISERROR(MATCH(M20,_xlfn.ANCHORARRAY(F27),0))),L29&amp;"Por favor no seleccionar los criterios de impacto",M20)</f>
        <v>0</v>
      </c>
      <c r="O20" s="419"/>
      <c r="P20" s="420"/>
      <c r="Q20" s="435"/>
      <c r="R20" s="31">
        <v>5</v>
      </c>
      <c r="S20" s="50"/>
      <c r="T20" s="45" t="str">
        <f t="shared" si="0"/>
        <v/>
      </c>
      <c r="U20" s="46"/>
      <c r="V20" s="46"/>
      <c r="W20" s="47" t="str">
        <f t="shared" si="1"/>
        <v/>
      </c>
      <c r="X20" s="46"/>
      <c r="Y20" s="46"/>
      <c r="Z20" s="46"/>
      <c r="AA20" s="35" t="str">
        <f>IFERROR(IF(AND(T19="Probabilidad",T20="Probabilidad"),(AC19-(+AC19*W20)),IF(AND(T19="Impacto",T20="Probabilidad"),(AC18-(+AC18*W20)),IF(T20="Impacto",AC19,""))),"")</f>
        <v/>
      </c>
      <c r="AB20" s="36" t="str">
        <f t="shared" si="2"/>
        <v/>
      </c>
      <c r="AC20" s="37" t="str">
        <f t="shared" si="3"/>
        <v/>
      </c>
      <c r="AD20" s="36" t="str">
        <f t="shared" si="4"/>
        <v/>
      </c>
      <c r="AE20" s="37" t="str">
        <f>IFERROR(IF(AND(T19="Impacto",T20="Impacto"),(AE19-(+AE19*W20)),IF(AND(T19="Probabilidad",T20="Impacto"),(AE18-(+AE18*W20)),IF(T20="Probabilidad",AE19,""))),"")</f>
        <v/>
      </c>
      <c r="AF20" s="38" t="str">
        <f t="shared" si="5"/>
        <v/>
      </c>
      <c r="AG20" s="48"/>
      <c r="AH20" s="49"/>
      <c r="AI20" s="42"/>
      <c r="AJ20" s="41"/>
      <c r="AK20" s="41"/>
      <c r="AL20" s="42"/>
      <c r="AM20" s="41"/>
      <c r="AN20" s="41"/>
      <c r="AO20" s="42"/>
      <c r="AP20" s="41"/>
      <c r="AQ20" s="41"/>
      <c r="AR20" s="42"/>
      <c r="AS20" s="41"/>
      <c r="AT20" s="41"/>
      <c r="AU20" s="42"/>
      <c r="AV20" s="41"/>
      <c r="AW20" s="41"/>
      <c r="AX20" s="42"/>
      <c r="AY20" s="41"/>
      <c r="AZ20" s="41"/>
      <c r="BA20" s="42"/>
      <c r="BB20" s="21"/>
      <c r="BC20" s="21"/>
      <c r="BD20" s="21"/>
      <c r="BE20" s="21"/>
      <c r="BF20" s="21"/>
      <c r="BG20" s="21"/>
      <c r="BH20" s="21"/>
      <c r="BI20" s="21"/>
      <c r="BJ20" s="21"/>
      <c r="BK20" s="21"/>
      <c r="BL20" s="21"/>
    </row>
    <row r="21" spans="1:64" ht="25.5" customHeight="1" x14ac:dyDescent="0.25">
      <c r="A21" s="413"/>
      <c r="B21" s="427"/>
      <c r="C21" s="438"/>
      <c r="D21" s="427"/>
      <c r="E21" s="427"/>
      <c r="F21" s="433"/>
      <c r="G21" s="526"/>
      <c r="H21" s="434"/>
      <c r="I21" s="417"/>
      <c r="J21" s="439"/>
      <c r="K21" s="419"/>
      <c r="L21" s="420"/>
      <c r="M21" s="446"/>
      <c r="N21" s="420">
        <f>IF(NOT(ISERROR(MATCH(M21,_xlfn.ANCHORARRAY(F28),0))),L30&amp;"Por favor no seleccionar los criterios de impacto",M21)</f>
        <v>0</v>
      </c>
      <c r="O21" s="419"/>
      <c r="P21" s="420"/>
      <c r="Q21" s="435"/>
      <c r="R21" s="31">
        <v>6</v>
      </c>
      <c r="S21" s="50"/>
      <c r="T21" s="45" t="str">
        <f t="shared" si="0"/>
        <v/>
      </c>
      <c r="U21" s="46"/>
      <c r="V21" s="46"/>
      <c r="W21" s="47" t="str">
        <f t="shared" si="1"/>
        <v/>
      </c>
      <c r="X21" s="46"/>
      <c r="Y21" s="46"/>
      <c r="Z21" s="46"/>
      <c r="AA21" s="35" t="str">
        <f>IFERROR(IF(AND(T20="Probabilidad",T21="Probabilidad"),(AC20-(+AC20*W21)),IF(AND(T20="Impacto",T21="Probabilidad"),(AC19-(+AC19*W21)),IF(T21="Impacto",AC20,""))),"")</f>
        <v/>
      </c>
      <c r="AB21" s="36" t="str">
        <f t="shared" si="2"/>
        <v/>
      </c>
      <c r="AC21" s="37" t="str">
        <f t="shared" si="3"/>
        <v/>
      </c>
      <c r="AD21" s="36" t="str">
        <f t="shared" si="4"/>
        <v/>
      </c>
      <c r="AE21" s="37" t="str">
        <f>IFERROR(IF(AND(T20="Impacto",T21="Impacto"),(AE20-(+AE20*W21)),IF(AND(T20="Probabilidad",T21="Impacto"),(AE19-(+AE19*W21)),IF(T21="Probabilidad",AE20,""))),"")</f>
        <v/>
      </c>
      <c r="AF21" s="38" t="str">
        <f t="shared" si="5"/>
        <v/>
      </c>
      <c r="AG21" s="48"/>
      <c r="AH21" s="49"/>
      <c r="AI21" s="42"/>
      <c r="AJ21" s="41"/>
      <c r="AK21" s="41"/>
      <c r="AL21" s="42"/>
      <c r="AM21" s="41"/>
      <c r="AN21" s="41"/>
      <c r="AO21" s="42"/>
      <c r="AP21" s="41"/>
      <c r="AQ21" s="41"/>
      <c r="AR21" s="42"/>
      <c r="AS21" s="41"/>
      <c r="AT21" s="41"/>
      <c r="AU21" s="42"/>
      <c r="AV21" s="41"/>
      <c r="AW21" s="41"/>
      <c r="AX21" s="42"/>
      <c r="AY21" s="41"/>
      <c r="AZ21" s="41"/>
      <c r="BA21" s="42"/>
      <c r="BB21" s="21"/>
      <c r="BC21" s="21"/>
      <c r="BD21" s="21"/>
      <c r="BE21" s="21"/>
      <c r="BF21" s="21"/>
      <c r="BG21" s="21"/>
      <c r="BH21" s="21"/>
      <c r="BI21" s="21"/>
      <c r="BJ21" s="21"/>
      <c r="BK21" s="21"/>
      <c r="BL21" s="21"/>
    </row>
    <row r="22" spans="1:64" ht="124.2" customHeight="1" x14ac:dyDescent="0.25">
      <c r="A22" s="413">
        <v>3</v>
      </c>
      <c r="B22" s="427" t="s">
        <v>97</v>
      </c>
      <c r="C22" s="427" t="s">
        <v>117</v>
      </c>
      <c r="D22" s="431" t="s">
        <v>237</v>
      </c>
      <c r="E22" s="241" t="s">
        <v>234</v>
      </c>
      <c r="F22" s="433" t="s">
        <v>349</v>
      </c>
      <c r="G22" s="527" t="s">
        <v>401</v>
      </c>
      <c r="H22" s="434" t="s">
        <v>238</v>
      </c>
      <c r="I22" s="417" t="s">
        <v>110</v>
      </c>
      <c r="J22" s="439">
        <v>12</v>
      </c>
      <c r="K22" s="419" t="str">
        <f>IF(J22&lt;=0,"",IF(J22&lt;=2,"Muy Baja",IF(J22&lt;=24,"Baja",IF(J22&lt;=500,"Media",IF(J22&lt;=5000,"Alta","Muy Alta")))))</f>
        <v>Baja</v>
      </c>
      <c r="L22" s="420">
        <f>IF(K22="","",IF(K22="Muy Baja",0.2,IF(K22="Baja",0.4,IF(K22="Media",0.6,IF(K22="Alta",0.8,IF(K22="Muy Alta",1,))))))</f>
        <v>0.4</v>
      </c>
      <c r="M22" s="446" t="s">
        <v>118</v>
      </c>
      <c r="N22" s="442" t="str">
        <f>IF(NOT(ISERROR(MATCH(M22,'Tabla Impacto'!$B$221:$B$223,0))),'Tabla Impacto'!$F$223&amp;"Por favor no seleccionar los criterios de impacto(Afectación Económica o presupuestal y Pérdida Reputacional)",M22)</f>
        <v>❌Por favor no seleccionar los criterios de impacto(Afectación Económica o presupuestal y Pérdida Reputacional)</v>
      </c>
      <c r="O22" s="419" t="s">
        <v>119</v>
      </c>
      <c r="P22" s="420">
        <f>IF(O22="","",IF(O22="Leve",0.2,IF(O22="Menor",0.4,IF(O22="Moderado",0.6,IF(O22="Mayor",0.8,IF(O22="Catastrófico",1,))))))</f>
        <v>0.4</v>
      </c>
      <c r="Q22" s="435" t="str">
        <f>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Moderado</v>
      </c>
      <c r="R22" s="447">
        <v>1</v>
      </c>
      <c r="S22" s="239" t="s">
        <v>241</v>
      </c>
      <c r="T22" s="45" t="s">
        <v>120</v>
      </c>
      <c r="U22" s="46" t="s">
        <v>121</v>
      </c>
      <c r="V22" s="46" t="s">
        <v>103</v>
      </c>
      <c r="W22" s="47" t="str">
        <f t="shared" si="1"/>
        <v>25%</v>
      </c>
      <c r="X22" s="46" t="s">
        <v>122</v>
      </c>
      <c r="Y22" s="46" t="s">
        <v>105</v>
      </c>
      <c r="Z22" s="46" t="s">
        <v>112</v>
      </c>
      <c r="AA22" s="35">
        <f>IFERROR(IF(T22="Probabilidad",(L22-(+L22*W22)),IF(T22="Impacto",L22,"")),"")</f>
        <v>0.30000000000000004</v>
      </c>
      <c r="AB22" s="36" t="str">
        <f t="shared" si="2"/>
        <v>Baja</v>
      </c>
      <c r="AC22" s="37">
        <f t="shared" si="3"/>
        <v>0.30000000000000004</v>
      </c>
      <c r="AD22" s="53" t="s">
        <v>119</v>
      </c>
      <c r="AE22" s="37">
        <f>IFERROR(IF(T22="Impacto",(P22-(+P22*W22)),IF(T22="Probabilidad",P22,"")),"")</f>
        <v>0.4</v>
      </c>
      <c r="AF22" s="38" t="str">
        <f t="shared" si="5"/>
        <v>Moderado</v>
      </c>
      <c r="AG22" s="445" t="s">
        <v>113</v>
      </c>
      <c r="AH22" s="433" t="s">
        <v>359</v>
      </c>
      <c r="AI22" s="455" t="s">
        <v>114</v>
      </c>
      <c r="AJ22" s="397" t="s">
        <v>227</v>
      </c>
      <c r="AK22" s="400" t="s">
        <v>247</v>
      </c>
      <c r="AL22" s="397">
        <v>45351</v>
      </c>
      <c r="AM22" s="397" t="s">
        <v>228</v>
      </c>
      <c r="AN22" s="400" t="s">
        <v>247</v>
      </c>
      <c r="AO22" s="397">
        <v>45412</v>
      </c>
      <c r="AP22" s="397" t="s">
        <v>229</v>
      </c>
      <c r="AQ22" s="400" t="s">
        <v>248</v>
      </c>
      <c r="AR22" s="394">
        <v>45473</v>
      </c>
      <c r="AS22" s="397" t="s">
        <v>242</v>
      </c>
      <c r="AT22" s="400" t="s">
        <v>248</v>
      </c>
      <c r="AU22" s="394">
        <v>45534</v>
      </c>
      <c r="AV22" s="397" t="s">
        <v>243</v>
      </c>
      <c r="AW22" s="400" t="s">
        <v>248</v>
      </c>
      <c r="AX22" s="394">
        <v>45595</v>
      </c>
      <c r="AY22" s="397" t="s">
        <v>382</v>
      </c>
      <c r="AZ22" s="397" t="s">
        <v>248</v>
      </c>
      <c r="BA22" s="394">
        <v>45657</v>
      </c>
      <c r="BB22" s="21"/>
      <c r="BC22" s="21"/>
      <c r="BD22" s="21"/>
      <c r="BE22" s="21"/>
      <c r="BF22" s="21"/>
      <c r="BG22" s="21"/>
      <c r="BH22" s="21"/>
      <c r="BI22" s="21"/>
      <c r="BJ22" s="21"/>
      <c r="BK22" s="21"/>
      <c r="BL22" s="21"/>
    </row>
    <row r="23" spans="1:64" ht="102" customHeight="1" x14ac:dyDescent="0.25">
      <c r="A23" s="413"/>
      <c r="B23" s="427"/>
      <c r="C23" s="427"/>
      <c r="D23" s="432"/>
      <c r="E23" s="241" t="s">
        <v>123</v>
      </c>
      <c r="F23" s="433"/>
      <c r="G23" s="525"/>
      <c r="H23" s="434"/>
      <c r="I23" s="417"/>
      <c r="J23" s="439"/>
      <c r="K23" s="419"/>
      <c r="L23" s="420"/>
      <c r="M23" s="446"/>
      <c r="N23" s="442">
        <f>IF(NOT(ISERROR(MATCH(M23,_xlfn.ANCHORARRAY(F30),0))),L32&amp;"Por favor no seleccionar los criterios de impacto",M23)</f>
        <v>0</v>
      </c>
      <c r="O23" s="419"/>
      <c r="P23" s="420"/>
      <c r="Q23" s="435"/>
      <c r="R23" s="448"/>
      <c r="S23" s="240" t="s">
        <v>357</v>
      </c>
      <c r="T23" s="45" t="s">
        <v>120</v>
      </c>
      <c r="U23" s="46" t="s">
        <v>121</v>
      </c>
      <c r="V23" s="46" t="s">
        <v>103</v>
      </c>
      <c r="W23" s="47" t="str">
        <f t="shared" si="1"/>
        <v>25%</v>
      </c>
      <c r="X23" s="46" t="s">
        <v>122</v>
      </c>
      <c r="Y23" s="46" t="s">
        <v>105</v>
      </c>
      <c r="Z23" s="46" t="s">
        <v>112</v>
      </c>
      <c r="AA23" s="35">
        <f>IFERROR(IF(AND(T22="Probabilidad",T23="Probabilidad"),(AC22-(+AC22*W23)),IF(AND(T22="Impacto",T23="Probabilidad"),(L22-(+L22*W23)),IF(T23="Impacto",AC22,""))),"")</f>
        <v>0.22500000000000003</v>
      </c>
      <c r="AB23" s="36" t="str">
        <f t="shared" si="2"/>
        <v>Baja</v>
      </c>
      <c r="AC23" s="37">
        <f t="shared" si="3"/>
        <v>0.22500000000000003</v>
      </c>
      <c r="AD23" s="53" t="s">
        <v>119</v>
      </c>
      <c r="AE23" s="37">
        <f>IFERROR(IF(AND(T22="Impacto",T23="Impacto"),(AE22-(+AE22*W23)),IF(AND(T22="Probabilidad",T23="Impacto"),(P22-(+P22*W23)),IF(T23="Probabilidad",AE22,""))),"")</f>
        <v>0.4</v>
      </c>
      <c r="AF23" s="38" t="str">
        <f t="shared" si="5"/>
        <v>Moderado</v>
      </c>
      <c r="AG23" s="445"/>
      <c r="AH23" s="427"/>
      <c r="AI23" s="455"/>
      <c r="AJ23" s="399"/>
      <c r="AK23" s="400"/>
      <c r="AL23" s="403"/>
      <c r="AM23" s="399"/>
      <c r="AN23" s="400"/>
      <c r="AO23" s="403"/>
      <c r="AP23" s="399"/>
      <c r="AQ23" s="400"/>
      <c r="AR23" s="395"/>
      <c r="AS23" s="399"/>
      <c r="AT23" s="400"/>
      <c r="AU23" s="395"/>
      <c r="AV23" s="399"/>
      <c r="AW23" s="400"/>
      <c r="AX23" s="395"/>
      <c r="AY23" s="399"/>
      <c r="AZ23" s="399"/>
      <c r="BA23" s="395"/>
      <c r="BB23" s="21"/>
      <c r="BC23" s="21"/>
      <c r="BD23" s="21"/>
      <c r="BE23" s="21"/>
      <c r="BF23" s="21"/>
      <c r="BG23" s="21"/>
      <c r="BH23" s="21"/>
      <c r="BI23" s="21"/>
      <c r="BJ23" s="21"/>
      <c r="BK23" s="21"/>
      <c r="BL23" s="21"/>
    </row>
    <row r="24" spans="1:64" ht="51" customHeight="1" x14ac:dyDescent="0.25">
      <c r="A24" s="413">
        <v>4</v>
      </c>
      <c r="B24" s="449"/>
      <c r="C24" s="449"/>
      <c r="D24" s="450"/>
      <c r="E24" s="49"/>
      <c r="F24" s="451"/>
      <c r="G24" s="56"/>
      <c r="H24" s="56"/>
      <c r="I24" s="452"/>
      <c r="J24" s="440"/>
      <c r="K24" s="441" t="str">
        <f>IF(J24&lt;=0,"",IF(J24&lt;=2,"Muy Baja",IF(J24&lt;=24,"Baja",IF(J24&lt;=500,"Media",IF(J24&lt;=5000,"Alta","Muy Alta")))))</f>
        <v/>
      </c>
      <c r="L24" s="442" t="str">
        <f>IF(K24="","",IF(K24="Muy Baja",0.2,IF(K24="Baja",0.4,IF(K24="Media",0.6,IF(K24="Alta",0.8,IF(K24="Muy Alta",1,))))))</f>
        <v/>
      </c>
      <c r="M24" s="443"/>
      <c r="N24" s="442">
        <f>IF(NOT(ISERROR(MATCH(M24,'Tabla Impacto'!$B$221:$B$223,0))),'Tabla Impacto'!$F$223&amp;"Por favor no seleccionar los criterios de impacto(Afectación Económica o presupuestal y Pérdida Reputacional)",M24)</f>
        <v>0</v>
      </c>
      <c r="O24" s="441" t="str">
        <f>IF(OR(N24='Tabla Impacto'!$C$11,N24='Tabla Impacto'!$D$11),"Leve",IF(OR(N24='Tabla Impacto'!$C$12,N24='Tabla Impacto'!$D$12),"Menor",IF(OR(N24='Tabla Impacto'!$C$13,N24='Tabla Impacto'!$D$13),"Moderado",IF(OR(N24='Tabla Impacto'!$C$14,N24='Tabla Impacto'!$D$14),"Mayor",IF(OR(N24='Tabla Impacto'!$C$15,N24='Tabla Impacto'!$D$15),"Catastrófico","")))))</f>
        <v/>
      </c>
      <c r="P24" s="442" t="str">
        <f>IF(O24="","",IF(O24="Leve",0.2,IF(O24="Menor",0.4,IF(O24="Moderado",0.6,IF(O24="Mayor",0.8,IF(O24="Catastrófico",1,))))))</f>
        <v/>
      </c>
      <c r="Q24" s="444" t="str">
        <f>IF(OR(AND(K24="Muy Baja",O24="Leve"),AND(K24="Muy Baja",O24="Menor"),AND(K24="Baja",O24="Leve")),"Bajo",IF(OR(AND(K24="Muy baja",O24="Moderado"),AND(K24="Baja",O24="Menor"),AND(K24="Baja",O24="Moderado"),AND(K24="Media",O24="Leve"),AND(K24="Media",O24="Menor"),AND(K24="Media",O24="Moderado"),AND(K24="Alta",O24="Leve"),AND(K24="Alta",O24="Menor")),"Moderado",IF(OR(AND(K24="Muy Baja",O24="Mayor"),AND(K24="Baja",O24="Mayor"),AND(K24="Media",O24="Mayor"),AND(K24="Alta",O24="Moderado"),AND(K24="Alta",O24="Mayor"),AND(K24="Muy Alta",O24="Leve"),AND(K24="Muy Alta",O24="Menor"),AND(K24="Muy Alta",O24="Moderado"),AND(K24="Muy Alta",O24="Mayor")),"Alto",IF(OR(AND(K24="Muy Baja",O24="Catastrófico"),AND(K24="Baja",O24="Catastrófico"),AND(K24="Media",O24="Catastrófico"),AND(K24="Alta",O24="Catastrófico"),AND(K24="Muy Alta",O24="Catastrófico")),"Extremo",""))))</f>
        <v/>
      </c>
      <c r="R24" s="31">
        <v>1</v>
      </c>
      <c r="S24" s="50"/>
      <c r="T24" s="45" t="str">
        <f t="shared" ref="T24:T65" si="6">IF(OR(U24="Preventivo",U24="Detectivo"),"Probabilidad",IF(U24="Correctivo","Impacto",""))</f>
        <v/>
      </c>
      <c r="U24" s="46"/>
      <c r="V24" s="46"/>
      <c r="W24" s="47" t="str">
        <f t="shared" si="1"/>
        <v/>
      </c>
      <c r="X24" s="46"/>
      <c r="Y24" s="46"/>
      <c r="Z24" s="46"/>
      <c r="AA24" s="35" t="str">
        <f>IFERROR(IF(T24="Probabilidad",(L24-(+L24*W24)),IF(T24="Impacto",L24,"")),"")</f>
        <v/>
      </c>
      <c r="AB24" s="36" t="str">
        <f t="shared" si="2"/>
        <v/>
      </c>
      <c r="AC24" s="37" t="str">
        <f t="shared" si="3"/>
        <v/>
      </c>
      <c r="AD24" s="36" t="str">
        <f t="shared" ref="AD24:AD65" si="7">IFERROR(IF(AE24="","",IF(AE24&lt;=0.2,"Leve",IF(AE24&lt;=0.4,"Menor",IF(AE24&lt;=0.6,"Moderado",IF(AE24&lt;=0.8,"Mayor","Catastrófico"))))),"")</f>
        <v/>
      </c>
      <c r="AE24" s="37" t="str">
        <f>IFERROR(IF(T24="Impacto",(P24-(+P24*W24)),IF(T24="Probabilidad",P24,"")),"")</f>
        <v/>
      </c>
      <c r="AF24" s="38" t="str">
        <f t="shared" si="5"/>
        <v/>
      </c>
      <c r="AG24" s="48"/>
      <c r="AH24" s="49"/>
      <c r="AI24" s="42"/>
      <c r="AJ24" s="41"/>
      <c r="AK24" s="41"/>
      <c r="AL24" s="42"/>
      <c r="AM24" s="41"/>
      <c r="AN24" s="41"/>
      <c r="AO24" s="42"/>
      <c r="AP24" s="41"/>
      <c r="AQ24" s="41"/>
      <c r="AR24" s="42"/>
      <c r="AS24" s="41"/>
      <c r="AT24" s="41"/>
      <c r="AU24" s="42"/>
      <c r="AV24" s="41"/>
      <c r="AW24" s="41"/>
      <c r="AX24" s="42"/>
      <c r="AY24" s="41"/>
      <c r="AZ24" s="21"/>
      <c r="BA24" s="42"/>
      <c r="BB24" s="21"/>
      <c r="BC24" s="21"/>
      <c r="BD24" s="21"/>
      <c r="BE24" s="21"/>
      <c r="BF24" s="21"/>
      <c r="BG24" s="21"/>
      <c r="BH24" s="21"/>
      <c r="BI24" s="21"/>
      <c r="BJ24" s="21"/>
      <c r="BK24" s="21"/>
      <c r="BL24" s="21"/>
    </row>
    <row r="25" spans="1:64" ht="26.25" customHeight="1" x14ac:dyDescent="0.25">
      <c r="A25" s="413"/>
      <c r="B25" s="449"/>
      <c r="C25" s="449"/>
      <c r="D25" s="450"/>
      <c r="E25" s="49"/>
      <c r="F25" s="451"/>
      <c r="G25" s="56"/>
      <c r="H25" s="56"/>
      <c r="I25" s="452"/>
      <c r="J25" s="440"/>
      <c r="K25" s="441"/>
      <c r="L25" s="442"/>
      <c r="M25" s="443"/>
      <c r="N25" s="442">
        <f>IF(NOT(ISERROR(MATCH(M25,_xlfn.ANCHORARRAY(F36),0))),L38&amp;"Por favor no seleccionar los criterios de impacto",M25)</f>
        <v>0</v>
      </c>
      <c r="O25" s="441"/>
      <c r="P25" s="442"/>
      <c r="Q25" s="444"/>
      <c r="R25" s="31">
        <v>2</v>
      </c>
      <c r="S25" s="50"/>
      <c r="T25" s="45" t="str">
        <f t="shared" si="6"/>
        <v/>
      </c>
      <c r="U25" s="46"/>
      <c r="V25" s="46"/>
      <c r="W25" s="47" t="str">
        <f t="shared" si="1"/>
        <v/>
      </c>
      <c r="X25" s="46"/>
      <c r="Y25" s="46"/>
      <c r="Z25" s="46"/>
      <c r="AA25" s="35" t="str">
        <f>IFERROR(IF(AND(T24="Probabilidad",T25="Probabilidad"),(AC24-(+AC24*W25)),IF(AND(T24="Impacto",T25="Probabilidad"),(L24-(+L24*W25)),IF(T25="Impacto",AC24,""))),"")</f>
        <v/>
      </c>
      <c r="AB25" s="36" t="str">
        <f t="shared" si="2"/>
        <v/>
      </c>
      <c r="AC25" s="37" t="str">
        <f t="shared" si="3"/>
        <v/>
      </c>
      <c r="AD25" s="36" t="str">
        <f t="shared" si="7"/>
        <v/>
      </c>
      <c r="AE25" s="37" t="str">
        <f>IFERROR(IF(AND(T24="Impacto",T25="Impacto"),(AE24-(+AE24*W25)),IF(AND(T24="Probabilidad",T25="Impacto"),(P24-(+P24*W25)),IF(T25="Probabilidad",AE24,""))),"")</f>
        <v/>
      </c>
      <c r="AF25" s="38" t="str">
        <f t="shared" si="5"/>
        <v/>
      </c>
      <c r="AG25" s="48"/>
      <c r="AH25" s="49"/>
      <c r="AI25" s="42"/>
      <c r="AJ25" s="41"/>
      <c r="AK25" s="41"/>
      <c r="AL25" s="42"/>
      <c r="AM25" s="41"/>
      <c r="AN25" s="41"/>
      <c r="AO25" s="42"/>
      <c r="AP25" s="41"/>
      <c r="AQ25" s="41"/>
      <c r="AR25" s="42"/>
      <c r="AS25" s="41"/>
      <c r="AT25" s="41"/>
      <c r="AU25" s="42"/>
      <c r="AV25" s="41"/>
      <c r="AW25" s="41"/>
      <c r="AX25" s="42"/>
      <c r="AY25" s="41"/>
      <c r="AZ25" s="21"/>
      <c r="BA25" s="42"/>
      <c r="BB25" s="21"/>
      <c r="BC25" s="21"/>
      <c r="BD25" s="21"/>
      <c r="BE25" s="21"/>
      <c r="BF25" s="21"/>
      <c r="BG25" s="21"/>
      <c r="BH25" s="21"/>
      <c r="BI25" s="21"/>
      <c r="BJ25" s="21"/>
      <c r="BK25" s="21"/>
      <c r="BL25" s="21"/>
    </row>
    <row r="26" spans="1:64" ht="26.25" customHeight="1" x14ac:dyDescent="0.25">
      <c r="A26" s="413"/>
      <c r="B26" s="449"/>
      <c r="C26" s="449"/>
      <c r="D26" s="450"/>
      <c r="E26" s="49"/>
      <c r="F26" s="451"/>
      <c r="G26" s="56"/>
      <c r="H26" s="56"/>
      <c r="I26" s="452"/>
      <c r="J26" s="440"/>
      <c r="K26" s="441"/>
      <c r="L26" s="442"/>
      <c r="M26" s="443"/>
      <c r="N26" s="442">
        <f>IF(NOT(ISERROR(MATCH(M26,_xlfn.ANCHORARRAY(F37),0))),L39&amp;"Por favor no seleccionar los criterios de impacto",M26)</f>
        <v>0</v>
      </c>
      <c r="O26" s="441"/>
      <c r="P26" s="442"/>
      <c r="Q26" s="444"/>
      <c r="R26" s="31">
        <v>3</v>
      </c>
      <c r="S26" s="44"/>
      <c r="T26" s="45" t="str">
        <f t="shared" si="6"/>
        <v/>
      </c>
      <c r="U26" s="46"/>
      <c r="V26" s="46"/>
      <c r="W26" s="47" t="str">
        <f t="shared" si="1"/>
        <v/>
      </c>
      <c r="X26" s="46"/>
      <c r="Y26" s="46"/>
      <c r="Z26" s="46"/>
      <c r="AA26" s="35" t="str">
        <f>IFERROR(IF(AND(T25="Probabilidad",T26="Probabilidad"),(AC25-(+AC25*W26)),IF(AND(T25="Impacto",T26="Probabilidad"),(AC24-(+AC24*W26)),IF(T26="Impacto",AC25,""))),"")</f>
        <v/>
      </c>
      <c r="AB26" s="36" t="str">
        <f t="shared" si="2"/>
        <v/>
      </c>
      <c r="AC26" s="37" t="str">
        <f t="shared" si="3"/>
        <v/>
      </c>
      <c r="AD26" s="36" t="str">
        <f t="shared" si="7"/>
        <v/>
      </c>
      <c r="AE26" s="37" t="str">
        <f>IFERROR(IF(AND(T25="Impacto",T26="Impacto"),(AE25-(+AE25*W26)),IF(AND(T25="Probabilidad",T26="Impacto"),(AE24-(+AE24*W26)),IF(T26="Probabilidad",AE25,""))),"")</f>
        <v/>
      </c>
      <c r="AF26" s="38" t="str">
        <f t="shared" si="5"/>
        <v/>
      </c>
      <c r="AG26" s="48"/>
      <c r="AH26" s="49"/>
      <c r="AI26" s="42"/>
      <c r="AJ26" s="41"/>
      <c r="AK26" s="41"/>
      <c r="AL26" s="42"/>
      <c r="AM26" s="41"/>
      <c r="AN26" s="41"/>
      <c r="AO26" s="42"/>
      <c r="AP26" s="41"/>
      <c r="AQ26" s="41"/>
      <c r="AR26" s="42"/>
      <c r="AS26" s="41"/>
      <c r="AT26" s="41"/>
      <c r="AU26" s="42"/>
      <c r="AV26" s="41"/>
      <c r="AW26" s="41"/>
      <c r="AX26" s="42"/>
      <c r="AY26" s="41"/>
      <c r="AZ26" s="21"/>
      <c r="BA26" s="42"/>
      <c r="BB26" s="21"/>
      <c r="BC26" s="21"/>
      <c r="BD26" s="21"/>
      <c r="BE26" s="21"/>
      <c r="BF26" s="21"/>
      <c r="BG26" s="21"/>
      <c r="BH26" s="21"/>
      <c r="BI26" s="21"/>
      <c r="BJ26" s="21"/>
      <c r="BK26" s="21"/>
      <c r="BL26" s="21"/>
    </row>
    <row r="27" spans="1:64" ht="26.25" customHeight="1" x14ac:dyDescent="0.25">
      <c r="A27" s="413"/>
      <c r="B27" s="449"/>
      <c r="C27" s="449"/>
      <c r="D27" s="450"/>
      <c r="E27" s="49"/>
      <c r="F27" s="451"/>
      <c r="G27" s="56"/>
      <c r="H27" s="56"/>
      <c r="I27" s="452"/>
      <c r="J27" s="440"/>
      <c r="K27" s="441"/>
      <c r="L27" s="442"/>
      <c r="M27" s="443"/>
      <c r="N27" s="442">
        <f>IF(NOT(ISERROR(MATCH(M27,_xlfn.ANCHORARRAY(F38),0))),L40&amp;"Por favor no seleccionar los criterios de impacto",M27)</f>
        <v>0</v>
      </c>
      <c r="O27" s="441"/>
      <c r="P27" s="442"/>
      <c r="Q27" s="444"/>
      <c r="R27" s="31">
        <v>4</v>
      </c>
      <c r="S27" s="50"/>
      <c r="T27" s="45" t="str">
        <f t="shared" si="6"/>
        <v/>
      </c>
      <c r="U27" s="46"/>
      <c r="V27" s="46"/>
      <c r="W27" s="47" t="str">
        <f t="shared" si="1"/>
        <v/>
      </c>
      <c r="X27" s="46"/>
      <c r="Y27" s="46"/>
      <c r="Z27" s="46"/>
      <c r="AA27" s="35" t="str">
        <f>IFERROR(IF(AND(T26="Probabilidad",T27="Probabilidad"),(AC26-(+AC26*W27)),IF(AND(T26="Impacto",T27="Probabilidad"),(AC25-(+AC25*W27)),IF(T27="Impacto",AC26,""))),"")</f>
        <v/>
      </c>
      <c r="AB27" s="36" t="str">
        <f t="shared" si="2"/>
        <v/>
      </c>
      <c r="AC27" s="37" t="str">
        <f t="shared" si="3"/>
        <v/>
      </c>
      <c r="AD27" s="36" t="str">
        <f t="shared" si="7"/>
        <v/>
      </c>
      <c r="AE27" s="37" t="str">
        <f>IFERROR(IF(AND(T26="Impacto",T27="Impacto"),(AE26-(+AE26*W27)),IF(AND(T26="Probabilidad",T27="Impacto"),(AE25-(+AE25*W27)),IF(T27="Probabilidad",AE26,""))),"")</f>
        <v/>
      </c>
      <c r="AF27" s="38" t="str">
        <f t="shared" si="5"/>
        <v/>
      </c>
      <c r="AG27" s="48"/>
      <c r="AH27" s="49"/>
      <c r="AI27" s="42"/>
      <c r="AJ27" s="41"/>
      <c r="AK27" s="41"/>
      <c r="AL27" s="42"/>
      <c r="AM27" s="41"/>
      <c r="AN27" s="41"/>
      <c r="AO27" s="42"/>
      <c r="AP27" s="41"/>
      <c r="AQ27" s="41"/>
      <c r="AR27" s="42"/>
      <c r="AS27" s="41"/>
      <c r="AT27" s="41"/>
      <c r="AU27" s="42"/>
      <c r="AV27" s="41"/>
      <c r="AW27" s="41"/>
      <c r="AX27" s="42"/>
      <c r="AY27" s="41"/>
      <c r="AZ27" s="21"/>
      <c r="BA27" s="42"/>
      <c r="BB27" s="21"/>
      <c r="BC27" s="21"/>
      <c r="BD27" s="21"/>
      <c r="BE27" s="21"/>
      <c r="BF27" s="21"/>
      <c r="BG27" s="21"/>
      <c r="BH27" s="21"/>
      <c r="BI27" s="21"/>
      <c r="BJ27" s="21"/>
      <c r="BK27" s="21"/>
      <c r="BL27" s="21"/>
    </row>
    <row r="28" spans="1:64" ht="26.25" customHeight="1" x14ac:dyDescent="0.25">
      <c r="A28" s="413"/>
      <c r="B28" s="449"/>
      <c r="C28" s="449"/>
      <c r="D28" s="450"/>
      <c r="E28" s="49"/>
      <c r="F28" s="451"/>
      <c r="G28" s="56"/>
      <c r="H28" s="56"/>
      <c r="I28" s="452"/>
      <c r="J28" s="440"/>
      <c r="K28" s="441"/>
      <c r="L28" s="442"/>
      <c r="M28" s="443"/>
      <c r="N28" s="442">
        <f>IF(NOT(ISERROR(MATCH(M28,_xlfn.ANCHORARRAY(F39),0))),L41&amp;"Por favor no seleccionar los criterios de impacto",M28)</f>
        <v>0</v>
      </c>
      <c r="O28" s="441"/>
      <c r="P28" s="442"/>
      <c r="Q28" s="444"/>
      <c r="R28" s="31">
        <v>5</v>
      </c>
      <c r="S28" s="50"/>
      <c r="T28" s="45" t="str">
        <f t="shared" si="6"/>
        <v/>
      </c>
      <c r="U28" s="46"/>
      <c r="V28" s="46"/>
      <c r="W28" s="47" t="str">
        <f t="shared" si="1"/>
        <v/>
      </c>
      <c r="X28" s="46"/>
      <c r="Y28" s="46"/>
      <c r="Z28" s="46"/>
      <c r="AA28" s="35" t="str">
        <f>IFERROR(IF(AND(T27="Probabilidad",T28="Probabilidad"),(AC27-(+AC27*W28)),IF(AND(T27="Impacto",T28="Probabilidad"),(AC26-(+AC26*W28)),IF(T28="Impacto",AC27,""))),"")</f>
        <v/>
      </c>
      <c r="AB28" s="36" t="str">
        <f t="shared" si="2"/>
        <v/>
      </c>
      <c r="AC28" s="37" t="str">
        <f t="shared" si="3"/>
        <v/>
      </c>
      <c r="AD28" s="36" t="str">
        <f t="shared" si="7"/>
        <v/>
      </c>
      <c r="AE28" s="37" t="str">
        <f>IFERROR(IF(AND(T27="Impacto",T28="Impacto"),(AE27-(+AE27*W28)),IF(AND(T27="Probabilidad",T28="Impacto"),(AE26-(+AE26*W28)),IF(T28="Probabilidad",AE27,""))),"")</f>
        <v/>
      </c>
      <c r="AF28" s="38" t="str">
        <f t="shared" si="5"/>
        <v/>
      </c>
      <c r="AG28" s="48"/>
      <c r="AH28" s="49"/>
      <c r="AI28" s="42"/>
      <c r="AJ28" s="41"/>
      <c r="AK28" s="41"/>
      <c r="AL28" s="42"/>
      <c r="AM28" s="41"/>
      <c r="AN28" s="41"/>
      <c r="AO28" s="42"/>
      <c r="AP28" s="41"/>
      <c r="AQ28" s="41"/>
      <c r="AR28" s="42"/>
      <c r="AS28" s="41"/>
      <c r="AT28" s="41"/>
      <c r="AU28" s="42"/>
      <c r="AV28" s="41"/>
      <c r="AW28" s="41"/>
      <c r="AX28" s="42"/>
      <c r="AY28" s="41"/>
      <c r="AZ28" s="21"/>
      <c r="BA28" s="42"/>
      <c r="BB28" s="21"/>
      <c r="BC28" s="21"/>
      <c r="BD28" s="21"/>
      <c r="BE28" s="21"/>
      <c r="BF28" s="21"/>
      <c r="BG28" s="21"/>
      <c r="BH28" s="21"/>
      <c r="BI28" s="21"/>
      <c r="BJ28" s="21"/>
      <c r="BK28" s="21"/>
      <c r="BL28" s="21"/>
    </row>
    <row r="29" spans="1:64" ht="26.25" customHeight="1" x14ac:dyDescent="0.25">
      <c r="A29" s="413"/>
      <c r="B29" s="449"/>
      <c r="C29" s="449"/>
      <c r="D29" s="450"/>
      <c r="E29" s="49"/>
      <c r="F29" s="451"/>
      <c r="G29" s="56"/>
      <c r="H29" s="56"/>
      <c r="I29" s="452"/>
      <c r="J29" s="440"/>
      <c r="K29" s="441"/>
      <c r="L29" s="442"/>
      <c r="M29" s="443"/>
      <c r="N29" s="442">
        <f>IF(NOT(ISERROR(MATCH(M29,_xlfn.ANCHORARRAY(F40),0))),L42&amp;"Por favor no seleccionar los criterios de impacto",M29)</f>
        <v>0</v>
      </c>
      <c r="O29" s="441"/>
      <c r="P29" s="442"/>
      <c r="Q29" s="444"/>
      <c r="R29" s="31">
        <v>6</v>
      </c>
      <c r="S29" s="50"/>
      <c r="T29" s="45" t="str">
        <f t="shared" si="6"/>
        <v/>
      </c>
      <c r="U29" s="46"/>
      <c r="V29" s="46"/>
      <c r="W29" s="47" t="str">
        <f t="shared" si="1"/>
        <v/>
      </c>
      <c r="X29" s="46"/>
      <c r="Y29" s="46"/>
      <c r="Z29" s="46"/>
      <c r="AA29" s="35" t="str">
        <f>IFERROR(IF(AND(T28="Probabilidad",T29="Probabilidad"),(AC28-(+AC28*W29)),IF(AND(T28="Impacto",T29="Probabilidad"),(AC27-(+AC27*W29)),IF(T29="Impacto",AC28,""))),"")</f>
        <v/>
      </c>
      <c r="AB29" s="36" t="str">
        <f t="shared" si="2"/>
        <v/>
      </c>
      <c r="AC29" s="37" t="str">
        <f t="shared" si="3"/>
        <v/>
      </c>
      <c r="AD29" s="36" t="str">
        <f t="shared" si="7"/>
        <v/>
      </c>
      <c r="AE29" s="37" t="str">
        <f>IFERROR(IF(AND(T28="Impacto",T29="Impacto"),(AE28-(+AE28*W29)),IF(AND(T28="Probabilidad",T29="Impacto"),(AE27-(+AE27*W29)),IF(T29="Probabilidad",AE28,""))),"")</f>
        <v/>
      </c>
      <c r="AF29" s="38" t="str">
        <f t="shared" si="5"/>
        <v/>
      </c>
      <c r="AG29" s="48"/>
      <c r="AH29" s="49"/>
      <c r="AI29" s="42"/>
      <c r="AJ29" s="41"/>
      <c r="AK29" s="41"/>
      <c r="AL29" s="42"/>
      <c r="AM29" s="41"/>
      <c r="AN29" s="41"/>
      <c r="AO29" s="42"/>
      <c r="AP29" s="41"/>
      <c r="AQ29" s="41"/>
      <c r="AR29" s="42"/>
      <c r="AS29" s="41"/>
      <c r="AT29" s="41"/>
      <c r="AU29" s="42"/>
      <c r="AV29" s="41"/>
      <c r="AW29" s="41"/>
      <c r="AX29" s="42"/>
      <c r="AY29" s="41"/>
      <c r="AZ29" s="21"/>
      <c r="BA29" s="42"/>
      <c r="BB29" s="21"/>
      <c r="BC29" s="21"/>
      <c r="BD29" s="21"/>
      <c r="BE29" s="21"/>
      <c r="BF29" s="21"/>
      <c r="BG29" s="21"/>
      <c r="BH29" s="21"/>
      <c r="BI29" s="21"/>
      <c r="BJ29" s="21"/>
      <c r="BK29" s="21"/>
      <c r="BL29" s="21"/>
    </row>
    <row r="30" spans="1:64" ht="26.25" customHeight="1" x14ac:dyDescent="0.25">
      <c r="A30" s="413">
        <v>5</v>
      </c>
      <c r="B30" s="449"/>
      <c r="C30" s="449"/>
      <c r="D30" s="450"/>
      <c r="E30" s="49"/>
      <c r="F30" s="451"/>
      <c r="G30" s="56"/>
      <c r="H30" s="56"/>
      <c r="I30" s="452"/>
      <c r="J30" s="440"/>
      <c r="K30" s="441" t="str">
        <f>IF(J30&lt;=0,"",IF(J30&lt;=2,"Muy Baja",IF(J30&lt;=24,"Baja",IF(J30&lt;=500,"Media",IF(J30&lt;=5000,"Alta","Muy Alta")))))</f>
        <v/>
      </c>
      <c r="L30" s="442" t="str">
        <f>IF(K30="","",IF(K30="Muy Baja",0.2,IF(K30="Baja",0.4,IF(K30="Media",0.6,IF(K30="Alta",0.8,IF(K30="Muy Alta",1,))))))</f>
        <v/>
      </c>
      <c r="M30" s="443"/>
      <c r="N30" s="442">
        <f>IF(NOT(ISERROR(MATCH(M30,'Tabla Impacto'!$B$221:$B$223,0))),'Tabla Impacto'!$F$223&amp;"Por favor no seleccionar los criterios de impacto(Afectación Económica o presupuestal y Pérdida Reputacional)",M30)</f>
        <v>0</v>
      </c>
      <c r="O30" s="441" t="str">
        <f>IF(OR(N30='Tabla Impacto'!$C$11,N30='Tabla Impacto'!$D$11),"Leve",IF(OR(N30='Tabla Impacto'!$C$12,N30='Tabla Impacto'!$D$12),"Menor",IF(OR(N30='Tabla Impacto'!$C$13,N30='Tabla Impacto'!$D$13),"Moderado",IF(OR(N30='Tabla Impacto'!$C$14,N30='Tabla Impacto'!$D$14),"Mayor",IF(OR(N30='Tabla Impacto'!$C$15,N30='Tabla Impacto'!$D$15),"Catastrófico","")))))</f>
        <v/>
      </c>
      <c r="P30" s="442" t="str">
        <f>IF(O30="","",IF(O30="Leve",0.2,IF(O30="Menor",0.4,IF(O30="Moderado",0.6,IF(O30="Mayor",0.8,IF(O30="Catastrófico",1,))))))</f>
        <v/>
      </c>
      <c r="Q30" s="444" t="str">
        <f>IF(OR(AND(K30="Muy Baja",O30="Leve"),AND(K30="Muy Baja",O30="Menor"),AND(K30="Baja",O30="Leve")),"Bajo",IF(OR(AND(K30="Muy baja",O30="Moderado"),AND(K30="Baja",O30="Menor"),AND(K30="Baja",O30="Moderado"),AND(K30="Media",O30="Leve"),AND(K30="Media",O30="Menor"),AND(K30="Media",O30="Moderado"),AND(K30="Alta",O30="Leve"),AND(K30="Alta",O30="Menor")),"Moderado",IF(OR(AND(K30="Muy Baja",O30="Mayor"),AND(K30="Baja",O30="Mayor"),AND(K30="Media",O30="Mayor"),AND(K30="Alta",O30="Moderado"),AND(K30="Alta",O30="Mayor"),AND(K30="Muy Alta",O30="Leve"),AND(K30="Muy Alta",O30="Menor"),AND(K30="Muy Alta",O30="Moderado"),AND(K30="Muy Alta",O30="Mayor")),"Alto",IF(OR(AND(K30="Muy Baja",O30="Catastrófico"),AND(K30="Baja",O30="Catastrófico"),AND(K30="Media",O30="Catastrófico"),AND(K30="Alta",O30="Catastrófico"),AND(K30="Muy Alta",O30="Catastrófico")),"Extremo",""))))</f>
        <v/>
      </c>
      <c r="R30" s="31">
        <v>1</v>
      </c>
      <c r="S30" s="50"/>
      <c r="T30" s="45" t="str">
        <f t="shared" si="6"/>
        <v/>
      </c>
      <c r="U30" s="46"/>
      <c r="V30" s="46"/>
      <c r="W30" s="47" t="str">
        <f t="shared" si="1"/>
        <v/>
      </c>
      <c r="X30" s="46"/>
      <c r="Y30" s="46"/>
      <c r="Z30" s="46"/>
      <c r="AA30" s="35" t="str">
        <f>IFERROR(IF(T30="Probabilidad",(L30-(+L30*W30)),IF(T30="Impacto",L30,"")),"")</f>
        <v/>
      </c>
      <c r="AB30" s="36" t="str">
        <f t="shared" si="2"/>
        <v/>
      </c>
      <c r="AC30" s="37" t="str">
        <f t="shared" si="3"/>
        <v/>
      </c>
      <c r="AD30" s="36" t="str">
        <f t="shared" si="7"/>
        <v/>
      </c>
      <c r="AE30" s="37" t="str">
        <f>IFERROR(IF(T30="Impacto",(P30-(+P30*W30)),IF(T30="Probabilidad",P30,"")),"")</f>
        <v/>
      </c>
      <c r="AF30" s="38" t="str">
        <f t="shared" si="5"/>
        <v/>
      </c>
      <c r="AG30" s="48"/>
      <c r="AH30" s="49"/>
      <c r="AI30" s="42"/>
      <c r="AJ30" s="41"/>
      <c r="AK30" s="41"/>
      <c r="AL30" s="42"/>
      <c r="AM30" s="41"/>
      <c r="AN30" s="41"/>
      <c r="AO30" s="42"/>
      <c r="AP30" s="41"/>
      <c r="AQ30" s="41"/>
      <c r="AR30" s="42"/>
      <c r="AS30" s="41"/>
      <c r="AT30" s="41"/>
      <c r="AU30" s="42"/>
      <c r="AV30" s="41"/>
      <c r="AW30" s="41"/>
      <c r="AX30" s="42"/>
      <c r="AY30" s="41"/>
      <c r="AZ30" s="21"/>
      <c r="BA30" s="42"/>
      <c r="BB30" s="21"/>
      <c r="BC30" s="21"/>
      <c r="BD30" s="21"/>
      <c r="BE30" s="21"/>
      <c r="BF30" s="21"/>
      <c r="BG30" s="21"/>
      <c r="BH30" s="21"/>
      <c r="BI30" s="21"/>
      <c r="BJ30" s="21"/>
      <c r="BK30" s="21"/>
      <c r="BL30" s="21"/>
    </row>
    <row r="31" spans="1:64" ht="26.25" customHeight="1" x14ac:dyDescent="0.25">
      <c r="A31" s="413"/>
      <c r="B31" s="449"/>
      <c r="C31" s="449"/>
      <c r="D31" s="450"/>
      <c r="E31" s="49"/>
      <c r="F31" s="451"/>
      <c r="G31" s="56"/>
      <c r="H31" s="56"/>
      <c r="I31" s="452"/>
      <c r="J31" s="440"/>
      <c r="K31" s="441"/>
      <c r="L31" s="442"/>
      <c r="M31" s="443"/>
      <c r="N31" s="442">
        <f>IF(NOT(ISERROR(MATCH(M31,_xlfn.ANCHORARRAY(F42),0))),L44&amp;"Por favor no seleccionar los criterios de impacto",M31)</f>
        <v>0</v>
      </c>
      <c r="O31" s="441"/>
      <c r="P31" s="442"/>
      <c r="Q31" s="444"/>
      <c r="R31" s="31">
        <v>2</v>
      </c>
      <c r="S31" s="50"/>
      <c r="T31" s="45" t="str">
        <f t="shared" si="6"/>
        <v/>
      </c>
      <c r="U31" s="46"/>
      <c r="V31" s="46"/>
      <c r="W31" s="47" t="str">
        <f t="shared" si="1"/>
        <v/>
      </c>
      <c r="X31" s="46"/>
      <c r="Y31" s="46"/>
      <c r="Z31" s="46"/>
      <c r="AA31" s="35" t="str">
        <f>IFERROR(IF(AND(T30="Probabilidad",T31="Probabilidad"),(AC30-(+AC30*W31)),IF(AND(T30="Impacto",T31="Probabilidad"),(L30-(+L30*W31)),IF(T31="Impacto",AC30,""))),"")</f>
        <v/>
      </c>
      <c r="AB31" s="36" t="str">
        <f t="shared" si="2"/>
        <v/>
      </c>
      <c r="AC31" s="37" t="str">
        <f t="shared" si="3"/>
        <v/>
      </c>
      <c r="AD31" s="36" t="str">
        <f t="shared" si="7"/>
        <v/>
      </c>
      <c r="AE31" s="37" t="str">
        <f>IFERROR(IF(AND(T30="Impacto",T31="Impacto"),(AE30-(+AE30*W31)),IF(AND(T30="Probabilidad",T31="Impacto"),(P30-(+P30*W31)),IF(T31="Probabilidad",AE30,""))),"")</f>
        <v/>
      </c>
      <c r="AF31" s="38" t="str">
        <f t="shared" si="5"/>
        <v/>
      </c>
      <c r="AG31" s="48"/>
      <c r="AH31" s="49"/>
      <c r="AI31" s="42"/>
      <c r="AJ31" s="41"/>
      <c r="AK31" s="41"/>
      <c r="AL31" s="42"/>
      <c r="AM31" s="41"/>
      <c r="AN31" s="41"/>
      <c r="AO31" s="42"/>
      <c r="AP31" s="41"/>
      <c r="AQ31" s="41"/>
      <c r="AR31" s="42"/>
      <c r="AS31" s="41"/>
      <c r="AT31" s="41"/>
      <c r="AU31" s="42"/>
      <c r="AV31" s="41"/>
      <c r="AW31" s="41"/>
      <c r="AX31" s="42"/>
      <c r="AY31" s="41"/>
      <c r="AZ31" s="21"/>
      <c r="BA31" s="42"/>
      <c r="BB31" s="21"/>
      <c r="BC31" s="21"/>
      <c r="BD31" s="21"/>
      <c r="BE31" s="21"/>
      <c r="BF31" s="21"/>
      <c r="BG31" s="21"/>
      <c r="BH31" s="21"/>
      <c r="BI31" s="21"/>
      <c r="BJ31" s="21"/>
      <c r="BK31" s="21"/>
      <c r="BL31" s="21"/>
    </row>
    <row r="32" spans="1:64" ht="26.25" customHeight="1" x14ac:dyDescent="0.25">
      <c r="A32" s="413"/>
      <c r="B32" s="449"/>
      <c r="C32" s="449"/>
      <c r="D32" s="450"/>
      <c r="E32" s="49"/>
      <c r="F32" s="451"/>
      <c r="G32" s="56"/>
      <c r="H32" s="56"/>
      <c r="I32" s="452"/>
      <c r="J32" s="440"/>
      <c r="K32" s="441"/>
      <c r="L32" s="442"/>
      <c r="M32" s="443"/>
      <c r="N32" s="442">
        <f>IF(NOT(ISERROR(MATCH(M32,_xlfn.ANCHORARRAY(F43),0))),L45&amp;"Por favor no seleccionar los criterios de impacto",M32)</f>
        <v>0</v>
      </c>
      <c r="O32" s="441"/>
      <c r="P32" s="442"/>
      <c r="Q32" s="444"/>
      <c r="R32" s="31">
        <v>3</v>
      </c>
      <c r="S32" s="44"/>
      <c r="T32" s="45" t="str">
        <f t="shared" si="6"/>
        <v/>
      </c>
      <c r="U32" s="46"/>
      <c r="V32" s="46"/>
      <c r="W32" s="47" t="str">
        <f t="shared" si="1"/>
        <v/>
      </c>
      <c r="X32" s="46"/>
      <c r="Y32" s="46"/>
      <c r="Z32" s="46"/>
      <c r="AA32" s="35" t="str">
        <f>IFERROR(IF(AND(T31="Probabilidad",T32="Probabilidad"),(AC31-(+AC31*W32)),IF(AND(T31="Impacto",T32="Probabilidad"),(AC30-(+AC30*W32)),IF(T32="Impacto",AC31,""))),"")</f>
        <v/>
      </c>
      <c r="AB32" s="36" t="str">
        <f t="shared" si="2"/>
        <v/>
      </c>
      <c r="AC32" s="37" t="str">
        <f t="shared" si="3"/>
        <v/>
      </c>
      <c r="AD32" s="36" t="str">
        <f t="shared" si="7"/>
        <v/>
      </c>
      <c r="AE32" s="37" t="str">
        <f>IFERROR(IF(AND(T31="Impacto",T32="Impacto"),(AE31-(+AE31*W32)),IF(AND(T31="Probabilidad",T32="Impacto"),(AE30-(+AE30*W32)),IF(T32="Probabilidad",AE31,""))),"")</f>
        <v/>
      </c>
      <c r="AF32" s="38" t="str">
        <f t="shared" si="5"/>
        <v/>
      </c>
      <c r="AG32" s="48"/>
      <c r="AH32" s="49"/>
      <c r="AI32" s="42"/>
      <c r="AJ32" s="41"/>
      <c r="AK32" s="41"/>
      <c r="AL32" s="42"/>
      <c r="AM32" s="41"/>
      <c r="AN32" s="41"/>
      <c r="AO32" s="42"/>
      <c r="AP32" s="41"/>
      <c r="AQ32" s="41"/>
      <c r="AR32" s="42"/>
      <c r="AS32" s="41"/>
      <c r="AT32" s="41"/>
      <c r="AU32" s="42"/>
      <c r="AV32" s="41"/>
      <c r="AW32" s="41"/>
      <c r="AX32" s="42"/>
      <c r="AY32" s="41"/>
      <c r="AZ32" s="21"/>
      <c r="BA32" s="42"/>
      <c r="BB32" s="21"/>
      <c r="BC32" s="21"/>
      <c r="BD32" s="21"/>
      <c r="BE32" s="21"/>
      <c r="BF32" s="21"/>
      <c r="BG32" s="21"/>
      <c r="BH32" s="21"/>
      <c r="BI32" s="21"/>
      <c r="BJ32" s="21"/>
      <c r="BK32" s="21"/>
      <c r="BL32" s="21"/>
    </row>
    <row r="33" spans="1:64" ht="26.25" customHeight="1" x14ac:dyDescent="0.25">
      <c r="A33" s="413"/>
      <c r="B33" s="449"/>
      <c r="C33" s="449"/>
      <c r="D33" s="450"/>
      <c r="E33" s="49"/>
      <c r="F33" s="451"/>
      <c r="G33" s="56"/>
      <c r="H33" s="56"/>
      <c r="I33" s="452"/>
      <c r="J33" s="440"/>
      <c r="K33" s="441"/>
      <c r="L33" s="442"/>
      <c r="M33" s="443"/>
      <c r="N33" s="442">
        <f>IF(NOT(ISERROR(MATCH(M33,_xlfn.ANCHORARRAY(F44),0))),L46&amp;"Por favor no seleccionar los criterios de impacto",M33)</f>
        <v>0</v>
      </c>
      <c r="O33" s="441"/>
      <c r="P33" s="442"/>
      <c r="Q33" s="444"/>
      <c r="R33" s="31">
        <v>4</v>
      </c>
      <c r="S33" s="50"/>
      <c r="T33" s="45" t="str">
        <f t="shared" si="6"/>
        <v/>
      </c>
      <c r="U33" s="46"/>
      <c r="V33" s="46"/>
      <c r="W33" s="47" t="str">
        <f t="shared" si="1"/>
        <v/>
      </c>
      <c r="X33" s="46"/>
      <c r="Y33" s="46"/>
      <c r="Z33" s="46"/>
      <c r="AA33" s="35" t="str">
        <f>IFERROR(IF(AND(T32="Probabilidad",T33="Probabilidad"),(AC32-(+AC32*W33)),IF(AND(T32="Impacto",T33="Probabilidad"),(AC31-(+AC31*W33)),IF(T33="Impacto",AC32,""))),"")</f>
        <v/>
      </c>
      <c r="AB33" s="36" t="str">
        <f t="shared" si="2"/>
        <v/>
      </c>
      <c r="AC33" s="37" t="str">
        <f t="shared" si="3"/>
        <v/>
      </c>
      <c r="AD33" s="36" t="str">
        <f t="shared" si="7"/>
        <v/>
      </c>
      <c r="AE33" s="37" t="str">
        <f>IFERROR(IF(AND(T32="Impacto",T33="Impacto"),(AE32-(+AE32*W33)),IF(AND(T32="Probabilidad",T33="Impacto"),(AE31-(+AE31*W33)),IF(T33="Probabilidad",AE32,""))),"")</f>
        <v/>
      </c>
      <c r="AF33" s="38" t="str">
        <f t="shared" si="5"/>
        <v/>
      </c>
      <c r="AG33" s="48"/>
      <c r="AH33" s="49"/>
      <c r="AI33" s="42"/>
      <c r="AJ33" s="41"/>
      <c r="AK33" s="41"/>
      <c r="AL33" s="42"/>
      <c r="AM33" s="41"/>
      <c r="AN33" s="41"/>
      <c r="AO33" s="42"/>
      <c r="AP33" s="41"/>
      <c r="AQ33" s="41"/>
      <c r="AR33" s="42"/>
      <c r="AS33" s="41"/>
      <c r="AT33" s="41"/>
      <c r="AU33" s="42"/>
      <c r="AV33" s="41"/>
      <c r="AW33" s="41"/>
      <c r="AX33" s="42"/>
      <c r="AY33" s="41"/>
      <c r="AZ33" s="21"/>
      <c r="BA33" s="42"/>
      <c r="BB33" s="21"/>
      <c r="BC33" s="21"/>
      <c r="BD33" s="21"/>
      <c r="BE33" s="21"/>
      <c r="BF33" s="21"/>
      <c r="BG33" s="21"/>
      <c r="BH33" s="21"/>
      <c r="BI33" s="21"/>
      <c r="BJ33" s="21"/>
      <c r="BK33" s="21"/>
      <c r="BL33" s="21"/>
    </row>
    <row r="34" spans="1:64" ht="26.25" customHeight="1" x14ac:dyDescent="0.25">
      <c r="A34" s="413"/>
      <c r="B34" s="449"/>
      <c r="C34" s="449"/>
      <c r="D34" s="450"/>
      <c r="E34" s="49"/>
      <c r="F34" s="451"/>
      <c r="G34" s="56"/>
      <c r="H34" s="56"/>
      <c r="I34" s="452"/>
      <c r="J34" s="440"/>
      <c r="K34" s="441"/>
      <c r="L34" s="442"/>
      <c r="M34" s="443"/>
      <c r="N34" s="442">
        <f>IF(NOT(ISERROR(MATCH(M34,_xlfn.ANCHORARRAY(F45),0))),L47&amp;"Por favor no seleccionar los criterios de impacto",M34)</f>
        <v>0</v>
      </c>
      <c r="O34" s="441"/>
      <c r="P34" s="442"/>
      <c r="Q34" s="444"/>
      <c r="R34" s="31">
        <v>5</v>
      </c>
      <c r="S34" s="50"/>
      <c r="T34" s="45" t="str">
        <f t="shared" si="6"/>
        <v/>
      </c>
      <c r="U34" s="46"/>
      <c r="V34" s="46"/>
      <c r="W34" s="47" t="str">
        <f t="shared" si="1"/>
        <v/>
      </c>
      <c r="X34" s="46"/>
      <c r="Y34" s="46"/>
      <c r="Z34" s="46"/>
      <c r="AA34" s="35" t="str">
        <f>IFERROR(IF(AND(T33="Probabilidad",T34="Probabilidad"),(AC33-(+AC33*W34)),IF(AND(T33="Impacto",T34="Probabilidad"),(AC32-(+AC32*W34)),IF(T34="Impacto",AC33,""))),"")</f>
        <v/>
      </c>
      <c r="AB34" s="36" t="str">
        <f t="shared" si="2"/>
        <v/>
      </c>
      <c r="AC34" s="37" t="str">
        <f t="shared" si="3"/>
        <v/>
      </c>
      <c r="AD34" s="36" t="str">
        <f t="shared" si="7"/>
        <v/>
      </c>
      <c r="AE34" s="37" t="str">
        <f>IFERROR(IF(AND(T33="Impacto",T34="Impacto"),(AE33-(+AE33*W34)),IF(AND(T33="Probabilidad",T34="Impacto"),(AE32-(+AE32*W34)),IF(T34="Probabilidad",AE33,""))),"")</f>
        <v/>
      </c>
      <c r="AF34" s="38" t="str">
        <f t="shared" si="5"/>
        <v/>
      </c>
      <c r="AG34" s="48"/>
      <c r="AH34" s="49"/>
      <c r="AI34" s="42"/>
      <c r="AJ34" s="41"/>
      <c r="AK34" s="41"/>
      <c r="AL34" s="42"/>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row>
    <row r="35" spans="1:64" ht="26.25" customHeight="1" x14ac:dyDescent="0.25">
      <c r="A35" s="413"/>
      <c r="B35" s="449"/>
      <c r="C35" s="449"/>
      <c r="D35" s="450"/>
      <c r="E35" s="49"/>
      <c r="F35" s="451"/>
      <c r="G35" s="56"/>
      <c r="H35" s="56"/>
      <c r="I35" s="452"/>
      <c r="J35" s="440"/>
      <c r="K35" s="441"/>
      <c r="L35" s="442"/>
      <c r="M35" s="443"/>
      <c r="N35" s="442">
        <f>IF(NOT(ISERROR(MATCH(M35,_xlfn.ANCHORARRAY(F46),0))),L48&amp;"Por favor no seleccionar los criterios de impacto",M35)</f>
        <v>0</v>
      </c>
      <c r="O35" s="441"/>
      <c r="P35" s="442"/>
      <c r="Q35" s="444"/>
      <c r="R35" s="31">
        <v>6</v>
      </c>
      <c r="S35" s="50"/>
      <c r="T35" s="45" t="str">
        <f t="shared" si="6"/>
        <v/>
      </c>
      <c r="U35" s="46"/>
      <c r="V35" s="46"/>
      <c r="W35" s="47" t="str">
        <f t="shared" si="1"/>
        <v/>
      </c>
      <c r="X35" s="46"/>
      <c r="Y35" s="46"/>
      <c r="Z35" s="46"/>
      <c r="AA35" s="35" t="str">
        <f>IFERROR(IF(AND(T34="Probabilidad",T35="Probabilidad"),(AC34-(+AC34*W35)),IF(AND(T34="Impacto",T35="Probabilidad"),(AC33-(+AC33*W35)),IF(T35="Impacto",AC34,""))),"")</f>
        <v/>
      </c>
      <c r="AB35" s="36" t="str">
        <f t="shared" si="2"/>
        <v/>
      </c>
      <c r="AC35" s="37" t="str">
        <f t="shared" si="3"/>
        <v/>
      </c>
      <c r="AD35" s="36" t="str">
        <f t="shared" si="7"/>
        <v/>
      </c>
      <c r="AE35" s="37" t="str">
        <f>IFERROR(IF(AND(T34="Impacto",T35="Impacto"),(AE34-(+AE34*W35)),IF(AND(T34="Probabilidad",T35="Impacto"),(AE33-(+AE33*W35)),IF(T35="Probabilidad",AE34,""))),"")</f>
        <v/>
      </c>
      <c r="AF35" s="38" t="str">
        <f t="shared" si="5"/>
        <v/>
      </c>
      <c r="AG35" s="48"/>
      <c r="AH35" s="49"/>
      <c r="AI35" s="42"/>
      <c r="AJ35" s="41"/>
      <c r="AK35" s="41"/>
      <c r="AL35" s="42"/>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row>
    <row r="36" spans="1:64" ht="26.25" customHeight="1" x14ac:dyDescent="0.25">
      <c r="A36" s="413">
        <v>6</v>
      </c>
      <c r="B36" s="449"/>
      <c r="C36" s="449"/>
      <c r="D36" s="450"/>
      <c r="E36" s="49"/>
      <c r="F36" s="451"/>
      <c r="G36" s="56"/>
      <c r="H36" s="56"/>
      <c r="I36" s="452"/>
      <c r="J36" s="440"/>
      <c r="K36" s="441" t="str">
        <f>IF(J36&lt;=0,"",IF(J36&lt;=2,"Muy Baja",IF(J36&lt;=24,"Baja",IF(J36&lt;=500,"Media",IF(J36&lt;=5000,"Alta","Muy Alta")))))</f>
        <v/>
      </c>
      <c r="L36" s="442" t="str">
        <f>IF(K36="","",IF(K36="Muy Baja",0.2,IF(K36="Baja",0.4,IF(K36="Media",0.6,IF(K36="Alta",0.8,IF(K36="Muy Alta",1,))))))</f>
        <v/>
      </c>
      <c r="M36" s="443"/>
      <c r="N36" s="442">
        <f>IF(NOT(ISERROR(MATCH(M36,'Tabla Impacto'!$B$221:$B$223,0))),'Tabla Impacto'!$F$223&amp;"Por favor no seleccionar los criterios de impacto(Afectación Económica o presupuestal y Pérdida Reputacional)",M36)</f>
        <v>0</v>
      </c>
      <c r="O36" s="441" t="str">
        <f>IF(OR(N36='Tabla Impacto'!$C$11,N36='Tabla Impacto'!$D$11),"Leve",IF(OR(N36='Tabla Impacto'!$C$12,N36='Tabla Impacto'!$D$12),"Menor",IF(OR(N36='Tabla Impacto'!$C$13,N36='Tabla Impacto'!$D$13),"Moderado",IF(OR(N36='Tabla Impacto'!$C$14,N36='Tabla Impacto'!$D$14),"Mayor",IF(OR(N36='Tabla Impacto'!$C$15,N36='Tabla Impacto'!$D$15),"Catastrófico","")))))</f>
        <v/>
      </c>
      <c r="P36" s="442" t="str">
        <f>IF(O36="","",IF(O36="Leve",0.2,IF(O36="Menor",0.4,IF(O36="Moderado",0.6,IF(O36="Mayor",0.8,IF(O36="Catastrófico",1,))))))</f>
        <v/>
      </c>
      <c r="Q36" s="444" t="str">
        <f>IF(OR(AND(K36="Muy Baja",O36="Leve"),AND(K36="Muy Baja",O36="Menor"),AND(K36="Baja",O36="Leve")),"Bajo",IF(OR(AND(K36="Muy baja",O36="Moderado"),AND(K36="Baja",O36="Menor"),AND(K36="Baja",O36="Moderado"),AND(K36="Media",O36="Leve"),AND(K36="Media",O36="Menor"),AND(K36="Media",O36="Moderado"),AND(K36="Alta",O36="Leve"),AND(K36="Alta",O36="Menor")),"Moderado",IF(OR(AND(K36="Muy Baja",O36="Mayor"),AND(K36="Baja",O36="Mayor"),AND(K36="Media",O36="Mayor"),AND(K36="Alta",O36="Moderado"),AND(K36="Alta",O36="Mayor"),AND(K36="Muy Alta",O36="Leve"),AND(K36="Muy Alta",O36="Menor"),AND(K36="Muy Alta",O36="Moderado"),AND(K36="Muy Alta",O36="Mayor")),"Alto",IF(OR(AND(K36="Muy Baja",O36="Catastrófico"),AND(K36="Baja",O36="Catastrófico"),AND(K36="Media",O36="Catastrófico"),AND(K36="Alta",O36="Catastrófico"),AND(K36="Muy Alta",O36="Catastrófico")),"Extremo",""))))</f>
        <v/>
      </c>
      <c r="R36" s="31">
        <v>1</v>
      </c>
      <c r="S36" s="50"/>
      <c r="T36" s="45" t="str">
        <f t="shared" si="6"/>
        <v/>
      </c>
      <c r="U36" s="46"/>
      <c r="V36" s="46"/>
      <c r="W36" s="47" t="str">
        <f t="shared" si="1"/>
        <v/>
      </c>
      <c r="X36" s="46"/>
      <c r="Y36" s="46"/>
      <c r="Z36" s="46"/>
      <c r="AA36" s="35" t="str">
        <f>IFERROR(IF(T36="Probabilidad",(L36-(+L36*W36)),IF(T36="Impacto",L36,"")),"")</f>
        <v/>
      </c>
      <c r="AB36" s="36" t="str">
        <f t="shared" si="2"/>
        <v/>
      </c>
      <c r="AC36" s="37" t="str">
        <f t="shared" si="3"/>
        <v/>
      </c>
      <c r="AD36" s="36" t="str">
        <f t="shared" si="7"/>
        <v/>
      </c>
      <c r="AE36" s="37" t="str">
        <f>IFERROR(IF(T36="Impacto",(P36-(+P36*W36)),IF(T36="Probabilidad",P36,"")),"")</f>
        <v/>
      </c>
      <c r="AF36" s="38" t="str">
        <f t="shared" si="5"/>
        <v/>
      </c>
      <c r="AG36" s="48"/>
      <c r="AH36" s="49"/>
      <c r="AI36" s="42"/>
      <c r="AJ36" s="41"/>
      <c r="AK36" s="41"/>
      <c r="AL36" s="42"/>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row>
    <row r="37" spans="1:64" ht="26.25" customHeight="1" x14ac:dyDescent="0.25">
      <c r="A37" s="413"/>
      <c r="B37" s="449"/>
      <c r="C37" s="449"/>
      <c r="D37" s="450"/>
      <c r="E37" s="49"/>
      <c r="F37" s="451"/>
      <c r="G37" s="56"/>
      <c r="H37" s="56"/>
      <c r="I37" s="452"/>
      <c r="J37" s="440"/>
      <c r="K37" s="441"/>
      <c r="L37" s="442"/>
      <c r="M37" s="443"/>
      <c r="N37" s="442">
        <f>IF(NOT(ISERROR(MATCH(M37,_xlfn.ANCHORARRAY(F48),0))),L50&amp;"Por favor no seleccionar los criterios de impacto",M37)</f>
        <v>0</v>
      </c>
      <c r="O37" s="441"/>
      <c r="P37" s="442"/>
      <c r="Q37" s="444"/>
      <c r="R37" s="31">
        <v>2</v>
      </c>
      <c r="S37" s="50"/>
      <c r="T37" s="45" t="str">
        <f t="shared" si="6"/>
        <v/>
      </c>
      <c r="U37" s="46"/>
      <c r="V37" s="46"/>
      <c r="W37" s="47" t="str">
        <f t="shared" si="1"/>
        <v/>
      </c>
      <c r="X37" s="46"/>
      <c r="Y37" s="46"/>
      <c r="Z37" s="46"/>
      <c r="AA37" s="35" t="str">
        <f>IFERROR(IF(AND(T36="Probabilidad",T37="Probabilidad"),(AC36-(+AC36*W37)),IF(AND(T36="Impacto",T37="Probabilidad"),(L36-(+L36*W37)),IF(T37="Impacto",AC36,""))),"")</f>
        <v/>
      </c>
      <c r="AB37" s="36" t="str">
        <f t="shared" si="2"/>
        <v/>
      </c>
      <c r="AC37" s="37" t="str">
        <f t="shared" si="3"/>
        <v/>
      </c>
      <c r="AD37" s="36" t="str">
        <f t="shared" si="7"/>
        <v/>
      </c>
      <c r="AE37" s="37" t="str">
        <f>IFERROR(IF(AND(T36="Impacto",T37="Impacto"),(AE36-(+AE36*W37)),IF(AND(T36="Probabilidad",T37="Impacto"),(P36-(+P36*W37)),IF(T37="Probabilidad",AE36,""))),"")</f>
        <v/>
      </c>
      <c r="AF37" s="38" t="str">
        <f t="shared" si="5"/>
        <v/>
      </c>
      <c r="AG37" s="48"/>
      <c r="AH37" s="49"/>
      <c r="AI37" s="42"/>
      <c r="AJ37" s="41"/>
      <c r="AK37" s="41"/>
      <c r="AL37" s="42"/>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row>
    <row r="38" spans="1:64" ht="26.25" customHeight="1" x14ac:dyDescent="0.25">
      <c r="A38" s="413"/>
      <c r="B38" s="449"/>
      <c r="C38" s="449"/>
      <c r="D38" s="450"/>
      <c r="E38" s="49"/>
      <c r="F38" s="451"/>
      <c r="G38" s="56"/>
      <c r="H38" s="56"/>
      <c r="I38" s="452"/>
      <c r="J38" s="440"/>
      <c r="K38" s="441"/>
      <c r="L38" s="442"/>
      <c r="M38" s="443"/>
      <c r="N38" s="442">
        <f>IF(NOT(ISERROR(MATCH(M38,_xlfn.ANCHORARRAY(F49),0))),L51&amp;"Por favor no seleccionar los criterios de impacto",M38)</f>
        <v>0</v>
      </c>
      <c r="O38" s="441"/>
      <c r="P38" s="442"/>
      <c r="Q38" s="444"/>
      <c r="R38" s="31">
        <v>3</v>
      </c>
      <c r="S38" s="44"/>
      <c r="T38" s="45" t="str">
        <f t="shared" si="6"/>
        <v/>
      </c>
      <c r="U38" s="46"/>
      <c r="V38" s="46"/>
      <c r="W38" s="47" t="str">
        <f t="shared" ref="W38:W65" si="8">IF(AND(U38="Preventivo",V38="Automático"),"50%",IF(AND(U38="Preventivo",V38="Manual"),"40%",IF(AND(U38="Detectivo",V38="Automático"),"40%",IF(AND(U38="Detectivo",V38="Manual"),"30%",IF(AND(U38="Correctivo",V38="Automático"),"35%",IF(AND(U38="Correctivo",V38="Manual"),"25%",""))))))</f>
        <v/>
      </c>
      <c r="X38" s="46"/>
      <c r="Y38" s="46"/>
      <c r="Z38" s="46"/>
      <c r="AA38" s="35" t="str">
        <f>IFERROR(IF(AND(T37="Probabilidad",T38="Probabilidad"),(AC37-(+AC37*W38)),IF(AND(T37="Impacto",T38="Probabilidad"),(AC36-(+AC36*W38)),IF(T38="Impacto",AC37,""))),"")</f>
        <v/>
      </c>
      <c r="AB38" s="36" t="str">
        <f t="shared" ref="AB38:AB65" si="9">IFERROR(IF(AA38="","",IF(AA38&lt;=0.2,"Muy Baja",IF(AA38&lt;=0.4,"Baja",IF(AA38&lt;=0.6,"Media",IF(AA38&lt;=0.8,"Alta","Muy Alta"))))),"")</f>
        <v/>
      </c>
      <c r="AC38" s="37" t="str">
        <f t="shared" ref="AC38:AC65" si="10">+AA38</f>
        <v/>
      </c>
      <c r="AD38" s="36" t="str">
        <f t="shared" si="7"/>
        <v/>
      </c>
      <c r="AE38" s="37" t="str">
        <f>IFERROR(IF(AND(T37="Impacto",T38="Impacto"),(AE37-(+AE37*W38)),IF(AND(T37="Probabilidad",T38="Impacto"),(AE36-(+AE36*W38)),IF(T38="Probabilidad",AE37,""))),"")</f>
        <v/>
      </c>
      <c r="AF38" s="38" t="str">
        <f t="shared" ref="AF38:AF65" si="11">IFERROR(IF(OR(AND(AB38="Muy Baja",AD38="Leve"),AND(AB38="Muy Baja",AD38="Menor"),AND(AB38="Baja",AD38="Leve")),"Bajo",IF(OR(AND(AB38="Muy baja",AD38="Moderado"),AND(AB38="Baja",AD38="Menor"),AND(AB38="Baja",AD38="Moderado"),AND(AB38="Media",AD38="Leve"),AND(AB38="Media",AD38="Menor"),AND(AB38="Media",AD38="Moderado"),AND(AB38="Alta",AD38="Leve"),AND(AB38="Alta",AD38="Menor")),"Moderado",IF(OR(AND(AB38="Muy Baja",AD38="Mayor"),AND(AB38="Baja",AD38="Mayor"),AND(AB38="Media",AD38="Mayor"),AND(AB38="Alta",AD38="Moderado"),AND(AB38="Alta",AD38="Mayor"),AND(AB38="Muy Alta",AD38="Leve"),AND(AB38="Muy Alta",AD38="Menor"),AND(AB38="Muy Alta",AD38="Moderado"),AND(AB38="Muy Alta",AD38="Mayor")),"Alto",IF(OR(AND(AB38="Muy Baja",AD38="Catastrófico"),AND(AB38="Baja",AD38="Catastrófico"),AND(AB38="Media",AD38="Catastrófico"),AND(AB38="Alta",AD38="Catastrófico"),AND(AB38="Muy Alta",AD38="Catastrófico")),"Extremo","")))),"")</f>
        <v/>
      </c>
      <c r="AG38" s="48"/>
      <c r="AH38" s="49"/>
      <c r="AI38" s="42"/>
      <c r="AJ38" s="41"/>
      <c r="AK38" s="41"/>
      <c r="AL38" s="42"/>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row>
    <row r="39" spans="1:64" ht="26.25" customHeight="1" x14ac:dyDescent="0.25">
      <c r="A39" s="413"/>
      <c r="B39" s="449"/>
      <c r="C39" s="449"/>
      <c r="D39" s="450"/>
      <c r="E39" s="49"/>
      <c r="F39" s="451"/>
      <c r="G39" s="56"/>
      <c r="H39" s="56"/>
      <c r="I39" s="452"/>
      <c r="J39" s="440"/>
      <c r="K39" s="441"/>
      <c r="L39" s="442"/>
      <c r="M39" s="443"/>
      <c r="N39" s="442">
        <f>IF(NOT(ISERROR(MATCH(M39,_xlfn.ANCHORARRAY(F50),0))),L52&amp;"Por favor no seleccionar los criterios de impacto",M39)</f>
        <v>0</v>
      </c>
      <c r="O39" s="441"/>
      <c r="P39" s="442"/>
      <c r="Q39" s="444"/>
      <c r="R39" s="31">
        <v>4</v>
      </c>
      <c r="S39" s="50"/>
      <c r="T39" s="45" t="str">
        <f t="shared" si="6"/>
        <v/>
      </c>
      <c r="U39" s="46"/>
      <c r="V39" s="46"/>
      <c r="W39" s="47" t="str">
        <f t="shared" si="8"/>
        <v/>
      </c>
      <c r="X39" s="46"/>
      <c r="Y39" s="46"/>
      <c r="Z39" s="46"/>
      <c r="AA39" s="35" t="str">
        <f>IFERROR(IF(AND(T38="Probabilidad",T39="Probabilidad"),(AC38-(+AC38*W39)),IF(AND(T38="Impacto",T39="Probabilidad"),(AC37-(+AC37*W39)),IF(T39="Impacto",AC38,""))),"")</f>
        <v/>
      </c>
      <c r="AB39" s="36" t="str">
        <f t="shared" si="9"/>
        <v/>
      </c>
      <c r="AC39" s="37" t="str">
        <f t="shared" si="10"/>
        <v/>
      </c>
      <c r="AD39" s="36" t="str">
        <f t="shared" si="7"/>
        <v/>
      </c>
      <c r="AE39" s="37" t="str">
        <f>IFERROR(IF(AND(T38="Impacto",T39="Impacto"),(AE38-(+AE38*W39)),IF(AND(T38="Probabilidad",T39="Impacto"),(AE37-(+AE37*W39)),IF(T39="Probabilidad",AE38,""))),"")</f>
        <v/>
      </c>
      <c r="AF39" s="38" t="str">
        <f t="shared" si="11"/>
        <v/>
      </c>
      <c r="AG39" s="48"/>
      <c r="AH39" s="49"/>
      <c r="AI39" s="42"/>
      <c r="AJ39" s="41"/>
      <c r="AK39" s="41"/>
      <c r="AL39" s="42"/>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row>
    <row r="40" spans="1:64" ht="26.25" customHeight="1" x14ac:dyDescent="0.25">
      <c r="A40" s="413"/>
      <c r="B40" s="449"/>
      <c r="C40" s="449"/>
      <c r="D40" s="450"/>
      <c r="E40" s="49"/>
      <c r="F40" s="451"/>
      <c r="G40" s="56"/>
      <c r="H40" s="56"/>
      <c r="I40" s="452"/>
      <c r="J40" s="440"/>
      <c r="K40" s="441"/>
      <c r="L40" s="442"/>
      <c r="M40" s="443"/>
      <c r="N40" s="442">
        <f>IF(NOT(ISERROR(MATCH(M40,_xlfn.ANCHORARRAY(F51),0))),L53&amp;"Por favor no seleccionar los criterios de impacto",M40)</f>
        <v>0</v>
      </c>
      <c r="O40" s="441"/>
      <c r="P40" s="442"/>
      <c r="Q40" s="444"/>
      <c r="R40" s="31">
        <v>5</v>
      </c>
      <c r="S40" s="50"/>
      <c r="T40" s="45" t="str">
        <f t="shared" si="6"/>
        <v/>
      </c>
      <c r="U40" s="46"/>
      <c r="V40" s="46"/>
      <c r="W40" s="47" t="str">
        <f t="shared" si="8"/>
        <v/>
      </c>
      <c r="X40" s="46"/>
      <c r="Y40" s="46"/>
      <c r="Z40" s="46"/>
      <c r="AA40" s="35" t="str">
        <f>IFERROR(IF(AND(T39="Probabilidad",T40="Probabilidad"),(AC39-(+AC39*W40)),IF(AND(T39="Impacto",T40="Probabilidad"),(AC38-(+AC38*W40)),IF(T40="Impacto",AC39,""))),"")</f>
        <v/>
      </c>
      <c r="AB40" s="36" t="str">
        <f t="shared" si="9"/>
        <v/>
      </c>
      <c r="AC40" s="37" t="str">
        <f t="shared" si="10"/>
        <v/>
      </c>
      <c r="AD40" s="36" t="str">
        <f t="shared" si="7"/>
        <v/>
      </c>
      <c r="AE40" s="37" t="str">
        <f>IFERROR(IF(AND(T39="Impacto",T40="Impacto"),(AE39-(+AE39*W40)),IF(AND(T39="Probabilidad",T40="Impacto"),(AE38-(+AE38*W40)),IF(T40="Probabilidad",AE39,""))),"")</f>
        <v/>
      </c>
      <c r="AF40" s="38" t="str">
        <f t="shared" si="11"/>
        <v/>
      </c>
      <c r="AG40" s="48"/>
      <c r="AH40" s="49"/>
      <c r="AI40" s="42"/>
      <c r="AJ40" s="41"/>
      <c r="AK40" s="41"/>
      <c r="AL40" s="42"/>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row>
    <row r="41" spans="1:64" ht="26.25" customHeight="1" x14ac:dyDescent="0.25">
      <c r="A41" s="413"/>
      <c r="B41" s="449"/>
      <c r="C41" s="449"/>
      <c r="D41" s="450"/>
      <c r="E41" s="49"/>
      <c r="F41" s="451"/>
      <c r="G41" s="56"/>
      <c r="H41" s="56"/>
      <c r="I41" s="452"/>
      <c r="J41" s="440"/>
      <c r="K41" s="441"/>
      <c r="L41" s="442"/>
      <c r="M41" s="443"/>
      <c r="N41" s="442">
        <f>IF(NOT(ISERROR(MATCH(M41,_xlfn.ANCHORARRAY(F52),0))),L54&amp;"Por favor no seleccionar los criterios de impacto",M41)</f>
        <v>0</v>
      </c>
      <c r="O41" s="441"/>
      <c r="P41" s="442"/>
      <c r="Q41" s="444"/>
      <c r="R41" s="31">
        <v>6</v>
      </c>
      <c r="S41" s="50"/>
      <c r="T41" s="45" t="str">
        <f t="shared" si="6"/>
        <v/>
      </c>
      <c r="U41" s="46"/>
      <c r="V41" s="46"/>
      <c r="W41" s="47" t="str">
        <f t="shared" si="8"/>
        <v/>
      </c>
      <c r="X41" s="46"/>
      <c r="Y41" s="46"/>
      <c r="Z41" s="46"/>
      <c r="AA41" s="35" t="str">
        <f>IFERROR(IF(AND(T40="Probabilidad",T41="Probabilidad"),(AC40-(+AC40*W41)),IF(AND(T40="Impacto",T41="Probabilidad"),(AC39-(+AC39*W41)),IF(T41="Impacto",AC40,""))),"")</f>
        <v/>
      </c>
      <c r="AB41" s="36" t="str">
        <f t="shared" si="9"/>
        <v/>
      </c>
      <c r="AC41" s="37" t="str">
        <f t="shared" si="10"/>
        <v/>
      </c>
      <c r="AD41" s="36" t="str">
        <f t="shared" si="7"/>
        <v/>
      </c>
      <c r="AE41" s="37" t="str">
        <f>IFERROR(IF(AND(T40="Impacto",T41="Impacto"),(AE40-(+AE40*W41)),IF(AND(T40="Probabilidad",T41="Impacto"),(AE39-(+AE39*W41)),IF(T41="Probabilidad",AE40,""))),"")</f>
        <v/>
      </c>
      <c r="AF41" s="38" t="str">
        <f t="shared" si="11"/>
        <v/>
      </c>
      <c r="AG41" s="48"/>
      <c r="AH41" s="49"/>
      <c r="AI41" s="42"/>
      <c r="AJ41" s="41"/>
      <c r="AK41" s="41"/>
      <c r="AL41" s="42"/>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row>
    <row r="42" spans="1:64" ht="26.25" customHeight="1" x14ac:dyDescent="0.25">
      <c r="A42" s="413">
        <v>7</v>
      </c>
      <c r="B42" s="449"/>
      <c r="C42" s="449"/>
      <c r="D42" s="449"/>
      <c r="E42" s="57"/>
      <c r="F42" s="453"/>
      <c r="G42" s="59"/>
      <c r="H42" s="59"/>
      <c r="I42" s="449"/>
      <c r="J42" s="440"/>
      <c r="K42" s="441" t="str">
        <f>IF(J42&lt;=0,"",IF(J42&lt;=2,"Muy Baja",IF(J42&lt;=24,"Baja",IF(J42&lt;=500,"Media",IF(J42&lt;=5000,"Alta","Muy Alta")))))</f>
        <v/>
      </c>
      <c r="L42" s="442" t="str">
        <f>IF(K42="","",IF(K42="Muy Baja",0.2,IF(K42="Baja",0.4,IF(K42="Media",0.6,IF(K42="Alta",0.8,IF(K42="Muy Alta",1,))))))</f>
        <v/>
      </c>
      <c r="M42" s="443"/>
      <c r="N42" s="442">
        <f>IF(NOT(ISERROR(MATCH(M42,'Tabla Impacto'!$B$221:$B$223,0))),'Tabla Impacto'!$F$223&amp;"Por favor no seleccionar los criterios de impacto(Afectación Económica o presupuestal y Pérdida Reputacional)",M42)</f>
        <v>0</v>
      </c>
      <c r="O42" s="441" t="str">
        <f>IF(OR(N42='Tabla Impacto'!$C$11,N42='Tabla Impacto'!$D$11),"Leve",IF(OR(N42='Tabla Impacto'!$C$12,N42='Tabla Impacto'!$D$12),"Menor",IF(OR(N42='Tabla Impacto'!$C$13,N42='Tabla Impacto'!$D$13),"Moderado",IF(OR(N42='Tabla Impacto'!$C$14,N42='Tabla Impacto'!$D$14),"Mayor",IF(OR(N42='Tabla Impacto'!$C$15,N42='Tabla Impacto'!$D$15),"Catastrófico","")))))</f>
        <v/>
      </c>
      <c r="P42" s="442" t="str">
        <f>IF(O42="","",IF(O42="Leve",0.2,IF(O42="Menor",0.4,IF(O42="Moderado",0.6,IF(O42="Mayor",0.8,IF(O42="Catastrófico",1,))))))</f>
        <v/>
      </c>
      <c r="Q42" s="444" t="str">
        <f>IF(OR(AND(K42="Muy Baja",O42="Leve"),AND(K42="Muy Baja",O42="Menor"),AND(K42="Baja",O42="Leve")),"Bajo",IF(OR(AND(K42="Muy baja",O42="Moderado"),AND(K42="Baja",O42="Menor"),AND(K42="Baja",O42="Moderado"),AND(K42="Media",O42="Leve"),AND(K42="Media",O42="Menor"),AND(K42="Media",O42="Moderado"),AND(K42="Alta",O42="Leve"),AND(K42="Alta",O42="Menor")),"Moderado",IF(OR(AND(K42="Muy Baja",O42="Mayor"),AND(K42="Baja",O42="Mayor"),AND(K42="Media",O42="Mayor"),AND(K42="Alta",O42="Moderado"),AND(K42="Alta",O42="Mayor"),AND(K42="Muy Alta",O42="Leve"),AND(K42="Muy Alta",O42="Menor"),AND(K42="Muy Alta",O42="Moderado"),AND(K42="Muy Alta",O42="Mayor")),"Alto",IF(OR(AND(K42="Muy Baja",O42="Catastrófico"),AND(K42="Baja",O42="Catastrófico"),AND(K42="Media",O42="Catastrófico"),AND(K42="Alta",O42="Catastrófico"),AND(K42="Muy Alta",O42="Catastrófico")),"Extremo",""))))</f>
        <v/>
      </c>
      <c r="R42" s="31">
        <v>1</v>
      </c>
      <c r="S42" s="50"/>
      <c r="T42" s="45" t="str">
        <f t="shared" si="6"/>
        <v/>
      </c>
      <c r="U42" s="46"/>
      <c r="V42" s="46"/>
      <c r="W42" s="47" t="str">
        <f t="shared" si="8"/>
        <v/>
      </c>
      <c r="X42" s="46"/>
      <c r="Y42" s="46"/>
      <c r="Z42" s="46"/>
      <c r="AA42" s="35" t="str">
        <f>IFERROR(IF(T42="Probabilidad",(L42-(+L42*W42)),IF(T42="Impacto",L42,"")),"")</f>
        <v/>
      </c>
      <c r="AB42" s="36" t="str">
        <f t="shared" si="9"/>
        <v/>
      </c>
      <c r="AC42" s="37" t="str">
        <f t="shared" si="10"/>
        <v/>
      </c>
      <c r="AD42" s="36" t="str">
        <f t="shared" si="7"/>
        <v/>
      </c>
      <c r="AE42" s="37" t="str">
        <f>IFERROR(IF(T42="Impacto",(P42-(+P42*W42)),IF(T42="Probabilidad",P42,"")),"")</f>
        <v/>
      </c>
      <c r="AF42" s="38" t="str">
        <f t="shared" si="11"/>
        <v/>
      </c>
      <c r="AG42" s="48"/>
      <c r="AH42" s="49"/>
      <c r="AI42" s="42"/>
      <c r="AJ42" s="41"/>
      <c r="AK42" s="41"/>
      <c r="AL42" s="42"/>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row>
    <row r="43" spans="1:64" ht="26.25" customHeight="1" x14ac:dyDescent="0.25">
      <c r="A43" s="413"/>
      <c r="B43" s="449"/>
      <c r="C43" s="449"/>
      <c r="D43" s="449"/>
      <c r="E43" s="57"/>
      <c r="F43" s="453"/>
      <c r="G43" s="59"/>
      <c r="H43" s="59"/>
      <c r="I43" s="449"/>
      <c r="J43" s="440"/>
      <c r="K43" s="441"/>
      <c r="L43" s="442"/>
      <c r="M43" s="443"/>
      <c r="N43" s="442">
        <f>IF(NOT(ISERROR(MATCH(M43,_xlfn.ANCHORARRAY(F54),0))),L56&amp;"Por favor no seleccionar los criterios de impacto",M43)</f>
        <v>0</v>
      </c>
      <c r="O43" s="441"/>
      <c r="P43" s="442"/>
      <c r="Q43" s="444"/>
      <c r="R43" s="31">
        <v>2</v>
      </c>
      <c r="S43" s="50"/>
      <c r="T43" s="45" t="str">
        <f t="shared" si="6"/>
        <v/>
      </c>
      <c r="U43" s="46"/>
      <c r="V43" s="46"/>
      <c r="W43" s="47" t="str">
        <f t="shared" si="8"/>
        <v/>
      </c>
      <c r="X43" s="46"/>
      <c r="Y43" s="46"/>
      <c r="Z43" s="46"/>
      <c r="AA43" s="35" t="str">
        <f>IFERROR(IF(AND(T42="Probabilidad",T43="Probabilidad"),(AC42-(+AC42*W43)),IF(AND(T42="Impacto",T43="Probabilidad"),(L42-(+L42*W43)),IF(T43="Impacto",AC42,""))),"")</f>
        <v/>
      </c>
      <c r="AB43" s="36" t="str">
        <f t="shared" si="9"/>
        <v/>
      </c>
      <c r="AC43" s="37" t="str">
        <f t="shared" si="10"/>
        <v/>
      </c>
      <c r="AD43" s="36" t="str">
        <f t="shared" si="7"/>
        <v/>
      </c>
      <c r="AE43" s="37" t="str">
        <f>IFERROR(IF(AND(T42="Impacto",T43="Impacto"),(AE42-(+AE42*W43)),IF(AND(T42="Probabilidad",T43="Impacto"),(P42-(+P42*W43)),IF(T43="Probabilidad",AE42,""))),"")</f>
        <v/>
      </c>
      <c r="AF43" s="38" t="str">
        <f t="shared" si="11"/>
        <v/>
      </c>
      <c r="AG43" s="48"/>
      <c r="AH43" s="49"/>
      <c r="AI43" s="42"/>
      <c r="AJ43" s="41"/>
      <c r="AK43" s="41"/>
      <c r="AL43" s="42"/>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row>
    <row r="44" spans="1:64" ht="26.25" customHeight="1" x14ac:dyDescent="0.25">
      <c r="A44" s="413"/>
      <c r="B44" s="449"/>
      <c r="C44" s="449"/>
      <c r="D44" s="449"/>
      <c r="E44" s="57"/>
      <c r="F44" s="453"/>
      <c r="G44" s="59"/>
      <c r="H44" s="59"/>
      <c r="I44" s="449"/>
      <c r="J44" s="440"/>
      <c r="K44" s="441"/>
      <c r="L44" s="442"/>
      <c r="M44" s="443"/>
      <c r="N44" s="442">
        <f>IF(NOT(ISERROR(MATCH(M44,_xlfn.ANCHORARRAY(F55),0))),L57&amp;"Por favor no seleccionar los criterios de impacto",M44)</f>
        <v>0</v>
      </c>
      <c r="O44" s="441"/>
      <c r="P44" s="442"/>
      <c r="Q44" s="444"/>
      <c r="R44" s="31">
        <v>3</v>
      </c>
      <c r="S44" s="44"/>
      <c r="T44" s="45" t="str">
        <f t="shared" si="6"/>
        <v/>
      </c>
      <c r="U44" s="46"/>
      <c r="V44" s="46"/>
      <c r="W44" s="47" t="str">
        <f t="shared" si="8"/>
        <v/>
      </c>
      <c r="X44" s="46"/>
      <c r="Y44" s="46"/>
      <c r="Z44" s="46"/>
      <c r="AA44" s="35" t="str">
        <f>IFERROR(IF(AND(T43="Probabilidad",T44="Probabilidad"),(AC43-(+AC43*W44)),IF(AND(T43="Impacto",T44="Probabilidad"),(AC42-(+AC42*W44)),IF(T44="Impacto",AC43,""))),"")</f>
        <v/>
      </c>
      <c r="AB44" s="36" t="str">
        <f t="shared" si="9"/>
        <v/>
      </c>
      <c r="AC44" s="37" t="str">
        <f t="shared" si="10"/>
        <v/>
      </c>
      <c r="AD44" s="36" t="str">
        <f t="shared" si="7"/>
        <v/>
      </c>
      <c r="AE44" s="37" t="str">
        <f>IFERROR(IF(AND(T43="Impacto",T44="Impacto"),(AE43-(+AE43*W44)),IF(AND(T43="Probabilidad",T44="Impacto"),(AE42-(+AE42*W44)),IF(T44="Probabilidad",AE43,""))),"")</f>
        <v/>
      </c>
      <c r="AF44" s="38" t="str">
        <f t="shared" si="11"/>
        <v/>
      </c>
      <c r="AG44" s="48"/>
      <c r="AH44" s="49"/>
      <c r="AI44" s="42"/>
      <c r="AJ44" s="41"/>
      <c r="AK44" s="41"/>
      <c r="AL44" s="42"/>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row>
    <row r="45" spans="1:64" ht="26.25" customHeight="1" x14ac:dyDescent="0.25">
      <c r="A45" s="413"/>
      <c r="B45" s="449"/>
      <c r="C45" s="449"/>
      <c r="D45" s="449"/>
      <c r="E45" s="57"/>
      <c r="F45" s="453"/>
      <c r="G45" s="59"/>
      <c r="H45" s="59"/>
      <c r="I45" s="449"/>
      <c r="J45" s="440"/>
      <c r="K45" s="441"/>
      <c r="L45" s="442"/>
      <c r="M45" s="443"/>
      <c r="N45" s="442">
        <f>IF(NOT(ISERROR(MATCH(M45,_xlfn.ANCHORARRAY(F56),0))),L58&amp;"Por favor no seleccionar los criterios de impacto",M45)</f>
        <v>0</v>
      </c>
      <c r="O45" s="441"/>
      <c r="P45" s="442"/>
      <c r="Q45" s="444"/>
      <c r="R45" s="31">
        <v>4</v>
      </c>
      <c r="S45" s="50"/>
      <c r="T45" s="45" t="str">
        <f t="shared" si="6"/>
        <v/>
      </c>
      <c r="U45" s="46"/>
      <c r="V45" s="46"/>
      <c r="W45" s="47" t="str">
        <f t="shared" si="8"/>
        <v/>
      </c>
      <c r="X45" s="46"/>
      <c r="Y45" s="46"/>
      <c r="Z45" s="46"/>
      <c r="AA45" s="35" t="str">
        <f>IFERROR(IF(AND(T44="Probabilidad",T45="Probabilidad"),(AC44-(+AC44*W45)),IF(AND(T44="Impacto",T45="Probabilidad"),(AC43-(+AC43*W45)),IF(T45="Impacto",AC44,""))),"")</f>
        <v/>
      </c>
      <c r="AB45" s="36" t="str">
        <f t="shared" si="9"/>
        <v/>
      </c>
      <c r="AC45" s="37" t="str">
        <f t="shared" si="10"/>
        <v/>
      </c>
      <c r="AD45" s="36" t="str">
        <f t="shared" si="7"/>
        <v/>
      </c>
      <c r="AE45" s="37" t="str">
        <f>IFERROR(IF(AND(T44="Impacto",T45="Impacto"),(AE44-(+AE44*W45)),IF(AND(T44="Probabilidad",T45="Impacto"),(AE43-(+AE43*W45)),IF(T45="Probabilidad",AE44,""))),"")</f>
        <v/>
      </c>
      <c r="AF45" s="38" t="str">
        <f t="shared" si="11"/>
        <v/>
      </c>
      <c r="AG45" s="48"/>
      <c r="AH45" s="49"/>
      <c r="AI45" s="42"/>
      <c r="AJ45" s="41"/>
      <c r="AK45" s="41"/>
      <c r="AL45" s="42"/>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row>
    <row r="46" spans="1:64" ht="26.25" customHeight="1" x14ac:dyDescent="0.25">
      <c r="A46" s="413"/>
      <c r="B46" s="449"/>
      <c r="C46" s="449"/>
      <c r="D46" s="449"/>
      <c r="E46" s="57"/>
      <c r="F46" s="453"/>
      <c r="G46" s="59"/>
      <c r="H46" s="59"/>
      <c r="I46" s="449"/>
      <c r="J46" s="440"/>
      <c r="K46" s="441"/>
      <c r="L46" s="442"/>
      <c r="M46" s="443"/>
      <c r="N46" s="442">
        <f>IF(NOT(ISERROR(MATCH(M46,_xlfn.ANCHORARRAY(F57),0))),L59&amp;"Por favor no seleccionar los criterios de impacto",M46)</f>
        <v>0</v>
      </c>
      <c r="O46" s="441"/>
      <c r="P46" s="442"/>
      <c r="Q46" s="444"/>
      <c r="R46" s="31">
        <v>5</v>
      </c>
      <c r="S46" s="50"/>
      <c r="T46" s="45" t="str">
        <f t="shared" si="6"/>
        <v/>
      </c>
      <c r="U46" s="46"/>
      <c r="V46" s="46"/>
      <c r="W46" s="47" t="str">
        <f t="shared" si="8"/>
        <v/>
      </c>
      <c r="X46" s="46"/>
      <c r="Y46" s="46"/>
      <c r="Z46" s="46"/>
      <c r="AA46" s="35" t="str">
        <f>IFERROR(IF(AND(T45="Probabilidad",T46="Probabilidad"),(AC45-(+AC45*W46)),IF(AND(T45="Impacto",T46="Probabilidad"),(AC44-(+AC44*W46)),IF(T46="Impacto",AC45,""))),"")</f>
        <v/>
      </c>
      <c r="AB46" s="36" t="str">
        <f t="shared" si="9"/>
        <v/>
      </c>
      <c r="AC46" s="37" t="str">
        <f t="shared" si="10"/>
        <v/>
      </c>
      <c r="AD46" s="36" t="str">
        <f t="shared" si="7"/>
        <v/>
      </c>
      <c r="AE46" s="37" t="str">
        <f>IFERROR(IF(AND(T45="Impacto",T46="Impacto"),(AE45-(+AE45*W46)),IF(AND(T45="Probabilidad",T46="Impacto"),(AE44-(+AE44*W46)),IF(T46="Probabilidad",AE45,""))),"")</f>
        <v/>
      </c>
      <c r="AF46" s="38" t="str">
        <f t="shared" si="11"/>
        <v/>
      </c>
      <c r="AG46" s="48"/>
      <c r="AH46" s="49"/>
      <c r="AI46" s="42"/>
      <c r="AJ46" s="41"/>
      <c r="AK46" s="41"/>
      <c r="AL46" s="42"/>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row>
    <row r="47" spans="1:64" ht="26.25" customHeight="1" x14ac:dyDescent="0.25">
      <c r="A47" s="413"/>
      <c r="B47" s="449"/>
      <c r="C47" s="449"/>
      <c r="D47" s="449"/>
      <c r="E47" s="60"/>
      <c r="F47" s="453"/>
      <c r="G47" s="58"/>
      <c r="H47" s="58"/>
      <c r="I47" s="449"/>
      <c r="J47" s="440"/>
      <c r="K47" s="441"/>
      <c r="L47" s="442"/>
      <c r="M47" s="443"/>
      <c r="N47" s="442">
        <f>IF(NOT(ISERROR(MATCH(M47,_xlfn.ANCHORARRAY(F58),0))),L60&amp;"Por favor no seleccionar los criterios de impacto",M47)</f>
        <v>0</v>
      </c>
      <c r="O47" s="441"/>
      <c r="P47" s="442"/>
      <c r="Q47" s="444"/>
      <c r="R47" s="31">
        <v>6</v>
      </c>
      <c r="S47" s="50"/>
      <c r="T47" s="45" t="str">
        <f t="shared" si="6"/>
        <v/>
      </c>
      <c r="U47" s="46"/>
      <c r="V47" s="46"/>
      <c r="W47" s="47" t="str">
        <f t="shared" si="8"/>
        <v/>
      </c>
      <c r="X47" s="46"/>
      <c r="Y47" s="46"/>
      <c r="Z47" s="46"/>
      <c r="AA47" s="35" t="str">
        <f>IFERROR(IF(AND(T46="Probabilidad",T47="Probabilidad"),(AC46-(+AC46*W47)),IF(AND(T46="Impacto",T47="Probabilidad"),(AC45-(+AC45*W47)),IF(T47="Impacto",AC46,""))),"")</f>
        <v/>
      </c>
      <c r="AB47" s="36" t="str">
        <f t="shared" si="9"/>
        <v/>
      </c>
      <c r="AC47" s="37" t="str">
        <f t="shared" si="10"/>
        <v/>
      </c>
      <c r="AD47" s="36" t="str">
        <f t="shared" si="7"/>
        <v/>
      </c>
      <c r="AE47" s="37" t="str">
        <f>IFERROR(IF(AND(T46="Impacto",T47="Impacto"),(AE46-(+AE46*W47)),IF(AND(T46="Probabilidad",T47="Impacto"),(AE45-(+AE45*W47)),IF(T47="Probabilidad",AE46,""))),"")</f>
        <v/>
      </c>
      <c r="AF47" s="38" t="str">
        <f t="shared" si="11"/>
        <v/>
      </c>
      <c r="AG47" s="48"/>
      <c r="AH47" s="49"/>
      <c r="AI47" s="42"/>
      <c r="AJ47" s="41"/>
      <c r="AK47" s="41"/>
      <c r="AL47" s="42"/>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row>
    <row r="48" spans="1:64" ht="26.25" customHeight="1" x14ac:dyDescent="0.25">
      <c r="A48" s="413">
        <v>8</v>
      </c>
      <c r="B48" s="449"/>
      <c r="C48" s="449"/>
      <c r="D48" s="449"/>
      <c r="E48" s="61"/>
      <c r="F48" s="451"/>
      <c r="G48" s="62"/>
      <c r="H48" s="62"/>
      <c r="I48" s="449"/>
      <c r="J48" s="440"/>
      <c r="K48" s="441" t="str">
        <f>IF(J48&lt;=0,"",IF(J48&lt;=2,"Muy Baja",IF(J48&lt;=24,"Baja",IF(J48&lt;=500,"Media",IF(J48&lt;=5000,"Alta","Muy Alta")))))</f>
        <v/>
      </c>
      <c r="L48" s="442" t="str">
        <f>IF(K48="","",IF(K48="Muy Baja",0.2,IF(K48="Baja",0.4,IF(K48="Media",0.6,IF(K48="Alta",0.8,IF(K48="Muy Alta",1,))))))</f>
        <v/>
      </c>
      <c r="M48" s="443"/>
      <c r="N48" s="442">
        <f>IF(NOT(ISERROR(MATCH(M48,'Tabla Impacto'!$B$221:$B$223,0))),'Tabla Impacto'!$F$223&amp;"Por favor no seleccionar los criterios de impacto(Afectación Económica o presupuestal y Pérdida Reputacional)",M48)</f>
        <v>0</v>
      </c>
      <c r="O48" s="441" t="str">
        <f>IF(OR(N48='Tabla Impacto'!$C$11,N48='Tabla Impacto'!$D$11),"Leve",IF(OR(N48='Tabla Impacto'!$C$12,N48='Tabla Impacto'!$D$12),"Menor",IF(OR(N48='Tabla Impacto'!$C$13,N48='Tabla Impacto'!$D$13),"Moderado",IF(OR(N48='Tabla Impacto'!$C$14,N48='Tabla Impacto'!$D$14),"Mayor",IF(OR(N48='Tabla Impacto'!$C$15,N48='Tabla Impacto'!$D$15),"Catastrófico","")))))</f>
        <v/>
      </c>
      <c r="P48" s="442" t="str">
        <f>IF(O48="","",IF(O48="Leve",0.2,IF(O48="Menor",0.4,IF(O48="Moderado",0.6,IF(O48="Mayor",0.8,IF(O48="Catastrófico",1,))))))</f>
        <v/>
      </c>
      <c r="Q48" s="444" t="str">
        <f>IF(OR(AND(K48="Muy Baja",O48="Leve"),AND(K48="Muy Baja",O48="Menor"),AND(K48="Baja",O48="Leve")),"Bajo",IF(OR(AND(K48="Muy baja",O48="Moderado"),AND(K48="Baja",O48="Menor"),AND(K48="Baja",O48="Moderado"),AND(K48="Media",O48="Leve"),AND(K48="Media",O48="Menor"),AND(K48="Media",O48="Moderado"),AND(K48="Alta",O48="Leve"),AND(K48="Alta",O48="Menor")),"Moderado",IF(OR(AND(K48="Muy Baja",O48="Mayor"),AND(K48="Baja",O48="Mayor"),AND(K48="Media",O48="Mayor"),AND(K48="Alta",O48="Moderado"),AND(K48="Alta",O48="Mayor"),AND(K48="Muy Alta",O48="Leve"),AND(K48="Muy Alta",O48="Menor"),AND(K48="Muy Alta",O48="Moderado"),AND(K48="Muy Alta",O48="Mayor")),"Alto",IF(OR(AND(K48="Muy Baja",O48="Catastrófico"),AND(K48="Baja",O48="Catastrófico"),AND(K48="Media",O48="Catastrófico"),AND(K48="Alta",O48="Catastrófico"),AND(K48="Muy Alta",O48="Catastrófico")),"Extremo",""))))</f>
        <v/>
      </c>
      <c r="R48" s="31">
        <v>1</v>
      </c>
      <c r="S48" s="50"/>
      <c r="T48" s="45" t="str">
        <f t="shared" si="6"/>
        <v/>
      </c>
      <c r="U48" s="46"/>
      <c r="V48" s="46"/>
      <c r="W48" s="47" t="str">
        <f t="shared" si="8"/>
        <v/>
      </c>
      <c r="X48" s="46"/>
      <c r="Y48" s="46"/>
      <c r="Z48" s="46"/>
      <c r="AA48" s="35" t="str">
        <f>IFERROR(IF(T48="Probabilidad",(L48-(+L48*W48)),IF(T48="Impacto",L48,"")),"")</f>
        <v/>
      </c>
      <c r="AB48" s="36" t="str">
        <f t="shared" si="9"/>
        <v/>
      </c>
      <c r="AC48" s="37" t="str">
        <f t="shared" si="10"/>
        <v/>
      </c>
      <c r="AD48" s="36" t="str">
        <f t="shared" si="7"/>
        <v/>
      </c>
      <c r="AE48" s="37" t="str">
        <f>IFERROR(IF(T48="Impacto",(P48-(+P48*W48)),IF(T48="Probabilidad",P48,"")),"")</f>
        <v/>
      </c>
      <c r="AF48" s="38" t="str">
        <f t="shared" si="11"/>
        <v/>
      </c>
      <c r="AG48" s="48"/>
      <c r="AH48" s="49"/>
      <c r="AI48" s="42"/>
      <c r="AJ48" s="41"/>
      <c r="AK48" s="41"/>
      <c r="AL48" s="42"/>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row>
    <row r="49" spans="1:64" ht="26.25" customHeight="1" x14ac:dyDescent="0.25">
      <c r="A49" s="413"/>
      <c r="B49" s="449"/>
      <c r="C49" s="449"/>
      <c r="D49" s="449"/>
      <c r="E49" s="57"/>
      <c r="F49" s="451"/>
      <c r="G49" s="59"/>
      <c r="H49" s="59"/>
      <c r="I49" s="449"/>
      <c r="J49" s="440"/>
      <c r="K49" s="441"/>
      <c r="L49" s="442"/>
      <c r="M49" s="443"/>
      <c r="N49" s="442">
        <f>IF(NOT(ISERROR(MATCH(M49,_xlfn.ANCHORARRAY(F60),0))),L62&amp;"Por favor no seleccionar los criterios de impacto",M49)</f>
        <v>0</v>
      </c>
      <c r="O49" s="441"/>
      <c r="P49" s="442"/>
      <c r="Q49" s="444"/>
      <c r="R49" s="31">
        <v>2</v>
      </c>
      <c r="S49" s="50"/>
      <c r="T49" s="45" t="str">
        <f t="shared" si="6"/>
        <v/>
      </c>
      <c r="U49" s="46"/>
      <c r="V49" s="46"/>
      <c r="W49" s="47" t="str">
        <f t="shared" si="8"/>
        <v/>
      </c>
      <c r="X49" s="46"/>
      <c r="Y49" s="46"/>
      <c r="Z49" s="46"/>
      <c r="AA49" s="35" t="str">
        <f>IFERROR(IF(AND(T48="Probabilidad",T49="Probabilidad"),(AC48-(+AC48*W49)),IF(AND(T48="Impacto",T49="Probabilidad"),(L48-(+L48*W49)),IF(T49="Impacto",AC48,""))),"")</f>
        <v/>
      </c>
      <c r="AB49" s="36" t="str">
        <f t="shared" si="9"/>
        <v/>
      </c>
      <c r="AC49" s="37" t="str">
        <f t="shared" si="10"/>
        <v/>
      </c>
      <c r="AD49" s="36" t="str">
        <f t="shared" si="7"/>
        <v/>
      </c>
      <c r="AE49" s="37" t="str">
        <f>IFERROR(IF(AND(T48="Impacto",T49="Impacto"),(AE48-(+AE48*W49)),IF(AND(T48="Probabilidad",T49="Impacto"),(P48-(+P48*W49)),IF(T49="Probabilidad",AE48,""))),"")</f>
        <v/>
      </c>
      <c r="AF49" s="38" t="str">
        <f t="shared" si="11"/>
        <v/>
      </c>
      <c r="AG49" s="48"/>
      <c r="AH49" s="49"/>
      <c r="AI49" s="42"/>
      <c r="AJ49" s="41"/>
      <c r="AK49" s="41"/>
      <c r="AL49" s="42"/>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row>
    <row r="50" spans="1:64" ht="26.25" customHeight="1" x14ac:dyDescent="0.25">
      <c r="A50" s="413"/>
      <c r="B50" s="449"/>
      <c r="C50" s="449"/>
      <c r="D50" s="449"/>
      <c r="E50" s="57"/>
      <c r="F50" s="451"/>
      <c r="G50" s="59"/>
      <c r="H50" s="59"/>
      <c r="I50" s="449"/>
      <c r="J50" s="440"/>
      <c r="K50" s="441"/>
      <c r="L50" s="442"/>
      <c r="M50" s="443"/>
      <c r="N50" s="442">
        <f>IF(NOT(ISERROR(MATCH(M50,_xlfn.ANCHORARRAY(F61),0))),L63&amp;"Por favor no seleccionar los criterios de impacto",M50)</f>
        <v>0</v>
      </c>
      <c r="O50" s="441"/>
      <c r="P50" s="442"/>
      <c r="Q50" s="444"/>
      <c r="R50" s="31">
        <v>3</v>
      </c>
      <c r="S50" s="44"/>
      <c r="T50" s="45" t="str">
        <f t="shared" si="6"/>
        <v/>
      </c>
      <c r="U50" s="46"/>
      <c r="V50" s="46"/>
      <c r="W50" s="47" t="str">
        <f t="shared" si="8"/>
        <v/>
      </c>
      <c r="X50" s="46"/>
      <c r="Y50" s="46"/>
      <c r="Z50" s="46"/>
      <c r="AA50" s="35" t="str">
        <f>IFERROR(IF(AND(T49="Probabilidad",T50="Probabilidad"),(AC49-(+AC49*W50)),IF(AND(T49="Impacto",T50="Probabilidad"),(AC48-(+AC48*W50)),IF(T50="Impacto",AC49,""))),"")</f>
        <v/>
      </c>
      <c r="AB50" s="36" t="str">
        <f t="shared" si="9"/>
        <v/>
      </c>
      <c r="AC50" s="37" t="str">
        <f t="shared" si="10"/>
        <v/>
      </c>
      <c r="AD50" s="36" t="str">
        <f t="shared" si="7"/>
        <v/>
      </c>
      <c r="AE50" s="37" t="str">
        <f>IFERROR(IF(AND(T49="Impacto",T50="Impacto"),(AE49-(+AE49*W50)),IF(AND(T49="Probabilidad",T50="Impacto"),(AE48-(+AE48*W50)),IF(T50="Probabilidad",AE49,""))),"")</f>
        <v/>
      </c>
      <c r="AF50" s="38" t="str">
        <f t="shared" si="11"/>
        <v/>
      </c>
      <c r="AG50" s="48"/>
      <c r="AH50" s="49"/>
      <c r="AI50" s="42"/>
      <c r="AJ50" s="41"/>
      <c r="AK50" s="41"/>
      <c r="AL50" s="42"/>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row>
    <row r="51" spans="1:64" ht="26.25" customHeight="1" x14ac:dyDescent="0.25">
      <c r="A51" s="413"/>
      <c r="B51" s="449"/>
      <c r="C51" s="449"/>
      <c r="D51" s="449"/>
      <c r="E51" s="57"/>
      <c r="F51" s="451"/>
      <c r="G51" s="59"/>
      <c r="H51" s="59"/>
      <c r="I51" s="449"/>
      <c r="J51" s="440"/>
      <c r="K51" s="441"/>
      <c r="L51" s="442"/>
      <c r="M51" s="443"/>
      <c r="N51" s="442">
        <f>IF(NOT(ISERROR(MATCH(M51,_xlfn.ANCHORARRAY(F62),0))),L64&amp;"Por favor no seleccionar los criterios de impacto",M51)</f>
        <v>0</v>
      </c>
      <c r="O51" s="441"/>
      <c r="P51" s="442"/>
      <c r="Q51" s="444"/>
      <c r="R51" s="31">
        <v>4</v>
      </c>
      <c r="S51" s="50"/>
      <c r="T51" s="45" t="str">
        <f t="shared" si="6"/>
        <v/>
      </c>
      <c r="U51" s="46"/>
      <c r="V51" s="46"/>
      <c r="W51" s="47" t="str">
        <f t="shared" si="8"/>
        <v/>
      </c>
      <c r="X51" s="46"/>
      <c r="Y51" s="46"/>
      <c r="Z51" s="46"/>
      <c r="AA51" s="35" t="str">
        <f>IFERROR(IF(AND(T50="Probabilidad",T51="Probabilidad"),(AC50-(+AC50*W51)),IF(AND(T50="Impacto",T51="Probabilidad"),(AC49-(+AC49*W51)),IF(T51="Impacto",AC50,""))),"")</f>
        <v/>
      </c>
      <c r="AB51" s="36" t="str">
        <f t="shared" si="9"/>
        <v/>
      </c>
      <c r="AC51" s="37" t="str">
        <f t="shared" si="10"/>
        <v/>
      </c>
      <c r="AD51" s="36" t="str">
        <f t="shared" si="7"/>
        <v/>
      </c>
      <c r="AE51" s="37" t="str">
        <f>IFERROR(IF(AND(T50="Impacto",T51="Impacto"),(AE50-(+AE50*W51)),IF(AND(T50="Probabilidad",T51="Impacto"),(AE49-(+AE49*W51)),IF(T51="Probabilidad",AE50,""))),"")</f>
        <v/>
      </c>
      <c r="AF51" s="38" t="str">
        <f t="shared" si="11"/>
        <v/>
      </c>
      <c r="AG51" s="48"/>
      <c r="AH51" s="49"/>
      <c r="AI51" s="42"/>
      <c r="AJ51" s="41"/>
      <c r="AK51" s="41"/>
      <c r="AL51" s="42"/>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row>
    <row r="52" spans="1:64" ht="26.25" customHeight="1" x14ac:dyDescent="0.25">
      <c r="A52" s="413"/>
      <c r="B52" s="449"/>
      <c r="C52" s="449"/>
      <c r="D52" s="449"/>
      <c r="E52" s="57"/>
      <c r="F52" s="451"/>
      <c r="G52" s="59"/>
      <c r="H52" s="59"/>
      <c r="I52" s="449"/>
      <c r="J52" s="440"/>
      <c r="K52" s="441"/>
      <c r="L52" s="442"/>
      <c r="M52" s="443"/>
      <c r="N52" s="442">
        <f>IF(NOT(ISERROR(MATCH(M52,_xlfn.ANCHORARRAY(F63),0))),L65&amp;"Por favor no seleccionar los criterios de impacto",M52)</f>
        <v>0</v>
      </c>
      <c r="O52" s="441"/>
      <c r="P52" s="442"/>
      <c r="Q52" s="444"/>
      <c r="R52" s="31">
        <v>5</v>
      </c>
      <c r="S52" s="50"/>
      <c r="T52" s="45" t="str">
        <f t="shared" si="6"/>
        <v/>
      </c>
      <c r="U52" s="46"/>
      <c r="V52" s="46"/>
      <c r="W52" s="47" t="str">
        <f t="shared" si="8"/>
        <v/>
      </c>
      <c r="X52" s="46"/>
      <c r="Y52" s="46"/>
      <c r="Z52" s="46"/>
      <c r="AA52" s="35" t="str">
        <f>IFERROR(IF(AND(T51="Probabilidad",T52="Probabilidad"),(AC51-(+AC51*W52)),IF(AND(T51="Impacto",T52="Probabilidad"),(AC50-(+AC50*W52)),IF(T52="Impacto",AC51,""))),"")</f>
        <v/>
      </c>
      <c r="AB52" s="36" t="str">
        <f t="shared" si="9"/>
        <v/>
      </c>
      <c r="AC52" s="37" t="str">
        <f t="shared" si="10"/>
        <v/>
      </c>
      <c r="AD52" s="36" t="str">
        <f t="shared" si="7"/>
        <v/>
      </c>
      <c r="AE52" s="37" t="str">
        <f>IFERROR(IF(AND(T51="Impacto",T52="Impacto"),(AE51-(+AE51*W52)),IF(AND(T51="Probabilidad",T52="Impacto"),(AE50-(+AE50*W52)),IF(T52="Probabilidad",AE51,""))),"")</f>
        <v/>
      </c>
      <c r="AF52" s="38" t="str">
        <f t="shared" si="11"/>
        <v/>
      </c>
      <c r="AG52" s="48"/>
      <c r="AH52" s="49"/>
      <c r="AI52" s="42"/>
      <c r="AJ52" s="41"/>
      <c r="AK52" s="41"/>
      <c r="AL52" s="42"/>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row>
    <row r="53" spans="1:64" ht="26.25" customHeight="1" x14ac:dyDescent="0.25">
      <c r="A53" s="413"/>
      <c r="B53" s="449"/>
      <c r="C53" s="449"/>
      <c r="D53" s="449"/>
      <c r="E53" s="60"/>
      <c r="F53" s="451"/>
      <c r="G53" s="58"/>
      <c r="H53" s="58"/>
      <c r="I53" s="449"/>
      <c r="J53" s="440"/>
      <c r="K53" s="441"/>
      <c r="L53" s="442"/>
      <c r="M53" s="443"/>
      <c r="N53" s="442">
        <f>IF(NOT(ISERROR(MATCH(M53,_xlfn.ANCHORARRAY(F64),0))),L66&amp;"Por favor no seleccionar los criterios de impacto",M53)</f>
        <v>0</v>
      </c>
      <c r="O53" s="441"/>
      <c r="P53" s="442"/>
      <c r="Q53" s="444"/>
      <c r="R53" s="31">
        <v>6</v>
      </c>
      <c r="S53" s="50"/>
      <c r="T53" s="45" t="str">
        <f t="shared" si="6"/>
        <v/>
      </c>
      <c r="U53" s="46"/>
      <c r="V53" s="46"/>
      <c r="W53" s="47" t="str">
        <f t="shared" si="8"/>
        <v/>
      </c>
      <c r="X53" s="46"/>
      <c r="Y53" s="46"/>
      <c r="Z53" s="46"/>
      <c r="AA53" s="35" t="str">
        <f>IFERROR(IF(AND(T52="Probabilidad",T53="Probabilidad"),(AC52-(+AC52*W53)),IF(AND(T52="Impacto",T53="Probabilidad"),(AC51-(+AC51*W53)),IF(T53="Impacto",AC52,""))),"")</f>
        <v/>
      </c>
      <c r="AB53" s="36" t="str">
        <f t="shared" si="9"/>
        <v/>
      </c>
      <c r="AC53" s="37" t="str">
        <f t="shared" si="10"/>
        <v/>
      </c>
      <c r="AD53" s="36" t="str">
        <f t="shared" si="7"/>
        <v/>
      </c>
      <c r="AE53" s="37" t="str">
        <f>IFERROR(IF(AND(T52="Impacto",T53="Impacto"),(AE52-(+AE52*W53)),IF(AND(T52="Probabilidad",T53="Impacto"),(AE51-(+AE51*W53)),IF(T53="Probabilidad",AE52,""))),"")</f>
        <v/>
      </c>
      <c r="AF53" s="38" t="str">
        <f t="shared" si="11"/>
        <v/>
      </c>
      <c r="AG53" s="48"/>
      <c r="AH53" s="49"/>
      <c r="AI53" s="42"/>
      <c r="AJ53" s="41"/>
      <c r="AK53" s="41"/>
      <c r="AL53" s="42"/>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row>
    <row r="54" spans="1:64" ht="26.25" customHeight="1" x14ac:dyDescent="0.25">
      <c r="A54" s="413">
        <v>9</v>
      </c>
      <c r="B54" s="449"/>
      <c r="C54" s="449"/>
      <c r="D54" s="449"/>
      <c r="E54" s="61"/>
      <c r="F54" s="451"/>
      <c r="G54" s="62"/>
      <c r="H54" s="62"/>
      <c r="I54" s="449"/>
      <c r="J54" s="440"/>
      <c r="K54" s="441" t="str">
        <f>IF(J54&lt;=0,"",IF(J54&lt;=2,"Muy Baja",IF(J54&lt;=24,"Baja",IF(J54&lt;=500,"Media",IF(J54&lt;=5000,"Alta","Muy Alta")))))</f>
        <v/>
      </c>
      <c r="L54" s="442" t="str">
        <f>IF(K54="","",IF(K54="Muy Baja",0.2,IF(K54="Baja",0.4,IF(K54="Media",0.6,IF(K54="Alta",0.8,IF(K54="Muy Alta",1,))))))</f>
        <v/>
      </c>
      <c r="M54" s="443"/>
      <c r="N54" s="442">
        <f>IF(NOT(ISERROR(MATCH(M54,'Tabla Impacto'!$B$221:$B$223,0))),'Tabla Impacto'!$F$223&amp;"Por favor no seleccionar los criterios de impacto(Afectación Económica o presupuestal y Pérdida Reputacional)",M54)</f>
        <v>0</v>
      </c>
      <c r="O54" s="441" t="str">
        <f>IF(OR(N54='Tabla Impacto'!$C$11,N54='Tabla Impacto'!$D$11),"Leve",IF(OR(N54='Tabla Impacto'!$C$12,N54='Tabla Impacto'!$D$12),"Menor",IF(OR(N54='Tabla Impacto'!$C$13,N54='Tabla Impacto'!$D$13),"Moderado",IF(OR(N54='Tabla Impacto'!$C$14,N54='Tabla Impacto'!$D$14),"Mayor",IF(OR(N54='Tabla Impacto'!$C$15,N54='Tabla Impacto'!$D$15),"Catastrófico","")))))</f>
        <v/>
      </c>
      <c r="P54" s="442" t="str">
        <f>IF(O54="","",IF(O54="Leve",0.2,IF(O54="Menor",0.4,IF(O54="Moderado",0.6,IF(O54="Mayor",0.8,IF(O54="Catastrófico",1,))))))</f>
        <v/>
      </c>
      <c r="Q54" s="444" t="str">
        <f>IF(OR(AND(K54="Muy Baja",O54="Leve"),AND(K54="Muy Baja",O54="Menor"),AND(K54="Baja",O54="Leve")),"Bajo",IF(OR(AND(K54="Muy baja",O54="Moderado"),AND(K54="Baja",O54="Menor"),AND(K54="Baja",O54="Moderado"),AND(K54="Media",O54="Leve"),AND(K54="Media",O54="Menor"),AND(K54="Media",O54="Moderado"),AND(K54="Alta",O54="Leve"),AND(K54="Alta",O54="Menor")),"Moderado",IF(OR(AND(K54="Muy Baja",O54="Mayor"),AND(K54="Baja",O54="Mayor"),AND(K54="Media",O54="Mayor"),AND(K54="Alta",O54="Moderado"),AND(K54="Alta",O54="Mayor"),AND(K54="Muy Alta",O54="Leve"),AND(K54="Muy Alta",O54="Menor"),AND(K54="Muy Alta",O54="Moderado"),AND(K54="Muy Alta",O54="Mayor")),"Alto",IF(OR(AND(K54="Muy Baja",O54="Catastrófico"),AND(K54="Baja",O54="Catastrófico"),AND(K54="Media",O54="Catastrófico"),AND(K54="Alta",O54="Catastrófico"),AND(K54="Muy Alta",O54="Catastrófico")),"Extremo",""))))</f>
        <v/>
      </c>
      <c r="R54" s="31">
        <v>1</v>
      </c>
      <c r="S54" s="50"/>
      <c r="T54" s="45" t="str">
        <f t="shared" si="6"/>
        <v/>
      </c>
      <c r="U54" s="46"/>
      <c r="V54" s="46"/>
      <c r="W54" s="47" t="str">
        <f t="shared" si="8"/>
        <v/>
      </c>
      <c r="X54" s="46"/>
      <c r="Y54" s="46"/>
      <c r="Z54" s="46"/>
      <c r="AA54" s="35" t="str">
        <f>IFERROR(IF(T54="Probabilidad",(L54-(+L54*W54)),IF(T54="Impacto",L54,"")),"")</f>
        <v/>
      </c>
      <c r="AB54" s="36" t="str">
        <f t="shared" si="9"/>
        <v/>
      </c>
      <c r="AC54" s="37" t="str">
        <f t="shared" si="10"/>
        <v/>
      </c>
      <c r="AD54" s="36" t="str">
        <f t="shared" si="7"/>
        <v/>
      </c>
      <c r="AE54" s="37" t="str">
        <f>IFERROR(IF(T54="Impacto",(P54-(+P54*W54)),IF(T54="Probabilidad",P54,"")),"")</f>
        <v/>
      </c>
      <c r="AF54" s="38" t="str">
        <f t="shared" si="11"/>
        <v/>
      </c>
      <c r="AG54" s="48"/>
      <c r="AH54" s="49"/>
      <c r="AI54" s="42"/>
      <c r="AJ54" s="41"/>
      <c r="AK54" s="41"/>
      <c r="AL54" s="42"/>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row>
    <row r="55" spans="1:64" ht="26.25" customHeight="1" x14ac:dyDescent="0.25">
      <c r="A55" s="413"/>
      <c r="B55" s="449"/>
      <c r="C55" s="449"/>
      <c r="D55" s="449"/>
      <c r="E55" s="57"/>
      <c r="F55" s="451"/>
      <c r="G55" s="59"/>
      <c r="H55" s="59"/>
      <c r="I55" s="449"/>
      <c r="J55" s="440"/>
      <c r="K55" s="441"/>
      <c r="L55" s="442"/>
      <c r="M55" s="443"/>
      <c r="N55" s="442">
        <f>IF(NOT(ISERROR(MATCH(M55,_xlfn.ANCHORARRAY(F66),0))),L68&amp;"Por favor no seleccionar los criterios de impacto",M55)</f>
        <v>0</v>
      </c>
      <c r="O55" s="441"/>
      <c r="P55" s="442"/>
      <c r="Q55" s="444"/>
      <c r="R55" s="31">
        <v>2</v>
      </c>
      <c r="S55" s="50"/>
      <c r="T55" s="45" t="str">
        <f t="shared" si="6"/>
        <v/>
      </c>
      <c r="U55" s="46"/>
      <c r="V55" s="46"/>
      <c r="W55" s="47" t="str">
        <f t="shared" si="8"/>
        <v/>
      </c>
      <c r="X55" s="46"/>
      <c r="Y55" s="46"/>
      <c r="Z55" s="46"/>
      <c r="AA55" s="35" t="str">
        <f>IFERROR(IF(AND(T54="Probabilidad",T55="Probabilidad"),(AC54-(+AC54*W55)),IF(AND(T54="Impacto",T55="Probabilidad"),(L54-(+L54*W55)),IF(T55="Impacto",AC54,""))),"")</f>
        <v/>
      </c>
      <c r="AB55" s="36" t="str">
        <f t="shared" si="9"/>
        <v/>
      </c>
      <c r="AC55" s="37" t="str">
        <f t="shared" si="10"/>
        <v/>
      </c>
      <c r="AD55" s="36" t="str">
        <f t="shared" si="7"/>
        <v/>
      </c>
      <c r="AE55" s="37" t="str">
        <f>IFERROR(IF(AND(T54="Impacto",T55="Impacto"),(AE54-(+AE54*W55)),IF(AND(T54="Probabilidad",T55="Impacto"),(P54-(+P54*W55)),IF(T55="Probabilidad",AE54,""))),"")</f>
        <v/>
      </c>
      <c r="AF55" s="38" t="str">
        <f t="shared" si="11"/>
        <v/>
      </c>
      <c r="AG55" s="48"/>
      <c r="AH55" s="49"/>
      <c r="AI55" s="42"/>
      <c r="AJ55" s="41"/>
      <c r="AK55" s="41"/>
      <c r="AL55" s="42"/>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row>
    <row r="56" spans="1:64" ht="26.25" customHeight="1" x14ac:dyDescent="0.25">
      <c r="A56" s="413"/>
      <c r="B56" s="449"/>
      <c r="C56" s="449"/>
      <c r="D56" s="449"/>
      <c r="E56" s="57"/>
      <c r="F56" s="451"/>
      <c r="G56" s="59"/>
      <c r="H56" s="59"/>
      <c r="I56" s="449"/>
      <c r="J56" s="440"/>
      <c r="K56" s="441"/>
      <c r="L56" s="442"/>
      <c r="M56" s="443"/>
      <c r="N56" s="442">
        <f>IF(NOT(ISERROR(MATCH(M56,_xlfn.ANCHORARRAY(F67),0))),L69&amp;"Por favor no seleccionar los criterios de impacto",M56)</f>
        <v>0</v>
      </c>
      <c r="O56" s="441"/>
      <c r="P56" s="442"/>
      <c r="Q56" s="444"/>
      <c r="R56" s="31">
        <v>3</v>
      </c>
      <c r="S56" s="44"/>
      <c r="T56" s="45" t="str">
        <f t="shared" si="6"/>
        <v/>
      </c>
      <c r="U56" s="46"/>
      <c r="V56" s="46"/>
      <c r="W56" s="47" t="str">
        <f t="shared" si="8"/>
        <v/>
      </c>
      <c r="X56" s="46"/>
      <c r="Y56" s="46"/>
      <c r="Z56" s="46"/>
      <c r="AA56" s="35" t="str">
        <f>IFERROR(IF(AND(T55="Probabilidad",T56="Probabilidad"),(AC55-(+AC55*W56)),IF(AND(T55="Impacto",T56="Probabilidad"),(AC54-(+AC54*W56)),IF(T56="Impacto",AC55,""))),"")</f>
        <v/>
      </c>
      <c r="AB56" s="36" t="str">
        <f t="shared" si="9"/>
        <v/>
      </c>
      <c r="AC56" s="37" t="str">
        <f t="shared" si="10"/>
        <v/>
      </c>
      <c r="AD56" s="36" t="str">
        <f t="shared" si="7"/>
        <v/>
      </c>
      <c r="AE56" s="37" t="str">
        <f>IFERROR(IF(AND(T55="Impacto",T56="Impacto"),(AE55-(+AE55*W56)),IF(AND(T55="Probabilidad",T56="Impacto"),(AE54-(+AE54*W56)),IF(T56="Probabilidad",AE55,""))),"")</f>
        <v/>
      </c>
      <c r="AF56" s="38" t="str">
        <f t="shared" si="11"/>
        <v/>
      </c>
      <c r="AG56" s="48"/>
      <c r="AH56" s="49"/>
      <c r="AI56" s="42"/>
      <c r="AJ56" s="41"/>
      <c r="AK56" s="41"/>
      <c r="AL56" s="42"/>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row>
    <row r="57" spans="1:64" ht="26.25" customHeight="1" x14ac:dyDescent="0.25">
      <c r="A57" s="413"/>
      <c r="B57" s="449"/>
      <c r="C57" s="449"/>
      <c r="D57" s="449"/>
      <c r="E57" s="57"/>
      <c r="F57" s="451"/>
      <c r="G57" s="59"/>
      <c r="H57" s="59"/>
      <c r="I57" s="449"/>
      <c r="J57" s="440"/>
      <c r="K57" s="441"/>
      <c r="L57" s="442"/>
      <c r="M57" s="443"/>
      <c r="N57" s="442">
        <f>IF(NOT(ISERROR(MATCH(M57,_xlfn.ANCHORARRAY(F68),0))),L70&amp;"Por favor no seleccionar los criterios de impacto",M57)</f>
        <v>0</v>
      </c>
      <c r="O57" s="441"/>
      <c r="P57" s="442"/>
      <c r="Q57" s="444"/>
      <c r="R57" s="31">
        <v>4</v>
      </c>
      <c r="S57" s="50"/>
      <c r="T57" s="45" t="str">
        <f t="shared" si="6"/>
        <v/>
      </c>
      <c r="U57" s="46"/>
      <c r="V57" s="46"/>
      <c r="W57" s="47" t="str">
        <f t="shared" si="8"/>
        <v/>
      </c>
      <c r="X57" s="46"/>
      <c r="Y57" s="46"/>
      <c r="Z57" s="46"/>
      <c r="AA57" s="35" t="str">
        <f>IFERROR(IF(AND(T56="Probabilidad",T57="Probabilidad"),(AC56-(+AC56*W57)),IF(AND(T56="Impacto",T57="Probabilidad"),(AC55-(+AC55*W57)),IF(T57="Impacto",AC56,""))),"")</f>
        <v/>
      </c>
      <c r="AB57" s="36" t="str">
        <f t="shared" si="9"/>
        <v/>
      </c>
      <c r="AC57" s="37" t="str">
        <f t="shared" si="10"/>
        <v/>
      </c>
      <c r="AD57" s="36" t="str">
        <f t="shared" si="7"/>
        <v/>
      </c>
      <c r="AE57" s="37" t="str">
        <f>IFERROR(IF(AND(T56="Impacto",T57="Impacto"),(AE56-(+AE56*W57)),IF(AND(T56="Probabilidad",T57="Impacto"),(AE55-(+AE55*W57)),IF(T57="Probabilidad",AE56,""))),"")</f>
        <v/>
      </c>
      <c r="AF57" s="38" t="str">
        <f t="shared" si="11"/>
        <v/>
      </c>
      <c r="AG57" s="48"/>
      <c r="AH57" s="49"/>
      <c r="AI57" s="42"/>
      <c r="AJ57" s="41"/>
      <c r="AK57" s="41"/>
      <c r="AL57" s="42"/>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row>
    <row r="58" spans="1:64" ht="26.25" customHeight="1" x14ac:dyDescent="0.25">
      <c r="A58" s="413"/>
      <c r="B58" s="449"/>
      <c r="C58" s="449"/>
      <c r="D58" s="449"/>
      <c r="E58" s="57"/>
      <c r="F58" s="451"/>
      <c r="G58" s="59"/>
      <c r="H58" s="59"/>
      <c r="I58" s="449"/>
      <c r="J58" s="440"/>
      <c r="K58" s="441"/>
      <c r="L58" s="442"/>
      <c r="M58" s="443"/>
      <c r="N58" s="442">
        <f>IF(NOT(ISERROR(MATCH(M58,_xlfn.ANCHORARRAY(F69),0))),L71&amp;"Por favor no seleccionar los criterios de impacto",M58)</f>
        <v>0</v>
      </c>
      <c r="O58" s="441"/>
      <c r="P58" s="442"/>
      <c r="Q58" s="444"/>
      <c r="R58" s="31">
        <v>5</v>
      </c>
      <c r="S58" s="50"/>
      <c r="T58" s="45" t="str">
        <f t="shared" si="6"/>
        <v/>
      </c>
      <c r="U58" s="46"/>
      <c r="V58" s="46"/>
      <c r="W58" s="47" t="str">
        <f t="shared" si="8"/>
        <v/>
      </c>
      <c r="X58" s="46"/>
      <c r="Y58" s="46"/>
      <c r="Z58" s="46"/>
      <c r="AA58" s="35" t="str">
        <f>IFERROR(IF(AND(T57="Probabilidad",T58="Probabilidad"),(AC57-(+AC57*W58)),IF(AND(T57="Impacto",T58="Probabilidad"),(AC56-(+AC56*W58)),IF(T58="Impacto",AC57,""))),"")</f>
        <v/>
      </c>
      <c r="AB58" s="36" t="str">
        <f t="shared" si="9"/>
        <v/>
      </c>
      <c r="AC58" s="37" t="str">
        <f t="shared" si="10"/>
        <v/>
      </c>
      <c r="AD58" s="36" t="str">
        <f t="shared" si="7"/>
        <v/>
      </c>
      <c r="AE58" s="37" t="str">
        <f>IFERROR(IF(AND(T57="Impacto",T58="Impacto"),(AE57-(+AE57*W58)),IF(AND(T57="Probabilidad",T58="Impacto"),(AE56-(+AE56*W58)),IF(T58="Probabilidad",AE57,""))),"")</f>
        <v/>
      </c>
      <c r="AF58" s="38" t="str">
        <f t="shared" si="11"/>
        <v/>
      </c>
      <c r="AG58" s="48"/>
      <c r="AH58" s="49"/>
      <c r="AI58" s="42"/>
      <c r="AJ58" s="41"/>
      <c r="AK58" s="41"/>
      <c r="AL58" s="42"/>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row>
    <row r="59" spans="1:64" ht="26.25" customHeight="1" x14ac:dyDescent="0.25">
      <c r="A59" s="413"/>
      <c r="B59" s="449"/>
      <c r="C59" s="449"/>
      <c r="D59" s="449"/>
      <c r="E59" s="60"/>
      <c r="F59" s="451"/>
      <c r="G59" s="58"/>
      <c r="H59" s="58"/>
      <c r="I59" s="449"/>
      <c r="J59" s="440"/>
      <c r="K59" s="441"/>
      <c r="L59" s="442"/>
      <c r="M59" s="443"/>
      <c r="N59" s="442">
        <f>IF(NOT(ISERROR(MATCH(M59,_xlfn.ANCHORARRAY(F70),0))),L72&amp;"Por favor no seleccionar los criterios de impacto",M59)</f>
        <v>0</v>
      </c>
      <c r="O59" s="441"/>
      <c r="P59" s="442"/>
      <c r="Q59" s="444"/>
      <c r="R59" s="31">
        <v>6</v>
      </c>
      <c r="S59" s="50"/>
      <c r="T59" s="45" t="str">
        <f t="shared" si="6"/>
        <v/>
      </c>
      <c r="U59" s="46"/>
      <c r="V59" s="46"/>
      <c r="W59" s="47" t="str">
        <f t="shared" si="8"/>
        <v/>
      </c>
      <c r="X59" s="46"/>
      <c r="Y59" s="46"/>
      <c r="Z59" s="46"/>
      <c r="AA59" s="35" t="str">
        <f>IFERROR(IF(AND(T58="Probabilidad",T59="Probabilidad"),(AC58-(+AC58*W59)),IF(AND(T58="Impacto",T59="Probabilidad"),(AC57-(+AC57*W59)),IF(T59="Impacto",AC58,""))),"")</f>
        <v/>
      </c>
      <c r="AB59" s="36" t="str">
        <f t="shared" si="9"/>
        <v/>
      </c>
      <c r="AC59" s="37" t="str">
        <f t="shared" si="10"/>
        <v/>
      </c>
      <c r="AD59" s="36" t="str">
        <f t="shared" si="7"/>
        <v/>
      </c>
      <c r="AE59" s="37" t="str">
        <f>IFERROR(IF(AND(T58="Impacto",T59="Impacto"),(AE58-(+AE58*W59)),IF(AND(T58="Probabilidad",T59="Impacto"),(AE57-(+AE57*W59)),IF(T59="Probabilidad",AE58,""))),"")</f>
        <v/>
      </c>
      <c r="AF59" s="38" t="str">
        <f t="shared" si="11"/>
        <v/>
      </c>
      <c r="AG59" s="48"/>
      <c r="AH59" s="49"/>
      <c r="AI59" s="42"/>
      <c r="AJ59" s="41"/>
      <c r="AK59" s="41"/>
      <c r="AL59" s="42"/>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row>
    <row r="60" spans="1:64" ht="19.5" customHeight="1" x14ac:dyDescent="0.25">
      <c r="A60" s="413">
        <v>10</v>
      </c>
      <c r="B60" s="449"/>
      <c r="C60" s="449"/>
      <c r="D60" s="449"/>
      <c r="E60" s="61"/>
      <c r="F60" s="451"/>
      <c r="G60" s="62"/>
      <c r="H60" s="62"/>
      <c r="I60" s="449"/>
      <c r="J60" s="440"/>
      <c r="K60" s="441" t="str">
        <f>IF(J60&lt;=0,"",IF(J60&lt;=2,"Muy Baja",IF(J60&lt;=24,"Baja",IF(J60&lt;=500,"Media",IF(J60&lt;=5000,"Alta","Muy Alta")))))</f>
        <v/>
      </c>
      <c r="L60" s="442" t="str">
        <f>IF(K60="","",IF(K60="Muy Baja",0.2,IF(K60="Baja",0.4,IF(K60="Media",0.6,IF(K60="Alta",0.8,IF(K60="Muy Alta",1,))))))</f>
        <v/>
      </c>
      <c r="M60" s="443"/>
      <c r="N60" s="442">
        <f>IF(NOT(ISERROR(MATCH(M60,'Tabla Impacto'!$B$221:$B$223,0))),'Tabla Impacto'!$F$223&amp;"Por favor no seleccionar los criterios de impacto(Afectación Económica o presupuestal y Pérdida Reputacional)",M60)</f>
        <v>0</v>
      </c>
      <c r="O60" s="441" t="str">
        <f>IF(OR(N60='Tabla Impacto'!$C$11,N60='Tabla Impacto'!$D$11),"Leve",IF(OR(N60='Tabla Impacto'!$C$12,N60='Tabla Impacto'!$D$12),"Menor",IF(OR(N60='Tabla Impacto'!$C$13,N60='Tabla Impacto'!$D$13),"Moderado",IF(OR(N60='Tabla Impacto'!$C$14,N60='Tabla Impacto'!$D$14),"Mayor",IF(OR(N60='Tabla Impacto'!$C$15,N60='Tabla Impacto'!$D$15),"Catastrófico","")))))</f>
        <v/>
      </c>
      <c r="P60" s="442" t="str">
        <f>IF(O60="","",IF(O60="Leve",0.2,IF(O60="Menor",0.4,IF(O60="Moderado",0.6,IF(O60="Mayor",0.8,IF(O60="Catastrófico",1,))))))</f>
        <v/>
      </c>
      <c r="Q60" s="444" t="str">
        <f>IF(OR(AND(K60="Muy Baja",O60="Leve"),AND(K60="Muy Baja",O60="Menor"),AND(K60="Baja",O60="Leve")),"Bajo",IF(OR(AND(K60="Muy baja",O60="Moderado"),AND(K60="Baja",O60="Menor"),AND(K60="Baja",O60="Moderado"),AND(K60="Media",O60="Leve"),AND(K60="Media",O60="Menor"),AND(K60="Media",O60="Moderado"),AND(K60="Alta",O60="Leve"),AND(K60="Alta",O60="Menor")),"Moderado",IF(OR(AND(K60="Muy Baja",O60="Mayor"),AND(K60="Baja",O60="Mayor"),AND(K60="Media",O60="Mayor"),AND(K60="Alta",O60="Moderado"),AND(K60="Alta",O60="Mayor"),AND(K60="Muy Alta",O60="Leve"),AND(K60="Muy Alta",O60="Menor"),AND(K60="Muy Alta",O60="Moderado"),AND(K60="Muy Alta",O60="Mayor")),"Alto",IF(OR(AND(K60="Muy Baja",O60="Catastrófico"),AND(K60="Baja",O60="Catastrófico"),AND(K60="Media",O60="Catastrófico"),AND(K60="Alta",O60="Catastrófico"),AND(K60="Muy Alta",O60="Catastrófico")),"Extremo",""))))</f>
        <v/>
      </c>
      <c r="R60" s="31">
        <v>1</v>
      </c>
      <c r="S60" s="50"/>
      <c r="T60" s="45" t="str">
        <f t="shared" si="6"/>
        <v/>
      </c>
      <c r="U60" s="46"/>
      <c r="V60" s="46"/>
      <c r="W60" s="47" t="str">
        <f t="shared" si="8"/>
        <v/>
      </c>
      <c r="X60" s="46"/>
      <c r="Y60" s="46"/>
      <c r="Z60" s="46"/>
      <c r="AA60" s="35" t="str">
        <f>IFERROR(IF(T60="Probabilidad",(L60-(+L60*W60)),IF(T60="Impacto",L60,"")),"")</f>
        <v/>
      </c>
      <c r="AB60" s="36" t="str">
        <f t="shared" si="9"/>
        <v/>
      </c>
      <c r="AC60" s="37" t="str">
        <f t="shared" si="10"/>
        <v/>
      </c>
      <c r="AD60" s="36" t="str">
        <f t="shared" si="7"/>
        <v/>
      </c>
      <c r="AE60" s="37" t="str">
        <f>IFERROR(IF(T60="Impacto",(P60-(+P60*W60)),IF(T60="Probabilidad",P60,"")),"")</f>
        <v/>
      </c>
      <c r="AF60" s="38" t="str">
        <f t="shared" si="11"/>
        <v/>
      </c>
      <c r="AG60" s="48"/>
      <c r="AH60" s="49"/>
      <c r="AI60" s="42"/>
      <c r="AJ60" s="41"/>
      <c r="AK60" s="41"/>
      <c r="AL60" s="42"/>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row>
    <row r="61" spans="1:64" ht="19.5" customHeight="1" x14ac:dyDescent="0.25">
      <c r="A61" s="413"/>
      <c r="B61" s="449"/>
      <c r="C61" s="449"/>
      <c r="D61" s="449"/>
      <c r="E61" s="57"/>
      <c r="F61" s="451"/>
      <c r="G61" s="59"/>
      <c r="H61" s="59"/>
      <c r="I61" s="449"/>
      <c r="J61" s="440"/>
      <c r="K61" s="441"/>
      <c r="L61" s="442"/>
      <c r="M61" s="443"/>
      <c r="N61" s="442">
        <f>IF(NOT(ISERROR(MATCH(M61,_xlfn.ANCHORARRAY(F72),0))),L74&amp;"Por favor no seleccionar los criterios de impacto",M61)</f>
        <v>0</v>
      </c>
      <c r="O61" s="441"/>
      <c r="P61" s="442"/>
      <c r="Q61" s="444"/>
      <c r="R61" s="31">
        <v>2</v>
      </c>
      <c r="S61" s="50"/>
      <c r="T61" s="45" t="str">
        <f t="shared" si="6"/>
        <v/>
      </c>
      <c r="U61" s="46"/>
      <c r="V61" s="46"/>
      <c r="W61" s="47" t="str">
        <f t="shared" si="8"/>
        <v/>
      </c>
      <c r="X61" s="46"/>
      <c r="Y61" s="46"/>
      <c r="Z61" s="46"/>
      <c r="AA61" s="35" t="str">
        <f>IFERROR(IF(AND(T60="Probabilidad",T61="Probabilidad"),(AC60-(+AC60*W61)),IF(AND(T60="Impacto",T61="Probabilidad"),(L60-(+L60*W61)),IF(T61="Impacto",AC60,""))),"")</f>
        <v/>
      </c>
      <c r="AB61" s="36" t="str">
        <f t="shared" si="9"/>
        <v/>
      </c>
      <c r="AC61" s="37" t="str">
        <f t="shared" si="10"/>
        <v/>
      </c>
      <c r="AD61" s="36" t="str">
        <f t="shared" si="7"/>
        <v/>
      </c>
      <c r="AE61" s="37" t="str">
        <f>IFERROR(IF(AND(T60="Impacto",T61="Impacto"),(AE60-(+AE60*W61)),IF(AND(T60="Probabilidad",T61="Impacto"),(P60-(+P60*W61)),IF(T61="Probabilidad",AE60,""))),"")</f>
        <v/>
      </c>
      <c r="AF61" s="38" t="str">
        <f t="shared" si="11"/>
        <v/>
      </c>
      <c r="AG61" s="48"/>
      <c r="AH61" s="49"/>
      <c r="AI61" s="42"/>
      <c r="AJ61" s="41"/>
      <c r="AK61" s="41"/>
      <c r="AL61" s="42"/>
    </row>
    <row r="62" spans="1:64" ht="19.5" customHeight="1" x14ac:dyDescent="0.25">
      <c r="A62" s="413"/>
      <c r="B62" s="449"/>
      <c r="C62" s="449"/>
      <c r="D62" s="449"/>
      <c r="E62" s="57"/>
      <c r="F62" s="451"/>
      <c r="G62" s="59"/>
      <c r="H62" s="59"/>
      <c r="I62" s="449"/>
      <c r="J62" s="440"/>
      <c r="K62" s="441"/>
      <c r="L62" s="442"/>
      <c r="M62" s="443"/>
      <c r="N62" s="442">
        <f>IF(NOT(ISERROR(MATCH(M62,_xlfn.ANCHORARRAY(F73),0))),L75&amp;"Por favor no seleccionar los criterios de impacto",M62)</f>
        <v>0</v>
      </c>
      <c r="O62" s="441"/>
      <c r="P62" s="442"/>
      <c r="Q62" s="444"/>
      <c r="R62" s="31">
        <v>3</v>
      </c>
      <c r="S62" s="44"/>
      <c r="T62" s="45" t="str">
        <f t="shared" si="6"/>
        <v/>
      </c>
      <c r="U62" s="46"/>
      <c r="V62" s="46"/>
      <c r="W62" s="47" t="str">
        <f t="shared" si="8"/>
        <v/>
      </c>
      <c r="X62" s="46"/>
      <c r="Y62" s="46"/>
      <c r="Z62" s="46"/>
      <c r="AA62" s="35" t="str">
        <f>IFERROR(IF(AND(T61="Probabilidad",T62="Probabilidad"),(AC61-(+AC61*W62)),IF(AND(T61="Impacto",T62="Probabilidad"),(AC60-(+AC60*W62)),IF(T62="Impacto",AC61,""))),"")</f>
        <v/>
      </c>
      <c r="AB62" s="36" t="str">
        <f t="shared" si="9"/>
        <v/>
      </c>
      <c r="AC62" s="37" t="str">
        <f t="shared" si="10"/>
        <v/>
      </c>
      <c r="AD62" s="36" t="str">
        <f t="shared" si="7"/>
        <v/>
      </c>
      <c r="AE62" s="37" t="str">
        <f>IFERROR(IF(AND(T61="Impacto",T62="Impacto"),(AE61-(+AE61*W62)),IF(AND(T61="Probabilidad",T62="Impacto"),(AE60-(+AE60*W62)),IF(T62="Probabilidad",AE61,""))),"")</f>
        <v/>
      </c>
      <c r="AF62" s="38" t="str">
        <f t="shared" si="11"/>
        <v/>
      </c>
      <c r="AG62" s="48"/>
      <c r="AH62" s="49"/>
      <c r="AI62" s="42"/>
      <c r="AJ62" s="41"/>
      <c r="AK62" s="41"/>
      <c r="AL62" s="42"/>
    </row>
    <row r="63" spans="1:64" ht="19.5" customHeight="1" x14ac:dyDescent="0.25">
      <c r="A63" s="413"/>
      <c r="B63" s="449"/>
      <c r="C63" s="449"/>
      <c r="D63" s="449"/>
      <c r="E63" s="57"/>
      <c r="F63" s="451"/>
      <c r="G63" s="59"/>
      <c r="H63" s="59"/>
      <c r="I63" s="449"/>
      <c r="J63" s="440"/>
      <c r="K63" s="441"/>
      <c r="L63" s="442"/>
      <c r="M63" s="443"/>
      <c r="N63" s="442">
        <f>IF(NOT(ISERROR(MATCH(M63,_xlfn.ANCHORARRAY(F74),0))),L76&amp;"Por favor no seleccionar los criterios de impacto",M63)</f>
        <v>0</v>
      </c>
      <c r="O63" s="441"/>
      <c r="P63" s="442"/>
      <c r="Q63" s="444"/>
      <c r="R63" s="31">
        <v>4</v>
      </c>
      <c r="S63" s="50"/>
      <c r="T63" s="45" t="str">
        <f t="shared" si="6"/>
        <v/>
      </c>
      <c r="U63" s="46"/>
      <c r="V63" s="46"/>
      <c r="W63" s="47" t="str">
        <f t="shared" si="8"/>
        <v/>
      </c>
      <c r="X63" s="46"/>
      <c r="Y63" s="46"/>
      <c r="Z63" s="46"/>
      <c r="AA63" s="35" t="str">
        <f>IFERROR(IF(AND(T62="Probabilidad",T63="Probabilidad"),(AC62-(+AC62*W63)),IF(AND(T62="Impacto",T63="Probabilidad"),(AC61-(+AC61*W63)),IF(T63="Impacto",AC62,""))),"")</f>
        <v/>
      </c>
      <c r="AB63" s="36" t="str">
        <f t="shared" si="9"/>
        <v/>
      </c>
      <c r="AC63" s="37" t="str">
        <f t="shared" si="10"/>
        <v/>
      </c>
      <c r="AD63" s="36" t="str">
        <f t="shared" si="7"/>
        <v/>
      </c>
      <c r="AE63" s="37" t="str">
        <f>IFERROR(IF(AND(T62="Impacto",T63="Impacto"),(AE62-(+AE62*W63)),IF(AND(T62="Probabilidad",T63="Impacto"),(AE61-(+AE61*W63)),IF(T63="Probabilidad",AE62,""))),"")</f>
        <v/>
      </c>
      <c r="AF63" s="38" t="str">
        <f t="shared" si="11"/>
        <v/>
      </c>
      <c r="AG63" s="48"/>
      <c r="AH63" s="49"/>
      <c r="AI63" s="42"/>
      <c r="AJ63" s="41"/>
      <c r="AK63" s="41"/>
      <c r="AL63" s="42"/>
    </row>
    <row r="64" spans="1:64" ht="19.5" customHeight="1" x14ac:dyDescent="0.25">
      <c r="A64" s="413"/>
      <c r="B64" s="449"/>
      <c r="C64" s="449"/>
      <c r="D64" s="449"/>
      <c r="E64" s="57"/>
      <c r="F64" s="451"/>
      <c r="G64" s="59"/>
      <c r="H64" s="59"/>
      <c r="I64" s="449"/>
      <c r="J64" s="440"/>
      <c r="K64" s="441"/>
      <c r="L64" s="442"/>
      <c r="M64" s="443"/>
      <c r="N64" s="442">
        <f>IF(NOT(ISERROR(MATCH(M64,_xlfn.ANCHORARRAY(F75),0))),L77&amp;"Por favor no seleccionar los criterios de impacto",M64)</f>
        <v>0</v>
      </c>
      <c r="O64" s="441"/>
      <c r="P64" s="442"/>
      <c r="Q64" s="444"/>
      <c r="R64" s="31">
        <v>5</v>
      </c>
      <c r="S64" s="50"/>
      <c r="T64" s="45" t="str">
        <f t="shared" si="6"/>
        <v/>
      </c>
      <c r="U64" s="46"/>
      <c r="V64" s="46"/>
      <c r="W64" s="47" t="str">
        <f t="shared" si="8"/>
        <v/>
      </c>
      <c r="X64" s="46"/>
      <c r="Y64" s="46"/>
      <c r="Z64" s="46"/>
      <c r="AA64" s="35" t="str">
        <f>IFERROR(IF(AND(T63="Probabilidad",T64="Probabilidad"),(AC63-(+AC63*W64)),IF(AND(T63="Impacto",T64="Probabilidad"),(AC62-(+AC62*W64)),IF(T64="Impacto",AC63,""))),"")</f>
        <v/>
      </c>
      <c r="AB64" s="36" t="str">
        <f t="shared" si="9"/>
        <v/>
      </c>
      <c r="AC64" s="37" t="str">
        <f t="shared" si="10"/>
        <v/>
      </c>
      <c r="AD64" s="36" t="str">
        <f t="shared" si="7"/>
        <v/>
      </c>
      <c r="AE64" s="37" t="str">
        <f>IFERROR(IF(AND(T63="Impacto",T64="Impacto"),(AE63-(+AE63*W64)),IF(AND(T63="Probabilidad",T64="Impacto"),(AE62-(+AE62*W64)),IF(T64="Probabilidad",AE63,""))),"")</f>
        <v/>
      </c>
      <c r="AF64" s="38" t="str">
        <f t="shared" si="11"/>
        <v/>
      </c>
      <c r="AG64" s="48"/>
      <c r="AH64" s="49"/>
      <c r="AI64" s="42"/>
      <c r="AJ64" s="41"/>
      <c r="AK64" s="41"/>
      <c r="AL64" s="42"/>
    </row>
    <row r="65" spans="1:38" ht="19.5" customHeight="1" x14ac:dyDescent="0.25">
      <c r="A65" s="413"/>
      <c r="B65" s="449"/>
      <c r="C65" s="449"/>
      <c r="D65" s="449"/>
      <c r="E65" s="60"/>
      <c r="F65" s="451"/>
      <c r="G65" s="58"/>
      <c r="H65" s="58"/>
      <c r="I65" s="449"/>
      <c r="J65" s="440"/>
      <c r="K65" s="441"/>
      <c r="L65" s="442"/>
      <c r="M65" s="443"/>
      <c r="N65" s="442">
        <f>IF(NOT(ISERROR(MATCH(M65,_xlfn.ANCHORARRAY(F76),0))),L78&amp;"Por favor no seleccionar los criterios de impacto",M65)</f>
        <v>0</v>
      </c>
      <c r="O65" s="441"/>
      <c r="P65" s="442"/>
      <c r="Q65" s="444"/>
      <c r="R65" s="31">
        <v>6</v>
      </c>
      <c r="S65" s="50"/>
      <c r="T65" s="45" t="str">
        <f t="shared" si="6"/>
        <v/>
      </c>
      <c r="U65" s="46"/>
      <c r="V65" s="46"/>
      <c r="W65" s="47" t="str">
        <f t="shared" si="8"/>
        <v/>
      </c>
      <c r="X65" s="46"/>
      <c r="Y65" s="46"/>
      <c r="Z65" s="46"/>
      <c r="AA65" s="35" t="str">
        <f>IFERROR(IF(AND(T64="Probabilidad",T65="Probabilidad"),(AC64-(+AC64*W65)),IF(AND(T64="Impacto",T65="Probabilidad"),(AC63-(+AC63*W65)),IF(T65="Impacto",AC64,""))),"")</f>
        <v/>
      </c>
      <c r="AB65" s="36" t="str">
        <f t="shared" si="9"/>
        <v/>
      </c>
      <c r="AC65" s="37" t="str">
        <f t="shared" si="10"/>
        <v/>
      </c>
      <c r="AD65" s="36" t="str">
        <f t="shared" si="7"/>
        <v/>
      </c>
      <c r="AE65" s="37" t="str">
        <f>IFERROR(IF(AND(T64="Impacto",T65="Impacto"),(AE64-(+AE64*W65)),IF(AND(T64="Probabilidad",T65="Impacto"),(AE63-(+AE63*W65)),IF(T65="Probabilidad",AE64,""))),"")</f>
        <v/>
      </c>
      <c r="AF65" s="38" t="str">
        <f t="shared" si="11"/>
        <v/>
      </c>
      <c r="AG65" s="48"/>
      <c r="AH65" s="49"/>
      <c r="AI65" s="42"/>
      <c r="AJ65" s="41"/>
      <c r="AK65" s="41"/>
      <c r="AL65" s="42"/>
    </row>
    <row r="66" spans="1:38" ht="49.5" customHeight="1" x14ac:dyDescent="0.25">
      <c r="A66" s="29"/>
      <c r="B66" s="454" t="s">
        <v>124</v>
      </c>
      <c r="C66" s="454"/>
      <c r="D66" s="454"/>
      <c r="E66" s="454"/>
      <c r="F66" s="454"/>
      <c r="G66" s="454"/>
      <c r="H66" s="454"/>
      <c r="I66" s="454"/>
      <c r="J66" s="454"/>
      <c r="K66" s="454"/>
      <c r="L66" s="454"/>
      <c r="M66" s="454"/>
      <c r="N66" s="454"/>
      <c r="O66" s="454"/>
      <c r="P66" s="454"/>
      <c r="Q66" s="454"/>
      <c r="R66" s="454"/>
      <c r="S66" s="454"/>
      <c r="T66" s="454"/>
      <c r="U66" s="454"/>
      <c r="V66" s="454"/>
      <c r="W66" s="454"/>
      <c r="X66" s="454"/>
      <c r="Y66" s="454"/>
      <c r="Z66" s="454"/>
      <c r="AA66" s="454"/>
      <c r="AB66" s="454"/>
      <c r="AC66" s="454"/>
      <c r="AD66" s="454"/>
      <c r="AE66" s="454"/>
      <c r="AF66" s="454"/>
      <c r="AG66" s="454"/>
      <c r="AH66" s="454"/>
      <c r="AI66" s="454"/>
      <c r="AJ66" s="454"/>
      <c r="AK66" s="454"/>
      <c r="AL66" s="454"/>
    </row>
    <row r="68" spans="1:38" x14ac:dyDescent="0.25">
      <c r="A68" s="19"/>
      <c r="B68" s="63" t="s">
        <v>125</v>
      </c>
      <c r="C68" s="19"/>
      <c r="D68" s="19"/>
      <c r="E68" s="19"/>
      <c r="I68" s="19"/>
    </row>
  </sheetData>
  <mergeCells count="257">
    <mergeCell ref="AV10:AV11"/>
    <mergeCell ref="AV16:AV17"/>
    <mergeCell ref="AY10:AY11"/>
    <mergeCell ref="AY16:AY17"/>
    <mergeCell ref="AX8:AX9"/>
    <mergeCell ref="AY8:AY9"/>
    <mergeCell ref="AX10:AX11"/>
    <mergeCell ref="AX16:AX17"/>
    <mergeCell ref="AX22:AX23"/>
    <mergeCell ref="AY22:AY23"/>
    <mergeCell ref="P42:P47"/>
    <mergeCell ref="Q42:Q47"/>
    <mergeCell ref="M48:M53"/>
    <mergeCell ref="AS8:AS9"/>
    <mergeCell ref="AT8:AT9"/>
    <mergeCell ref="AS10:AS11"/>
    <mergeCell ref="AS16:AS17"/>
    <mergeCell ref="AS22:AS23"/>
    <mergeCell ref="AT22:AT23"/>
    <mergeCell ref="N48:N53"/>
    <mergeCell ref="O48:O53"/>
    <mergeCell ref="P48:P53"/>
    <mergeCell ref="Q48:Q53"/>
    <mergeCell ref="P36:P41"/>
    <mergeCell ref="Q36:Q41"/>
    <mergeCell ref="AI22:AI23"/>
    <mergeCell ref="AK22:AK23"/>
    <mergeCell ref="M24:M29"/>
    <mergeCell ref="N24:N29"/>
    <mergeCell ref="O24:O29"/>
    <mergeCell ref="P24:P29"/>
    <mergeCell ref="Q24:Q29"/>
    <mergeCell ref="AI16:AI17"/>
    <mergeCell ref="AH22:AH23"/>
    <mergeCell ref="B66:AL66"/>
    <mergeCell ref="M54:M59"/>
    <mergeCell ref="N54:N59"/>
    <mergeCell ref="O54:O59"/>
    <mergeCell ref="P54:P59"/>
    <mergeCell ref="Q54:Q59"/>
    <mergeCell ref="M60:M65"/>
    <mergeCell ref="N60:N65"/>
    <mergeCell ref="O60:O65"/>
    <mergeCell ref="P60:P65"/>
    <mergeCell ref="Q60:Q65"/>
    <mergeCell ref="A60:A65"/>
    <mergeCell ref="B60:B65"/>
    <mergeCell ref="C60:C65"/>
    <mergeCell ref="D60:D65"/>
    <mergeCell ref="F60:F65"/>
    <mergeCell ref="I60:I65"/>
    <mergeCell ref="J60:J65"/>
    <mergeCell ref="K60:K65"/>
    <mergeCell ref="L60:L65"/>
    <mergeCell ref="A54:A59"/>
    <mergeCell ref="B54:B59"/>
    <mergeCell ref="C54:C59"/>
    <mergeCell ref="D54:D59"/>
    <mergeCell ref="F54:F59"/>
    <mergeCell ref="I54:I59"/>
    <mergeCell ref="J54:J59"/>
    <mergeCell ref="K54:K59"/>
    <mergeCell ref="L54:L59"/>
    <mergeCell ref="A42:A47"/>
    <mergeCell ref="B42:B47"/>
    <mergeCell ref="C42:C47"/>
    <mergeCell ref="D42:D47"/>
    <mergeCell ref="F42:F47"/>
    <mergeCell ref="I42:I47"/>
    <mergeCell ref="A48:A53"/>
    <mergeCell ref="B48:B53"/>
    <mergeCell ref="C48:C53"/>
    <mergeCell ref="D48:D53"/>
    <mergeCell ref="F48:F53"/>
    <mergeCell ref="I48:I53"/>
    <mergeCell ref="J48:J53"/>
    <mergeCell ref="K48:K53"/>
    <mergeCell ref="L48:L53"/>
    <mergeCell ref="M42:M47"/>
    <mergeCell ref="N42:N47"/>
    <mergeCell ref="J42:J47"/>
    <mergeCell ref="K42:K47"/>
    <mergeCell ref="O42:O47"/>
    <mergeCell ref="M36:M41"/>
    <mergeCell ref="N36:N41"/>
    <mergeCell ref="O36:O41"/>
    <mergeCell ref="J36:J41"/>
    <mergeCell ref="K36:K41"/>
    <mergeCell ref="L36:L41"/>
    <mergeCell ref="L42:L47"/>
    <mergeCell ref="A30:A35"/>
    <mergeCell ref="B30:B35"/>
    <mergeCell ref="C30:C35"/>
    <mergeCell ref="D30:D35"/>
    <mergeCell ref="F30:F35"/>
    <mergeCell ref="I30:I35"/>
    <mergeCell ref="A36:A41"/>
    <mergeCell ref="B36:B41"/>
    <mergeCell ref="C36:C41"/>
    <mergeCell ref="D36:D41"/>
    <mergeCell ref="F36:F41"/>
    <mergeCell ref="I36:I41"/>
    <mergeCell ref="A24:A29"/>
    <mergeCell ref="B24:B29"/>
    <mergeCell ref="C24:C29"/>
    <mergeCell ref="D24:D29"/>
    <mergeCell ref="F24:F29"/>
    <mergeCell ref="I24:I29"/>
    <mergeCell ref="J24:J29"/>
    <mergeCell ref="K24:K29"/>
    <mergeCell ref="L24:L29"/>
    <mergeCell ref="G22:G23"/>
    <mergeCell ref="J30:J35"/>
    <mergeCell ref="K30:K35"/>
    <mergeCell ref="L30:L35"/>
    <mergeCell ref="M30:M35"/>
    <mergeCell ref="N30:N35"/>
    <mergeCell ref="O30:O35"/>
    <mergeCell ref="P30:P35"/>
    <mergeCell ref="Q30:Q35"/>
    <mergeCell ref="AG16:AG17"/>
    <mergeCell ref="N22:N23"/>
    <mergeCell ref="O22:O23"/>
    <mergeCell ref="P22:P23"/>
    <mergeCell ref="Q22:Q23"/>
    <mergeCell ref="AG22:AG23"/>
    <mergeCell ref="K22:K23"/>
    <mergeCell ref="L22:L23"/>
    <mergeCell ref="M22:M23"/>
    <mergeCell ref="J22:J23"/>
    <mergeCell ref="R22:R23"/>
    <mergeCell ref="L16:L21"/>
    <mergeCell ref="M16:M21"/>
    <mergeCell ref="N16:N21"/>
    <mergeCell ref="O16:O21"/>
    <mergeCell ref="P16:P21"/>
    <mergeCell ref="A16:A21"/>
    <mergeCell ref="B16:B21"/>
    <mergeCell ref="C16:C21"/>
    <mergeCell ref="D16:D21"/>
    <mergeCell ref="F16:F21"/>
    <mergeCell ref="H16:H21"/>
    <mergeCell ref="I16:I21"/>
    <mergeCell ref="J16:J21"/>
    <mergeCell ref="K16:K21"/>
    <mergeCell ref="E17:E21"/>
    <mergeCell ref="G16:G21"/>
    <mergeCell ref="B22:B23"/>
    <mergeCell ref="C22:C23"/>
    <mergeCell ref="D22:D23"/>
    <mergeCell ref="F22:F23"/>
    <mergeCell ref="H22:H23"/>
    <mergeCell ref="I22:I23"/>
    <mergeCell ref="A22:A23"/>
    <mergeCell ref="Q16:Q21"/>
    <mergeCell ref="AI8:AI9"/>
    <mergeCell ref="AC8:AC9"/>
    <mergeCell ref="AD8:AD9"/>
    <mergeCell ref="AE8:AE9"/>
    <mergeCell ref="AF8:AF9"/>
    <mergeCell ref="AG8:AG9"/>
    <mergeCell ref="AH8:AH9"/>
    <mergeCell ref="L8:L9"/>
    <mergeCell ref="M8:M9"/>
    <mergeCell ref="N8:N9"/>
    <mergeCell ref="O8:O9"/>
    <mergeCell ref="P8:P9"/>
    <mergeCell ref="Q8:Q9"/>
    <mergeCell ref="R8:R9"/>
    <mergeCell ref="S8:S9"/>
    <mergeCell ref="T8:T9"/>
    <mergeCell ref="L10:L15"/>
    <mergeCell ref="M10:M15"/>
    <mergeCell ref="N10:N15"/>
    <mergeCell ref="O10:O15"/>
    <mergeCell ref="P10:P15"/>
    <mergeCell ref="Q10:Q15"/>
    <mergeCell ref="AG10:AG11"/>
    <mergeCell ref="AI10:AI11"/>
    <mergeCell ref="U8:Z8"/>
    <mergeCell ref="AA8:AA9"/>
    <mergeCell ref="AB8:AB9"/>
    <mergeCell ref="A10:A15"/>
    <mergeCell ref="B10:B15"/>
    <mergeCell ref="C10:C15"/>
    <mergeCell ref="D10:D15"/>
    <mergeCell ref="F10:F15"/>
    <mergeCell ref="H10:H15"/>
    <mergeCell ref="I10:I15"/>
    <mergeCell ref="J10:J15"/>
    <mergeCell ref="K10:K15"/>
    <mergeCell ref="G8:G9"/>
    <mergeCell ref="G10:G15"/>
    <mergeCell ref="A8:A9"/>
    <mergeCell ref="B8:B9"/>
    <mergeCell ref="C8:C9"/>
    <mergeCell ref="D8:D9"/>
    <mergeCell ref="E8:E9"/>
    <mergeCell ref="F8:F9"/>
    <mergeCell ref="I8:I9"/>
    <mergeCell ref="J8:J9"/>
    <mergeCell ref="K8:K9"/>
    <mergeCell ref="A1:AL2"/>
    <mergeCell ref="A4:B4"/>
    <mergeCell ref="C4:AL4"/>
    <mergeCell ref="A5:B5"/>
    <mergeCell ref="C5:AL5"/>
    <mergeCell ref="A6:B6"/>
    <mergeCell ref="C6:AL6"/>
    <mergeCell ref="A7:J7"/>
    <mergeCell ref="K7:Q7"/>
    <mergeCell ref="R7:Z7"/>
    <mergeCell ref="AA7:AG7"/>
    <mergeCell ref="AH7:AL7"/>
    <mergeCell ref="AJ22:AJ23"/>
    <mergeCell ref="AL22:AL23"/>
    <mergeCell ref="AJ16:AJ17"/>
    <mergeCell ref="AM8:AM9"/>
    <mergeCell ref="AN8:AN9"/>
    <mergeCell ref="AO8:AO9"/>
    <mergeCell ref="AM10:AM11"/>
    <mergeCell ref="AO10:AO11"/>
    <mergeCell ref="AM16:AM17"/>
    <mergeCell ref="AM22:AM23"/>
    <mergeCell ref="AN22:AN23"/>
    <mergeCell ref="AO22:AO23"/>
    <mergeCell ref="AJ10:AJ11"/>
    <mergeCell ref="AL16:AL17"/>
    <mergeCell ref="AO16:AO17"/>
    <mergeCell ref="AJ8:AJ9"/>
    <mergeCell ref="AK8:AK9"/>
    <mergeCell ref="AL8:AL9"/>
    <mergeCell ref="AL10:AL11"/>
    <mergeCell ref="BA8:BA9"/>
    <mergeCell ref="BA10:BA11"/>
    <mergeCell ref="BA16:BA17"/>
    <mergeCell ref="BA22:BA23"/>
    <mergeCell ref="AP8:AP9"/>
    <mergeCell ref="AQ8:AQ9"/>
    <mergeCell ref="AP10:AP11"/>
    <mergeCell ref="AP16:AP17"/>
    <mergeCell ref="AP22:AP23"/>
    <mergeCell ref="AQ22:AQ23"/>
    <mergeCell ref="AR8:AR9"/>
    <mergeCell ref="AR10:AR11"/>
    <mergeCell ref="AR16:AR17"/>
    <mergeCell ref="AR22:AR23"/>
    <mergeCell ref="AU8:AU9"/>
    <mergeCell ref="AU10:AU11"/>
    <mergeCell ref="AU16:AU17"/>
    <mergeCell ref="AU22:AU23"/>
    <mergeCell ref="AZ8:AZ9"/>
    <mergeCell ref="AZ22:AZ23"/>
    <mergeCell ref="AV22:AV23"/>
    <mergeCell ref="AW22:AW23"/>
    <mergeCell ref="AV8:AV9"/>
    <mergeCell ref="AW8:AW9"/>
  </mergeCells>
  <conditionalFormatting sqref="K10 K16 K22 K24 K30 K36 K42 K48 K54 K60">
    <cfRule type="cellIs" dxfId="32" priority="2" operator="equal">
      <formula>"Muy Alta"</formula>
    </cfRule>
    <cfRule type="cellIs" dxfId="31" priority="3" operator="equal">
      <formula>"Alta"</formula>
    </cfRule>
    <cfRule type="cellIs" dxfId="30" priority="4" operator="equal">
      <formula>"Media"</formula>
    </cfRule>
    <cfRule type="cellIs" dxfId="29" priority="5" operator="equal">
      <formula>"Baja"</formula>
    </cfRule>
    <cfRule type="cellIs" dxfId="28" priority="6" operator="equal">
      <formula>"Muy Baja"</formula>
    </cfRule>
  </conditionalFormatting>
  <conditionalFormatting sqref="N10:N65">
    <cfRule type="containsText" dxfId="27" priority="34" operator="containsText" text="❌">
      <formula>NOT(ISERROR(SEARCH("❌",N10)))</formula>
    </cfRule>
  </conditionalFormatting>
  <conditionalFormatting sqref="O10 O16 O22 O24 O30 O36 O42 O48 O54 O60">
    <cfRule type="cellIs" dxfId="26" priority="7" operator="equal">
      <formula>"Catastrófico"</formula>
    </cfRule>
    <cfRule type="cellIs" dxfId="25" priority="8" operator="equal">
      <formula>"Mayor"</formula>
    </cfRule>
    <cfRule type="cellIs" dxfId="24" priority="9" operator="equal">
      <formula>"Moderado"</formula>
    </cfRule>
    <cfRule type="cellIs" dxfId="23" priority="10" operator="equal">
      <formula>"Menor"</formula>
    </cfRule>
    <cfRule type="cellIs" dxfId="22" priority="11" operator="equal">
      <formula>"Leve"</formula>
    </cfRule>
  </conditionalFormatting>
  <conditionalFormatting sqref="Q10">
    <cfRule type="cellIs" dxfId="21" priority="12" operator="equal">
      <formula>"Extremo"</formula>
    </cfRule>
    <cfRule type="cellIs" dxfId="20" priority="13" operator="equal">
      <formula>"Alto"</formula>
    </cfRule>
    <cfRule type="cellIs" dxfId="19" priority="14" operator="equal">
      <formula>"Moderado"</formula>
    </cfRule>
    <cfRule type="cellIs" dxfId="18" priority="15" operator="equal">
      <formula>"Bajo"</formula>
    </cfRule>
  </conditionalFormatting>
  <conditionalFormatting sqref="Q16 Q22 Q24 Q30 Q36 Q42 Q48 Q54 Q60">
    <cfRule type="cellIs" dxfId="17" priority="30" operator="equal">
      <formula>"Extremo"</formula>
    </cfRule>
    <cfRule type="cellIs" dxfId="16" priority="31" operator="equal">
      <formula>"Alto"</formula>
    </cfRule>
    <cfRule type="cellIs" dxfId="15" priority="32" operator="equal">
      <formula>"Moderado"</formula>
    </cfRule>
    <cfRule type="cellIs" dxfId="14" priority="33" operator="equal">
      <formula>"Bajo"</formula>
    </cfRule>
  </conditionalFormatting>
  <conditionalFormatting sqref="AB10:AB65">
    <cfRule type="cellIs" dxfId="13" priority="16" operator="equal">
      <formula>"Muy Alta"</formula>
    </cfRule>
    <cfRule type="cellIs" dxfId="12" priority="17" operator="equal">
      <formula>"Alta"</formula>
    </cfRule>
    <cfRule type="cellIs" dxfId="11" priority="18" operator="equal">
      <formula>"Media"</formula>
    </cfRule>
    <cfRule type="cellIs" dxfId="10" priority="19" operator="equal">
      <formula>"Baja"</formula>
    </cfRule>
    <cfRule type="cellIs" dxfId="9" priority="20" operator="equal">
      <formula>"Muy Baja"</formula>
    </cfRule>
  </conditionalFormatting>
  <conditionalFormatting sqref="AD10:AD65">
    <cfRule type="cellIs" dxfId="8" priority="21" operator="equal">
      <formula>"Catastrófico"</formula>
    </cfRule>
    <cfRule type="cellIs" dxfId="7" priority="22" operator="equal">
      <formula>"Mayor"</formula>
    </cfRule>
    <cfRule type="cellIs" dxfId="6" priority="23" operator="equal">
      <formula>"Moderado"</formula>
    </cfRule>
    <cfRule type="cellIs" dxfId="5" priority="24" operator="equal">
      <formula>"Menor"</formula>
    </cfRule>
    <cfRule type="cellIs" dxfId="4" priority="25" operator="equal">
      <formula>"Leve"</formula>
    </cfRule>
  </conditionalFormatting>
  <conditionalFormatting sqref="AF10:AF65">
    <cfRule type="cellIs" dxfId="3" priority="26" operator="equal">
      <formula>"Extremo"</formula>
    </cfRule>
    <cfRule type="cellIs" dxfId="2" priority="27" operator="equal">
      <formula>"Alto"</formula>
    </cfRule>
    <cfRule type="cellIs" dxfId="1" priority="28" operator="equal">
      <formula>"Moderado"</formula>
    </cfRule>
    <cfRule type="cellIs" dxfId="0" priority="29" operator="equal">
      <formula>"Bajo"</formula>
    </cfRule>
  </conditionalFormatting>
  <dataValidations count="1">
    <dataValidation type="list" allowBlank="1" showErrorMessage="1" sqref="G10 G16 G22" xr:uid="{30840F98-1195-487C-BA1A-8A27AE71D7B1}">
      <formula1>"Gestión,FISCAL"</formula1>
    </dataValidation>
  </dataValidations>
  <pageMargins left="0.7" right="0.7" top="0.75" bottom="0.75" header="0.511811023622047" footer="0.511811023622047"/>
  <pageSetup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R30" sqref="R30:S31"/>
    </sheetView>
  </sheetViews>
  <sheetFormatPr baseColWidth="10" defaultColWidth="10.6640625" defaultRowHeight="14.4" x14ac:dyDescent="0.3"/>
  <cols>
    <col min="2" max="39" width="5.6640625" customWidth="1"/>
    <col min="41" max="46" width="5.6640625" customWidth="1"/>
  </cols>
  <sheetData>
    <row r="1" spans="1:99"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row>
    <row r="2" spans="1:99" ht="18" customHeight="1" x14ac:dyDescent="0.3">
      <c r="A2" s="1"/>
      <c r="B2" s="456" t="s">
        <v>126</v>
      </c>
      <c r="C2" s="456"/>
      <c r="D2" s="456"/>
      <c r="E2" s="456"/>
      <c r="F2" s="456"/>
      <c r="G2" s="456"/>
      <c r="H2" s="456"/>
      <c r="I2" s="456"/>
      <c r="J2" s="457" t="s">
        <v>15</v>
      </c>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row>
    <row r="3" spans="1:99" ht="18.75" customHeight="1" x14ac:dyDescent="0.3">
      <c r="A3" s="1"/>
      <c r="B3" s="456"/>
      <c r="C3" s="456"/>
      <c r="D3" s="456"/>
      <c r="E3" s="456"/>
      <c r="F3" s="456"/>
      <c r="G3" s="456"/>
      <c r="H3" s="456"/>
      <c r="I3" s="456"/>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row>
    <row r="4" spans="1:99" ht="15" customHeight="1" x14ac:dyDescent="0.3">
      <c r="A4" s="1"/>
      <c r="B4" s="456"/>
      <c r="C4" s="456"/>
      <c r="D4" s="456"/>
      <c r="E4" s="456"/>
      <c r="F4" s="456"/>
      <c r="G4" s="456"/>
      <c r="H4" s="456"/>
      <c r="I4" s="456"/>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row>
    <row r="5" spans="1:99" x14ac:dyDescent="0.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row>
    <row r="6" spans="1:99" ht="15" customHeight="1" x14ac:dyDescent="0.3">
      <c r="A6" s="1"/>
      <c r="B6" s="458" t="s">
        <v>120</v>
      </c>
      <c r="C6" s="458"/>
      <c r="D6" s="458"/>
      <c r="E6" s="459" t="s">
        <v>127</v>
      </c>
      <c r="F6" s="459"/>
      <c r="G6" s="459"/>
      <c r="H6" s="459"/>
      <c r="I6" s="459"/>
      <c r="J6" s="460" t="str">
        <f>IF(AND('Mapa final'!$K$10="Muy Alta",'Mapa final'!$O$10="Leve"),CONCATENATE("R",'Mapa final'!$A$10),"")</f>
        <v/>
      </c>
      <c r="K6" s="460"/>
      <c r="L6" s="461" t="str">
        <f>IF(AND('Mapa final'!$K$16="Muy Alta",'Mapa final'!$O$16="Leve"),CONCATENATE("R",'Mapa final'!$A$16),"")</f>
        <v/>
      </c>
      <c r="M6" s="461"/>
      <c r="N6" s="462" t="str">
        <f>IF(AND('Mapa final'!$K$22="Muy Alta",'Mapa final'!$O$22="Leve"),CONCATENATE("R",'Mapa final'!$A$22),"")</f>
        <v/>
      </c>
      <c r="O6" s="462"/>
      <c r="P6" s="460" t="str">
        <f>IF(AND('Mapa final'!$K$10="Muy Alta",'Mapa final'!$O$10="Menor"),CONCATENATE("R",'Mapa final'!$A$10),"")</f>
        <v/>
      </c>
      <c r="Q6" s="460"/>
      <c r="R6" s="461" t="str">
        <f>IF(AND('Mapa final'!$K$16="Muy Alta",'Mapa final'!$O$16="Menor"),CONCATENATE("R",'Mapa final'!$A$16),"")</f>
        <v/>
      </c>
      <c r="S6" s="461"/>
      <c r="T6" s="462" t="str">
        <f>IF(AND('Mapa final'!$K$22="Muy Alta",'Mapa final'!$O$22="Menor"),CONCATENATE("R",'Mapa final'!$A$22),"")</f>
        <v/>
      </c>
      <c r="U6" s="462"/>
      <c r="V6" s="460" t="str">
        <f>IF(AND('Mapa final'!$K$10="Muy Alta",'Mapa final'!$O$10="Moderado"),CONCATENATE("R",'Mapa final'!$A$10),"")</f>
        <v/>
      </c>
      <c r="W6" s="460"/>
      <c r="X6" s="461" t="str">
        <f>IF(AND('Mapa final'!$K$16="Muy Alta",'Mapa final'!$O$16="Moderado"),CONCATENATE("R",'Mapa final'!$A$16),"")</f>
        <v/>
      </c>
      <c r="Y6" s="461"/>
      <c r="Z6" s="462" t="str">
        <f>IF(AND('Mapa final'!$K$22="Muy Alta",'Mapa final'!$O$22="Moderado"),CONCATENATE("R",'Mapa final'!$A$22),"")</f>
        <v/>
      </c>
      <c r="AA6" s="462"/>
      <c r="AB6" s="460" t="str">
        <f>IF(AND('Mapa final'!$K$10="Muy Alta",'Mapa final'!$O$10="Mayor"),CONCATENATE("R",'Mapa final'!$A$10),"")</f>
        <v/>
      </c>
      <c r="AC6" s="460"/>
      <c r="AD6" s="461" t="str">
        <f>IF(AND('Mapa final'!$K$16="Muy Alta",'Mapa final'!$O$16="Mayor"),CONCATENATE("R",'Mapa final'!$A$16),"")</f>
        <v/>
      </c>
      <c r="AE6" s="461"/>
      <c r="AF6" s="462" t="str">
        <f>IF(AND('Mapa final'!$K$22="Muy Alta",'Mapa final'!$O$22="Mayor"),CONCATENATE("R",'Mapa final'!$A$22),"")</f>
        <v/>
      </c>
      <c r="AG6" s="462"/>
      <c r="AH6" s="463" t="str">
        <f>IF(AND('Mapa final'!$K$10="Muy Alta",'Mapa final'!$O$10="Catastrófico"),CONCATENATE("R",'Mapa final'!$A$10),"")</f>
        <v/>
      </c>
      <c r="AI6" s="463"/>
      <c r="AJ6" s="464" t="str">
        <f>IF(AND('Mapa final'!$K$16="Muy Alta",'Mapa final'!$O$16="Catastrófico"),CONCATENATE("R",'Mapa final'!$A$16),"")</f>
        <v/>
      </c>
      <c r="AK6" s="464"/>
      <c r="AL6" s="465" t="str">
        <f>IF(AND('Mapa final'!$K$22="Muy Alta",'Mapa final'!$O$22="Catastrófico"),CONCATENATE("R",'Mapa final'!$A$22),"")</f>
        <v/>
      </c>
      <c r="AM6" s="465"/>
      <c r="AO6" s="470" t="s">
        <v>128</v>
      </c>
      <c r="AP6" s="470"/>
      <c r="AQ6" s="470"/>
      <c r="AR6" s="470"/>
      <c r="AS6" s="470"/>
      <c r="AT6" s="470"/>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row>
    <row r="7" spans="1:99" ht="15" customHeight="1" x14ac:dyDescent="0.3">
      <c r="A7" s="1"/>
      <c r="B7" s="458"/>
      <c r="C7" s="458"/>
      <c r="D7" s="458"/>
      <c r="E7" s="459"/>
      <c r="F7" s="459"/>
      <c r="G7" s="459"/>
      <c r="H7" s="459"/>
      <c r="I7" s="459"/>
      <c r="J7" s="460"/>
      <c r="K7" s="460"/>
      <c r="L7" s="461"/>
      <c r="M7" s="461"/>
      <c r="N7" s="462"/>
      <c r="O7" s="462"/>
      <c r="P7" s="460"/>
      <c r="Q7" s="460"/>
      <c r="R7" s="461"/>
      <c r="S7" s="461"/>
      <c r="T7" s="462"/>
      <c r="U7" s="462"/>
      <c r="V7" s="460"/>
      <c r="W7" s="460"/>
      <c r="X7" s="461"/>
      <c r="Y7" s="461"/>
      <c r="Z7" s="462"/>
      <c r="AA7" s="462"/>
      <c r="AB7" s="460"/>
      <c r="AC7" s="460"/>
      <c r="AD7" s="461"/>
      <c r="AE7" s="461"/>
      <c r="AF7" s="462"/>
      <c r="AG7" s="462"/>
      <c r="AH7" s="463"/>
      <c r="AI7" s="463"/>
      <c r="AJ7" s="464"/>
      <c r="AK7" s="464"/>
      <c r="AL7" s="465"/>
      <c r="AM7" s="465"/>
      <c r="AN7" s="1"/>
      <c r="AO7" s="470"/>
      <c r="AP7" s="470"/>
      <c r="AQ7" s="470"/>
      <c r="AR7" s="470"/>
      <c r="AS7" s="470"/>
      <c r="AT7" s="470"/>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row>
    <row r="8" spans="1:99" ht="15" customHeight="1" x14ac:dyDescent="0.3">
      <c r="A8" s="1"/>
      <c r="B8" s="458"/>
      <c r="C8" s="458"/>
      <c r="D8" s="458"/>
      <c r="E8" s="459"/>
      <c r="F8" s="459"/>
      <c r="G8" s="459"/>
      <c r="H8" s="459"/>
      <c r="I8" s="459"/>
      <c r="J8" s="467" t="str">
        <f>IF(AND('Mapa final'!$K$24="Muy Alta",'Mapa final'!$O$24="Leve"),CONCATENATE("R",'Mapa final'!$A$24),"")</f>
        <v/>
      </c>
      <c r="K8" s="467"/>
      <c r="L8" s="468" t="str">
        <f>IF(AND('Mapa final'!$K$30="Muy Alta",'Mapa final'!$O$30="Leve"),CONCATENATE("R",'Mapa final'!$A$30),"")</f>
        <v/>
      </c>
      <c r="M8" s="468"/>
      <c r="N8" s="466" t="str">
        <f>IF(AND('Mapa final'!$K$36="Muy Alta",'Mapa final'!$O$36="Leve"),CONCATENATE("R",'Mapa final'!$A$36),"")</f>
        <v/>
      </c>
      <c r="O8" s="466"/>
      <c r="P8" s="467" t="str">
        <f>IF(AND('Mapa final'!$K$24="Muy Alta",'Mapa final'!$O$24="Menor"),CONCATENATE("R",'Mapa final'!$A$24),"")</f>
        <v/>
      </c>
      <c r="Q8" s="467"/>
      <c r="R8" s="468" t="str">
        <f>IF(AND('Mapa final'!$K$30="Muy Alta",'Mapa final'!$O$30="Menor"),CONCATENATE("R",'Mapa final'!$A$30),"")</f>
        <v/>
      </c>
      <c r="S8" s="468"/>
      <c r="T8" s="466" t="str">
        <f>IF(AND('Mapa final'!$K$36="Muy Alta",'Mapa final'!$O$36="Menor"),CONCATENATE("R",'Mapa final'!$A$36),"")</f>
        <v/>
      </c>
      <c r="U8" s="466"/>
      <c r="V8" s="467" t="str">
        <f>IF(AND('Mapa final'!$K$24="Muy Alta",'Mapa final'!$O$24="Moderado"),CONCATENATE("R",'Mapa final'!$A$24),"")</f>
        <v/>
      </c>
      <c r="W8" s="467"/>
      <c r="X8" s="468" t="str">
        <f>IF(AND('Mapa final'!$K$30="Muy Alta",'Mapa final'!$O$30="Moderado"),CONCATENATE("R",'Mapa final'!$A$30),"")</f>
        <v/>
      </c>
      <c r="Y8" s="468"/>
      <c r="Z8" s="466" t="str">
        <f>IF(AND('Mapa final'!$K$36="Muy Alta",'Mapa final'!$O$36="Moderado"),CONCATENATE("R",'Mapa final'!$A$36),"")</f>
        <v/>
      </c>
      <c r="AA8" s="466"/>
      <c r="AB8" s="467" t="str">
        <f>IF(AND('Mapa final'!$K$24="Muy Alta",'Mapa final'!$O$24="Mayor"),CONCATENATE("R",'Mapa final'!$A$24),"")</f>
        <v/>
      </c>
      <c r="AC8" s="467"/>
      <c r="AD8" s="468" t="str">
        <f>IF(AND('Mapa final'!$K$30="Muy Alta",'Mapa final'!$O$30="Mayor"),CONCATENATE("R",'Mapa final'!$A$30),"")</f>
        <v/>
      </c>
      <c r="AE8" s="468"/>
      <c r="AF8" s="466" t="str">
        <f>IF(AND('Mapa final'!$K$36="Muy Alta",'Mapa final'!$O$36="Mayor"),CONCATENATE("R",'Mapa final'!$A$36),"")</f>
        <v/>
      </c>
      <c r="AG8" s="466"/>
      <c r="AH8" s="469" t="str">
        <f>IF(AND('Mapa final'!$K$24="Muy Alta",'Mapa final'!$O$24="Catastrófico"),CONCATENATE("R",'Mapa final'!$A$24),"")</f>
        <v/>
      </c>
      <c r="AI8" s="469"/>
      <c r="AJ8" s="471" t="str">
        <f>IF(AND('Mapa final'!$K$30="Muy Alta",'Mapa final'!$O$30="Catastrófico"),CONCATENATE("R",'Mapa final'!$A$30),"")</f>
        <v/>
      </c>
      <c r="AK8" s="471"/>
      <c r="AL8" s="472" t="str">
        <f>IF(AND('Mapa final'!$K$36="Muy Alta",'Mapa final'!$O$36="Catastrófico"),CONCATENATE("R",'Mapa final'!$A$36),"")</f>
        <v/>
      </c>
      <c r="AM8" s="472"/>
      <c r="AN8" s="1"/>
      <c r="AO8" s="470"/>
      <c r="AP8" s="470"/>
      <c r="AQ8" s="470"/>
      <c r="AR8" s="470"/>
      <c r="AS8" s="470"/>
      <c r="AT8" s="470"/>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row>
    <row r="9" spans="1:99" ht="15" customHeight="1" x14ac:dyDescent="0.3">
      <c r="A9" s="1"/>
      <c r="B9" s="458"/>
      <c r="C9" s="458"/>
      <c r="D9" s="458"/>
      <c r="E9" s="459"/>
      <c r="F9" s="459"/>
      <c r="G9" s="459"/>
      <c r="H9" s="459"/>
      <c r="I9" s="459"/>
      <c r="J9" s="467"/>
      <c r="K9" s="467"/>
      <c r="L9" s="468"/>
      <c r="M9" s="468"/>
      <c r="N9" s="466"/>
      <c r="O9" s="466"/>
      <c r="P9" s="467"/>
      <c r="Q9" s="467"/>
      <c r="R9" s="468"/>
      <c r="S9" s="468"/>
      <c r="T9" s="466"/>
      <c r="U9" s="466"/>
      <c r="V9" s="467"/>
      <c r="W9" s="467"/>
      <c r="X9" s="468"/>
      <c r="Y9" s="468"/>
      <c r="Z9" s="466"/>
      <c r="AA9" s="466"/>
      <c r="AB9" s="467"/>
      <c r="AC9" s="467"/>
      <c r="AD9" s="468"/>
      <c r="AE9" s="468"/>
      <c r="AF9" s="466"/>
      <c r="AG9" s="466"/>
      <c r="AH9" s="469"/>
      <c r="AI9" s="469"/>
      <c r="AJ9" s="471"/>
      <c r="AK9" s="471"/>
      <c r="AL9" s="472"/>
      <c r="AM9" s="472"/>
      <c r="AN9" s="1"/>
      <c r="AO9" s="470"/>
      <c r="AP9" s="470"/>
      <c r="AQ9" s="470"/>
      <c r="AR9" s="470"/>
      <c r="AS9" s="470"/>
      <c r="AT9" s="470"/>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row>
    <row r="10" spans="1:99" ht="15" customHeight="1" x14ac:dyDescent="0.3">
      <c r="A10" s="1"/>
      <c r="B10" s="458"/>
      <c r="C10" s="458"/>
      <c r="D10" s="458"/>
      <c r="E10" s="459"/>
      <c r="F10" s="459"/>
      <c r="G10" s="459"/>
      <c r="H10" s="459"/>
      <c r="I10" s="459"/>
      <c r="J10" s="467" t="str">
        <f>IF(AND('Mapa final'!$K$42="Muy Alta",'Mapa final'!$O$42="Leve"),CONCATENATE("R",'Mapa final'!$A$42),"")</f>
        <v/>
      </c>
      <c r="K10" s="467"/>
      <c r="L10" s="468" t="str">
        <f>IF(AND('Mapa final'!$K$48="Muy Alta",'Mapa final'!$O$48="Leve"),CONCATENATE("R",'Mapa final'!$A$48),"")</f>
        <v/>
      </c>
      <c r="M10" s="468"/>
      <c r="N10" s="466" t="str">
        <f>IF(AND('Mapa final'!$K$54="Muy Alta",'Mapa final'!$O$54="Leve"),CONCATENATE("R",'Mapa final'!$A$54),"")</f>
        <v/>
      </c>
      <c r="O10" s="466"/>
      <c r="P10" s="467" t="str">
        <f>IF(AND('Mapa final'!$K$42="Muy Alta",'Mapa final'!$O$42="Menor"),CONCATENATE("R",'Mapa final'!$A$42),"")</f>
        <v/>
      </c>
      <c r="Q10" s="467"/>
      <c r="R10" s="468" t="str">
        <f>IF(AND('Mapa final'!$K$48="Muy Alta",'Mapa final'!$O$48="Menor"),CONCATENATE("R",'Mapa final'!$A$48),"")</f>
        <v/>
      </c>
      <c r="S10" s="468"/>
      <c r="T10" s="466" t="str">
        <f>IF(AND('Mapa final'!$K$54="Muy Alta",'Mapa final'!$O$54="Menor"),CONCATENATE("R",'Mapa final'!$A$54),"")</f>
        <v/>
      </c>
      <c r="U10" s="466"/>
      <c r="V10" s="467" t="str">
        <f>IF(AND('Mapa final'!$K$42="Muy Alta",'Mapa final'!$O$42="Moderado"),CONCATENATE("R",'Mapa final'!$A$42),"")</f>
        <v/>
      </c>
      <c r="W10" s="467"/>
      <c r="X10" s="468" t="str">
        <f>IF(AND('Mapa final'!$K$48="Muy Alta",'Mapa final'!$O$48="Moderado"),CONCATENATE("R",'Mapa final'!$A$48),"")</f>
        <v/>
      </c>
      <c r="Y10" s="468"/>
      <c r="Z10" s="466" t="str">
        <f>IF(AND('Mapa final'!$K$54="Muy Alta",'Mapa final'!$O$54="Moderado"),CONCATENATE("R",'Mapa final'!$A$54),"")</f>
        <v/>
      </c>
      <c r="AA10" s="466"/>
      <c r="AB10" s="467" t="str">
        <f>IF(AND('Mapa final'!$K$42="Muy Alta",'Mapa final'!$O$42="Mayor"),CONCATENATE("R",'Mapa final'!$A$42),"")</f>
        <v/>
      </c>
      <c r="AC10" s="467"/>
      <c r="AD10" s="468" t="str">
        <f>IF(AND('Mapa final'!$K$48="Muy Alta",'Mapa final'!$O$48="Mayor"),CONCATENATE("R",'Mapa final'!$A$48),"")</f>
        <v/>
      </c>
      <c r="AE10" s="468"/>
      <c r="AF10" s="466" t="str">
        <f>IF(AND('Mapa final'!$K$54="Muy Alta",'Mapa final'!$O$54="Mayor"),CONCATENATE("R",'Mapa final'!$A$54),"")</f>
        <v/>
      </c>
      <c r="AG10" s="466"/>
      <c r="AH10" s="469" t="str">
        <f>IF(AND('Mapa final'!$K$42="Muy Alta",'Mapa final'!$O$42="Catastrófico"),CONCATENATE("R",'Mapa final'!$A$42),"")</f>
        <v/>
      </c>
      <c r="AI10" s="469"/>
      <c r="AJ10" s="471" t="str">
        <f>IF(AND('Mapa final'!$K$48="Muy Alta",'Mapa final'!$O$48="Catastrófico"),CONCATENATE("R",'Mapa final'!$A$48),"")</f>
        <v/>
      </c>
      <c r="AK10" s="471"/>
      <c r="AL10" s="472" t="str">
        <f>IF(AND('Mapa final'!$K$54="Muy Alta",'Mapa final'!$O$54="Catastrófico"),CONCATENATE("R",'Mapa final'!$A$54),"")</f>
        <v/>
      </c>
      <c r="AM10" s="472"/>
      <c r="AN10" s="1"/>
      <c r="AO10" s="470"/>
      <c r="AP10" s="470"/>
      <c r="AQ10" s="470"/>
      <c r="AR10" s="470"/>
      <c r="AS10" s="470"/>
      <c r="AT10" s="470"/>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row>
    <row r="11" spans="1:99" ht="15" customHeight="1" x14ac:dyDescent="0.3">
      <c r="A11" s="1"/>
      <c r="B11" s="458"/>
      <c r="C11" s="458"/>
      <c r="D11" s="458"/>
      <c r="E11" s="459"/>
      <c r="F11" s="459"/>
      <c r="G11" s="459"/>
      <c r="H11" s="459"/>
      <c r="I11" s="459"/>
      <c r="J11" s="467"/>
      <c r="K11" s="467"/>
      <c r="L11" s="468"/>
      <c r="M11" s="468"/>
      <c r="N11" s="466"/>
      <c r="O11" s="466"/>
      <c r="P11" s="467"/>
      <c r="Q11" s="467"/>
      <c r="R11" s="468"/>
      <c r="S11" s="468"/>
      <c r="T11" s="466"/>
      <c r="U11" s="466"/>
      <c r="V11" s="467"/>
      <c r="W11" s="467"/>
      <c r="X11" s="468"/>
      <c r="Y11" s="468"/>
      <c r="Z11" s="466"/>
      <c r="AA11" s="466"/>
      <c r="AB11" s="467"/>
      <c r="AC11" s="467"/>
      <c r="AD11" s="468"/>
      <c r="AE11" s="468"/>
      <c r="AF11" s="466"/>
      <c r="AG11" s="466"/>
      <c r="AH11" s="469"/>
      <c r="AI11" s="469"/>
      <c r="AJ11" s="471"/>
      <c r="AK11" s="471"/>
      <c r="AL11" s="472"/>
      <c r="AM11" s="472"/>
      <c r="AN11" s="1"/>
      <c r="AO11" s="470"/>
      <c r="AP11" s="470"/>
      <c r="AQ11" s="470"/>
      <c r="AR11" s="470"/>
      <c r="AS11" s="470"/>
      <c r="AT11" s="470"/>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row>
    <row r="12" spans="1:99" ht="15" customHeight="1" x14ac:dyDescent="0.3">
      <c r="A12" s="1"/>
      <c r="B12" s="458"/>
      <c r="C12" s="458"/>
      <c r="D12" s="458"/>
      <c r="E12" s="459"/>
      <c r="F12" s="459"/>
      <c r="G12" s="459"/>
      <c r="H12" s="459"/>
      <c r="I12" s="459"/>
      <c r="J12" s="467" t="str">
        <f>IF(AND('Mapa final'!$K$60="Muy Alta",'Mapa final'!$O$60="Leve"),CONCATENATE("R",'Mapa final'!$A$60),"")</f>
        <v/>
      </c>
      <c r="K12" s="467"/>
      <c r="L12" s="468" t="str">
        <f>IF(AND('Mapa final'!$K$66="Muy Alta",'Mapa final'!$O$66="Leve"),CONCATENATE("R",'Mapa final'!$A$66),"")</f>
        <v/>
      </c>
      <c r="M12" s="468"/>
      <c r="N12" s="466" t="str">
        <f>IF(AND('Mapa final'!$K$72="Muy Alta",'Mapa final'!$O$72="Leve"),CONCATENATE("R",'Mapa final'!$A$72),"")</f>
        <v/>
      </c>
      <c r="O12" s="466"/>
      <c r="P12" s="467" t="str">
        <f>IF(AND('Mapa final'!$K$60="Muy Alta",'Mapa final'!$O$60="Menor"),CONCATENATE("R",'Mapa final'!$A$60),"")</f>
        <v/>
      </c>
      <c r="Q12" s="467"/>
      <c r="R12" s="468" t="str">
        <f>IF(AND('Mapa final'!$K$66="Muy Alta",'Mapa final'!$O$66="Menor"),CONCATENATE("R",'Mapa final'!$A$66),"")</f>
        <v/>
      </c>
      <c r="S12" s="468"/>
      <c r="T12" s="466" t="str">
        <f>IF(AND('Mapa final'!$K$72="Muy Alta",'Mapa final'!$O$72="Menor"),CONCATENATE("R",'Mapa final'!$A$72),"")</f>
        <v/>
      </c>
      <c r="U12" s="466"/>
      <c r="V12" s="467" t="str">
        <f>IF(AND('Mapa final'!$K$60="Muy Alta",'Mapa final'!$O$60="Moderado"),CONCATENATE("R",'Mapa final'!$A$60),"")</f>
        <v/>
      </c>
      <c r="W12" s="467"/>
      <c r="X12" s="468" t="str">
        <f>IF(AND('Mapa final'!$K$66="Muy Alta",'Mapa final'!$O$66="Moderado"),CONCATENATE("R",'Mapa final'!$A$66),"")</f>
        <v/>
      </c>
      <c r="Y12" s="468"/>
      <c r="Z12" s="466" t="str">
        <f>IF(AND('Mapa final'!$K$72="Muy Alta",'Mapa final'!$O$72="Moderado"),CONCATENATE("R",'Mapa final'!$A$72),"")</f>
        <v/>
      </c>
      <c r="AA12" s="466"/>
      <c r="AB12" s="467" t="str">
        <f>IF(AND('Mapa final'!$K$60="Muy Alta",'Mapa final'!$O$60="Mayor"),CONCATENATE("R",'Mapa final'!$A$60),"")</f>
        <v/>
      </c>
      <c r="AC12" s="467"/>
      <c r="AD12" s="468" t="str">
        <f>IF(AND('Mapa final'!$K$66="Muy Alta",'Mapa final'!$O$66="Mayor"),CONCATENATE("R",'Mapa final'!$A$66),"")</f>
        <v/>
      </c>
      <c r="AE12" s="468"/>
      <c r="AF12" s="466" t="str">
        <f>IF(AND('Mapa final'!$K$72="Muy Alta",'Mapa final'!$O$72="Mayor"),CONCATENATE("R",'Mapa final'!$A$72),"")</f>
        <v/>
      </c>
      <c r="AG12" s="466"/>
      <c r="AH12" s="473" t="str">
        <f>IF(AND('Mapa final'!$K$60="Muy Alta",'Mapa final'!$O$60="Catastrófico"),CONCATENATE("R",'Mapa final'!$A$60),"")</f>
        <v/>
      </c>
      <c r="AI12" s="473"/>
      <c r="AJ12" s="474" t="str">
        <f>IF(AND('Mapa final'!$K$66="Muy Alta",'Mapa final'!$O$66="Catastrófico"),CONCATENATE("R",'Mapa final'!$A$66),"")</f>
        <v/>
      </c>
      <c r="AK12" s="474"/>
      <c r="AL12" s="475" t="str">
        <f>IF(AND('Mapa final'!$K$72="Muy Alta",'Mapa final'!$O$72="Catastrófico"),CONCATENATE("R",'Mapa final'!$A$72),"")</f>
        <v/>
      </c>
      <c r="AM12" s="475"/>
      <c r="AN12" s="1"/>
      <c r="AO12" s="470"/>
      <c r="AP12" s="470"/>
      <c r="AQ12" s="470"/>
      <c r="AR12" s="470"/>
      <c r="AS12" s="470"/>
      <c r="AT12" s="470"/>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row>
    <row r="13" spans="1:99" ht="15.75" customHeight="1" x14ac:dyDescent="0.3">
      <c r="A13" s="1"/>
      <c r="B13" s="458"/>
      <c r="C13" s="458"/>
      <c r="D13" s="458"/>
      <c r="E13" s="459"/>
      <c r="F13" s="459"/>
      <c r="G13" s="459"/>
      <c r="H13" s="459"/>
      <c r="I13" s="459"/>
      <c r="J13" s="467"/>
      <c r="K13" s="467"/>
      <c r="L13" s="468"/>
      <c r="M13" s="468"/>
      <c r="N13" s="466"/>
      <c r="O13" s="466"/>
      <c r="P13" s="467"/>
      <c r="Q13" s="467"/>
      <c r="R13" s="468"/>
      <c r="S13" s="468"/>
      <c r="T13" s="466"/>
      <c r="U13" s="466"/>
      <c r="V13" s="467"/>
      <c r="W13" s="467"/>
      <c r="X13" s="468"/>
      <c r="Y13" s="468"/>
      <c r="Z13" s="466"/>
      <c r="AA13" s="466"/>
      <c r="AB13" s="467"/>
      <c r="AC13" s="467"/>
      <c r="AD13" s="468"/>
      <c r="AE13" s="468"/>
      <c r="AF13" s="466"/>
      <c r="AG13" s="466"/>
      <c r="AH13" s="473"/>
      <c r="AI13" s="473"/>
      <c r="AJ13" s="474"/>
      <c r="AK13" s="474"/>
      <c r="AL13" s="475"/>
      <c r="AM13" s="475"/>
      <c r="AN13" s="1"/>
      <c r="AO13" s="470"/>
      <c r="AP13" s="470"/>
      <c r="AQ13" s="470"/>
      <c r="AR13" s="470"/>
      <c r="AS13" s="470"/>
      <c r="AT13" s="470"/>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row>
    <row r="14" spans="1:99" ht="15" customHeight="1" x14ac:dyDescent="0.3">
      <c r="A14" s="1"/>
      <c r="B14" s="458"/>
      <c r="C14" s="458"/>
      <c r="D14" s="458"/>
      <c r="E14" s="476" t="s">
        <v>129</v>
      </c>
      <c r="F14" s="476"/>
      <c r="G14" s="476"/>
      <c r="H14" s="476"/>
      <c r="I14" s="476"/>
      <c r="J14" s="477" t="str">
        <f>IF(AND('Mapa final'!$K$10="Alta",'Mapa final'!$O$10="Leve"),CONCATENATE("R",'Mapa final'!$A$10),"")</f>
        <v/>
      </c>
      <c r="K14" s="477"/>
      <c r="L14" s="478" t="str">
        <f>IF(AND('Mapa final'!$K$16="Alta",'Mapa final'!$O$16="Leve"),CONCATENATE("R",'Mapa final'!$A$16),"")</f>
        <v/>
      </c>
      <c r="M14" s="478"/>
      <c r="N14" s="479" t="str">
        <f>IF(AND('Mapa final'!$K$22="Alta",'Mapa final'!$O$22="Leve"),CONCATENATE("R",'Mapa final'!$A$22),"")</f>
        <v/>
      </c>
      <c r="O14" s="479"/>
      <c r="P14" s="477" t="str">
        <f>IF(AND('Mapa final'!$K$10="Alta",'Mapa final'!$O$10="Menor"),CONCATENATE("R",'Mapa final'!$A$10),"")</f>
        <v/>
      </c>
      <c r="Q14" s="477"/>
      <c r="R14" s="478" t="str">
        <f>IF(AND('Mapa final'!$K$16="Alta",'Mapa final'!$O$16="Menor"),CONCATENATE("R",'Mapa final'!$A$16),"")</f>
        <v/>
      </c>
      <c r="S14" s="478"/>
      <c r="T14" s="479" t="str">
        <f>IF(AND('Mapa final'!$K$22="Alta",'Mapa final'!$O$22="Menor"),CONCATENATE("R",'Mapa final'!$A$22),"")</f>
        <v/>
      </c>
      <c r="U14" s="479"/>
      <c r="V14" s="460" t="str">
        <f>IF(AND('Mapa final'!$K$10="Alta",'Mapa final'!$O$10="Moderado"),CONCATENATE("R",'Mapa final'!$A$10),"")</f>
        <v/>
      </c>
      <c r="W14" s="460"/>
      <c r="X14" s="461" t="str">
        <f>IF(AND('Mapa final'!$K$16="Alta",'Mapa final'!$O$16="Moderado"),CONCATENATE("R",'Mapa final'!$A$16),"")</f>
        <v/>
      </c>
      <c r="Y14" s="461"/>
      <c r="Z14" s="462" t="str">
        <f>IF(AND('Mapa final'!$K$22="Alta",'Mapa final'!$O$22="Moderado"),CONCATENATE("R",'Mapa final'!$A$22),"")</f>
        <v/>
      </c>
      <c r="AA14" s="462"/>
      <c r="AB14" s="460" t="str">
        <f>IF(AND('Mapa final'!$K$10="Alta",'Mapa final'!$O$10="Mayor"),CONCATENATE("R",'Mapa final'!$A$10),"")</f>
        <v/>
      </c>
      <c r="AC14" s="460"/>
      <c r="AD14" s="461" t="str">
        <f>IF(AND('Mapa final'!$K$16="Alta",'Mapa final'!$O$16="Mayor"),CONCATENATE("R",'Mapa final'!$A$16),"")</f>
        <v/>
      </c>
      <c r="AE14" s="461"/>
      <c r="AF14" s="462" t="str">
        <f>IF(AND('Mapa final'!$K$22="Alta",'Mapa final'!$O$22="Mayor"),CONCATENATE("R",'Mapa final'!$A$22),"")</f>
        <v/>
      </c>
      <c r="AG14" s="462"/>
      <c r="AH14" s="463" t="str">
        <f>IF(AND('Mapa final'!$K$10="Alta",'Mapa final'!$O$10="Catastrófico"),CONCATENATE("R",'Mapa final'!$A$10),"")</f>
        <v/>
      </c>
      <c r="AI14" s="463"/>
      <c r="AJ14" s="464" t="str">
        <f>IF(AND('Mapa final'!$K$16="Alta",'Mapa final'!$O$16="Catastrófico"),CONCATENATE("R",'Mapa final'!$A$16),"")</f>
        <v/>
      </c>
      <c r="AK14" s="464"/>
      <c r="AL14" s="465" t="str">
        <f>IF(AND('Mapa final'!$K$22="Alta",'Mapa final'!$O$22="Catastrófico"),CONCATENATE("R",'Mapa final'!$A$22),"")</f>
        <v/>
      </c>
      <c r="AM14" s="465"/>
      <c r="AN14" s="1"/>
      <c r="AO14" s="483" t="s">
        <v>130</v>
      </c>
      <c r="AP14" s="483"/>
      <c r="AQ14" s="483"/>
      <c r="AR14" s="483"/>
      <c r="AS14" s="483"/>
      <c r="AT14" s="483"/>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row>
    <row r="15" spans="1:99" ht="15" customHeight="1" x14ac:dyDescent="0.3">
      <c r="A15" s="1"/>
      <c r="B15" s="458"/>
      <c r="C15" s="458"/>
      <c r="D15" s="458"/>
      <c r="E15" s="476"/>
      <c r="F15" s="476"/>
      <c r="G15" s="476"/>
      <c r="H15" s="476"/>
      <c r="I15" s="476"/>
      <c r="J15" s="477"/>
      <c r="K15" s="477"/>
      <c r="L15" s="478"/>
      <c r="M15" s="478"/>
      <c r="N15" s="479"/>
      <c r="O15" s="479"/>
      <c r="P15" s="477"/>
      <c r="Q15" s="477"/>
      <c r="R15" s="478"/>
      <c r="S15" s="478"/>
      <c r="T15" s="479"/>
      <c r="U15" s="479"/>
      <c r="V15" s="460"/>
      <c r="W15" s="460"/>
      <c r="X15" s="461"/>
      <c r="Y15" s="461"/>
      <c r="Z15" s="462"/>
      <c r="AA15" s="462"/>
      <c r="AB15" s="460"/>
      <c r="AC15" s="460"/>
      <c r="AD15" s="461"/>
      <c r="AE15" s="461"/>
      <c r="AF15" s="462"/>
      <c r="AG15" s="462"/>
      <c r="AH15" s="463"/>
      <c r="AI15" s="463"/>
      <c r="AJ15" s="464"/>
      <c r="AK15" s="464"/>
      <c r="AL15" s="465"/>
      <c r="AM15" s="465"/>
      <c r="AN15" s="1"/>
      <c r="AO15" s="483"/>
      <c r="AP15" s="483"/>
      <c r="AQ15" s="483"/>
      <c r="AR15" s="483"/>
      <c r="AS15" s="483"/>
      <c r="AT15" s="483"/>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row>
    <row r="16" spans="1:99" ht="15" customHeight="1" x14ac:dyDescent="0.3">
      <c r="A16" s="1"/>
      <c r="B16" s="458"/>
      <c r="C16" s="458"/>
      <c r="D16" s="458"/>
      <c r="E16" s="476"/>
      <c r="F16" s="476"/>
      <c r="G16" s="476"/>
      <c r="H16" s="476"/>
      <c r="I16" s="476"/>
      <c r="J16" s="482" t="str">
        <f>IF(AND('Mapa final'!$K$24="Alta",'Mapa final'!$O$24="Leve"),CONCATENATE("R",'Mapa final'!$A$24),"")</f>
        <v/>
      </c>
      <c r="K16" s="482"/>
      <c r="L16" s="480" t="str">
        <f>IF(AND('Mapa final'!$K$30="Alta",'Mapa final'!$O$30="Leve"),CONCATENATE("R",'Mapa final'!$A$30),"")</f>
        <v/>
      </c>
      <c r="M16" s="480"/>
      <c r="N16" s="481" t="str">
        <f>IF(AND('Mapa final'!$K$36="Alta",'Mapa final'!$O$36="Leve"),CONCATENATE("R",'Mapa final'!$A$36),"")</f>
        <v/>
      </c>
      <c r="O16" s="481"/>
      <c r="P16" s="482" t="str">
        <f>IF(AND('Mapa final'!$K$24="Alta",'Mapa final'!$O$24="Menor"),CONCATENATE("R",'Mapa final'!$A$24),"")</f>
        <v/>
      </c>
      <c r="Q16" s="482"/>
      <c r="R16" s="480" t="str">
        <f>IF(AND('Mapa final'!$K$30="Alta",'Mapa final'!$O$30="Menor"),CONCATENATE("R",'Mapa final'!$A$30),"")</f>
        <v/>
      </c>
      <c r="S16" s="480"/>
      <c r="T16" s="481" t="str">
        <f>IF(AND('Mapa final'!$K$36="Alta",'Mapa final'!$O$36="Menor"),CONCATENATE("R",'Mapa final'!$A$36),"")</f>
        <v/>
      </c>
      <c r="U16" s="481"/>
      <c r="V16" s="467" t="str">
        <f>IF(AND('Mapa final'!$K$24="Alta",'Mapa final'!$O$24="Moderado"),CONCATENATE("R",'Mapa final'!$A$24),"")</f>
        <v/>
      </c>
      <c r="W16" s="467"/>
      <c r="X16" s="468" t="str">
        <f>IF(AND('Mapa final'!$K$30="Alta",'Mapa final'!$O$30="Moderado"),CONCATENATE("R",'Mapa final'!$A$30),"")</f>
        <v/>
      </c>
      <c r="Y16" s="468"/>
      <c r="Z16" s="466" t="str">
        <f>IF(AND('Mapa final'!$K$36="Alta",'Mapa final'!$O$36="Moderado"),CONCATENATE("R",'Mapa final'!$A$36),"")</f>
        <v/>
      </c>
      <c r="AA16" s="466"/>
      <c r="AB16" s="467" t="str">
        <f>IF(AND('Mapa final'!$K$24="Alta",'Mapa final'!$O$24="Mayor"),CONCATENATE("R",'Mapa final'!$A$24),"")</f>
        <v/>
      </c>
      <c r="AC16" s="467"/>
      <c r="AD16" s="468" t="str">
        <f>IF(AND('Mapa final'!$K$30="Alta",'Mapa final'!$O$30="Mayor"),CONCATENATE("R",'Mapa final'!$A$30),"")</f>
        <v/>
      </c>
      <c r="AE16" s="468"/>
      <c r="AF16" s="466" t="str">
        <f>IF(AND('Mapa final'!$K$36="Alta",'Mapa final'!$O$36="Mayor"),CONCATENATE("R",'Mapa final'!$A$36),"")</f>
        <v/>
      </c>
      <c r="AG16" s="466"/>
      <c r="AH16" s="469" t="str">
        <f>IF(AND('Mapa final'!$K$24="Alta",'Mapa final'!$O$24="Catastrófico"),CONCATENATE("R",'Mapa final'!$A$24),"")</f>
        <v/>
      </c>
      <c r="AI16" s="469"/>
      <c r="AJ16" s="471" t="str">
        <f>IF(AND('Mapa final'!$K$30="Alta",'Mapa final'!$O$30="Catastrófico"),CONCATENATE("R",'Mapa final'!$A$30),"")</f>
        <v/>
      </c>
      <c r="AK16" s="471"/>
      <c r="AL16" s="472" t="str">
        <f>IF(AND('Mapa final'!$K$36="Alta",'Mapa final'!$O$36="Catastrófico"),CONCATENATE("R",'Mapa final'!$A$36),"")</f>
        <v/>
      </c>
      <c r="AM16" s="472"/>
      <c r="AN16" s="1"/>
      <c r="AO16" s="483"/>
      <c r="AP16" s="483"/>
      <c r="AQ16" s="483"/>
      <c r="AR16" s="483"/>
      <c r="AS16" s="483"/>
      <c r="AT16" s="483"/>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row>
    <row r="17" spans="1:80" ht="15" customHeight="1" x14ac:dyDescent="0.3">
      <c r="A17" s="1"/>
      <c r="B17" s="458"/>
      <c r="C17" s="458"/>
      <c r="D17" s="458"/>
      <c r="E17" s="476"/>
      <c r="F17" s="476"/>
      <c r="G17" s="476"/>
      <c r="H17" s="476"/>
      <c r="I17" s="476"/>
      <c r="J17" s="482"/>
      <c r="K17" s="482"/>
      <c r="L17" s="480"/>
      <c r="M17" s="480"/>
      <c r="N17" s="481"/>
      <c r="O17" s="481"/>
      <c r="P17" s="482"/>
      <c r="Q17" s="482"/>
      <c r="R17" s="480"/>
      <c r="S17" s="480"/>
      <c r="T17" s="481"/>
      <c r="U17" s="481"/>
      <c r="V17" s="467"/>
      <c r="W17" s="467"/>
      <c r="X17" s="468"/>
      <c r="Y17" s="468"/>
      <c r="Z17" s="466"/>
      <c r="AA17" s="466"/>
      <c r="AB17" s="467"/>
      <c r="AC17" s="467"/>
      <c r="AD17" s="468"/>
      <c r="AE17" s="468"/>
      <c r="AF17" s="466"/>
      <c r="AG17" s="466"/>
      <c r="AH17" s="469"/>
      <c r="AI17" s="469"/>
      <c r="AJ17" s="471"/>
      <c r="AK17" s="471"/>
      <c r="AL17" s="472"/>
      <c r="AM17" s="472"/>
      <c r="AN17" s="1"/>
      <c r="AO17" s="483"/>
      <c r="AP17" s="483"/>
      <c r="AQ17" s="483"/>
      <c r="AR17" s="483"/>
      <c r="AS17" s="483"/>
      <c r="AT17" s="483"/>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row>
    <row r="18" spans="1:80" ht="15" customHeight="1" x14ac:dyDescent="0.3">
      <c r="A18" s="1"/>
      <c r="B18" s="458"/>
      <c r="C18" s="458"/>
      <c r="D18" s="458"/>
      <c r="E18" s="476"/>
      <c r="F18" s="476"/>
      <c r="G18" s="476"/>
      <c r="H18" s="476"/>
      <c r="I18" s="476"/>
      <c r="J18" s="482" t="str">
        <f>IF(AND('Mapa final'!$K$42="Alta",'Mapa final'!$O$42="Leve"),CONCATENATE("R",'Mapa final'!$A$42),"")</f>
        <v/>
      </c>
      <c r="K18" s="482"/>
      <c r="L18" s="480" t="str">
        <f>IF(AND('Mapa final'!$K$48="Alta",'Mapa final'!$O$48="Leve"),CONCATENATE("R",'Mapa final'!$A$48),"")</f>
        <v/>
      </c>
      <c r="M18" s="480"/>
      <c r="N18" s="481" t="str">
        <f>IF(AND('Mapa final'!$K$54="Alta",'Mapa final'!$O$54="Leve"),CONCATENATE("R",'Mapa final'!$A$54),"")</f>
        <v/>
      </c>
      <c r="O18" s="481"/>
      <c r="P18" s="482" t="str">
        <f>IF(AND('Mapa final'!$K$42="Alta",'Mapa final'!$O$42="Menor"),CONCATENATE("R",'Mapa final'!$A$42),"")</f>
        <v/>
      </c>
      <c r="Q18" s="482"/>
      <c r="R18" s="480" t="str">
        <f>IF(AND('Mapa final'!$K$48="Alta",'Mapa final'!$O$48="Menor"),CONCATENATE("R",'Mapa final'!$A$48),"")</f>
        <v/>
      </c>
      <c r="S18" s="480"/>
      <c r="T18" s="481" t="str">
        <f>IF(AND('Mapa final'!$K$54="Alta",'Mapa final'!$O$54="Menor"),CONCATENATE("R",'Mapa final'!$A$54),"")</f>
        <v/>
      </c>
      <c r="U18" s="481"/>
      <c r="V18" s="467" t="str">
        <f>IF(AND('Mapa final'!$K$42="Alta",'Mapa final'!$O$42="Moderado"),CONCATENATE("R",'Mapa final'!$A$42),"")</f>
        <v/>
      </c>
      <c r="W18" s="467"/>
      <c r="X18" s="468" t="str">
        <f>IF(AND('Mapa final'!$K$48="Alta",'Mapa final'!$O$48="Moderado"),CONCATENATE("R",'Mapa final'!$A$48),"")</f>
        <v/>
      </c>
      <c r="Y18" s="468"/>
      <c r="Z18" s="466" t="str">
        <f>IF(AND('Mapa final'!$K$54="Alta",'Mapa final'!$O$54="Moderado"),CONCATENATE("R",'Mapa final'!$A$54),"")</f>
        <v/>
      </c>
      <c r="AA18" s="466"/>
      <c r="AB18" s="467" t="str">
        <f>IF(AND('Mapa final'!$K$42="Alta",'Mapa final'!$O$42="Mayor"),CONCATENATE("R",'Mapa final'!$A$42),"")</f>
        <v/>
      </c>
      <c r="AC18" s="467"/>
      <c r="AD18" s="468" t="str">
        <f>IF(AND('Mapa final'!$K$48="Alta",'Mapa final'!$O$48="Mayor"),CONCATENATE("R",'Mapa final'!$A$48),"")</f>
        <v/>
      </c>
      <c r="AE18" s="468"/>
      <c r="AF18" s="466" t="str">
        <f>IF(AND('Mapa final'!$K$54="Alta",'Mapa final'!$O$54="Mayor"),CONCATENATE("R",'Mapa final'!$A$54),"")</f>
        <v/>
      </c>
      <c r="AG18" s="466"/>
      <c r="AH18" s="469" t="str">
        <f>IF(AND('Mapa final'!$K$42="Alta",'Mapa final'!$O$42="Catastrófico"),CONCATENATE("R",'Mapa final'!$A$42),"")</f>
        <v/>
      </c>
      <c r="AI18" s="469"/>
      <c r="AJ18" s="471" t="str">
        <f>IF(AND('Mapa final'!$K$48="Alta",'Mapa final'!$O$48="Catastrófico"),CONCATENATE("R",'Mapa final'!$A$48),"")</f>
        <v/>
      </c>
      <c r="AK18" s="471"/>
      <c r="AL18" s="472" t="str">
        <f>IF(AND('Mapa final'!$K$54="Alta",'Mapa final'!$O$54="Catastrófico"),CONCATENATE("R",'Mapa final'!$A$54),"")</f>
        <v/>
      </c>
      <c r="AM18" s="472"/>
      <c r="AN18" s="1"/>
      <c r="AO18" s="483"/>
      <c r="AP18" s="483"/>
      <c r="AQ18" s="483"/>
      <c r="AR18" s="483"/>
      <c r="AS18" s="483"/>
      <c r="AT18" s="483"/>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row>
    <row r="19" spans="1:80" ht="15" customHeight="1" x14ac:dyDescent="0.3">
      <c r="A19" s="1"/>
      <c r="B19" s="458"/>
      <c r="C19" s="458"/>
      <c r="D19" s="458"/>
      <c r="E19" s="476"/>
      <c r="F19" s="476"/>
      <c r="G19" s="476"/>
      <c r="H19" s="476"/>
      <c r="I19" s="476"/>
      <c r="J19" s="482"/>
      <c r="K19" s="482"/>
      <c r="L19" s="480"/>
      <c r="M19" s="480"/>
      <c r="N19" s="481"/>
      <c r="O19" s="481"/>
      <c r="P19" s="482"/>
      <c r="Q19" s="482"/>
      <c r="R19" s="480"/>
      <c r="S19" s="480"/>
      <c r="T19" s="481"/>
      <c r="U19" s="481"/>
      <c r="V19" s="467"/>
      <c r="W19" s="467"/>
      <c r="X19" s="468"/>
      <c r="Y19" s="468"/>
      <c r="Z19" s="466"/>
      <c r="AA19" s="466"/>
      <c r="AB19" s="467"/>
      <c r="AC19" s="467"/>
      <c r="AD19" s="468"/>
      <c r="AE19" s="468"/>
      <c r="AF19" s="466"/>
      <c r="AG19" s="466"/>
      <c r="AH19" s="469"/>
      <c r="AI19" s="469"/>
      <c r="AJ19" s="471"/>
      <c r="AK19" s="471"/>
      <c r="AL19" s="472"/>
      <c r="AM19" s="472"/>
      <c r="AN19" s="1"/>
      <c r="AO19" s="483"/>
      <c r="AP19" s="483"/>
      <c r="AQ19" s="483"/>
      <c r="AR19" s="483"/>
      <c r="AS19" s="483"/>
      <c r="AT19" s="483"/>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row>
    <row r="20" spans="1:80" ht="15" customHeight="1" x14ac:dyDescent="0.3">
      <c r="A20" s="1"/>
      <c r="B20" s="458"/>
      <c r="C20" s="458"/>
      <c r="D20" s="458"/>
      <c r="E20" s="476"/>
      <c r="F20" s="476"/>
      <c r="G20" s="476"/>
      <c r="H20" s="476"/>
      <c r="I20" s="476"/>
      <c r="J20" s="484" t="str">
        <f>IF(AND('Mapa final'!$K$60="Alta",'Mapa final'!$O$60="Leve"),CONCATENATE("R",'Mapa final'!$A$60),"")</f>
        <v/>
      </c>
      <c r="K20" s="484"/>
      <c r="L20" s="485" t="str">
        <f>IF(AND('Mapa final'!$K$66="Alta",'Mapa final'!$O$66="Leve"),CONCATENATE("R",'Mapa final'!$A$66),"")</f>
        <v/>
      </c>
      <c r="M20" s="485"/>
      <c r="N20" s="486" t="str">
        <f>IF(AND('Mapa final'!$K$72="Alta",'Mapa final'!$O$72="Leve"),CONCATENATE("R",'Mapa final'!$A$72),"")</f>
        <v/>
      </c>
      <c r="O20" s="486"/>
      <c r="P20" s="484" t="str">
        <f>IF(AND('Mapa final'!$K$60="Alta",'Mapa final'!$O$60="Menor"),CONCATENATE("R",'Mapa final'!$A$60),"")</f>
        <v/>
      </c>
      <c r="Q20" s="484"/>
      <c r="R20" s="485" t="str">
        <f>IF(AND('Mapa final'!$K$66="Alta",'Mapa final'!$O$66="Menor"),CONCATENATE("R",'Mapa final'!$A$66),"")</f>
        <v/>
      </c>
      <c r="S20" s="485"/>
      <c r="T20" s="486" t="str">
        <f>IF(AND('Mapa final'!$K$72="Alta",'Mapa final'!$O$72="Menor"),CONCATENATE("R",'Mapa final'!$A$72),"")</f>
        <v/>
      </c>
      <c r="U20" s="486"/>
      <c r="V20" s="487" t="str">
        <f>IF(AND('Mapa final'!$K$60="Alta",'Mapa final'!$O$60="Moderado"),CONCATENATE("R",'Mapa final'!$A$60),"")</f>
        <v/>
      </c>
      <c r="W20" s="487"/>
      <c r="X20" s="488" t="str">
        <f>IF(AND('Mapa final'!$K$66="Alta",'Mapa final'!$O$66="Moderado"),CONCATENATE("R",'Mapa final'!$A$66),"")</f>
        <v/>
      </c>
      <c r="Y20" s="488"/>
      <c r="Z20" s="489" t="str">
        <f>IF(AND('Mapa final'!$K$72="Alta",'Mapa final'!$O$72="Moderado"),CONCATENATE("R",'Mapa final'!$A$72),"")</f>
        <v/>
      </c>
      <c r="AA20" s="489"/>
      <c r="AB20" s="487" t="str">
        <f>IF(AND('Mapa final'!$K$60="Alta",'Mapa final'!$O$60="Mayor"),CONCATENATE("R",'Mapa final'!$A$60),"")</f>
        <v/>
      </c>
      <c r="AC20" s="487"/>
      <c r="AD20" s="488" t="str">
        <f>IF(AND('Mapa final'!$K$66="Alta",'Mapa final'!$O$66="Mayor"),CONCATENATE("R",'Mapa final'!$A$66),"")</f>
        <v/>
      </c>
      <c r="AE20" s="488"/>
      <c r="AF20" s="489" t="str">
        <f>IF(AND('Mapa final'!$K$72="Alta",'Mapa final'!$O$72="Mayor"),CONCATENATE("R",'Mapa final'!$A$72),"")</f>
        <v/>
      </c>
      <c r="AG20" s="489"/>
      <c r="AH20" s="473" t="str">
        <f>IF(AND('Mapa final'!$K$60="Alta",'Mapa final'!$O$60="Catastrófico"),CONCATENATE("R",'Mapa final'!$A$60),"")</f>
        <v/>
      </c>
      <c r="AI20" s="473"/>
      <c r="AJ20" s="474" t="str">
        <f>IF(AND('Mapa final'!$K$66="Alta",'Mapa final'!$O$66="Catastrófico"),CONCATENATE("R",'Mapa final'!$A$66),"")</f>
        <v/>
      </c>
      <c r="AK20" s="474"/>
      <c r="AL20" s="475" t="str">
        <f>IF(AND('Mapa final'!$K$72="Alta",'Mapa final'!$O$72="Catastrófico"),CONCATENATE("R",'Mapa final'!$A$72),"")</f>
        <v/>
      </c>
      <c r="AM20" s="475"/>
      <c r="AN20" s="1"/>
      <c r="AO20" s="483"/>
      <c r="AP20" s="483"/>
      <c r="AQ20" s="483"/>
      <c r="AR20" s="483"/>
      <c r="AS20" s="483"/>
      <c r="AT20" s="483"/>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row>
    <row r="21" spans="1:80" ht="15.75" customHeight="1" x14ac:dyDescent="0.3">
      <c r="A21" s="1"/>
      <c r="B21" s="458"/>
      <c r="C21" s="458"/>
      <c r="D21" s="458"/>
      <c r="E21" s="476"/>
      <c r="F21" s="476"/>
      <c r="G21" s="476"/>
      <c r="H21" s="476"/>
      <c r="I21" s="476"/>
      <c r="J21" s="484"/>
      <c r="K21" s="484"/>
      <c r="L21" s="485"/>
      <c r="M21" s="485"/>
      <c r="N21" s="486"/>
      <c r="O21" s="486"/>
      <c r="P21" s="484"/>
      <c r="Q21" s="484"/>
      <c r="R21" s="485"/>
      <c r="S21" s="485"/>
      <c r="T21" s="486"/>
      <c r="U21" s="486"/>
      <c r="V21" s="487"/>
      <c r="W21" s="487"/>
      <c r="X21" s="488"/>
      <c r="Y21" s="488"/>
      <c r="Z21" s="489"/>
      <c r="AA21" s="489"/>
      <c r="AB21" s="487"/>
      <c r="AC21" s="487"/>
      <c r="AD21" s="488"/>
      <c r="AE21" s="488"/>
      <c r="AF21" s="489"/>
      <c r="AG21" s="489"/>
      <c r="AH21" s="473"/>
      <c r="AI21" s="473"/>
      <c r="AJ21" s="474"/>
      <c r="AK21" s="474"/>
      <c r="AL21" s="475"/>
      <c r="AM21" s="475"/>
      <c r="AN21" s="1"/>
      <c r="AO21" s="483"/>
      <c r="AP21" s="483"/>
      <c r="AQ21" s="483"/>
      <c r="AR21" s="483"/>
      <c r="AS21" s="483"/>
      <c r="AT21" s="483"/>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row>
    <row r="22" spans="1:80" ht="15" customHeight="1" x14ac:dyDescent="0.3">
      <c r="A22" s="1"/>
      <c r="B22" s="458"/>
      <c r="C22" s="458"/>
      <c r="D22" s="458"/>
      <c r="E22" s="459" t="s">
        <v>131</v>
      </c>
      <c r="F22" s="459"/>
      <c r="G22" s="459"/>
      <c r="H22" s="459"/>
      <c r="I22" s="459"/>
      <c r="J22" s="477" t="str">
        <f>IF(AND('Mapa final'!$K$10="Media",'Mapa final'!$O$10="Leve"),CONCATENATE("R",'Mapa final'!$A$10),"")</f>
        <v/>
      </c>
      <c r="K22" s="477"/>
      <c r="L22" s="478" t="str">
        <f>IF(AND('Mapa final'!$K$16="Media",'Mapa final'!$O$16="Leve"),CONCATENATE("R",'Mapa final'!$A$16),"")</f>
        <v/>
      </c>
      <c r="M22" s="478"/>
      <c r="N22" s="479" t="str">
        <f>IF(AND('Mapa final'!$K$22="Media",'Mapa final'!$O$22="Leve"),CONCATENATE("R",'Mapa final'!$A$22),"")</f>
        <v/>
      </c>
      <c r="O22" s="479"/>
      <c r="P22" s="477" t="str">
        <f>IF(AND('Mapa final'!$K$10="Media",'Mapa final'!$O$10="Menor"),CONCATENATE("R",'Mapa final'!$A$10),"")</f>
        <v/>
      </c>
      <c r="Q22" s="477"/>
      <c r="R22" s="478" t="str">
        <f>IF(AND('Mapa final'!$K$16="Media",'Mapa final'!$O$16="Menor"),CONCATENATE("R",'Mapa final'!$A$16),"")</f>
        <v/>
      </c>
      <c r="S22" s="478"/>
      <c r="T22" s="479" t="str">
        <f>IF(AND('Mapa final'!$K$22="Media",'Mapa final'!$O$22="Menor"),CONCATENATE("R",'Mapa final'!$A$22),"")</f>
        <v/>
      </c>
      <c r="U22" s="479"/>
      <c r="V22" s="477" t="str">
        <f>IF(AND('Mapa final'!$K$10="Media",'Mapa final'!$O$10="Moderado"),CONCATENATE("R",'Mapa final'!$A$10),"")</f>
        <v>R1</v>
      </c>
      <c r="W22" s="477"/>
      <c r="X22" s="478" t="str">
        <f>IF(AND('Mapa final'!$K$16="Media",'Mapa final'!$O$16="Moderado"),CONCATENATE("R",'Mapa final'!$A$16),"")</f>
        <v/>
      </c>
      <c r="Y22" s="478"/>
      <c r="Z22" s="479" t="str">
        <f>IF(AND('Mapa final'!$K$22="Media",'Mapa final'!$O$22="Moderado"),CONCATENATE("R",'Mapa final'!$A$22),"")</f>
        <v/>
      </c>
      <c r="AA22" s="479"/>
      <c r="AB22" s="460" t="str">
        <f>IF(AND('Mapa final'!$K$10="Media",'Mapa final'!$O$10="Mayor"),CONCATENATE("R",'Mapa final'!$A$10),"")</f>
        <v/>
      </c>
      <c r="AC22" s="460"/>
      <c r="AD22" s="461" t="str">
        <f>IF(AND('Mapa final'!$K$16="Media",'Mapa final'!$O$16="Mayor"),CONCATENATE("R",'Mapa final'!$A$16),"")</f>
        <v/>
      </c>
      <c r="AE22" s="461"/>
      <c r="AF22" s="462" t="str">
        <f>IF(AND('Mapa final'!$K$22="Media",'Mapa final'!$O$22="Mayor"),CONCATENATE("R",'Mapa final'!$A$22),"")</f>
        <v/>
      </c>
      <c r="AG22" s="462"/>
      <c r="AH22" s="463" t="str">
        <f>IF(AND('Mapa final'!$K$10="Media",'Mapa final'!$O$10="Catastrófico"),CONCATENATE("R",'Mapa final'!$A$10),"")</f>
        <v/>
      </c>
      <c r="AI22" s="463"/>
      <c r="AJ22" s="464" t="str">
        <f>IF(AND('Mapa final'!$K$16="Media",'Mapa final'!$O$16="Catastrófico"),CONCATENATE("R",'Mapa final'!$A$16),"")</f>
        <v/>
      </c>
      <c r="AK22" s="464"/>
      <c r="AL22" s="465" t="str">
        <f>IF(AND('Mapa final'!$K$22="Media",'Mapa final'!$O$22="Catastrófico"),CONCATENATE("R",'Mapa final'!$A$22),"")</f>
        <v/>
      </c>
      <c r="AM22" s="465"/>
      <c r="AN22" s="1"/>
      <c r="AO22" s="490" t="s">
        <v>132</v>
      </c>
      <c r="AP22" s="490"/>
      <c r="AQ22" s="490"/>
      <c r="AR22" s="490"/>
      <c r="AS22" s="490"/>
      <c r="AT22" s="490"/>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row>
    <row r="23" spans="1:80" x14ac:dyDescent="0.3">
      <c r="A23" s="1"/>
      <c r="B23" s="458"/>
      <c r="C23" s="458"/>
      <c r="D23" s="458"/>
      <c r="E23" s="459"/>
      <c r="F23" s="459"/>
      <c r="G23" s="459"/>
      <c r="H23" s="459"/>
      <c r="I23" s="459"/>
      <c r="J23" s="477"/>
      <c r="K23" s="477"/>
      <c r="L23" s="478"/>
      <c r="M23" s="478"/>
      <c r="N23" s="479"/>
      <c r="O23" s="479"/>
      <c r="P23" s="477"/>
      <c r="Q23" s="477"/>
      <c r="R23" s="478"/>
      <c r="S23" s="478"/>
      <c r="T23" s="479"/>
      <c r="U23" s="479"/>
      <c r="V23" s="477"/>
      <c r="W23" s="477"/>
      <c r="X23" s="478"/>
      <c r="Y23" s="478"/>
      <c r="Z23" s="479"/>
      <c r="AA23" s="479"/>
      <c r="AB23" s="460"/>
      <c r="AC23" s="460"/>
      <c r="AD23" s="461"/>
      <c r="AE23" s="461"/>
      <c r="AF23" s="462"/>
      <c r="AG23" s="462"/>
      <c r="AH23" s="463"/>
      <c r="AI23" s="463"/>
      <c r="AJ23" s="464"/>
      <c r="AK23" s="464"/>
      <c r="AL23" s="465"/>
      <c r="AM23" s="465"/>
      <c r="AN23" s="1"/>
      <c r="AO23" s="490"/>
      <c r="AP23" s="490"/>
      <c r="AQ23" s="490"/>
      <c r="AR23" s="490"/>
      <c r="AS23" s="490"/>
      <c r="AT23" s="490"/>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row>
    <row r="24" spans="1:80" x14ac:dyDescent="0.3">
      <c r="A24" s="1"/>
      <c r="B24" s="458"/>
      <c r="C24" s="458"/>
      <c r="D24" s="458"/>
      <c r="E24" s="459"/>
      <c r="F24" s="459"/>
      <c r="G24" s="459"/>
      <c r="H24" s="459"/>
      <c r="I24" s="459"/>
      <c r="J24" s="482" t="str">
        <f>IF(AND('Mapa final'!$K$24="Media",'Mapa final'!$O$24="Leve"),CONCATENATE("R",'Mapa final'!$A$24),"")</f>
        <v/>
      </c>
      <c r="K24" s="482"/>
      <c r="L24" s="480" t="str">
        <f>IF(AND('Mapa final'!$K$30="Media",'Mapa final'!$O$30="Leve"),CONCATENATE("R",'Mapa final'!$A$30),"")</f>
        <v/>
      </c>
      <c r="M24" s="480"/>
      <c r="N24" s="481" t="str">
        <f>IF(AND('Mapa final'!$K$36="Media",'Mapa final'!$O$36="Leve"),CONCATENATE("R",'Mapa final'!$A$36),"")</f>
        <v/>
      </c>
      <c r="O24" s="481"/>
      <c r="P24" s="482" t="str">
        <f>IF(AND('Mapa final'!$K$24="Media",'Mapa final'!$O$24="Menor"),CONCATENATE("R",'Mapa final'!$A$24),"")</f>
        <v/>
      </c>
      <c r="Q24" s="482"/>
      <c r="R24" s="480" t="str">
        <f>IF(AND('Mapa final'!$K$30="Media",'Mapa final'!$O$30="Menor"),CONCATENATE("R",'Mapa final'!$A$30),"")</f>
        <v/>
      </c>
      <c r="S24" s="480"/>
      <c r="T24" s="481" t="str">
        <f>IF(AND('Mapa final'!$K$36="Media",'Mapa final'!$O$36="Menor"),CONCATENATE("R",'Mapa final'!$A$36),"")</f>
        <v/>
      </c>
      <c r="U24" s="481"/>
      <c r="V24" s="482" t="str">
        <f>IF(AND('Mapa final'!$K$24="Media",'Mapa final'!$O$24="Moderado"),CONCATENATE("R",'Mapa final'!$A$24),"")</f>
        <v/>
      </c>
      <c r="W24" s="482"/>
      <c r="X24" s="480" t="str">
        <f>IF(AND('Mapa final'!$K$30="Media",'Mapa final'!$O$30="Moderado"),CONCATENATE("R",'Mapa final'!$A$30),"")</f>
        <v/>
      </c>
      <c r="Y24" s="480"/>
      <c r="Z24" s="481" t="str">
        <f>IF(AND('Mapa final'!$K$36="Media",'Mapa final'!$O$36="Moderado"),CONCATENATE("R",'Mapa final'!$A$36),"")</f>
        <v/>
      </c>
      <c r="AA24" s="481"/>
      <c r="AB24" s="467" t="str">
        <f>IF(AND('Mapa final'!$K$24="Media",'Mapa final'!$O$24="Mayor"),CONCATENATE("R",'Mapa final'!$A$24),"")</f>
        <v/>
      </c>
      <c r="AC24" s="467"/>
      <c r="AD24" s="468" t="str">
        <f>IF(AND('Mapa final'!$K$30="Media",'Mapa final'!$O$30="Mayor"),CONCATENATE("R",'Mapa final'!$A$30),"")</f>
        <v/>
      </c>
      <c r="AE24" s="468"/>
      <c r="AF24" s="466" t="str">
        <f>IF(AND('Mapa final'!$K$36="Media",'Mapa final'!$O$36="Mayor"),CONCATENATE("R",'Mapa final'!$A$36),"")</f>
        <v/>
      </c>
      <c r="AG24" s="466"/>
      <c r="AH24" s="469" t="str">
        <f>IF(AND('Mapa final'!$K$24="Media",'Mapa final'!$O$24="Catastrófico"),CONCATENATE("R",'Mapa final'!$A$24),"")</f>
        <v/>
      </c>
      <c r="AI24" s="469"/>
      <c r="AJ24" s="471" t="str">
        <f>IF(AND('Mapa final'!$K$30="Media",'Mapa final'!$O$30="Catastrófico"),CONCATENATE("R",'Mapa final'!$A$30),"")</f>
        <v/>
      </c>
      <c r="AK24" s="471"/>
      <c r="AL24" s="472" t="str">
        <f>IF(AND('Mapa final'!$K$36="Media",'Mapa final'!$O$36="Catastrófico"),CONCATENATE("R",'Mapa final'!$A$36),"")</f>
        <v/>
      </c>
      <c r="AM24" s="472"/>
      <c r="AN24" s="1"/>
      <c r="AO24" s="490"/>
      <c r="AP24" s="490"/>
      <c r="AQ24" s="490"/>
      <c r="AR24" s="490"/>
      <c r="AS24" s="490"/>
      <c r="AT24" s="490"/>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row>
    <row r="25" spans="1:80" x14ac:dyDescent="0.3">
      <c r="A25" s="1"/>
      <c r="B25" s="458"/>
      <c r="C25" s="458"/>
      <c r="D25" s="458"/>
      <c r="E25" s="459"/>
      <c r="F25" s="459"/>
      <c r="G25" s="459"/>
      <c r="H25" s="459"/>
      <c r="I25" s="459"/>
      <c r="J25" s="482"/>
      <c r="K25" s="482"/>
      <c r="L25" s="480"/>
      <c r="M25" s="480"/>
      <c r="N25" s="481"/>
      <c r="O25" s="481"/>
      <c r="P25" s="482"/>
      <c r="Q25" s="482"/>
      <c r="R25" s="480"/>
      <c r="S25" s="480"/>
      <c r="T25" s="481"/>
      <c r="U25" s="481"/>
      <c r="V25" s="482"/>
      <c r="W25" s="482"/>
      <c r="X25" s="480"/>
      <c r="Y25" s="480"/>
      <c r="Z25" s="481"/>
      <c r="AA25" s="481"/>
      <c r="AB25" s="467"/>
      <c r="AC25" s="467"/>
      <c r="AD25" s="468"/>
      <c r="AE25" s="468"/>
      <c r="AF25" s="466"/>
      <c r="AG25" s="466"/>
      <c r="AH25" s="469"/>
      <c r="AI25" s="469"/>
      <c r="AJ25" s="471"/>
      <c r="AK25" s="471"/>
      <c r="AL25" s="472"/>
      <c r="AM25" s="472"/>
      <c r="AN25" s="1"/>
      <c r="AO25" s="490"/>
      <c r="AP25" s="490"/>
      <c r="AQ25" s="490"/>
      <c r="AR25" s="490"/>
      <c r="AS25" s="490"/>
      <c r="AT25" s="490"/>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row>
    <row r="26" spans="1:80" x14ac:dyDescent="0.3">
      <c r="A26" s="1"/>
      <c r="B26" s="458"/>
      <c r="C26" s="458"/>
      <c r="D26" s="458"/>
      <c r="E26" s="459"/>
      <c r="F26" s="459"/>
      <c r="G26" s="459"/>
      <c r="H26" s="459"/>
      <c r="I26" s="459"/>
      <c r="J26" s="482" t="str">
        <f>IF(AND('Mapa final'!$K$42="Media",'Mapa final'!$O$42="Leve"),CONCATENATE("R",'Mapa final'!$A$42),"")</f>
        <v/>
      </c>
      <c r="K26" s="482"/>
      <c r="L26" s="480" t="str">
        <f>IF(AND('Mapa final'!$K$48="Media",'Mapa final'!$O$48="Leve"),CONCATENATE("R",'Mapa final'!$A$48),"")</f>
        <v/>
      </c>
      <c r="M26" s="480"/>
      <c r="N26" s="481" t="str">
        <f>IF(AND('Mapa final'!$K$54="Media",'Mapa final'!$O$54="Leve"),CONCATENATE("R",'Mapa final'!$A$54),"")</f>
        <v/>
      </c>
      <c r="O26" s="481"/>
      <c r="P26" s="482" t="str">
        <f>IF(AND('Mapa final'!$K$42="Media",'Mapa final'!$O$42="Menor"),CONCATENATE("R",'Mapa final'!$A$42),"")</f>
        <v/>
      </c>
      <c r="Q26" s="482"/>
      <c r="R26" s="480" t="str">
        <f>IF(AND('Mapa final'!$K$48="Media",'Mapa final'!$O$48="Menor"),CONCATENATE("R",'Mapa final'!$A$48),"")</f>
        <v/>
      </c>
      <c r="S26" s="480"/>
      <c r="T26" s="481" t="str">
        <f>IF(AND('Mapa final'!$K$54="Media",'Mapa final'!$O$54="Menor"),CONCATENATE("R",'Mapa final'!$A$54),"")</f>
        <v/>
      </c>
      <c r="U26" s="481"/>
      <c r="V26" s="482" t="str">
        <f>IF(AND('Mapa final'!$K$42="Media",'Mapa final'!$O$42="Moderado"),CONCATENATE("R",'Mapa final'!$A$42),"")</f>
        <v/>
      </c>
      <c r="W26" s="482"/>
      <c r="X26" s="480" t="str">
        <f>IF(AND('Mapa final'!$K$48="Media",'Mapa final'!$O$48="Moderado"),CONCATENATE("R",'Mapa final'!$A$48),"")</f>
        <v/>
      </c>
      <c r="Y26" s="480"/>
      <c r="Z26" s="481" t="str">
        <f>IF(AND('Mapa final'!$K$54="Media",'Mapa final'!$O$54="Moderado"),CONCATENATE("R",'Mapa final'!$A$54),"")</f>
        <v/>
      </c>
      <c r="AA26" s="481"/>
      <c r="AB26" s="467" t="str">
        <f>IF(AND('Mapa final'!$K$42="Media",'Mapa final'!$O$42="Mayor"),CONCATENATE("R",'Mapa final'!$A$42),"")</f>
        <v/>
      </c>
      <c r="AC26" s="467"/>
      <c r="AD26" s="468" t="str">
        <f>IF(AND('Mapa final'!$K$48="Media",'Mapa final'!$O$48="Mayor"),CONCATENATE("R",'Mapa final'!$A$48),"")</f>
        <v/>
      </c>
      <c r="AE26" s="468"/>
      <c r="AF26" s="466" t="str">
        <f>IF(AND('Mapa final'!$K$54="Media",'Mapa final'!$O$54="Mayor"),CONCATENATE("R",'Mapa final'!$A$54),"")</f>
        <v/>
      </c>
      <c r="AG26" s="466"/>
      <c r="AH26" s="469" t="str">
        <f>IF(AND('Mapa final'!$K$42="Media",'Mapa final'!$O$42="Catastrófico"),CONCATENATE("R",'Mapa final'!$A$42),"")</f>
        <v/>
      </c>
      <c r="AI26" s="469"/>
      <c r="AJ26" s="471" t="str">
        <f>IF(AND('Mapa final'!$K$48="Media",'Mapa final'!$O$48="Catastrófico"),CONCATENATE("R",'Mapa final'!$A$48),"")</f>
        <v/>
      </c>
      <c r="AK26" s="471"/>
      <c r="AL26" s="472" t="str">
        <f>IF(AND('Mapa final'!$K$54="Media",'Mapa final'!$O$54="Catastrófico"),CONCATENATE("R",'Mapa final'!$A$54),"")</f>
        <v/>
      </c>
      <c r="AM26" s="472"/>
      <c r="AN26" s="1"/>
      <c r="AO26" s="490"/>
      <c r="AP26" s="490"/>
      <c r="AQ26" s="490"/>
      <c r="AR26" s="490"/>
      <c r="AS26" s="490"/>
      <c r="AT26" s="490"/>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row>
    <row r="27" spans="1:80" x14ac:dyDescent="0.3">
      <c r="A27" s="1"/>
      <c r="B27" s="458"/>
      <c r="C27" s="458"/>
      <c r="D27" s="458"/>
      <c r="E27" s="459"/>
      <c r="F27" s="459"/>
      <c r="G27" s="459"/>
      <c r="H27" s="459"/>
      <c r="I27" s="459"/>
      <c r="J27" s="482"/>
      <c r="K27" s="482"/>
      <c r="L27" s="480"/>
      <c r="M27" s="480"/>
      <c r="N27" s="481"/>
      <c r="O27" s="481"/>
      <c r="P27" s="482"/>
      <c r="Q27" s="482"/>
      <c r="R27" s="480"/>
      <c r="S27" s="480"/>
      <c r="T27" s="481"/>
      <c r="U27" s="481"/>
      <c r="V27" s="482"/>
      <c r="W27" s="482"/>
      <c r="X27" s="480"/>
      <c r="Y27" s="480"/>
      <c r="Z27" s="481"/>
      <c r="AA27" s="481"/>
      <c r="AB27" s="467"/>
      <c r="AC27" s="467"/>
      <c r="AD27" s="468"/>
      <c r="AE27" s="468"/>
      <c r="AF27" s="466"/>
      <c r="AG27" s="466"/>
      <c r="AH27" s="469"/>
      <c r="AI27" s="469"/>
      <c r="AJ27" s="471"/>
      <c r="AK27" s="471"/>
      <c r="AL27" s="472"/>
      <c r="AM27" s="472"/>
      <c r="AN27" s="1"/>
      <c r="AO27" s="490"/>
      <c r="AP27" s="490"/>
      <c r="AQ27" s="490"/>
      <c r="AR27" s="490"/>
      <c r="AS27" s="490"/>
      <c r="AT27" s="490"/>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row>
    <row r="28" spans="1:80" x14ac:dyDescent="0.3">
      <c r="A28" s="1"/>
      <c r="B28" s="458"/>
      <c r="C28" s="458"/>
      <c r="D28" s="458"/>
      <c r="E28" s="459"/>
      <c r="F28" s="459"/>
      <c r="G28" s="459"/>
      <c r="H28" s="459"/>
      <c r="I28" s="459"/>
      <c r="J28" s="482" t="str">
        <f>IF(AND('Mapa final'!$K$60="Media",'Mapa final'!$O$60="Leve"),CONCATENATE("R",'Mapa final'!$A$60),"")</f>
        <v/>
      </c>
      <c r="K28" s="482"/>
      <c r="L28" s="480" t="str">
        <f>IF(AND('Mapa final'!$K$66="Media",'Mapa final'!$O$66="Leve"),CONCATENATE("R",'Mapa final'!$A$66),"")</f>
        <v/>
      </c>
      <c r="M28" s="480"/>
      <c r="N28" s="481" t="str">
        <f>IF(AND('Mapa final'!$K$72="Media",'Mapa final'!$O$72="Leve"),CONCATENATE("R",'Mapa final'!$A$72),"")</f>
        <v/>
      </c>
      <c r="O28" s="481"/>
      <c r="P28" s="484" t="str">
        <f>IF(AND('Mapa final'!$K$60="Media",'Mapa final'!$O$60="Menor"),CONCATENATE("R",'Mapa final'!$A$60),"")</f>
        <v/>
      </c>
      <c r="Q28" s="484"/>
      <c r="R28" s="485" t="str">
        <f>IF(AND('Mapa final'!$K$66="Media",'Mapa final'!$O$66="Menor"),CONCATENATE("R",'Mapa final'!$A$66),"")</f>
        <v/>
      </c>
      <c r="S28" s="485"/>
      <c r="T28" s="486" t="str">
        <f>IF(AND('Mapa final'!$K$72="Media",'Mapa final'!$O$72="Menor"),CONCATENATE("R",'Mapa final'!$A$72),"")</f>
        <v/>
      </c>
      <c r="U28" s="486"/>
      <c r="V28" s="484" t="str">
        <f>IF(AND('Mapa final'!$K$60="Media",'Mapa final'!$O$60="Moderado"),CONCATENATE("R",'Mapa final'!$A$60),"")</f>
        <v/>
      </c>
      <c r="W28" s="484"/>
      <c r="X28" s="485" t="str">
        <f>IF(AND('Mapa final'!$K$66="Media",'Mapa final'!$O$66="Moderado"),CONCATENATE("R",'Mapa final'!$A$66),"")</f>
        <v/>
      </c>
      <c r="Y28" s="485"/>
      <c r="Z28" s="486" t="str">
        <f>IF(AND('Mapa final'!$K$72="Media",'Mapa final'!$O$72="Moderado"),CONCATENATE("R",'Mapa final'!$A$72),"")</f>
        <v/>
      </c>
      <c r="AA28" s="486"/>
      <c r="AB28" s="487" t="str">
        <f>IF(AND('Mapa final'!$K$60="Media",'Mapa final'!$O$60="Mayor"),CONCATENATE("R",'Mapa final'!$A$60),"")</f>
        <v/>
      </c>
      <c r="AC28" s="487"/>
      <c r="AD28" s="488" t="str">
        <f>IF(AND('Mapa final'!$K$66="Media",'Mapa final'!$O$66="Mayor"),CONCATENATE("R",'Mapa final'!$A$66),"")</f>
        <v/>
      </c>
      <c r="AE28" s="488"/>
      <c r="AF28" s="489" t="str">
        <f>IF(AND('Mapa final'!$K$72="Media",'Mapa final'!$O$72="Mayor"),CONCATENATE("R",'Mapa final'!$A$72),"")</f>
        <v/>
      </c>
      <c r="AG28" s="489"/>
      <c r="AH28" s="473" t="str">
        <f>IF(AND('Mapa final'!$K$60="Media",'Mapa final'!$O$60="Catastrófico"),CONCATENATE("R",'Mapa final'!$A$60),"")</f>
        <v/>
      </c>
      <c r="AI28" s="473"/>
      <c r="AJ28" s="474" t="str">
        <f>IF(AND('Mapa final'!$K$66="Media",'Mapa final'!$O$66="Catastrófico"),CONCATENATE("R",'Mapa final'!$A$66),"")</f>
        <v/>
      </c>
      <c r="AK28" s="474"/>
      <c r="AL28" s="475" t="str">
        <f>IF(AND('Mapa final'!$K$72="Media",'Mapa final'!$O$72="Catastrófico"),CONCATENATE("R",'Mapa final'!$A$72),"")</f>
        <v/>
      </c>
      <c r="AM28" s="475"/>
      <c r="AN28" s="1"/>
      <c r="AO28" s="490"/>
      <c r="AP28" s="490"/>
      <c r="AQ28" s="490"/>
      <c r="AR28" s="490"/>
      <c r="AS28" s="490"/>
      <c r="AT28" s="490"/>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row>
    <row r="29" spans="1:80" x14ac:dyDescent="0.3">
      <c r="A29" s="1"/>
      <c r="B29" s="458"/>
      <c r="C29" s="458"/>
      <c r="D29" s="458"/>
      <c r="E29" s="459"/>
      <c r="F29" s="459"/>
      <c r="G29" s="459"/>
      <c r="H29" s="459"/>
      <c r="I29" s="459"/>
      <c r="J29" s="482"/>
      <c r="K29" s="482"/>
      <c r="L29" s="480"/>
      <c r="M29" s="480"/>
      <c r="N29" s="481"/>
      <c r="O29" s="481"/>
      <c r="P29" s="484"/>
      <c r="Q29" s="484"/>
      <c r="R29" s="485"/>
      <c r="S29" s="485"/>
      <c r="T29" s="486"/>
      <c r="U29" s="486"/>
      <c r="V29" s="484"/>
      <c r="W29" s="484"/>
      <c r="X29" s="485"/>
      <c r="Y29" s="485"/>
      <c r="Z29" s="486"/>
      <c r="AA29" s="486"/>
      <c r="AB29" s="487"/>
      <c r="AC29" s="487"/>
      <c r="AD29" s="488"/>
      <c r="AE29" s="488"/>
      <c r="AF29" s="489"/>
      <c r="AG29" s="489"/>
      <c r="AH29" s="473"/>
      <c r="AI29" s="473"/>
      <c r="AJ29" s="474"/>
      <c r="AK29" s="474"/>
      <c r="AL29" s="475"/>
      <c r="AM29" s="475"/>
      <c r="AN29" s="1"/>
      <c r="AO29" s="490"/>
      <c r="AP29" s="490"/>
      <c r="AQ29" s="490"/>
      <c r="AR29" s="490"/>
      <c r="AS29" s="490"/>
      <c r="AT29" s="490"/>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row>
    <row r="30" spans="1:80" ht="15" customHeight="1" x14ac:dyDescent="0.3">
      <c r="A30" s="1"/>
      <c r="B30" s="458"/>
      <c r="C30" s="458"/>
      <c r="D30" s="458"/>
      <c r="E30" s="476" t="s">
        <v>133</v>
      </c>
      <c r="F30" s="476"/>
      <c r="G30" s="476"/>
      <c r="H30" s="476"/>
      <c r="I30" s="476"/>
      <c r="J30" s="491" t="str">
        <f>IF(AND('Mapa final'!$K$10="Baja",'Mapa final'!$O$10="Leve"),CONCATENATE("R",'Mapa final'!$A$10),"")</f>
        <v/>
      </c>
      <c r="K30" s="491"/>
      <c r="L30" s="492" t="str">
        <f>IF(AND('Mapa final'!$K$16="Baja",'Mapa final'!$O$16="Leve"),CONCATENATE("R",'Mapa final'!$A$16),"")</f>
        <v/>
      </c>
      <c r="M30" s="492"/>
      <c r="N30" s="493" t="str">
        <f>IF(AND('Mapa final'!$K$22="Baja",'Mapa final'!$O$22="Leve"),CONCATENATE("R",'Mapa final'!$A$22),"")</f>
        <v/>
      </c>
      <c r="O30" s="493"/>
      <c r="P30" s="478" t="str">
        <f>IF(AND('Mapa final'!$K$10="Baja",'Mapa final'!$O$10="Menor"),CONCATENATE("R",'Mapa final'!$A$10),"")</f>
        <v/>
      </c>
      <c r="Q30" s="478"/>
      <c r="R30" s="478" t="str">
        <f>IF(AND('Mapa final'!$K$16="Baja",'Mapa final'!$O$16="Menor"),CONCATENATE("R",'Mapa final'!$A$16),"")</f>
        <v>R2</v>
      </c>
      <c r="S30" s="478"/>
      <c r="T30" s="479" t="str">
        <f>IF(AND('Mapa final'!$K$22="Baja",'Mapa final'!$O$22="Menor"),CONCATENATE("R",'Mapa final'!$A$22),"")</f>
        <v>R3</v>
      </c>
      <c r="U30" s="479"/>
      <c r="V30" s="477" t="str">
        <f>IF(AND('Mapa final'!$K$10="Baja",'Mapa final'!$O$10="Moderado"),CONCATENATE("R",'Mapa final'!$A$10),"")</f>
        <v/>
      </c>
      <c r="W30" s="477"/>
      <c r="X30" s="478" t="str">
        <f>IF(AND('Mapa final'!$K$16="Baja",'Mapa final'!$O$16="Moderado"),CONCATENATE("R",'Mapa final'!$A$16),"")</f>
        <v/>
      </c>
      <c r="Y30" s="478"/>
      <c r="Z30" s="479" t="str">
        <f>IF(AND('Mapa final'!$K$22="Baja",'Mapa final'!$O$22="Moderado"),CONCATENATE("R",'Mapa final'!$A$22),"")</f>
        <v/>
      </c>
      <c r="AA30" s="479"/>
      <c r="AB30" s="460" t="str">
        <f>IF(AND('Mapa final'!$K$10="Baja",'Mapa final'!$O$10="Mayor"),CONCATENATE("R",'Mapa final'!$A$10),"")</f>
        <v/>
      </c>
      <c r="AC30" s="460"/>
      <c r="AD30" s="461" t="str">
        <f>IF(AND('Mapa final'!$K$16="Baja",'Mapa final'!$O$16="Mayor"),CONCATENATE("R",'Mapa final'!$A$16),"")</f>
        <v/>
      </c>
      <c r="AE30" s="461"/>
      <c r="AF30" s="462" t="str">
        <f>IF(AND('Mapa final'!$K$22="Baja",'Mapa final'!$O$22="Mayor"),CONCATENATE("R",'Mapa final'!$A$22),"")</f>
        <v/>
      </c>
      <c r="AG30" s="462"/>
      <c r="AH30" s="463" t="str">
        <f>IF(AND('Mapa final'!$K$10="Baja",'Mapa final'!$O$10="Catastrófico"),CONCATENATE("R",'Mapa final'!$A$10),"")</f>
        <v/>
      </c>
      <c r="AI30" s="463"/>
      <c r="AJ30" s="464" t="str">
        <f>IF(AND('Mapa final'!$K$16="Baja",'Mapa final'!$O$16="Catastrófico"),CONCATENATE("R",'Mapa final'!$A$16),"")</f>
        <v/>
      </c>
      <c r="AK30" s="464"/>
      <c r="AL30" s="465" t="str">
        <f>IF(AND('Mapa final'!$K$22="Baja",'Mapa final'!$O$22="Catastrófico"),CONCATENATE("R",'Mapa final'!$A$22),"")</f>
        <v/>
      </c>
      <c r="AM30" s="465"/>
      <c r="AN30" s="1"/>
      <c r="AO30" s="496" t="s">
        <v>134</v>
      </c>
      <c r="AP30" s="496"/>
      <c r="AQ30" s="496"/>
      <c r="AR30" s="496"/>
      <c r="AS30" s="496"/>
      <c r="AT30" s="496"/>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row>
    <row r="31" spans="1:80" x14ac:dyDescent="0.3">
      <c r="A31" s="1"/>
      <c r="B31" s="458"/>
      <c r="C31" s="458"/>
      <c r="D31" s="458"/>
      <c r="E31" s="476"/>
      <c r="F31" s="476"/>
      <c r="G31" s="476"/>
      <c r="H31" s="476"/>
      <c r="I31" s="476"/>
      <c r="J31" s="491"/>
      <c r="K31" s="491"/>
      <c r="L31" s="492"/>
      <c r="M31" s="492"/>
      <c r="N31" s="493"/>
      <c r="O31" s="493"/>
      <c r="P31" s="478"/>
      <c r="Q31" s="478"/>
      <c r="R31" s="478"/>
      <c r="S31" s="478"/>
      <c r="T31" s="479"/>
      <c r="U31" s="479"/>
      <c r="V31" s="477"/>
      <c r="W31" s="477"/>
      <c r="X31" s="478"/>
      <c r="Y31" s="478"/>
      <c r="Z31" s="479"/>
      <c r="AA31" s="479"/>
      <c r="AB31" s="460"/>
      <c r="AC31" s="460"/>
      <c r="AD31" s="461"/>
      <c r="AE31" s="461"/>
      <c r="AF31" s="462"/>
      <c r="AG31" s="462"/>
      <c r="AH31" s="463"/>
      <c r="AI31" s="463"/>
      <c r="AJ31" s="464"/>
      <c r="AK31" s="464"/>
      <c r="AL31" s="465"/>
      <c r="AM31" s="465"/>
      <c r="AN31" s="1"/>
      <c r="AO31" s="496"/>
      <c r="AP31" s="496"/>
      <c r="AQ31" s="496"/>
      <c r="AR31" s="496"/>
      <c r="AS31" s="496"/>
      <c r="AT31" s="496"/>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row>
    <row r="32" spans="1:80" x14ac:dyDescent="0.3">
      <c r="A32" s="1"/>
      <c r="B32" s="458"/>
      <c r="C32" s="458"/>
      <c r="D32" s="458"/>
      <c r="E32" s="476"/>
      <c r="F32" s="476"/>
      <c r="G32" s="476"/>
      <c r="H32" s="476"/>
      <c r="I32" s="476"/>
      <c r="J32" s="497" t="str">
        <f>IF(AND('Mapa final'!$K$24="Baja",'Mapa final'!$O$24="Leve"),CONCATENATE("R",'Mapa final'!$A$24),"")</f>
        <v/>
      </c>
      <c r="K32" s="497"/>
      <c r="L32" s="494" t="str">
        <f>IF(AND('Mapa final'!$K$30="Baja",'Mapa final'!$O$30="Leve"),CONCATENATE("R",'Mapa final'!$A$30),"")</f>
        <v/>
      </c>
      <c r="M32" s="494"/>
      <c r="N32" s="495" t="str">
        <f>IF(AND('Mapa final'!$K$36="Baja",'Mapa final'!$O$36="Leve"),CONCATENATE("R",'Mapa final'!$A$36),"")</f>
        <v/>
      </c>
      <c r="O32" s="495"/>
      <c r="P32" s="480" t="str">
        <f>IF(AND('Mapa final'!$K$24="Baja",'Mapa final'!$O$24="Menor"),CONCATENATE("R",'Mapa final'!$A$24),"")</f>
        <v/>
      </c>
      <c r="Q32" s="480"/>
      <c r="R32" s="480" t="str">
        <f>IF(AND('Mapa final'!$K$30="Baja",'Mapa final'!$O$30="Menor"),CONCATENATE("R",'Mapa final'!$A$30),"")</f>
        <v/>
      </c>
      <c r="S32" s="480"/>
      <c r="T32" s="481" t="str">
        <f>IF(AND('Mapa final'!$K$36="Baja",'Mapa final'!$O$36="Menor"),CONCATENATE("R",'Mapa final'!$A$36),"")</f>
        <v/>
      </c>
      <c r="U32" s="481"/>
      <c r="V32" s="482" t="str">
        <f>IF(AND('Mapa final'!$K$24="Baja",'Mapa final'!$O$24="Moderado"),CONCATENATE("R",'Mapa final'!$A$24),"")</f>
        <v/>
      </c>
      <c r="W32" s="482"/>
      <c r="X32" s="480" t="str">
        <f>IF(AND('Mapa final'!$K$30="Baja",'Mapa final'!$O$30="Moderado"),CONCATENATE("R",'Mapa final'!$A$30),"")</f>
        <v/>
      </c>
      <c r="Y32" s="480"/>
      <c r="Z32" s="481" t="str">
        <f>IF(AND('Mapa final'!$K$36="Baja",'Mapa final'!$O$36="Moderado"),CONCATENATE("R",'Mapa final'!$A$36),"")</f>
        <v/>
      </c>
      <c r="AA32" s="481"/>
      <c r="AB32" s="467" t="str">
        <f>IF(AND('Mapa final'!$K$24="Baja",'Mapa final'!$O$24="Mayor"),CONCATENATE("R",'Mapa final'!$A$24),"")</f>
        <v/>
      </c>
      <c r="AC32" s="467"/>
      <c r="AD32" s="468" t="str">
        <f>IF(AND('Mapa final'!$K$30="Baja",'Mapa final'!$O$30="Mayor"),CONCATENATE("R",'Mapa final'!$A$30),"")</f>
        <v/>
      </c>
      <c r="AE32" s="468"/>
      <c r="AF32" s="466" t="str">
        <f>IF(AND('Mapa final'!$K$36="Baja",'Mapa final'!$O$36="Mayor"),CONCATENATE("R",'Mapa final'!$A$36),"")</f>
        <v/>
      </c>
      <c r="AG32" s="466"/>
      <c r="AH32" s="469" t="str">
        <f>IF(AND('Mapa final'!$K$24="Baja",'Mapa final'!$O$24="Catastrófico"),CONCATENATE("R",'Mapa final'!$A$24),"")</f>
        <v/>
      </c>
      <c r="AI32" s="469"/>
      <c r="AJ32" s="471" t="str">
        <f>IF(AND('Mapa final'!$K$30="Baja",'Mapa final'!$O$30="Catastrófico"),CONCATENATE("R",'Mapa final'!$A$30),"")</f>
        <v/>
      </c>
      <c r="AK32" s="471"/>
      <c r="AL32" s="472" t="str">
        <f>IF(AND('Mapa final'!$K$36="Baja",'Mapa final'!$O$36="Catastrófico"),CONCATENATE("R",'Mapa final'!$A$36),"")</f>
        <v/>
      </c>
      <c r="AM32" s="472"/>
      <c r="AN32" s="1"/>
      <c r="AO32" s="496"/>
      <c r="AP32" s="496"/>
      <c r="AQ32" s="496"/>
      <c r="AR32" s="496"/>
      <c r="AS32" s="496"/>
      <c r="AT32" s="496"/>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row>
    <row r="33" spans="1:80" x14ac:dyDescent="0.3">
      <c r="A33" s="1"/>
      <c r="B33" s="458"/>
      <c r="C33" s="458"/>
      <c r="D33" s="458"/>
      <c r="E33" s="476"/>
      <c r="F33" s="476"/>
      <c r="G33" s="476"/>
      <c r="H33" s="476"/>
      <c r="I33" s="476"/>
      <c r="J33" s="497"/>
      <c r="K33" s="497"/>
      <c r="L33" s="494"/>
      <c r="M33" s="494"/>
      <c r="N33" s="495"/>
      <c r="O33" s="495"/>
      <c r="P33" s="480"/>
      <c r="Q33" s="480"/>
      <c r="R33" s="480"/>
      <c r="S33" s="480"/>
      <c r="T33" s="481"/>
      <c r="U33" s="481"/>
      <c r="V33" s="482"/>
      <c r="W33" s="482"/>
      <c r="X33" s="480"/>
      <c r="Y33" s="480"/>
      <c r="Z33" s="481"/>
      <c r="AA33" s="481"/>
      <c r="AB33" s="467"/>
      <c r="AC33" s="467"/>
      <c r="AD33" s="468"/>
      <c r="AE33" s="468"/>
      <c r="AF33" s="466"/>
      <c r="AG33" s="466"/>
      <c r="AH33" s="469"/>
      <c r="AI33" s="469"/>
      <c r="AJ33" s="471"/>
      <c r="AK33" s="471"/>
      <c r="AL33" s="472"/>
      <c r="AM33" s="472"/>
      <c r="AN33" s="1"/>
      <c r="AO33" s="496"/>
      <c r="AP33" s="496"/>
      <c r="AQ33" s="496"/>
      <c r="AR33" s="496"/>
      <c r="AS33" s="496"/>
      <c r="AT33" s="496"/>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row>
    <row r="34" spans="1:80" x14ac:dyDescent="0.3">
      <c r="A34" s="1"/>
      <c r="B34" s="458"/>
      <c r="C34" s="458"/>
      <c r="D34" s="458"/>
      <c r="E34" s="476"/>
      <c r="F34" s="476"/>
      <c r="G34" s="476"/>
      <c r="H34" s="476"/>
      <c r="I34" s="476"/>
      <c r="J34" s="497" t="str">
        <f>IF(AND('Mapa final'!$K$42="Baja",'Mapa final'!$O$42="Leve"),CONCATENATE("R",'Mapa final'!$A$42),"")</f>
        <v/>
      </c>
      <c r="K34" s="497"/>
      <c r="L34" s="494" t="str">
        <f>IF(AND('Mapa final'!$K$48="Baja",'Mapa final'!$O$48="Leve"),CONCATENATE("R",'Mapa final'!$A$48),"")</f>
        <v/>
      </c>
      <c r="M34" s="494"/>
      <c r="N34" s="495" t="str">
        <f>IF(AND('Mapa final'!$K$54="Baja",'Mapa final'!$O$54="Leve"),CONCATENATE("R",'Mapa final'!$A$54),"")</f>
        <v/>
      </c>
      <c r="O34" s="495"/>
      <c r="P34" s="480" t="str">
        <f>IF(AND('Mapa final'!$K$42="Baja",'Mapa final'!$O$42="Menor"),CONCATENATE("R",'Mapa final'!$A$42),"")</f>
        <v/>
      </c>
      <c r="Q34" s="480"/>
      <c r="R34" s="480" t="str">
        <f>IF(AND('Mapa final'!$K$48="Baja",'Mapa final'!$O$48="Menor"),CONCATENATE("R",'Mapa final'!$A$48),"")</f>
        <v/>
      </c>
      <c r="S34" s="480"/>
      <c r="T34" s="481" t="str">
        <f>IF(AND('Mapa final'!$K$54="Baja",'Mapa final'!$O$54="Menor"),CONCATENATE("R",'Mapa final'!$A$54),"")</f>
        <v/>
      </c>
      <c r="U34" s="481"/>
      <c r="V34" s="482" t="str">
        <f>IF(AND('Mapa final'!$K$42="Baja",'Mapa final'!$O$42="Moderado"),CONCATENATE("R",'Mapa final'!$A$42),"")</f>
        <v/>
      </c>
      <c r="W34" s="482"/>
      <c r="X34" s="480" t="str">
        <f>IF(AND('Mapa final'!$K$48="Baja",'Mapa final'!$O$48="Moderado"),CONCATENATE("R",'Mapa final'!$A$48),"")</f>
        <v/>
      </c>
      <c r="Y34" s="480"/>
      <c r="Z34" s="481" t="str">
        <f>IF(AND('Mapa final'!$K$54="Baja",'Mapa final'!$O$54="Moderado"),CONCATENATE("R",'Mapa final'!$A$54),"")</f>
        <v/>
      </c>
      <c r="AA34" s="481"/>
      <c r="AB34" s="467" t="str">
        <f>IF(AND('Mapa final'!$K$42="Baja",'Mapa final'!$O$42="Mayor"),CONCATENATE("R",'Mapa final'!$A$42),"")</f>
        <v/>
      </c>
      <c r="AC34" s="467"/>
      <c r="AD34" s="468" t="str">
        <f>IF(AND('Mapa final'!$K$48="Baja",'Mapa final'!$O$48="Mayor"),CONCATENATE("R",'Mapa final'!$A$48),"")</f>
        <v/>
      </c>
      <c r="AE34" s="468"/>
      <c r="AF34" s="466" t="str">
        <f>IF(AND('Mapa final'!$K$54="Baja",'Mapa final'!$O$54="Mayor"),CONCATENATE("R",'Mapa final'!$A$54),"")</f>
        <v/>
      </c>
      <c r="AG34" s="466"/>
      <c r="AH34" s="469" t="str">
        <f>IF(AND('Mapa final'!$K$42="Baja",'Mapa final'!$O$42="Catastrófico"),CONCATENATE("R",'Mapa final'!$A$42),"")</f>
        <v/>
      </c>
      <c r="AI34" s="469"/>
      <c r="AJ34" s="471" t="str">
        <f>IF(AND('Mapa final'!$K$48="Baja",'Mapa final'!$O$48="Catastrófico"),CONCATENATE("R",'Mapa final'!$A$48),"")</f>
        <v/>
      </c>
      <c r="AK34" s="471"/>
      <c r="AL34" s="472" t="str">
        <f>IF(AND('Mapa final'!$K$54="Baja",'Mapa final'!$O$54="Catastrófico"),CONCATENATE("R",'Mapa final'!$A$54),"")</f>
        <v/>
      </c>
      <c r="AM34" s="472"/>
      <c r="AN34" s="1"/>
      <c r="AO34" s="496"/>
      <c r="AP34" s="496"/>
      <c r="AQ34" s="496"/>
      <c r="AR34" s="496"/>
      <c r="AS34" s="496"/>
      <c r="AT34" s="496"/>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row>
    <row r="35" spans="1:80" x14ac:dyDescent="0.3">
      <c r="A35" s="1"/>
      <c r="B35" s="458"/>
      <c r="C35" s="458"/>
      <c r="D35" s="458"/>
      <c r="E35" s="476"/>
      <c r="F35" s="476"/>
      <c r="G35" s="476"/>
      <c r="H35" s="476"/>
      <c r="I35" s="476"/>
      <c r="J35" s="497"/>
      <c r="K35" s="497"/>
      <c r="L35" s="494"/>
      <c r="M35" s="494"/>
      <c r="N35" s="495"/>
      <c r="O35" s="495"/>
      <c r="P35" s="480"/>
      <c r="Q35" s="480"/>
      <c r="R35" s="480"/>
      <c r="S35" s="480"/>
      <c r="T35" s="481"/>
      <c r="U35" s="481"/>
      <c r="V35" s="482"/>
      <c r="W35" s="482"/>
      <c r="X35" s="480"/>
      <c r="Y35" s="480"/>
      <c r="Z35" s="481"/>
      <c r="AA35" s="481"/>
      <c r="AB35" s="467"/>
      <c r="AC35" s="467"/>
      <c r="AD35" s="468"/>
      <c r="AE35" s="468"/>
      <c r="AF35" s="466"/>
      <c r="AG35" s="466"/>
      <c r="AH35" s="469"/>
      <c r="AI35" s="469"/>
      <c r="AJ35" s="471"/>
      <c r="AK35" s="471"/>
      <c r="AL35" s="472"/>
      <c r="AM35" s="472"/>
      <c r="AN35" s="1"/>
      <c r="AO35" s="496"/>
      <c r="AP35" s="496"/>
      <c r="AQ35" s="496"/>
      <c r="AR35" s="496"/>
      <c r="AS35" s="496"/>
      <c r="AT35" s="496"/>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row>
    <row r="36" spans="1:80" x14ac:dyDescent="0.3">
      <c r="A36" s="1"/>
      <c r="B36" s="458"/>
      <c r="C36" s="458"/>
      <c r="D36" s="458"/>
      <c r="E36" s="476"/>
      <c r="F36" s="476"/>
      <c r="G36" s="476"/>
      <c r="H36" s="476"/>
      <c r="I36" s="476"/>
      <c r="J36" s="498" t="str">
        <f>IF(AND('Mapa final'!$K$60="Baja",'Mapa final'!$O$60="Leve"),CONCATENATE("R",'Mapa final'!$A$60),"")</f>
        <v/>
      </c>
      <c r="K36" s="498"/>
      <c r="L36" s="499" t="str">
        <f>IF(AND('Mapa final'!$K$66="Baja",'Mapa final'!$O$66="Leve"),CONCATENATE("R",'Mapa final'!$A$66),"")</f>
        <v/>
      </c>
      <c r="M36" s="499"/>
      <c r="N36" s="500" t="str">
        <f>IF(AND('Mapa final'!$K$72="Baja",'Mapa final'!$O$72="Leve"),CONCATENATE("R",'Mapa final'!$A$72),"")</f>
        <v/>
      </c>
      <c r="O36" s="500"/>
      <c r="P36" s="485" t="str">
        <f>IF(AND('Mapa final'!$K$60="Baja",'Mapa final'!$O$60="Menor"),CONCATENATE("R",'Mapa final'!$A$60),"")</f>
        <v/>
      </c>
      <c r="Q36" s="485"/>
      <c r="R36" s="485" t="str">
        <f>IF(AND('Mapa final'!$K$66="Baja",'Mapa final'!$O$66="Menor"),CONCATENATE("R",'Mapa final'!$A$66),"")</f>
        <v/>
      </c>
      <c r="S36" s="485"/>
      <c r="T36" s="486" t="str">
        <f>IF(AND('Mapa final'!$K$72="Baja",'Mapa final'!$O$72="Menor"),CONCATENATE("R",'Mapa final'!$A$72),"")</f>
        <v/>
      </c>
      <c r="U36" s="486"/>
      <c r="V36" s="484" t="str">
        <f>IF(AND('Mapa final'!$K$60="Baja",'Mapa final'!$O$60="Moderado"),CONCATENATE("R",'Mapa final'!$A$60),"")</f>
        <v/>
      </c>
      <c r="W36" s="484"/>
      <c r="X36" s="485" t="str">
        <f>IF(AND('Mapa final'!$K$66="Baja",'Mapa final'!$O$66="Moderado"),CONCATENATE("R",'Mapa final'!$A$66),"")</f>
        <v/>
      </c>
      <c r="Y36" s="485"/>
      <c r="Z36" s="486" t="str">
        <f>IF(AND('Mapa final'!$K$72="Baja",'Mapa final'!$O$72="Moderado"),CONCATENATE("R",'Mapa final'!$A$72),"")</f>
        <v/>
      </c>
      <c r="AA36" s="486"/>
      <c r="AB36" s="487" t="str">
        <f>IF(AND('Mapa final'!$K$60="Baja",'Mapa final'!$O$60="Mayor"),CONCATENATE("R",'Mapa final'!$A$60),"")</f>
        <v/>
      </c>
      <c r="AC36" s="487"/>
      <c r="AD36" s="488" t="str">
        <f>IF(AND('Mapa final'!$K$66="Baja",'Mapa final'!$O$66="Mayor"),CONCATENATE("R",'Mapa final'!$A$66),"")</f>
        <v/>
      </c>
      <c r="AE36" s="488"/>
      <c r="AF36" s="489" t="str">
        <f>IF(AND('Mapa final'!$K$72="Baja",'Mapa final'!$O$72="Mayor"),CONCATENATE("R",'Mapa final'!$A$72),"")</f>
        <v/>
      </c>
      <c r="AG36" s="489"/>
      <c r="AH36" s="473" t="str">
        <f>IF(AND('Mapa final'!$K$60="Baja",'Mapa final'!$O$60="Catastrófico"),CONCATENATE("R",'Mapa final'!$A$60),"")</f>
        <v/>
      </c>
      <c r="AI36" s="473"/>
      <c r="AJ36" s="474" t="str">
        <f>IF(AND('Mapa final'!$K$66="Baja",'Mapa final'!$O$66="Catastrófico"),CONCATENATE("R",'Mapa final'!$A$66),"")</f>
        <v/>
      </c>
      <c r="AK36" s="474"/>
      <c r="AL36" s="475" t="str">
        <f>IF(AND('Mapa final'!$K$72="Baja",'Mapa final'!$O$72="Catastrófico"),CONCATENATE("R",'Mapa final'!$A$72),"")</f>
        <v/>
      </c>
      <c r="AM36" s="475"/>
      <c r="AN36" s="1"/>
      <c r="AO36" s="496"/>
      <c r="AP36" s="496"/>
      <c r="AQ36" s="496"/>
      <c r="AR36" s="496"/>
      <c r="AS36" s="496"/>
      <c r="AT36" s="496"/>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row>
    <row r="37" spans="1:80" x14ac:dyDescent="0.3">
      <c r="A37" s="1"/>
      <c r="B37" s="458"/>
      <c r="C37" s="458"/>
      <c r="D37" s="458"/>
      <c r="E37" s="476"/>
      <c r="F37" s="476"/>
      <c r="G37" s="476"/>
      <c r="H37" s="476"/>
      <c r="I37" s="476"/>
      <c r="J37" s="498"/>
      <c r="K37" s="498"/>
      <c r="L37" s="499"/>
      <c r="M37" s="499"/>
      <c r="N37" s="500"/>
      <c r="O37" s="500"/>
      <c r="P37" s="485"/>
      <c r="Q37" s="485"/>
      <c r="R37" s="485"/>
      <c r="S37" s="485"/>
      <c r="T37" s="486"/>
      <c r="U37" s="486"/>
      <c r="V37" s="484"/>
      <c r="W37" s="484"/>
      <c r="X37" s="485"/>
      <c r="Y37" s="485"/>
      <c r="Z37" s="486"/>
      <c r="AA37" s="486"/>
      <c r="AB37" s="487"/>
      <c r="AC37" s="487"/>
      <c r="AD37" s="488"/>
      <c r="AE37" s="488"/>
      <c r="AF37" s="489"/>
      <c r="AG37" s="489"/>
      <c r="AH37" s="473"/>
      <c r="AI37" s="473"/>
      <c r="AJ37" s="474"/>
      <c r="AK37" s="474"/>
      <c r="AL37" s="475"/>
      <c r="AM37" s="475"/>
      <c r="AN37" s="1"/>
      <c r="AO37" s="496"/>
      <c r="AP37" s="496"/>
      <c r="AQ37" s="496"/>
      <c r="AR37" s="496"/>
      <c r="AS37" s="496"/>
      <c r="AT37" s="496"/>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row>
    <row r="38" spans="1:80" ht="15" customHeight="1" x14ac:dyDescent="0.3">
      <c r="A38" s="1"/>
      <c r="B38" s="458"/>
      <c r="C38" s="458"/>
      <c r="D38" s="458"/>
      <c r="E38" s="459" t="s">
        <v>135</v>
      </c>
      <c r="F38" s="459"/>
      <c r="G38" s="459"/>
      <c r="H38" s="459"/>
      <c r="I38" s="459"/>
      <c r="J38" s="491" t="str">
        <f>IF(AND('Mapa final'!$K$10="Muy Baja",'Mapa final'!$O$10="Leve"),CONCATENATE("R",'Mapa final'!$A$10),"")</f>
        <v/>
      </c>
      <c r="K38" s="491"/>
      <c r="L38" s="492" t="str">
        <f>IF(AND('Mapa final'!$K$16="Muy Baja",'Mapa final'!$O$16="Leve"),CONCATENATE("R",'Mapa final'!$A$16),"")</f>
        <v/>
      </c>
      <c r="M38" s="492"/>
      <c r="N38" s="493" t="str">
        <f>IF(AND('Mapa final'!$K$22="Muy Baja",'Mapa final'!$O$22="Leve"),CONCATENATE("R",'Mapa final'!$A$22),"")</f>
        <v/>
      </c>
      <c r="O38" s="493"/>
      <c r="P38" s="491" t="str">
        <f>IF(AND('Mapa final'!$K$10="Muy Baja",'Mapa final'!$O$10="Menor"),CONCATENATE("R",'Mapa final'!$A$10),"")</f>
        <v/>
      </c>
      <c r="Q38" s="491"/>
      <c r="R38" s="492" t="str">
        <f>IF(AND('Mapa final'!$K$16="Muy Baja",'Mapa final'!$O$16="Menor"),CONCATENATE("R",'Mapa final'!$A$16),"")</f>
        <v/>
      </c>
      <c r="S38" s="492"/>
      <c r="T38" s="493" t="str">
        <f>IF(AND('Mapa final'!$K$22="Muy Baja",'Mapa final'!$O$22="Menor"),CONCATENATE("R",'Mapa final'!$A$22),"")</f>
        <v/>
      </c>
      <c r="U38" s="493"/>
      <c r="V38" s="477" t="str">
        <f>IF(AND('Mapa final'!$K$10="Muy Baja",'Mapa final'!$O$10="Moderado"),CONCATENATE("R",'Mapa final'!$A$10),"")</f>
        <v/>
      </c>
      <c r="W38" s="477"/>
      <c r="X38" s="478" t="str">
        <f>IF(AND('Mapa final'!$K$16="Muy Baja",'Mapa final'!$O$16="Moderado"),CONCATENATE("R",'Mapa final'!$A$16),"")</f>
        <v/>
      </c>
      <c r="Y38" s="478"/>
      <c r="Z38" s="479" t="str">
        <f>IF(AND('Mapa final'!$K$22="Muy Baja",'Mapa final'!$O$22="Moderado"),CONCATENATE("R",'Mapa final'!$A$22),"")</f>
        <v/>
      </c>
      <c r="AA38" s="479"/>
      <c r="AB38" s="460" t="str">
        <f>IF(AND('Mapa final'!$K$10="Muy Baja",'Mapa final'!$O$10="Mayor"),CONCATENATE("R",'Mapa final'!$A$10),"")</f>
        <v/>
      </c>
      <c r="AC38" s="460"/>
      <c r="AD38" s="461" t="str">
        <f>IF(AND('Mapa final'!$K$16="Muy Baja",'Mapa final'!$O$16="Mayor"),CONCATENATE("R",'Mapa final'!$A$16),"")</f>
        <v/>
      </c>
      <c r="AE38" s="461"/>
      <c r="AF38" s="462" t="str">
        <f>IF(AND('Mapa final'!$K$22="Muy Baja",'Mapa final'!$O$22="Mayor"),CONCATENATE("R",'Mapa final'!$A$22),"")</f>
        <v/>
      </c>
      <c r="AG38" s="462"/>
      <c r="AH38" s="463" t="str">
        <f>IF(AND('Mapa final'!$K$10="Muy Baja",'Mapa final'!$O$10="Catastrófico"),CONCATENATE("R",'Mapa final'!$A$10),"")</f>
        <v/>
      </c>
      <c r="AI38" s="463"/>
      <c r="AJ38" s="464" t="str">
        <f>IF(AND('Mapa final'!$K$16="Muy Baja",'Mapa final'!$O$16="Catastrófico"),CONCATENATE("R",'Mapa final'!$A$16),"")</f>
        <v/>
      </c>
      <c r="AK38" s="464"/>
      <c r="AL38" s="465" t="str">
        <f>IF(AND('Mapa final'!$K$22="Muy Baja",'Mapa final'!$O$22="Catastrófico"),CONCATENATE("R",'Mapa final'!$A$22),"")</f>
        <v/>
      </c>
      <c r="AM38" s="465"/>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row>
    <row r="39" spans="1:80" x14ac:dyDescent="0.3">
      <c r="A39" s="1"/>
      <c r="B39" s="458"/>
      <c r="C39" s="458"/>
      <c r="D39" s="458"/>
      <c r="E39" s="459"/>
      <c r="F39" s="459"/>
      <c r="G39" s="459"/>
      <c r="H39" s="459"/>
      <c r="I39" s="459"/>
      <c r="J39" s="491"/>
      <c r="K39" s="491"/>
      <c r="L39" s="492"/>
      <c r="M39" s="492"/>
      <c r="N39" s="493"/>
      <c r="O39" s="493"/>
      <c r="P39" s="491"/>
      <c r="Q39" s="491"/>
      <c r="R39" s="492"/>
      <c r="S39" s="492"/>
      <c r="T39" s="493"/>
      <c r="U39" s="493"/>
      <c r="V39" s="477"/>
      <c r="W39" s="477"/>
      <c r="X39" s="478"/>
      <c r="Y39" s="478"/>
      <c r="Z39" s="479"/>
      <c r="AA39" s="479"/>
      <c r="AB39" s="460"/>
      <c r="AC39" s="460"/>
      <c r="AD39" s="461"/>
      <c r="AE39" s="461"/>
      <c r="AF39" s="462"/>
      <c r="AG39" s="462"/>
      <c r="AH39" s="463"/>
      <c r="AI39" s="463"/>
      <c r="AJ39" s="464"/>
      <c r="AK39" s="464"/>
      <c r="AL39" s="465"/>
      <c r="AM39" s="465"/>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row>
    <row r="40" spans="1:80" x14ac:dyDescent="0.3">
      <c r="A40" s="1"/>
      <c r="B40" s="458"/>
      <c r="C40" s="458"/>
      <c r="D40" s="458"/>
      <c r="E40" s="459"/>
      <c r="F40" s="459"/>
      <c r="G40" s="459"/>
      <c r="H40" s="459"/>
      <c r="I40" s="459"/>
      <c r="J40" s="497" t="str">
        <f>IF(AND('Mapa final'!$K$24="Muy Baja",'Mapa final'!$O$24="Leve"),CONCATENATE("R",'Mapa final'!$A$24),"")</f>
        <v/>
      </c>
      <c r="K40" s="497"/>
      <c r="L40" s="494" t="str">
        <f>IF(AND('Mapa final'!$K$30="Muy Baja",'Mapa final'!$O$30="Leve"),CONCATENATE("R",'Mapa final'!$A$30),"")</f>
        <v/>
      </c>
      <c r="M40" s="494"/>
      <c r="N40" s="495" t="str">
        <f>IF(AND('Mapa final'!$K$36="Muy Baja",'Mapa final'!$O$36="Leve"),CONCATENATE("R",'Mapa final'!$A$36),"")</f>
        <v/>
      </c>
      <c r="O40" s="495"/>
      <c r="P40" s="497" t="str">
        <f>IF(AND('Mapa final'!$K$24="Muy Baja",'Mapa final'!$O$24="Menor"),CONCATENATE("R",'Mapa final'!$A$24),"")</f>
        <v/>
      </c>
      <c r="Q40" s="497"/>
      <c r="R40" s="494" t="str">
        <f>IF(AND('Mapa final'!$K$30="Muy Baja",'Mapa final'!$O$30="Menor"),CONCATENATE("R",'Mapa final'!$A$30),"")</f>
        <v/>
      </c>
      <c r="S40" s="494"/>
      <c r="T40" s="495" t="str">
        <f>IF(AND('Mapa final'!$K$36="Muy Baja",'Mapa final'!$O$36="Menor"),CONCATENATE("R",'Mapa final'!$A$36),"")</f>
        <v/>
      </c>
      <c r="U40" s="495"/>
      <c r="V40" s="482" t="str">
        <f>IF(AND('Mapa final'!$K$24="Muy Baja",'Mapa final'!$O$24="Moderado"),CONCATENATE("R",'Mapa final'!$A$24),"")</f>
        <v/>
      </c>
      <c r="W40" s="482"/>
      <c r="X40" s="480" t="str">
        <f>IF(AND('Mapa final'!$K$30="Muy Baja",'Mapa final'!$O$30="Moderado"),CONCATENATE("R",'Mapa final'!$A$30),"")</f>
        <v/>
      </c>
      <c r="Y40" s="480"/>
      <c r="Z40" s="481" t="str">
        <f>IF(AND('Mapa final'!$K$36="Muy Baja",'Mapa final'!$O$36="Moderado"),CONCATENATE("R",'Mapa final'!$A$36),"")</f>
        <v/>
      </c>
      <c r="AA40" s="481"/>
      <c r="AB40" s="467" t="str">
        <f>IF(AND('Mapa final'!$K$24="Muy Baja",'Mapa final'!$O$24="Mayor"),CONCATENATE("R",'Mapa final'!$A$24),"")</f>
        <v/>
      </c>
      <c r="AC40" s="467"/>
      <c r="AD40" s="468" t="str">
        <f>IF(AND('Mapa final'!$K$30="Muy Baja",'Mapa final'!$O$30="Mayor"),CONCATENATE("R",'Mapa final'!$A$30),"")</f>
        <v/>
      </c>
      <c r="AE40" s="468"/>
      <c r="AF40" s="466" t="str">
        <f>IF(AND('Mapa final'!$K$36="Muy Baja",'Mapa final'!$O$36="Mayor"),CONCATENATE("R",'Mapa final'!$A$36),"")</f>
        <v/>
      </c>
      <c r="AG40" s="466"/>
      <c r="AH40" s="469" t="str">
        <f>IF(AND('Mapa final'!$K$24="Muy Baja",'Mapa final'!$O$24="Catastrófico"),CONCATENATE("R",'Mapa final'!$A$24),"")</f>
        <v/>
      </c>
      <c r="AI40" s="469"/>
      <c r="AJ40" s="471" t="str">
        <f>IF(AND('Mapa final'!$K$30="Muy Baja",'Mapa final'!$O$30="Catastrófico"),CONCATENATE("R",'Mapa final'!$A$30),"")</f>
        <v/>
      </c>
      <c r="AK40" s="471"/>
      <c r="AL40" s="472" t="str">
        <f>IF(AND('Mapa final'!$K$36="Muy Baja",'Mapa final'!$O$36="Catastrófico"),CONCATENATE("R",'Mapa final'!$A$36),"")</f>
        <v/>
      </c>
      <c r="AM40" s="472"/>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row>
    <row r="41" spans="1:80" x14ac:dyDescent="0.3">
      <c r="A41" s="1"/>
      <c r="B41" s="458"/>
      <c r="C41" s="458"/>
      <c r="D41" s="458"/>
      <c r="E41" s="459"/>
      <c r="F41" s="459"/>
      <c r="G41" s="459"/>
      <c r="H41" s="459"/>
      <c r="I41" s="459"/>
      <c r="J41" s="497"/>
      <c r="K41" s="497"/>
      <c r="L41" s="494"/>
      <c r="M41" s="494"/>
      <c r="N41" s="495"/>
      <c r="O41" s="495"/>
      <c r="P41" s="497"/>
      <c r="Q41" s="497"/>
      <c r="R41" s="494"/>
      <c r="S41" s="494"/>
      <c r="T41" s="495"/>
      <c r="U41" s="495"/>
      <c r="V41" s="482"/>
      <c r="W41" s="482"/>
      <c r="X41" s="480"/>
      <c r="Y41" s="480"/>
      <c r="Z41" s="481"/>
      <c r="AA41" s="481"/>
      <c r="AB41" s="467"/>
      <c r="AC41" s="467"/>
      <c r="AD41" s="468"/>
      <c r="AE41" s="468"/>
      <c r="AF41" s="466"/>
      <c r="AG41" s="466"/>
      <c r="AH41" s="469"/>
      <c r="AI41" s="469"/>
      <c r="AJ41" s="471"/>
      <c r="AK41" s="471"/>
      <c r="AL41" s="472"/>
      <c r="AM41" s="472"/>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row>
    <row r="42" spans="1:80" x14ac:dyDescent="0.3">
      <c r="A42" s="1"/>
      <c r="B42" s="458"/>
      <c r="C42" s="458"/>
      <c r="D42" s="458"/>
      <c r="E42" s="459"/>
      <c r="F42" s="459"/>
      <c r="G42" s="459"/>
      <c r="H42" s="459"/>
      <c r="I42" s="459"/>
      <c r="J42" s="497" t="str">
        <f>IF(AND('Mapa final'!$K$42="Muy Baja",'Mapa final'!$O$42="Leve"),CONCATENATE("R",'Mapa final'!$A$42),"")</f>
        <v/>
      </c>
      <c r="K42" s="497"/>
      <c r="L42" s="494" t="str">
        <f>IF(AND('Mapa final'!$K$48="Muy Baja",'Mapa final'!$O$48="Leve"),CONCATENATE("R",'Mapa final'!$A$48),"")</f>
        <v/>
      </c>
      <c r="M42" s="494"/>
      <c r="N42" s="495" t="str">
        <f>IF(AND('Mapa final'!$K$54="Muy Baja",'Mapa final'!$O$54="Leve"),CONCATENATE("R",'Mapa final'!$A$54),"")</f>
        <v/>
      </c>
      <c r="O42" s="495"/>
      <c r="P42" s="497" t="str">
        <f>IF(AND('Mapa final'!$K$42="Muy Baja",'Mapa final'!$O$42="Menor"),CONCATENATE("R",'Mapa final'!$A$42),"")</f>
        <v/>
      </c>
      <c r="Q42" s="497"/>
      <c r="R42" s="494" t="str">
        <f>IF(AND('Mapa final'!$K$48="Muy Baja",'Mapa final'!$O$48="Menor"),CONCATENATE("R",'Mapa final'!$A$48),"")</f>
        <v/>
      </c>
      <c r="S42" s="494"/>
      <c r="T42" s="495" t="str">
        <f>IF(AND('Mapa final'!$K$54="Muy Baja",'Mapa final'!$O$54="Menor"),CONCATENATE("R",'Mapa final'!$A$54),"")</f>
        <v/>
      </c>
      <c r="U42" s="495"/>
      <c r="V42" s="482" t="str">
        <f>IF(AND('Mapa final'!$K$42="Muy Baja",'Mapa final'!$O$42="Moderado"),CONCATENATE("R",'Mapa final'!$A$42),"")</f>
        <v/>
      </c>
      <c r="W42" s="482"/>
      <c r="X42" s="480" t="str">
        <f>IF(AND('Mapa final'!$K$48="Muy Baja",'Mapa final'!$O$48="Moderado"),CONCATENATE("R",'Mapa final'!$A$48),"")</f>
        <v/>
      </c>
      <c r="Y42" s="480"/>
      <c r="Z42" s="481" t="str">
        <f>IF(AND('Mapa final'!$K$54="Muy Baja",'Mapa final'!$O$54="Moderado"),CONCATENATE("R",'Mapa final'!$A$54),"")</f>
        <v/>
      </c>
      <c r="AA42" s="481"/>
      <c r="AB42" s="467" t="str">
        <f>IF(AND('Mapa final'!$K$42="Muy Baja",'Mapa final'!$O$42="Mayor"),CONCATENATE("R",'Mapa final'!$A$42),"")</f>
        <v/>
      </c>
      <c r="AC42" s="467"/>
      <c r="AD42" s="468" t="str">
        <f>IF(AND('Mapa final'!$K$48="Muy Baja",'Mapa final'!$O$48="Mayor"),CONCATENATE("R",'Mapa final'!$A$48),"")</f>
        <v/>
      </c>
      <c r="AE42" s="468"/>
      <c r="AF42" s="466" t="str">
        <f>IF(AND('Mapa final'!$K$54="Muy Baja",'Mapa final'!$O$54="Mayor"),CONCATENATE("R",'Mapa final'!$A$54),"")</f>
        <v/>
      </c>
      <c r="AG42" s="466"/>
      <c r="AH42" s="469" t="str">
        <f>IF(AND('Mapa final'!$K$42="Muy Baja",'Mapa final'!$O$42="Catastrófico"),CONCATENATE("R",'Mapa final'!$A$42),"")</f>
        <v/>
      </c>
      <c r="AI42" s="469"/>
      <c r="AJ42" s="471" t="str">
        <f>IF(AND('Mapa final'!$K$48="Muy Baja",'Mapa final'!$O$48="Catastrófico"),CONCATENATE("R",'Mapa final'!$A$48),"")</f>
        <v/>
      </c>
      <c r="AK42" s="471"/>
      <c r="AL42" s="472" t="str">
        <f>IF(AND('Mapa final'!$K$54="Muy Baja",'Mapa final'!$O$54="Catastrófico"),CONCATENATE("R",'Mapa final'!$A$54),"")</f>
        <v/>
      </c>
      <c r="AM42" s="472"/>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row>
    <row r="43" spans="1:80" x14ac:dyDescent="0.3">
      <c r="A43" s="1"/>
      <c r="B43" s="458"/>
      <c r="C43" s="458"/>
      <c r="D43" s="458"/>
      <c r="E43" s="459"/>
      <c r="F43" s="459"/>
      <c r="G43" s="459"/>
      <c r="H43" s="459"/>
      <c r="I43" s="459"/>
      <c r="J43" s="497"/>
      <c r="K43" s="497"/>
      <c r="L43" s="494"/>
      <c r="M43" s="494"/>
      <c r="N43" s="495"/>
      <c r="O43" s="495"/>
      <c r="P43" s="497"/>
      <c r="Q43" s="497"/>
      <c r="R43" s="494"/>
      <c r="S43" s="494"/>
      <c r="T43" s="495"/>
      <c r="U43" s="495"/>
      <c r="V43" s="482"/>
      <c r="W43" s="482"/>
      <c r="X43" s="480"/>
      <c r="Y43" s="480"/>
      <c r="Z43" s="481"/>
      <c r="AA43" s="481"/>
      <c r="AB43" s="467"/>
      <c r="AC43" s="467"/>
      <c r="AD43" s="468"/>
      <c r="AE43" s="468"/>
      <c r="AF43" s="466"/>
      <c r="AG43" s="466"/>
      <c r="AH43" s="469"/>
      <c r="AI43" s="469"/>
      <c r="AJ43" s="471"/>
      <c r="AK43" s="471"/>
      <c r="AL43" s="472"/>
      <c r="AM43" s="472"/>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row>
    <row r="44" spans="1:80" x14ac:dyDescent="0.3">
      <c r="A44" s="1"/>
      <c r="B44" s="458"/>
      <c r="C44" s="458"/>
      <c r="D44" s="458"/>
      <c r="E44" s="459"/>
      <c r="F44" s="459"/>
      <c r="G44" s="459"/>
      <c r="H44" s="459"/>
      <c r="I44" s="459"/>
      <c r="J44" s="498" t="str">
        <f>IF(AND('Mapa final'!$K$60="Muy Baja",'Mapa final'!$O$60="Leve"),CONCATENATE("R",'Mapa final'!$A$60),"")</f>
        <v/>
      </c>
      <c r="K44" s="498"/>
      <c r="L44" s="499" t="str">
        <f>IF(AND('Mapa final'!$K$66="Muy Baja",'Mapa final'!$O$66="Leve"),CONCATENATE("R",'Mapa final'!$A$66),"")</f>
        <v/>
      </c>
      <c r="M44" s="499"/>
      <c r="N44" s="500" t="str">
        <f>IF(AND('Mapa final'!$K$72="Muy Baja",'Mapa final'!$O$72="Leve"),CONCATENATE("R",'Mapa final'!$A$72),"")</f>
        <v/>
      </c>
      <c r="O44" s="500"/>
      <c r="P44" s="498" t="str">
        <f>IF(AND('Mapa final'!$K$60="Muy Baja",'Mapa final'!$O$60="Menor"),CONCATENATE("R",'Mapa final'!$A$60),"")</f>
        <v/>
      </c>
      <c r="Q44" s="498"/>
      <c r="R44" s="499" t="str">
        <f>IF(AND('Mapa final'!$K$66="Muy Baja",'Mapa final'!$O$66="Menor"),CONCATENATE("R",'Mapa final'!$A$66),"")</f>
        <v/>
      </c>
      <c r="S44" s="499"/>
      <c r="T44" s="500" t="str">
        <f>IF(AND('Mapa final'!$K$72="Muy Baja",'Mapa final'!$O$72="Menor"),CONCATENATE("R",'Mapa final'!$A$72),"")</f>
        <v/>
      </c>
      <c r="U44" s="500"/>
      <c r="V44" s="484" t="str">
        <f>IF(AND('Mapa final'!$K$60="Muy Baja",'Mapa final'!$O$60="Moderado"),CONCATENATE("R",'Mapa final'!$A$60),"")</f>
        <v/>
      </c>
      <c r="W44" s="484"/>
      <c r="X44" s="485" t="str">
        <f>IF(AND('Mapa final'!$K$66="Muy Baja",'Mapa final'!$O$66="Moderado"),CONCATENATE("R",'Mapa final'!$A$66),"")</f>
        <v/>
      </c>
      <c r="Y44" s="485"/>
      <c r="Z44" s="486" t="str">
        <f>IF(AND('Mapa final'!$K$72="Muy Baja",'Mapa final'!$O$72="Moderado"),CONCATENATE("R",'Mapa final'!$A$72),"")</f>
        <v/>
      </c>
      <c r="AA44" s="486"/>
      <c r="AB44" s="487" t="str">
        <f>IF(AND('Mapa final'!$K$60="Muy Baja",'Mapa final'!$O$60="Mayor"),CONCATENATE("R",'Mapa final'!$A$60),"")</f>
        <v/>
      </c>
      <c r="AC44" s="487"/>
      <c r="AD44" s="488" t="str">
        <f>IF(AND('Mapa final'!$K$66="Muy Baja",'Mapa final'!$O$66="Mayor"),CONCATENATE("R",'Mapa final'!$A$66),"")</f>
        <v/>
      </c>
      <c r="AE44" s="488"/>
      <c r="AF44" s="489" t="str">
        <f>IF(AND('Mapa final'!$K$72="Muy Baja",'Mapa final'!$O$72="Mayor"),CONCATENATE("R",'Mapa final'!$A$72),"")</f>
        <v/>
      </c>
      <c r="AG44" s="489"/>
      <c r="AH44" s="473" t="str">
        <f>IF(AND('Mapa final'!$K$60="Muy Baja",'Mapa final'!$O$60="Catastrófico"),CONCATENATE("R",'Mapa final'!$A$60),"")</f>
        <v/>
      </c>
      <c r="AI44" s="473"/>
      <c r="AJ44" s="474" t="str">
        <f>IF(AND('Mapa final'!$K$66="Muy Baja",'Mapa final'!$O$66="Catastrófico"),CONCATENATE("R",'Mapa final'!$A$66),"")</f>
        <v/>
      </c>
      <c r="AK44" s="474"/>
      <c r="AL44" s="475" t="str">
        <f>IF(AND('Mapa final'!$K$72="Muy Baja",'Mapa final'!$O$72="Catastrófico"),CONCATENATE("R",'Mapa final'!$A$72),"")</f>
        <v/>
      </c>
      <c r="AM44" s="475"/>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row>
    <row r="45" spans="1:80" x14ac:dyDescent="0.3">
      <c r="A45" s="1"/>
      <c r="B45" s="458"/>
      <c r="C45" s="458"/>
      <c r="D45" s="458"/>
      <c r="E45" s="459"/>
      <c r="F45" s="459"/>
      <c r="G45" s="459"/>
      <c r="H45" s="459"/>
      <c r="I45" s="459"/>
      <c r="J45" s="498"/>
      <c r="K45" s="498"/>
      <c r="L45" s="499"/>
      <c r="M45" s="499"/>
      <c r="N45" s="500"/>
      <c r="O45" s="500"/>
      <c r="P45" s="498"/>
      <c r="Q45" s="498"/>
      <c r="R45" s="499"/>
      <c r="S45" s="499"/>
      <c r="T45" s="500"/>
      <c r="U45" s="500"/>
      <c r="V45" s="484"/>
      <c r="W45" s="484"/>
      <c r="X45" s="485"/>
      <c r="Y45" s="485"/>
      <c r="Z45" s="486"/>
      <c r="AA45" s="486"/>
      <c r="AB45" s="487"/>
      <c r="AC45" s="487"/>
      <c r="AD45" s="488"/>
      <c r="AE45" s="488"/>
      <c r="AF45" s="489"/>
      <c r="AG45" s="489"/>
      <c r="AH45" s="473"/>
      <c r="AI45" s="473"/>
      <c r="AJ45" s="474"/>
      <c r="AK45" s="474"/>
      <c r="AL45" s="475"/>
      <c r="AM45" s="475"/>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row>
    <row r="46" spans="1:80" ht="15" customHeight="1" x14ac:dyDescent="0.3">
      <c r="A46" s="1"/>
      <c r="B46" s="1"/>
      <c r="C46" s="1"/>
      <c r="D46" s="1"/>
      <c r="E46" s="1"/>
      <c r="F46" s="1"/>
      <c r="G46" s="1"/>
      <c r="H46" s="1"/>
      <c r="I46" s="1"/>
      <c r="J46" s="459" t="s">
        <v>136</v>
      </c>
      <c r="K46" s="459"/>
      <c r="L46" s="459"/>
      <c r="M46" s="459"/>
      <c r="N46" s="459"/>
      <c r="O46" s="459"/>
      <c r="P46" s="459" t="s">
        <v>137</v>
      </c>
      <c r="Q46" s="459"/>
      <c r="R46" s="459"/>
      <c r="S46" s="459"/>
      <c r="T46" s="459"/>
      <c r="U46" s="459"/>
      <c r="V46" s="459" t="s">
        <v>138</v>
      </c>
      <c r="W46" s="459"/>
      <c r="X46" s="459"/>
      <c r="Y46" s="459"/>
      <c r="Z46" s="459"/>
      <c r="AA46" s="459"/>
      <c r="AB46" s="459" t="s">
        <v>139</v>
      </c>
      <c r="AC46" s="459"/>
      <c r="AD46" s="459"/>
      <c r="AE46" s="459"/>
      <c r="AF46" s="459"/>
      <c r="AG46" s="459"/>
      <c r="AH46" s="459" t="s">
        <v>140</v>
      </c>
      <c r="AI46" s="459"/>
      <c r="AJ46" s="459"/>
      <c r="AK46" s="459"/>
      <c r="AL46" s="459"/>
      <c r="AM46" s="459"/>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row>
    <row r="47" spans="1:80" x14ac:dyDescent="0.3">
      <c r="A47" s="1"/>
      <c r="B47" s="1"/>
      <c r="C47" s="1"/>
      <c r="D47" s="1"/>
      <c r="E47" s="1"/>
      <c r="F47" s="1"/>
      <c r="G47" s="1"/>
      <c r="H47" s="1"/>
      <c r="I47" s="1"/>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59"/>
      <c r="AI47" s="459"/>
      <c r="AJ47" s="459"/>
      <c r="AK47" s="459"/>
      <c r="AL47" s="459"/>
      <c r="AM47" s="459"/>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row>
    <row r="48" spans="1:80" x14ac:dyDescent="0.3">
      <c r="A48" s="1"/>
      <c r="B48" s="1"/>
      <c r="C48" s="1"/>
      <c r="D48" s="1"/>
      <c r="E48" s="1"/>
      <c r="F48" s="1"/>
      <c r="G48" s="1"/>
      <c r="H48" s="1"/>
      <c r="I48" s="1"/>
      <c r="J48" s="459"/>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59"/>
      <c r="AJ48" s="459"/>
      <c r="AK48" s="459"/>
      <c r="AL48" s="459"/>
      <c r="AM48" s="459"/>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row>
    <row r="49" spans="1:80" x14ac:dyDescent="0.3">
      <c r="A49" s="1"/>
      <c r="B49" s="1"/>
      <c r="C49" s="1"/>
      <c r="D49" s="1"/>
      <c r="E49" s="1"/>
      <c r="F49" s="1"/>
      <c r="G49" s="1"/>
      <c r="H49" s="1"/>
      <c r="I49" s="1"/>
      <c r="J49" s="459"/>
      <c r="K49" s="459"/>
      <c r="L49" s="459"/>
      <c r="M49" s="459"/>
      <c r="N49" s="459"/>
      <c r="O49" s="459"/>
      <c r="P49" s="459"/>
      <c r="Q49" s="459"/>
      <c r="R49" s="459"/>
      <c r="S49" s="459"/>
      <c r="T49" s="459"/>
      <c r="U49" s="459"/>
      <c r="V49" s="459"/>
      <c r="W49" s="459"/>
      <c r="X49" s="459"/>
      <c r="Y49" s="459"/>
      <c r="Z49" s="459"/>
      <c r="AA49" s="459"/>
      <c r="AB49" s="459"/>
      <c r="AC49" s="459"/>
      <c r="AD49" s="459"/>
      <c r="AE49" s="459"/>
      <c r="AF49" s="459"/>
      <c r="AG49" s="459"/>
      <c r="AH49" s="459"/>
      <c r="AI49" s="459"/>
      <c r="AJ49" s="459"/>
      <c r="AK49" s="459"/>
      <c r="AL49" s="459"/>
      <c r="AM49" s="459"/>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row>
    <row r="50" spans="1:80" x14ac:dyDescent="0.3">
      <c r="A50" s="1"/>
      <c r="B50" s="1"/>
      <c r="C50" s="1"/>
      <c r="D50" s="1"/>
      <c r="E50" s="1"/>
      <c r="F50" s="1"/>
      <c r="G50" s="1"/>
      <c r="H50" s="1"/>
      <c r="I50" s="1"/>
      <c r="J50" s="459"/>
      <c r="K50" s="459"/>
      <c r="L50" s="459"/>
      <c r="M50" s="459"/>
      <c r="N50" s="459"/>
      <c r="O50" s="459"/>
      <c r="P50" s="459"/>
      <c r="Q50" s="459"/>
      <c r="R50" s="459"/>
      <c r="S50" s="459"/>
      <c r="T50" s="459"/>
      <c r="U50" s="459"/>
      <c r="V50" s="459"/>
      <c r="W50" s="459"/>
      <c r="X50" s="459"/>
      <c r="Y50" s="459"/>
      <c r="Z50" s="459"/>
      <c r="AA50" s="459"/>
      <c r="AB50" s="459"/>
      <c r="AC50" s="459"/>
      <c r="AD50" s="459"/>
      <c r="AE50" s="459"/>
      <c r="AF50" s="459"/>
      <c r="AG50" s="459"/>
      <c r="AH50" s="459"/>
      <c r="AI50" s="459"/>
      <c r="AJ50" s="459"/>
      <c r="AK50" s="459"/>
      <c r="AL50" s="459"/>
      <c r="AM50" s="459"/>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row>
    <row r="51" spans="1:80" x14ac:dyDescent="0.3">
      <c r="A51" s="1"/>
      <c r="B51" s="1"/>
      <c r="C51" s="1"/>
      <c r="D51" s="1"/>
      <c r="E51" s="1"/>
      <c r="F51" s="1"/>
      <c r="G51" s="1"/>
      <c r="H51" s="1"/>
      <c r="I51" s="1"/>
      <c r="J51" s="459"/>
      <c r="K51" s="459"/>
      <c r="L51" s="459"/>
      <c r="M51" s="459"/>
      <c r="N51" s="459"/>
      <c r="O51" s="459"/>
      <c r="P51" s="459"/>
      <c r="Q51" s="459"/>
      <c r="R51" s="459"/>
      <c r="S51" s="459"/>
      <c r="T51" s="459"/>
      <c r="U51" s="459"/>
      <c r="V51" s="459"/>
      <c r="W51" s="459"/>
      <c r="X51" s="459"/>
      <c r="Y51" s="459"/>
      <c r="Z51" s="459"/>
      <c r="AA51" s="459"/>
      <c r="AB51" s="459"/>
      <c r="AC51" s="459"/>
      <c r="AD51" s="459"/>
      <c r="AE51" s="459"/>
      <c r="AF51" s="459"/>
      <c r="AG51" s="459"/>
      <c r="AH51" s="459"/>
      <c r="AI51" s="459"/>
      <c r="AJ51" s="459"/>
      <c r="AK51" s="459"/>
      <c r="AL51" s="459"/>
      <c r="AM51" s="459"/>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row>
    <row r="52" spans="1:80"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row>
    <row r="53" spans="1:80" ht="15" customHeight="1" x14ac:dyDescent="0.3">
      <c r="A53" s="1"/>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row>
    <row r="54" spans="1:80" ht="15" customHeight="1" x14ac:dyDescent="0.3">
      <c r="A54" s="1"/>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row>
    <row r="55" spans="1:80" x14ac:dyDescent="0.3">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row>
    <row r="56" spans="1:80" x14ac:dyDescent="0.3">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row>
    <row r="57" spans="1:80"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row>
    <row r="58" spans="1:80" x14ac:dyDescent="0.3">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row>
    <row r="59" spans="1:80"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row>
    <row r="60" spans="1:80" x14ac:dyDescent="0.3">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row>
    <row r="61" spans="1:80" x14ac:dyDescent="0.3">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row>
    <row r="62" spans="1:80"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row>
    <row r="63" spans="1:80" x14ac:dyDescent="0.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row>
    <row r="64" spans="1:80"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row>
    <row r="65" spans="1:80"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row>
    <row r="66" spans="1:80"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row>
    <row r="67" spans="1:80"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row>
    <row r="68" spans="1:80"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row>
    <row r="69" spans="1:80"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row>
    <row r="70" spans="1:80"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row>
    <row r="71" spans="1:80"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row>
    <row r="72" spans="1:80"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row>
    <row r="73" spans="1:80"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row>
    <row r="74" spans="1:80"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row>
    <row r="75" spans="1:80"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row>
    <row r="76" spans="1:80"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row>
    <row r="77" spans="1:80"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row>
    <row r="78" spans="1:80"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row>
    <row r="79" spans="1:80"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row>
    <row r="80" spans="1:80"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row>
    <row r="81" spans="1:63"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row>
    <row r="82" spans="1:63"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row>
    <row r="83" spans="1:63"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row>
    <row r="84" spans="1:63"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row>
    <row r="85" spans="1:63"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row>
    <row r="86" spans="1:63"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row>
    <row r="87" spans="1:63"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row>
    <row r="88" spans="1:63"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row>
    <row r="89" spans="1:63"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row>
    <row r="90" spans="1:63"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row>
    <row r="91" spans="1:63"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row>
    <row r="92" spans="1:63"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row>
    <row r="93" spans="1:63"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row>
    <row r="94" spans="1:63"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row>
    <row r="95" spans="1:63"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row>
    <row r="96" spans="1:63"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row>
    <row r="97" spans="1:63"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row>
    <row r="98" spans="1:63"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row>
    <row r="99" spans="1:63"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row>
    <row r="100" spans="1:63"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row>
    <row r="101" spans="1:63"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row>
    <row r="102" spans="1:63"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row>
    <row r="103" spans="1:63"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row>
    <row r="104" spans="1:63"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row>
    <row r="105" spans="1:63"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row>
    <row r="106" spans="1:63"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row>
    <row r="107" spans="1:63"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row>
    <row r="108" spans="1:63"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row>
    <row r="109" spans="1:63"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row>
    <row r="110" spans="1:63"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row>
    <row r="111" spans="1:63"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row>
    <row r="112" spans="1:63"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row>
    <row r="113" spans="1:63"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row>
    <row r="114" spans="1:63"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row>
    <row r="115" spans="1:63"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row>
    <row r="116" spans="1:63"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row>
    <row r="117" spans="1:63"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row>
    <row r="118" spans="1:63"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row>
    <row r="119" spans="1:63"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row>
    <row r="120" spans="1:63"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row>
    <row r="121" spans="1:63"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row>
    <row r="122" spans="1:63" x14ac:dyDescent="0.3">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row>
    <row r="123" spans="1:63" x14ac:dyDescent="0.3">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row>
    <row r="124" spans="1:63" x14ac:dyDescent="0.3">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row>
    <row r="125" spans="1:63" x14ac:dyDescent="0.3">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row>
    <row r="126" spans="1:63" x14ac:dyDescent="0.3">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row>
    <row r="127" spans="1:63" x14ac:dyDescent="0.3">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row>
    <row r="128" spans="1:63" x14ac:dyDescent="0.3">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row>
    <row r="129" spans="2:62" x14ac:dyDescent="0.3">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row>
    <row r="130" spans="2:62" x14ac:dyDescent="0.3">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row>
    <row r="131" spans="2:62" x14ac:dyDescent="0.3">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row>
    <row r="132" spans="2:62" x14ac:dyDescent="0.3">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row>
    <row r="133" spans="2:62" x14ac:dyDescent="0.3">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row>
    <row r="134" spans="2:62" x14ac:dyDescent="0.3">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row>
    <row r="135" spans="2:62" x14ac:dyDescent="0.3">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row>
    <row r="136" spans="2:62" x14ac:dyDescent="0.3">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row>
    <row r="137" spans="2:62" x14ac:dyDescent="0.3">
      <c r="B137" s="1"/>
      <c r="C137" s="1"/>
      <c r="D137" s="1"/>
      <c r="E137" s="1"/>
      <c r="F137" s="1"/>
      <c r="G137" s="1"/>
      <c r="H137" s="1"/>
    </row>
    <row r="138" spans="2:62" x14ac:dyDescent="0.3">
      <c r="B138" s="1"/>
      <c r="C138" s="1"/>
      <c r="D138" s="1"/>
      <c r="E138" s="1"/>
      <c r="F138" s="1"/>
      <c r="G138" s="1"/>
      <c r="H138" s="1"/>
    </row>
    <row r="139" spans="2:62" x14ac:dyDescent="0.3">
      <c r="B139" s="1"/>
      <c r="C139" s="1"/>
      <c r="D139" s="1"/>
      <c r="E139" s="1"/>
      <c r="F139" s="1"/>
      <c r="G139" s="1"/>
      <c r="H139" s="1"/>
    </row>
    <row r="140" spans="2:62" x14ac:dyDescent="0.3">
      <c r="B140" s="1"/>
      <c r="C140" s="1"/>
      <c r="D140" s="1"/>
      <c r="E140" s="1"/>
      <c r="F140" s="1"/>
      <c r="G140" s="1"/>
      <c r="H140" s="1"/>
    </row>
  </sheetData>
  <sheetProtection algorithmName="SHA-512" hashValue="kpXlidzmWxbP3brn8k4eIEWxhYHkoNV8mMuhH1lPT/xypiCOesm15jiCfvbsOoPDCD8/umcOeC7isQqNzzQXVQ==" saltValue="e8t6+j8RQ+iPDyNDapgnxw==" spinCount="100000" sheet="1" objects="1" scenarios="1"/>
  <mergeCells count="317">
    <mergeCell ref="J46:O51"/>
    <mergeCell ref="P46:U51"/>
    <mergeCell ref="V46:AA51"/>
    <mergeCell ref="AB46:AG51"/>
    <mergeCell ref="AH46:AM51"/>
    <mergeCell ref="Z42:AA43"/>
    <mergeCell ref="AB42:AC43"/>
    <mergeCell ref="AD42:AE43"/>
    <mergeCell ref="AF42:AG43"/>
    <mergeCell ref="AH42:AI43"/>
    <mergeCell ref="AJ42:AK43"/>
    <mergeCell ref="AL42:AM43"/>
    <mergeCell ref="J44:K45"/>
    <mergeCell ref="L44:M45"/>
    <mergeCell ref="N44:O45"/>
    <mergeCell ref="P44:Q45"/>
    <mergeCell ref="R44:S45"/>
    <mergeCell ref="T44:U45"/>
    <mergeCell ref="V44:W45"/>
    <mergeCell ref="X44:Y45"/>
    <mergeCell ref="Z44:AA45"/>
    <mergeCell ref="AB44:AC45"/>
    <mergeCell ref="AD44:AE45"/>
    <mergeCell ref="AF44:AG45"/>
    <mergeCell ref="X40:Y41"/>
    <mergeCell ref="Z40:AA41"/>
    <mergeCell ref="AH44:AI45"/>
    <mergeCell ref="AJ44:AK45"/>
    <mergeCell ref="AL44:AM45"/>
    <mergeCell ref="Z38:AA39"/>
    <mergeCell ref="AB38:AC39"/>
    <mergeCell ref="AD38:AE39"/>
    <mergeCell ref="AF38:AG39"/>
    <mergeCell ref="AH38:AI39"/>
    <mergeCell ref="AJ38:AK39"/>
    <mergeCell ref="AL38:AM39"/>
    <mergeCell ref="AB40:AC41"/>
    <mergeCell ref="AD40:AE41"/>
    <mergeCell ref="AF40:AG41"/>
    <mergeCell ref="AH40:AI41"/>
    <mergeCell ref="AJ40:AK41"/>
    <mergeCell ref="AL40:AM41"/>
    <mergeCell ref="E38:I45"/>
    <mergeCell ref="J38:K39"/>
    <mergeCell ref="L38:M39"/>
    <mergeCell ref="N38:O39"/>
    <mergeCell ref="P38:Q39"/>
    <mergeCell ref="R38:S39"/>
    <mergeCell ref="T38:U39"/>
    <mergeCell ref="V38:W39"/>
    <mergeCell ref="X38:Y39"/>
    <mergeCell ref="J42:K43"/>
    <mergeCell ref="L42:M43"/>
    <mergeCell ref="N42:O43"/>
    <mergeCell ref="P42:Q43"/>
    <mergeCell ref="R42:S43"/>
    <mergeCell ref="T42:U43"/>
    <mergeCell ref="V42:W43"/>
    <mergeCell ref="X42:Y43"/>
    <mergeCell ref="J40:K41"/>
    <mergeCell ref="L40:M41"/>
    <mergeCell ref="N40:O41"/>
    <mergeCell ref="P40:Q41"/>
    <mergeCell ref="R40:S41"/>
    <mergeCell ref="T40:U41"/>
    <mergeCell ref="V40:W41"/>
    <mergeCell ref="Z34:AA35"/>
    <mergeCell ref="AB34:AC35"/>
    <mergeCell ref="AD34:AE35"/>
    <mergeCell ref="AF34:AG35"/>
    <mergeCell ref="AH34:AI35"/>
    <mergeCell ref="AJ34:AK35"/>
    <mergeCell ref="AL34:AM35"/>
    <mergeCell ref="J36:K37"/>
    <mergeCell ref="L36:M37"/>
    <mergeCell ref="N36:O37"/>
    <mergeCell ref="P36:Q37"/>
    <mergeCell ref="R36:S37"/>
    <mergeCell ref="T36:U37"/>
    <mergeCell ref="V36:W37"/>
    <mergeCell ref="X36:Y37"/>
    <mergeCell ref="Z36:AA37"/>
    <mergeCell ref="AB36:AC37"/>
    <mergeCell ref="AD36:AE37"/>
    <mergeCell ref="AF36:AG37"/>
    <mergeCell ref="AH36:AI37"/>
    <mergeCell ref="AJ36:AK37"/>
    <mergeCell ref="AL36:AM37"/>
    <mergeCell ref="Z30:AA31"/>
    <mergeCell ref="AB30:AC31"/>
    <mergeCell ref="AD30:AE31"/>
    <mergeCell ref="AF30:AG31"/>
    <mergeCell ref="AH30:AI31"/>
    <mergeCell ref="AJ30:AK31"/>
    <mergeCell ref="AL30:AM31"/>
    <mergeCell ref="AO30:AT37"/>
    <mergeCell ref="J32:K33"/>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J34:K35"/>
    <mergeCell ref="E30:I37"/>
    <mergeCell ref="J30:K31"/>
    <mergeCell ref="L30:M31"/>
    <mergeCell ref="N30:O31"/>
    <mergeCell ref="P30:Q31"/>
    <mergeCell ref="R30:S31"/>
    <mergeCell ref="T30:U31"/>
    <mergeCell ref="V30:W31"/>
    <mergeCell ref="X30:Y31"/>
    <mergeCell ref="L34:M35"/>
    <mergeCell ref="N34:O35"/>
    <mergeCell ref="P34:Q35"/>
    <mergeCell ref="R34:S35"/>
    <mergeCell ref="T34:U35"/>
    <mergeCell ref="V34:W35"/>
    <mergeCell ref="X34:Y35"/>
    <mergeCell ref="Z26:AA27"/>
    <mergeCell ref="AB26:AC27"/>
    <mergeCell ref="AD26:AE27"/>
    <mergeCell ref="AF26:AG27"/>
    <mergeCell ref="AH26:AI27"/>
    <mergeCell ref="AJ26:AK27"/>
    <mergeCell ref="AL26:AM27"/>
    <mergeCell ref="J28:K29"/>
    <mergeCell ref="L28:M29"/>
    <mergeCell ref="N28:O29"/>
    <mergeCell ref="P28:Q29"/>
    <mergeCell ref="R28:S29"/>
    <mergeCell ref="T28:U29"/>
    <mergeCell ref="V28:W29"/>
    <mergeCell ref="X28:Y29"/>
    <mergeCell ref="Z28:AA29"/>
    <mergeCell ref="AB28:AC29"/>
    <mergeCell ref="AD28:AE29"/>
    <mergeCell ref="AF28:AG29"/>
    <mergeCell ref="AH28:AI29"/>
    <mergeCell ref="AJ28:AK29"/>
    <mergeCell ref="AL28:AM29"/>
    <mergeCell ref="Z22:AA23"/>
    <mergeCell ref="AB22:AC23"/>
    <mergeCell ref="AD22:AE23"/>
    <mergeCell ref="AF22:AG23"/>
    <mergeCell ref="AH22:AI23"/>
    <mergeCell ref="AJ22:AK23"/>
    <mergeCell ref="AL22:AM23"/>
    <mergeCell ref="AO22:AT29"/>
    <mergeCell ref="J24:K25"/>
    <mergeCell ref="L24:M25"/>
    <mergeCell ref="N24:O25"/>
    <mergeCell ref="P24:Q25"/>
    <mergeCell ref="R24:S25"/>
    <mergeCell ref="T24:U25"/>
    <mergeCell ref="V24:W25"/>
    <mergeCell ref="X24:Y25"/>
    <mergeCell ref="Z24:AA25"/>
    <mergeCell ref="AB24:AC25"/>
    <mergeCell ref="AD24:AE25"/>
    <mergeCell ref="AF24:AG25"/>
    <mergeCell ref="AH24:AI25"/>
    <mergeCell ref="AJ24:AK25"/>
    <mergeCell ref="AL24:AM25"/>
    <mergeCell ref="J26:K27"/>
    <mergeCell ref="E22:I29"/>
    <mergeCell ref="J22:K23"/>
    <mergeCell ref="L22:M23"/>
    <mergeCell ref="N22:O23"/>
    <mergeCell ref="P22:Q23"/>
    <mergeCell ref="R22:S23"/>
    <mergeCell ref="T22:U23"/>
    <mergeCell ref="V22:W23"/>
    <mergeCell ref="X22:Y23"/>
    <mergeCell ref="L26:M27"/>
    <mergeCell ref="N26:O27"/>
    <mergeCell ref="P26:Q27"/>
    <mergeCell ref="R26:S27"/>
    <mergeCell ref="T26:U27"/>
    <mergeCell ref="V26:W27"/>
    <mergeCell ref="X26:Y27"/>
    <mergeCell ref="Z18:AA19"/>
    <mergeCell ref="AB18:AC19"/>
    <mergeCell ref="AD18:AE19"/>
    <mergeCell ref="AF18:AG19"/>
    <mergeCell ref="AH18:AI19"/>
    <mergeCell ref="AJ18:AK19"/>
    <mergeCell ref="AL18:AM19"/>
    <mergeCell ref="J20:K21"/>
    <mergeCell ref="L20:M21"/>
    <mergeCell ref="N20:O21"/>
    <mergeCell ref="P20:Q21"/>
    <mergeCell ref="R20:S21"/>
    <mergeCell ref="T20:U21"/>
    <mergeCell ref="V20:W21"/>
    <mergeCell ref="X20:Y21"/>
    <mergeCell ref="Z20:AA21"/>
    <mergeCell ref="AB20:AC21"/>
    <mergeCell ref="AD20:AE21"/>
    <mergeCell ref="AF20:AG21"/>
    <mergeCell ref="AH20:AI21"/>
    <mergeCell ref="AJ20:AK21"/>
    <mergeCell ref="AL20:AM21"/>
    <mergeCell ref="Z14:AA15"/>
    <mergeCell ref="AB14:AC15"/>
    <mergeCell ref="AD14:AE15"/>
    <mergeCell ref="AF14:AG15"/>
    <mergeCell ref="AH14:AI15"/>
    <mergeCell ref="AJ14:AK15"/>
    <mergeCell ref="AL14:AM15"/>
    <mergeCell ref="AO14:AT21"/>
    <mergeCell ref="J16:K17"/>
    <mergeCell ref="L16:M17"/>
    <mergeCell ref="N16:O17"/>
    <mergeCell ref="P16:Q17"/>
    <mergeCell ref="R16:S17"/>
    <mergeCell ref="T16:U17"/>
    <mergeCell ref="V16:W17"/>
    <mergeCell ref="X16:Y17"/>
    <mergeCell ref="Z16:AA17"/>
    <mergeCell ref="AB16:AC17"/>
    <mergeCell ref="AD16:AE17"/>
    <mergeCell ref="AF16:AG17"/>
    <mergeCell ref="AH16:AI17"/>
    <mergeCell ref="AJ16:AK17"/>
    <mergeCell ref="AL16:AM17"/>
    <mergeCell ref="J18:K19"/>
    <mergeCell ref="E14:I21"/>
    <mergeCell ref="J14:K15"/>
    <mergeCell ref="L14:M15"/>
    <mergeCell ref="N14:O15"/>
    <mergeCell ref="P14:Q15"/>
    <mergeCell ref="R14:S15"/>
    <mergeCell ref="T14:U15"/>
    <mergeCell ref="V14:W15"/>
    <mergeCell ref="X14:Y15"/>
    <mergeCell ref="L18:M19"/>
    <mergeCell ref="N18:O19"/>
    <mergeCell ref="P18:Q19"/>
    <mergeCell ref="R18:S19"/>
    <mergeCell ref="T18:U19"/>
    <mergeCell ref="V18:W19"/>
    <mergeCell ref="X18:Y19"/>
    <mergeCell ref="AJ10:AK11"/>
    <mergeCell ref="AL10:AM11"/>
    <mergeCell ref="J12:K13"/>
    <mergeCell ref="L12:M13"/>
    <mergeCell ref="N12:O13"/>
    <mergeCell ref="P12:Q13"/>
    <mergeCell ref="R12:S13"/>
    <mergeCell ref="T12:U13"/>
    <mergeCell ref="V12:W13"/>
    <mergeCell ref="X12:Y13"/>
    <mergeCell ref="Z12:AA13"/>
    <mergeCell ref="AB12:AC13"/>
    <mergeCell ref="AD12:AE13"/>
    <mergeCell ref="AF12:AG13"/>
    <mergeCell ref="AH12:AI13"/>
    <mergeCell ref="AJ12:AK13"/>
    <mergeCell ref="AL12:AM13"/>
    <mergeCell ref="AO6:AT13"/>
    <mergeCell ref="J8:K9"/>
    <mergeCell ref="L8:M9"/>
    <mergeCell ref="N8:O9"/>
    <mergeCell ref="P8:Q9"/>
    <mergeCell ref="R8:S9"/>
    <mergeCell ref="T8:U9"/>
    <mergeCell ref="V8:W9"/>
    <mergeCell ref="X8:Y9"/>
    <mergeCell ref="Z8:AA9"/>
    <mergeCell ref="AB8:AC9"/>
    <mergeCell ref="AD8:AE9"/>
    <mergeCell ref="AF8:AG9"/>
    <mergeCell ref="AH8:AI9"/>
    <mergeCell ref="AJ8:AK9"/>
    <mergeCell ref="AL8:AM9"/>
    <mergeCell ref="J10:K11"/>
    <mergeCell ref="L10:M11"/>
    <mergeCell ref="N10:O11"/>
    <mergeCell ref="P10:Q11"/>
    <mergeCell ref="R10:S11"/>
    <mergeCell ref="T10:U11"/>
    <mergeCell ref="V10:W11"/>
    <mergeCell ref="X10:Y11"/>
    <mergeCell ref="B2:I4"/>
    <mergeCell ref="J2:AM4"/>
    <mergeCell ref="B6:D45"/>
    <mergeCell ref="E6:I13"/>
    <mergeCell ref="J6:K7"/>
    <mergeCell ref="L6:M7"/>
    <mergeCell ref="N6:O7"/>
    <mergeCell ref="P6:Q7"/>
    <mergeCell ref="R6:S7"/>
    <mergeCell ref="T6:U7"/>
    <mergeCell ref="V6:W7"/>
    <mergeCell ref="X6:Y7"/>
    <mergeCell ref="Z6:AA7"/>
    <mergeCell ref="AB6:AC7"/>
    <mergeCell ref="AD6:AE7"/>
    <mergeCell ref="AF6:AG7"/>
    <mergeCell ref="AH6:AI7"/>
    <mergeCell ref="AJ6:AK7"/>
    <mergeCell ref="AL6:AM7"/>
    <mergeCell ref="Z10:AA11"/>
    <mergeCell ref="AB10:AC11"/>
    <mergeCell ref="AD10:AE11"/>
    <mergeCell ref="AF10:AG11"/>
    <mergeCell ref="AH10:AI11"/>
  </mergeCells>
  <pageMargins left="0.7" right="0.7" top="0.75" bottom="0.75" header="0.511811023622047" footer="0.511811023622047"/>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70" zoomScaleNormal="70" workbookViewId="0">
      <selection activeCell="T28" sqref="T28"/>
    </sheetView>
  </sheetViews>
  <sheetFormatPr baseColWidth="10" defaultColWidth="10.6640625" defaultRowHeight="14.4" x14ac:dyDescent="0.3"/>
  <cols>
    <col min="2" max="18" width="5.6640625" customWidth="1"/>
    <col min="19" max="19" width="8.44140625" customWidth="1"/>
    <col min="20" max="23" width="5.6640625" customWidth="1"/>
    <col min="24" max="24" width="8.5546875" customWidth="1"/>
    <col min="25" max="26" width="5.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row>
    <row r="2" spans="1:91" ht="18" customHeight="1" x14ac:dyDescent="0.3">
      <c r="A2" s="1"/>
      <c r="B2" s="501" t="s">
        <v>141</v>
      </c>
      <c r="C2" s="501"/>
      <c r="D2" s="501"/>
      <c r="E2" s="501"/>
      <c r="F2" s="501"/>
      <c r="G2" s="501"/>
      <c r="H2" s="501"/>
      <c r="I2" s="501"/>
      <c r="J2" s="457" t="s">
        <v>15</v>
      </c>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row>
    <row r="3" spans="1:91" ht="18.75" customHeight="1" x14ac:dyDescent="0.3">
      <c r="A3" s="1"/>
      <c r="B3" s="501"/>
      <c r="C3" s="501"/>
      <c r="D3" s="501"/>
      <c r="E3" s="501"/>
      <c r="F3" s="501"/>
      <c r="G3" s="501"/>
      <c r="H3" s="501"/>
      <c r="I3" s="501"/>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row>
    <row r="4" spans="1:91" ht="15" customHeight="1" x14ac:dyDescent="0.3">
      <c r="A4" s="1"/>
      <c r="B4" s="501"/>
      <c r="C4" s="501"/>
      <c r="D4" s="501"/>
      <c r="E4" s="501"/>
      <c r="F4" s="501"/>
      <c r="G4" s="501"/>
      <c r="H4" s="501"/>
      <c r="I4" s="501"/>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row>
    <row r="5" spans="1:91" x14ac:dyDescent="0.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row>
    <row r="6" spans="1:91" ht="15" customHeight="1" x14ac:dyDescent="0.3">
      <c r="A6" s="1"/>
      <c r="B6" s="458" t="s">
        <v>120</v>
      </c>
      <c r="C6" s="458"/>
      <c r="D6" s="458"/>
      <c r="E6" s="502" t="s">
        <v>127</v>
      </c>
      <c r="F6" s="502"/>
      <c r="G6" s="502"/>
      <c r="H6" s="502"/>
      <c r="I6" s="502"/>
      <c r="J6" s="65" t="str">
        <f>IF(AND('Mapa final'!$AB$10="Muy Alta",'Mapa final'!$AD$10="Leve"),CONCATENATE("R1C",'Mapa final'!$R$10),"")</f>
        <v/>
      </c>
      <c r="K6" s="66" t="str">
        <f>IF(AND('Mapa final'!$AB$11="Muy Alta",'Mapa final'!$AD$11="Leve"),CONCATENATE("R1C",'Mapa final'!$R$11),"")</f>
        <v/>
      </c>
      <c r="L6" s="66" t="str">
        <f>IF(AND('Mapa final'!$AB$12="Muy Alta",'Mapa final'!$AD$12="Leve"),CONCATENATE("R1C",'Mapa final'!$R$12),"")</f>
        <v/>
      </c>
      <c r="M6" s="66" t="str">
        <f>IF(AND('Mapa final'!$AB$13="Muy Alta",'Mapa final'!$AD$13="Leve"),CONCATENATE("R1C",'Mapa final'!$R$13),"")</f>
        <v/>
      </c>
      <c r="N6" s="66" t="str">
        <f>IF(AND('Mapa final'!$AB$14="Muy Alta",'Mapa final'!$AD$14="Leve"),CONCATENATE("R1C",'Mapa final'!$R$14),"")</f>
        <v/>
      </c>
      <c r="O6" s="67" t="str">
        <f>IF(AND('Mapa final'!$AB$15="Muy Alta",'Mapa final'!$AD$15="Leve"),CONCATENATE("R1C",'Mapa final'!$R$15),"")</f>
        <v/>
      </c>
      <c r="P6" s="65" t="str">
        <f>IF(AND('Mapa final'!$AB$10="Muy Alta",'Mapa final'!$AD$10="Menor"),CONCATENATE("R1C",'Mapa final'!$R$10),"")</f>
        <v/>
      </c>
      <c r="Q6" s="66" t="str">
        <f>IF(AND('Mapa final'!$AB$11="Muy Alta",'Mapa final'!$AD$11="Menor"),CONCATENATE("R1C",'Mapa final'!$R$11),"")</f>
        <v/>
      </c>
      <c r="R6" s="66" t="str">
        <f>IF(AND('Mapa final'!$AB$12="Muy Alta",'Mapa final'!$AD$12="Menor"),CONCATENATE("R1C",'Mapa final'!$R$12),"")</f>
        <v/>
      </c>
      <c r="S6" s="66" t="str">
        <f>IF(AND('Mapa final'!$AB$13="Muy Alta",'Mapa final'!$AD$13="Menor"),CONCATENATE("R1C",'Mapa final'!$R$13),"")</f>
        <v/>
      </c>
      <c r="T6" s="66" t="str">
        <f>IF(AND('Mapa final'!$AB$14="Muy Alta",'Mapa final'!$AD$14="Menor"),CONCATENATE("R1C",'Mapa final'!$R$14),"")</f>
        <v/>
      </c>
      <c r="U6" s="67" t="str">
        <f>IF(AND('Mapa final'!$AB$15="Muy Alta",'Mapa final'!$AD$15="Menor"),CONCATENATE("R1C",'Mapa final'!$R$15),"")</f>
        <v/>
      </c>
      <c r="V6" s="65" t="str">
        <f>IF(AND('Mapa final'!$AB$10="Muy Alta",'Mapa final'!$AD$10="Moderado"),CONCATENATE("R1C",'Mapa final'!$R$10),"")</f>
        <v/>
      </c>
      <c r="W6" s="66" t="str">
        <f>IF(AND('Mapa final'!$AB$11="Muy Alta",'Mapa final'!$AD$11="Moderado"),CONCATENATE("R1C",'Mapa final'!$R$11),"")</f>
        <v/>
      </c>
      <c r="X6" s="66" t="str">
        <f>IF(AND('Mapa final'!$AB$12="Muy Alta",'Mapa final'!$AD$12="Moderado"),CONCATENATE("R1C",'Mapa final'!$R$12),"")</f>
        <v/>
      </c>
      <c r="Y6" s="66" t="str">
        <f>IF(AND('Mapa final'!$AB$13="Muy Alta",'Mapa final'!$AD$13="Moderado"),CONCATENATE("R1C",'Mapa final'!$R$13),"")</f>
        <v/>
      </c>
      <c r="Z6" s="66" t="str">
        <f>IF(AND('Mapa final'!$AB$14="Muy Alta",'Mapa final'!$AD$14="Moderado"),CONCATENATE("R1C",'Mapa final'!$R$14),"")</f>
        <v/>
      </c>
      <c r="AA6" s="67" t="str">
        <f>IF(AND('Mapa final'!$AB$15="Muy Alta",'Mapa final'!$AD$15="Moderado"),CONCATENATE("R1C",'Mapa final'!$R$15),"")</f>
        <v/>
      </c>
      <c r="AB6" s="65" t="str">
        <f>IF(AND('Mapa final'!$AB$10="Muy Alta",'Mapa final'!$AD$10="Mayor"),CONCATENATE("R1C",'Mapa final'!$R$10),"")</f>
        <v/>
      </c>
      <c r="AC6" s="66" t="str">
        <f>IF(AND('Mapa final'!$AB$11="Muy Alta",'Mapa final'!$AD$11="Mayor"),CONCATENATE("R1C",'Mapa final'!$R$11),"")</f>
        <v/>
      </c>
      <c r="AD6" s="66" t="str">
        <f>IF(AND('Mapa final'!$AB$12="Muy Alta",'Mapa final'!$AD$12="Mayor"),CONCATENATE("R1C",'Mapa final'!$R$12),"")</f>
        <v/>
      </c>
      <c r="AE6" s="66" t="str">
        <f>IF(AND('Mapa final'!$AB$13="Muy Alta",'Mapa final'!$AD$13="Mayor"),CONCATENATE("R1C",'Mapa final'!$R$13),"")</f>
        <v/>
      </c>
      <c r="AF6" s="66" t="str">
        <f>IF(AND('Mapa final'!$AB$14="Muy Alta",'Mapa final'!$AD$14="Mayor"),CONCATENATE("R1C",'Mapa final'!$R$14),"")</f>
        <v/>
      </c>
      <c r="AG6" s="67" t="str">
        <f>IF(AND('Mapa final'!$AB$15="Muy Alta",'Mapa final'!$AD$15="Mayor"),CONCATENATE("R1C",'Mapa final'!$R$15),"")</f>
        <v/>
      </c>
      <c r="AH6" s="68" t="str">
        <f>IF(AND('Mapa final'!$AB$10="Muy Alta",'Mapa final'!$AD$10="Catastrófico"),CONCATENATE("R1C",'Mapa final'!$R$10),"")</f>
        <v/>
      </c>
      <c r="AI6" s="69" t="str">
        <f>IF(AND('Mapa final'!$AB$11="Muy Alta",'Mapa final'!$AD$11="Catastrófico"),CONCATENATE("R1C",'Mapa final'!$R$11),"")</f>
        <v/>
      </c>
      <c r="AJ6" s="69" t="str">
        <f>IF(AND('Mapa final'!$AB$12="Muy Alta",'Mapa final'!$AD$12="Catastrófico"),CONCATENATE("R1C",'Mapa final'!$R$12),"")</f>
        <v/>
      </c>
      <c r="AK6" s="69" t="str">
        <f>IF(AND('Mapa final'!$AB$13="Muy Alta",'Mapa final'!$AD$13="Catastrófico"),CONCATENATE("R1C",'Mapa final'!$R$13),"")</f>
        <v/>
      </c>
      <c r="AL6" s="69" t="str">
        <f>IF(AND('Mapa final'!$AB$14="Muy Alta",'Mapa final'!$AD$14="Catastrófico"),CONCATENATE("R1C",'Mapa final'!$R$14),"")</f>
        <v/>
      </c>
      <c r="AM6" s="70" t="str">
        <f>IF(AND('Mapa final'!$AB$15="Muy Alta",'Mapa final'!$AD$15="Catastrófico"),CONCATENATE("R1C",'Mapa final'!$R$15),"")</f>
        <v/>
      </c>
      <c r="AN6" s="1"/>
      <c r="AO6" s="503" t="s">
        <v>128</v>
      </c>
      <c r="AP6" s="503"/>
      <c r="AQ6" s="503"/>
      <c r="AR6" s="503"/>
      <c r="AS6" s="503"/>
      <c r="AT6" s="503"/>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row>
    <row r="7" spans="1:91" ht="15" customHeight="1" x14ac:dyDescent="0.3">
      <c r="A7" s="1"/>
      <c r="B7" s="458"/>
      <c r="C7" s="458"/>
      <c r="D7" s="458"/>
      <c r="E7" s="502"/>
      <c r="F7" s="502"/>
      <c r="G7" s="502"/>
      <c r="H7" s="502"/>
      <c r="I7" s="502"/>
      <c r="J7" s="71" t="str">
        <f>IF(AND('Mapa final'!$AB$16="Muy Alta",'Mapa final'!$AD$16="Leve"),CONCATENATE("R2C",'Mapa final'!$R$16),"")</f>
        <v/>
      </c>
      <c r="K7" s="72" t="str">
        <f>IF(AND('Mapa final'!$AB$17="Muy Alta",'Mapa final'!$AD$17="Leve"),CONCATENATE("R2C",'Mapa final'!$R$17),"")</f>
        <v/>
      </c>
      <c r="L7" s="72" t="str">
        <f>IF(AND('Mapa final'!$AB$18="Muy Alta",'Mapa final'!$AD$18="Leve"),CONCATENATE("R2C",'Mapa final'!$R$18),"")</f>
        <v/>
      </c>
      <c r="M7" s="72" t="str">
        <f>IF(AND('Mapa final'!$AB$19="Muy Alta",'Mapa final'!$AD$19="Leve"),CONCATENATE("R2C",'Mapa final'!$R$19),"")</f>
        <v/>
      </c>
      <c r="N7" s="72" t="str">
        <f>IF(AND('Mapa final'!$AB$20="Muy Alta",'Mapa final'!$AD$20="Leve"),CONCATENATE("R2C",'Mapa final'!$R$20),"")</f>
        <v/>
      </c>
      <c r="O7" s="73" t="str">
        <f>IF(AND('Mapa final'!$AB$21="Muy Alta",'Mapa final'!$AD$21="Leve"),CONCATENATE("R2C",'Mapa final'!$R$21),"")</f>
        <v/>
      </c>
      <c r="P7" s="71" t="str">
        <f>IF(AND('Mapa final'!$AB$16="Muy Alta",'Mapa final'!$AD$16="Menor"),CONCATENATE("R2C",'Mapa final'!$R$16),"")</f>
        <v/>
      </c>
      <c r="Q7" s="72" t="str">
        <f>IF(AND('Mapa final'!$AB$17="Muy Alta",'Mapa final'!$AD$17="Menor"),CONCATENATE("R2C",'Mapa final'!$R$17),"")</f>
        <v/>
      </c>
      <c r="R7" s="72" t="str">
        <f>IF(AND('Mapa final'!$AB$18="Muy Alta",'Mapa final'!$AD$18="Menor"),CONCATENATE("R2C",'Mapa final'!$R$18),"")</f>
        <v/>
      </c>
      <c r="S7" s="72" t="str">
        <f>IF(AND('Mapa final'!$AB$19="Muy Alta",'Mapa final'!$AD$19="Menor"),CONCATENATE("R2C",'Mapa final'!$R$19),"")</f>
        <v/>
      </c>
      <c r="T7" s="72" t="str">
        <f>IF(AND('Mapa final'!$AB$20="Muy Alta",'Mapa final'!$AD$20="Menor"),CONCATENATE("R2C",'Mapa final'!$R$20),"")</f>
        <v/>
      </c>
      <c r="U7" s="73" t="str">
        <f>IF(AND('Mapa final'!$AB$21="Muy Alta",'Mapa final'!$AD$21="Menor"),CONCATENATE("R2C",'Mapa final'!$R$21),"")</f>
        <v/>
      </c>
      <c r="V7" s="71" t="str">
        <f>IF(AND('Mapa final'!$AB$16="Muy Alta",'Mapa final'!$AD$16="Moderado"),CONCATENATE("R2C",'Mapa final'!$R$16),"")</f>
        <v/>
      </c>
      <c r="W7" s="72" t="str">
        <f>IF(AND('Mapa final'!$AB$17="Muy Alta",'Mapa final'!$AD$17="Moderado"),CONCATENATE("R2C",'Mapa final'!$R$17),"")</f>
        <v/>
      </c>
      <c r="X7" s="72" t="str">
        <f>IF(AND('Mapa final'!$AB$18="Muy Alta",'Mapa final'!$AD$18="Moderado"),CONCATENATE("R2C",'Mapa final'!$R$18),"")</f>
        <v/>
      </c>
      <c r="Y7" s="72" t="str">
        <f>IF(AND('Mapa final'!$AB$19="Muy Alta",'Mapa final'!$AD$19="Moderado"),CONCATENATE("R2C",'Mapa final'!$R$19),"")</f>
        <v/>
      </c>
      <c r="Z7" s="72" t="str">
        <f>IF(AND('Mapa final'!$AB$20="Muy Alta",'Mapa final'!$AD$20="Moderado"),CONCATENATE("R2C",'Mapa final'!$R$20),"")</f>
        <v/>
      </c>
      <c r="AA7" s="73" t="str">
        <f>IF(AND('Mapa final'!$AB$21="Muy Alta",'Mapa final'!$AD$21="Moderado"),CONCATENATE("R2C",'Mapa final'!$R$21),"")</f>
        <v/>
      </c>
      <c r="AB7" s="71" t="str">
        <f>IF(AND('Mapa final'!$AB$16="Muy Alta",'Mapa final'!$AD$16="Mayor"),CONCATENATE("R2C",'Mapa final'!$R$16),"")</f>
        <v/>
      </c>
      <c r="AC7" s="72" t="str">
        <f>IF(AND('Mapa final'!$AB$17="Muy Alta",'Mapa final'!$AD$17="Mayor"),CONCATENATE("R2C",'Mapa final'!$R$17),"")</f>
        <v/>
      </c>
      <c r="AD7" s="72" t="str">
        <f>IF(AND('Mapa final'!$AB$18="Muy Alta",'Mapa final'!$AD$18="Mayor"),CONCATENATE("R2C",'Mapa final'!$R$18),"")</f>
        <v/>
      </c>
      <c r="AE7" s="72" t="str">
        <f>IF(AND('Mapa final'!$AB$19="Muy Alta",'Mapa final'!$AD$19="Mayor"),CONCATENATE("R2C",'Mapa final'!$R$19),"")</f>
        <v/>
      </c>
      <c r="AF7" s="72" t="str">
        <f>IF(AND('Mapa final'!$AB$20="Muy Alta",'Mapa final'!$AD$20="Mayor"),CONCATENATE("R2C",'Mapa final'!$R$20),"")</f>
        <v/>
      </c>
      <c r="AG7" s="73" t="str">
        <f>IF(AND('Mapa final'!$AB$21="Muy Alta",'Mapa final'!$AD$21="Mayor"),CONCATENATE("R2C",'Mapa final'!$R$21),"")</f>
        <v/>
      </c>
      <c r="AH7" s="74" t="str">
        <f>IF(AND('Mapa final'!$AB$16="Muy Alta",'Mapa final'!$AD$16="Catastrófico"),CONCATENATE("R2C",'Mapa final'!$R$16),"")</f>
        <v/>
      </c>
      <c r="AI7" s="75" t="str">
        <f>IF(AND('Mapa final'!$AB$17="Muy Alta",'Mapa final'!$AD$17="Catastrófico"),CONCATENATE("R2C",'Mapa final'!$R$17),"")</f>
        <v/>
      </c>
      <c r="AJ7" s="75" t="str">
        <f>IF(AND('Mapa final'!$AB$18="Muy Alta",'Mapa final'!$AD$18="Catastrófico"),CONCATENATE("R2C",'Mapa final'!$R$18),"")</f>
        <v/>
      </c>
      <c r="AK7" s="75" t="str">
        <f>IF(AND('Mapa final'!$AB$19="Muy Alta",'Mapa final'!$AD$19="Catastrófico"),CONCATENATE("R2C",'Mapa final'!$R$19),"")</f>
        <v/>
      </c>
      <c r="AL7" s="75" t="str">
        <f>IF(AND('Mapa final'!$AB$20="Muy Alta",'Mapa final'!$AD$20="Catastrófico"),CONCATENATE("R2C",'Mapa final'!$R$20),"")</f>
        <v/>
      </c>
      <c r="AM7" s="76" t="str">
        <f>IF(AND('Mapa final'!$AB$21="Muy Alta",'Mapa final'!$AD$21="Catastrófico"),CONCATENATE("R2C",'Mapa final'!$R$21),"")</f>
        <v/>
      </c>
      <c r="AN7" s="1"/>
      <c r="AO7" s="503"/>
      <c r="AP7" s="503"/>
      <c r="AQ7" s="503"/>
      <c r="AR7" s="503"/>
      <c r="AS7" s="503"/>
      <c r="AT7" s="503"/>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row>
    <row r="8" spans="1:91" ht="15" customHeight="1" x14ac:dyDescent="0.3">
      <c r="A8" s="1"/>
      <c r="B8" s="458"/>
      <c r="C8" s="458"/>
      <c r="D8" s="458"/>
      <c r="E8" s="502"/>
      <c r="F8" s="502"/>
      <c r="G8" s="502"/>
      <c r="H8" s="502"/>
      <c r="I8" s="502"/>
      <c r="J8" s="71" t="str">
        <f>IF(AND('Mapa final'!$AB$22="Muy Alta",'Mapa final'!$AD$22="Leve"),CONCATENATE("R3C",'Mapa final'!$R$22),"")</f>
        <v/>
      </c>
      <c r="K8" s="72" t="str">
        <f>IF(AND('Mapa final'!$AB$23="Muy Alta",'Mapa final'!$AD$23="Leve"),CONCATENATE("R3C",'Mapa final'!$R$23),"")</f>
        <v/>
      </c>
      <c r="L8" s="72" t="e">
        <f>IF(AND('Mapa final'!#REF!="Muy Alta",'Mapa final'!#REF!="Leve"),CONCATENATE("R3C",'Mapa final'!#REF!),"")</f>
        <v>#REF!</v>
      </c>
      <c r="M8" s="72" t="e">
        <f>IF(AND('Mapa final'!#REF!="Muy Alta",'Mapa final'!#REF!="Leve"),CONCATENATE("R3C",'Mapa final'!#REF!),"")</f>
        <v>#REF!</v>
      </c>
      <c r="N8" s="72" t="e">
        <f>IF(AND('Mapa final'!#REF!="Muy Alta",'Mapa final'!#REF!="Leve"),CONCATENATE("R3C",'Mapa final'!#REF!),"")</f>
        <v>#REF!</v>
      </c>
      <c r="O8" s="73" t="e">
        <f>IF(AND('Mapa final'!#REF!="Muy Alta",'Mapa final'!#REF!="Leve"),CONCATENATE("R3C",'Mapa final'!#REF!),"")</f>
        <v>#REF!</v>
      </c>
      <c r="P8" s="71" t="str">
        <f>IF(AND('Mapa final'!$AB$22="Muy Alta",'Mapa final'!$AD$22="Menor"),CONCATENATE("R3C",'Mapa final'!$R$22),"")</f>
        <v/>
      </c>
      <c r="Q8" s="72" t="str">
        <f>IF(AND('Mapa final'!$AB$23="Muy Alta",'Mapa final'!$AD$23="Menor"),CONCATENATE("R3C",'Mapa final'!$R$23),"")</f>
        <v/>
      </c>
      <c r="R8" s="72" t="e">
        <f>IF(AND('Mapa final'!#REF!="Muy Alta",'Mapa final'!#REF!="Menor"),CONCATENATE("R3C",'Mapa final'!#REF!),"")</f>
        <v>#REF!</v>
      </c>
      <c r="S8" s="72" t="e">
        <f>IF(AND('Mapa final'!#REF!="Muy Alta",'Mapa final'!#REF!="Menor"),CONCATENATE("R3C",'Mapa final'!#REF!),"")</f>
        <v>#REF!</v>
      </c>
      <c r="T8" s="72" t="e">
        <f>IF(AND('Mapa final'!#REF!="Muy Alta",'Mapa final'!#REF!="Menor"),CONCATENATE("R3C",'Mapa final'!#REF!),"")</f>
        <v>#REF!</v>
      </c>
      <c r="U8" s="73" t="e">
        <f>IF(AND('Mapa final'!#REF!="Muy Alta",'Mapa final'!#REF!="Menor"),CONCATENATE("R3C",'Mapa final'!#REF!),"")</f>
        <v>#REF!</v>
      </c>
      <c r="V8" s="71" t="str">
        <f>IF(AND('Mapa final'!$AB$22="Muy Alta",'Mapa final'!$AD$22="Moderado"),CONCATENATE("R3C",'Mapa final'!$R$22),"")</f>
        <v/>
      </c>
      <c r="W8" s="72" t="str">
        <f>IF(AND('Mapa final'!$AB$23="Muy Alta",'Mapa final'!$AD$23="Moderado"),CONCATENATE("R3C",'Mapa final'!$R$23),"")</f>
        <v/>
      </c>
      <c r="X8" s="72" t="e">
        <f>IF(AND('Mapa final'!#REF!="Muy Alta",'Mapa final'!#REF!="Moderado"),CONCATENATE("R3C",'Mapa final'!#REF!),"")</f>
        <v>#REF!</v>
      </c>
      <c r="Y8" s="72" t="e">
        <f>IF(AND('Mapa final'!#REF!="Muy Alta",'Mapa final'!#REF!="Moderado"),CONCATENATE("R3C",'Mapa final'!#REF!),"")</f>
        <v>#REF!</v>
      </c>
      <c r="Z8" s="72" t="e">
        <f>IF(AND('Mapa final'!#REF!="Muy Alta",'Mapa final'!#REF!="Moderado"),CONCATENATE("R3C",'Mapa final'!#REF!),"")</f>
        <v>#REF!</v>
      </c>
      <c r="AA8" s="73" t="e">
        <f>IF(AND('Mapa final'!#REF!="Muy Alta",'Mapa final'!#REF!="Moderado"),CONCATENATE("R3C",'Mapa final'!#REF!),"")</f>
        <v>#REF!</v>
      </c>
      <c r="AB8" s="71" t="str">
        <f>IF(AND('Mapa final'!$AB$22="Muy Alta",'Mapa final'!$AD$22="Mayor"),CONCATENATE("R3C",'Mapa final'!$R$22),"")</f>
        <v/>
      </c>
      <c r="AC8" s="72" t="str">
        <f>IF(AND('Mapa final'!$AB$23="Muy Alta",'Mapa final'!$AD$23="Mayor"),CONCATENATE("R3C",'Mapa final'!$R$23),"")</f>
        <v/>
      </c>
      <c r="AD8" s="72" t="e">
        <f>IF(AND('Mapa final'!#REF!="Muy Alta",'Mapa final'!#REF!="Mayor"),CONCATENATE("R3C",'Mapa final'!#REF!),"")</f>
        <v>#REF!</v>
      </c>
      <c r="AE8" s="72" t="e">
        <f>IF(AND('Mapa final'!#REF!="Muy Alta",'Mapa final'!#REF!="Mayor"),CONCATENATE("R3C",'Mapa final'!#REF!),"")</f>
        <v>#REF!</v>
      </c>
      <c r="AF8" s="72" t="e">
        <f>IF(AND('Mapa final'!#REF!="Muy Alta",'Mapa final'!#REF!="Mayor"),CONCATENATE("R3C",'Mapa final'!#REF!),"")</f>
        <v>#REF!</v>
      </c>
      <c r="AG8" s="73" t="e">
        <f>IF(AND('Mapa final'!#REF!="Muy Alta",'Mapa final'!#REF!="Mayor"),CONCATENATE("R3C",'Mapa final'!#REF!),"")</f>
        <v>#REF!</v>
      </c>
      <c r="AH8" s="74" t="str">
        <f>IF(AND('Mapa final'!$AB$22="Muy Alta",'Mapa final'!$AD$22="Catastrófico"),CONCATENATE("R3C",'Mapa final'!$R$22),"")</f>
        <v/>
      </c>
      <c r="AI8" s="75" t="str">
        <f>IF(AND('Mapa final'!$AB$23="Muy Alta",'Mapa final'!$AD$23="Catastrófico"),CONCATENATE("R3C",'Mapa final'!$R$23),"")</f>
        <v/>
      </c>
      <c r="AJ8" s="75" t="e">
        <f>IF(AND('Mapa final'!#REF!="Muy Alta",'Mapa final'!#REF!="Catastrófico"),CONCATENATE("R3C",'Mapa final'!#REF!),"")</f>
        <v>#REF!</v>
      </c>
      <c r="AK8" s="75" t="e">
        <f>IF(AND('Mapa final'!#REF!="Muy Alta",'Mapa final'!#REF!="Catastrófico"),CONCATENATE("R3C",'Mapa final'!#REF!),"")</f>
        <v>#REF!</v>
      </c>
      <c r="AL8" s="75" t="e">
        <f>IF(AND('Mapa final'!#REF!="Muy Alta",'Mapa final'!#REF!="Catastrófico"),CONCATENATE("R3C",'Mapa final'!#REF!),"")</f>
        <v>#REF!</v>
      </c>
      <c r="AM8" s="76" t="e">
        <f>IF(AND('Mapa final'!#REF!="Muy Alta",'Mapa final'!#REF!="Catastrófico"),CONCATENATE("R3C",'Mapa final'!#REF!),"")</f>
        <v>#REF!</v>
      </c>
      <c r="AN8" s="1"/>
      <c r="AO8" s="503"/>
      <c r="AP8" s="503"/>
      <c r="AQ8" s="503"/>
      <c r="AR8" s="503"/>
      <c r="AS8" s="503"/>
      <c r="AT8" s="503"/>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row>
    <row r="9" spans="1:91" ht="15" customHeight="1" x14ac:dyDescent="0.3">
      <c r="A9" s="1"/>
      <c r="B9" s="458"/>
      <c r="C9" s="458"/>
      <c r="D9" s="458"/>
      <c r="E9" s="502"/>
      <c r="F9" s="502"/>
      <c r="G9" s="502"/>
      <c r="H9" s="502"/>
      <c r="I9" s="502"/>
      <c r="J9" s="71" t="str">
        <f>IF(AND('Mapa final'!$AB$24="Muy Alta",'Mapa final'!$AD$24="Leve"),CONCATENATE("R4C",'Mapa final'!$R$24),"")</f>
        <v/>
      </c>
      <c r="K9" s="72" t="str">
        <f>IF(AND('Mapa final'!$AB$25="Muy Alta",'Mapa final'!$AD$25="Leve"),CONCATENATE("R4C",'Mapa final'!$R$25),"")</f>
        <v/>
      </c>
      <c r="L9" s="72" t="str">
        <f>IF(AND('Mapa final'!$AB$26="Muy Alta",'Mapa final'!$AD$26="Leve"),CONCATENATE("R4C",'Mapa final'!$R$26),"")</f>
        <v/>
      </c>
      <c r="M9" s="72" t="str">
        <f>IF(AND('Mapa final'!$AB$27="Muy Alta",'Mapa final'!$AD$27="Leve"),CONCATENATE("R4C",'Mapa final'!$R$27),"")</f>
        <v/>
      </c>
      <c r="N9" s="72" t="str">
        <f>IF(AND('Mapa final'!$AB$28="Muy Alta",'Mapa final'!$AD$28="Leve"),CONCATENATE("R4C",'Mapa final'!$R$28),"")</f>
        <v/>
      </c>
      <c r="O9" s="73" t="str">
        <f>IF(AND('Mapa final'!$AB$29="Muy Alta",'Mapa final'!$AD$29="Leve"),CONCATENATE("R4C",'Mapa final'!$R$29),"")</f>
        <v/>
      </c>
      <c r="P9" s="71" t="str">
        <f>IF(AND('Mapa final'!$AB$24="Muy Alta",'Mapa final'!$AD$24="Menor"),CONCATENATE("R4C",'Mapa final'!$R$24),"")</f>
        <v/>
      </c>
      <c r="Q9" s="72" t="str">
        <f>IF(AND('Mapa final'!$AB$25="Muy Alta",'Mapa final'!$AD$25="Menor"),CONCATENATE("R4C",'Mapa final'!$R$25),"")</f>
        <v/>
      </c>
      <c r="R9" s="72" t="str">
        <f>IF(AND('Mapa final'!$AB$26="Muy Alta",'Mapa final'!$AD$26="Menor"),CONCATENATE("R4C",'Mapa final'!$R$26),"")</f>
        <v/>
      </c>
      <c r="S9" s="72" t="str">
        <f>IF(AND('Mapa final'!$AB$27="Muy Alta",'Mapa final'!$AD$27="Menor"),CONCATENATE("R4C",'Mapa final'!$R$27),"")</f>
        <v/>
      </c>
      <c r="T9" s="72" t="str">
        <f>IF(AND('Mapa final'!$AB$28="Muy Alta",'Mapa final'!$AD$28="Menor"),CONCATENATE("R4C",'Mapa final'!$R$28),"")</f>
        <v/>
      </c>
      <c r="U9" s="73" t="str">
        <f>IF(AND('Mapa final'!$AB$29="Muy Alta",'Mapa final'!$AD$29="Menor"),CONCATENATE("R4C",'Mapa final'!$R$29),"")</f>
        <v/>
      </c>
      <c r="V9" s="71" t="str">
        <f>IF(AND('Mapa final'!$AB$24="Muy Alta",'Mapa final'!$AD$24="Moderado"),CONCATENATE("R4C",'Mapa final'!$R$24),"")</f>
        <v/>
      </c>
      <c r="W9" s="72" t="str">
        <f>IF(AND('Mapa final'!$AB$25="Muy Alta",'Mapa final'!$AD$25="Moderado"),CONCATENATE("R4C",'Mapa final'!$R$25),"")</f>
        <v/>
      </c>
      <c r="X9" s="72" t="str">
        <f>IF(AND('Mapa final'!$AB$26="Muy Alta",'Mapa final'!$AD$26="Moderado"),CONCATENATE("R4C",'Mapa final'!$R$26),"")</f>
        <v/>
      </c>
      <c r="Y9" s="72" t="str">
        <f>IF(AND('Mapa final'!$AB$27="Muy Alta",'Mapa final'!$AD$27="Moderado"),CONCATENATE("R4C",'Mapa final'!$R$27),"")</f>
        <v/>
      </c>
      <c r="Z9" s="72" t="str">
        <f>IF(AND('Mapa final'!$AB$28="Muy Alta",'Mapa final'!$AD$28="Moderado"),CONCATENATE("R4C",'Mapa final'!$R$28),"")</f>
        <v/>
      </c>
      <c r="AA9" s="73" t="str">
        <f>IF(AND('Mapa final'!$AB$29="Muy Alta",'Mapa final'!$AD$29="Moderado"),CONCATENATE("R4C",'Mapa final'!$R$29),"")</f>
        <v/>
      </c>
      <c r="AB9" s="71" t="str">
        <f>IF(AND('Mapa final'!$AB$24="Muy Alta",'Mapa final'!$AD$24="Mayor"),CONCATENATE("R4C",'Mapa final'!$R$24),"")</f>
        <v/>
      </c>
      <c r="AC9" s="72" t="str">
        <f>IF(AND('Mapa final'!$AB$25="Muy Alta",'Mapa final'!$AD$25="Mayor"),CONCATENATE("R4C",'Mapa final'!$R$25),"")</f>
        <v/>
      </c>
      <c r="AD9" s="72" t="str">
        <f>IF(AND('Mapa final'!$AB$26="Muy Alta",'Mapa final'!$AD$26="Mayor"),CONCATENATE("R4C",'Mapa final'!$R$26),"")</f>
        <v/>
      </c>
      <c r="AE9" s="72" t="str">
        <f>IF(AND('Mapa final'!$AB$27="Muy Alta",'Mapa final'!$AD$27="Mayor"),CONCATENATE("R4C",'Mapa final'!$R$27),"")</f>
        <v/>
      </c>
      <c r="AF9" s="72" t="str">
        <f>IF(AND('Mapa final'!$AB$28="Muy Alta",'Mapa final'!$AD$28="Mayor"),CONCATENATE("R4C",'Mapa final'!$R$28),"")</f>
        <v/>
      </c>
      <c r="AG9" s="73" t="str">
        <f>IF(AND('Mapa final'!$AB$29="Muy Alta",'Mapa final'!$AD$29="Mayor"),CONCATENATE("R4C",'Mapa final'!$R$29),"")</f>
        <v/>
      </c>
      <c r="AH9" s="74" t="str">
        <f>IF(AND('Mapa final'!$AB$24="Muy Alta",'Mapa final'!$AD$24="Catastrófico"),CONCATENATE("R4C",'Mapa final'!$R$24),"")</f>
        <v/>
      </c>
      <c r="AI9" s="75" t="str">
        <f>IF(AND('Mapa final'!$AB$25="Muy Alta",'Mapa final'!$AD$25="Catastrófico"),CONCATENATE("R4C",'Mapa final'!$R$25),"")</f>
        <v/>
      </c>
      <c r="AJ9" s="75" t="str">
        <f>IF(AND('Mapa final'!$AB$26="Muy Alta",'Mapa final'!$AD$26="Catastrófico"),CONCATENATE("R4C",'Mapa final'!$R$26),"")</f>
        <v/>
      </c>
      <c r="AK9" s="75" t="str">
        <f>IF(AND('Mapa final'!$AB$27="Muy Alta",'Mapa final'!$AD$27="Catastrófico"),CONCATENATE("R4C",'Mapa final'!$R$27),"")</f>
        <v/>
      </c>
      <c r="AL9" s="75" t="str">
        <f>IF(AND('Mapa final'!$AB$28="Muy Alta",'Mapa final'!$AD$28="Catastrófico"),CONCATENATE("R4C",'Mapa final'!$R$28),"")</f>
        <v/>
      </c>
      <c r="AM9" s="76" t="str">
        <f>IF(AND('Mapa final'!$AB$29="Muy Alta",'Mapa final'!$AD$29="Catastrófico"),CONCATENATE("R4C",'Mapa final'!$R$29),"")</f>
        <v/>
      </c>
      <c r="AN9" s="1"/>
      <c r="AO9" s="503"/>
      <c r="AP9" s="503"/>
      <c r="AQ9" s="503"/>
      <c r="AR9" s="503"/>
      <c r="AS9" s="503"/>
      <c r="AT9" s="503"/>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row>
    <row r="10" spans="1:91" ht="15" customHeight="1" x14ac:dyDescent="0.3">
      <c r="A10" s="1"/>
      <c r="B10" s="458"/>
      <c r="C10" s="458"/>
      <c r="D10" s="458"/>
      <c r="E10" s="502"/>
      <c r="F10" s="502"/>
      <c r="G10" s="502"/>
      <c r="H10" s="502"/>
      <c r="I10" s="502"/>
      <c r="J10" s="71" t="str">
        <f>IF(AND('Mapa final'!$AB$30="Muy Alta",'Mapa final'!$AD$30="Leve"),CONCATENATE("R5C",'Mapa final'!$R$30),"")</f>
        <v/>
      </c>
      <c r="K10" s="72" t="str">
        <f>IF(AND('Mapa final'!$AB$31="Muy Alta",'Mapa final'!$AD$31="Leve"),CONCATENATE("R5C",'Mapa final'!$R$31),"")</f>
        <v/>
      </c>
      <c r="L10" s="72" t="str">
        <f>IF(AND('Mapa final'!$AB$32="Muy Alta",'Mapa final'!$AD$32="Leve"),CONCATENATE("R5C",'Mapa final'!$R$32),"")</f>
        <v/>
      </c>
      <c r="M10" s="72" t="str">
        <f>IF(AND('Mapa final'!$AB$33="Muy Alta",'Mapa final'!$AD$33="Leve"),CONCATENATE("R5C",'Mapa final'!$R$33),"")</f>
        <v/>
      </c>
      <c r="N10" s="72" t="str">
        <f>IF(AND('Mapa final'!$AB$34="Muy Alta",'Mapa final'!$AD$34="Leve"),CONCATENATE("R5C",'Mapa final'!$R$34),"")</f>
        <v/>
      </c>
      <c r="O10" s="73" t="str">
        <f>IF(AND('Mapa final'!$AB$35="Muy Alta",'Mapa final'!$AD$35="Leve"),CONCATENATE("R5C",'Mapa final'!$R$35),"")</f>
        <v/>
      </c>
      <c r="P10" s="71" t="str">
        <f>IF(AND('Mapa final'!$AB$30="Muy Alta",'Mapa final'!$AD$30="Menor"),CONCATENATE("R5C",'Mapa final'!$R$30),"")</f>
        <v/>
      </c>
      <c r="Q10" s="72" t="str">
        <f>IF(AND('Mapa final'!$AB$31="Muy Alta",'Mapa final'!$AD$31="Menor"),CONCATENATE("R5C",'Mapa final'!$R$31),"")</f>
        <v/>
      </c>
      <c r="R10" s="72" t="str">
        <f>IF(AND('Mapa final'!$AB$32="Muy Alta",'Mapa final'!$AD$32="Menor"),CONCATENATE("R5C",'Mapa final'!$R$32),"")</f>
        <v/>
      </c>
      <c r="S10" s="72" t="str">
        <f>IF(AND('Mapa final'!$AB$33="Muy Alta",'Mapa final'!$AD$33="Menor"),CONCATENATE("R5C",'Mapa final'!$R$33),"")</f>
        <v/>
      </c>
      <c r="T10" s="72" t="str">
        <f>IF(AND('Mapa final'!$AB$34="Muy Alta",'Mapa final'!$AD$34="Menor"),CONCATENATE("R5C",'Mapa final'!$R$34),"")</f>
        <v/>
      </c>
      <c r="U10" s="73" t="str">
        <f>IF(AND('Mapa final'!$AB$35="Muy Alta",'Mapa final'!$AD$35="Menor"),CONCATENATE("R5C",'Mapa final'!$R$35),"")</f>
        <v/>
      </c>
      <c r="V10" s="71" t="str">
        <f>IF(AND('Mapa final'!$AB$30="Muy Alta",'Mapa final'!$AD$30="Moderado"),CONCATENATE("R5C",'Mapa final'!$R$30),"")</f>
        <v/>
      </c>
      <c r="W10" s="72" t="str">
        <f>IF(AND('Mapa final'!$AB$31="Muy Alta",'Mapa final'!$AD$31="Moderado"),CONCATENATE("R5C",'Mapa final'!$R$31),"")</f>
        <v/>
      </c>
      <c r="X10" s="72" t="str">
        <f>IF(AND('Mapa final'!$AB$32="Muy Alta",'Mapa final'!$AD$32="Moderado"),CONCATENATE("R5C",'Mapa final'!$R$32),"")</f>
        <v/>
      </c>
      <c r="Y10" s="72" t="str">
        <f>IF(AND('Mapa final'!$AB$33="Muy Alta",'Mapa final'!$AD$33="Moderado"),CONCATENATE("R5C",'Mapa final'!$R$33),"")</f>
        <v/>
      </c>
      <c r="Z10" s="72" t="str">
        <f>IF(AND('Mapa final'!$AB$34="Muy Alta",'Mapa final'!$AD$34="Moderado"),CONCATENATE("R5C",'Mapa final'!$R$34),"")</f>
        <v/>
      </c>
      <c r="AA10" s="73" t="str">
        <f>IF(AND('Mapa final'!$AB$35="Muy Alta",'Mapa final'!$AD$35="Moderado"),CONCATENATE("R5C",'Mapa final'!$R$35),"")</f>
        <v/>
      </c>
      <c r="AB10" s="71" t="str">
        <f>IF(AND('Mapa final'!$AB$30="Muy Alta",'Mapa final'!$AD$30="Mayor"),CONCATENATE("R5C",'Mapa final'!$R$30),"")</f>
        <v/>
      </c>
      <c r="AC10" s="72" t="str">
        <f>IF(AND('Mapa final'!$AB$31="Muy Alta",'Mapa final'!$AD$31="Mayor"),CONCATENATE("R5C",'Mapa final'!$R$31),"")</f>
        <v/>
      </c>
      <c r="AD10" s="72" t="str">
        <f>IF(AND('Mapa final'!$AB$32="Muy Alta",'Mapa final'!$AD$32="Mayor"),CONCATENATE("R5C",'Mapa final'!$R$32),"")</f>
        <v/>
      </c>
      <c r="AE10" s="72" t="str">
        <f>IF(AND('Mapa final'!$AB$33="Muy Alta",'Mapa final'!$AD$33="Mayor"),CONCATENATE("R5C",'Mapa final'!$R$33),"")</f>
        <v/>
      </c>
      <c r="AF10" s="72" t="str">
        <f>IF(AND('Mapa final'!$AB$34="Muy Alta",'Mapa final'!$AD$34="Mayor"),CONCATENATE("R5C",'Mapa final'!$R$34),"")</f>
        <v/>
      </c>
      <c r="AG10" s="73" t="str">
        <f>IF(AND('Mapa final'!$AB$35="Muy Alta",'Mapa final'!$AD$35="Mayor"),CONCATENATE("R5C",'Mapa final'!$R$35),"")</f>
        <v/>
      </c>
      <c r="AH10" s="74" t="str">
        <f>IF(AND('Mapa final'!$AB$30="Muy Alta",'Mapa final'!$AD$30="Catastrófico"),CONCATENATE("R5C",'Mapa final'!$R$30),"")</f>
        <v/>
      </c>
      <c r="AI10" s="75" t="str">
        <f>IF(AND('Mapa final'!$AB$31="Muy Alta",'Mapa final'!$AD$31="Catastrófico"),CONCATENATE("R5C",'Mapa final'!$R$31),"")</f>
        <v/>
      </c>
      <c r="AJ10" s="75" t="str">
        <f>IF(AND('Mapa final'!$AB$32="Muy Alta",'Mapa final'!$AD$32="Catastrófico"),CONCATENATE("R5C",'Mapa final'!$R$32),"")</f>
        <v/>
      </c>
      <c r="AK10" s="75" t="str">
        <f>IF(AND('Mapa final'!$AB$33="Muy Alta",'Mapa final'!$AD$33="Catastrófico"),CONCATENATE("R5C",'Mapa final'!$R$33),"")</f>
        <v/>
      </c>
      <c r="AL10" s="75" t="str">
        <f>IF(AND('Mapa final'!$AB$34="Muy Alta",'Mapa final'!$AD$34="Catastrófico"),CONCATENATE("R5C",'Mapa final'!$R$34),"")</f>
        <v/>
      </c>
      <c r="AM10" s="76" t="str">
        <f>IF(AND('Mapa final'!$AB$35="Muy Alta",'Mapa final'!$AD$35="Catastrófico"),CONCATENATE("R5C",'Mapa final'!$R$35),"")</f>
        <v/>
      </c>
      <c r="AN10" s="1"/>
      <c r="AO10" s="503"/>
      <c r="AP10" s="503"/>
      <c r="AQ10" s="503"/>
      <c r="AR10" s="503"/>
      <c r="AS10" s="503"/>
      <c r="AT10" s="503"/>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row>
    <row r="11" spans="1:91" ht="15" customHeight="1" x14ac:dyDescent="0.3">
      <c r="A11" s="1"/>
      <c r="B11" s="458"/>
      <c r="C11" s="458"/>
      <c r="D11" s="458"/>
      <c r="E11" s="502"/>
      <c r="F11" s="502"/>
      <c r="G11" s="502"/>
      <c r="H11" s="502"/>
      <c r="I11" s="502"/>
      <c r="J11" s="71" t="str">
        <f>IF(AND('Mapa final'!$AB$36="Muy Alta",'Mapa final'!$AD$36="Leve"),CONCATENATE("R6C",'Mapa final'!$R$36),"")</f>
        <v/>
      </c>
      <c r="K11" s="72" t="str">
        <f>IF(AND('Mapa final'!$AB$37="Muy Alta",'Mapa final'!$AD$37="Leve"),CONCATENATE("R6C",'Mapa final'!$R$37),"")</f>
        <v/>
      </c>
      <c r="L11" s="72" t="str">
        <f>IF(AND('Mapa final'!$AB$38="Muy Alta",'Mapa final'!$AD$38="Leve"),CONCATENATE("R6C",'Mapa final'!$R$38),"")</f>
        <v/>
      </c>
      <c r="M11" s="72" t="str">
        <f>IF(AND('Mapa final'!$AB$39="Muy Alta",'Mapa final'!$AD$39="Leve"),CONCATENATE("R6C",'Mapa final'!$R$39),"")</f>
        <v/>
      </c>
      <c r="N11" s="72" t="str">
        <f>IF(AND('Mapa final'!$AB$40="Muy Alta",'Mapa final'!$AD$40="Leve"),CONCATENATE("R6C",'Mapa final'!$R$40),"")</f>
        <v/>
      </c>
      <c r="O11" s="73" t="str">
        <f>IF(AND('Mapa final'!$AB$41="Muy Alta",'Mapa final'!$AD$41="Leve"),CONCATENATE("R6C",'Mapa final'!$R$41),"")</f>
        <v/>
      </c>
      <c r="P11" s="71" t="str">
        <f>IF(AND('Mapa final'!$AB$36="Muy Alta",'Mapa final'!$AD$36="Menor"),CONCATENATE("R6C",'Mapa final'!$R$36),"")</f>
        <v/>
      </c>
      <c r="Q11" s="72" t="str">
        <f>IF(AND('Mapa final'!$AB$37="Muy Alta",'Mapa final'!$AD$37="Menor"),CONCATENATE("R6C",'Mapa final'!$R$37),"")</f>
        <v/>
      </c>
      <c r="R11" s="72" t="str">
        <f>IF(AND('Mapa final'!$AB$38="Muy Alta",'Mapa final'!$AD$38="Menor"),CONCATENATE("R6C",'Mapa final'!$R$38),"")</f>
        <v/>
      </c>
      <c r="S11" s="72" t="str">
        <f>IF(AND('Mapa final'!$AB$39="Muy Alta",'Mapa final'!$AD$39="Menor"),CONCATENATE("R6C",'Mapa final'!$R$39),"")</f>
        <v/>
      </c>
      <c r="T11" s="72" t="str">
        <f>IF(AND('Mapa final'!$AB$40="Muy Alta",'Mapa final'!$AD$40="Menor"),CONCATENATE("R6C",'Mapa final'!$R$40),"")</f>
        <v/>
      </c>
      <c r="U11" s="73" t="str">
        <f>IF(AND('Mapa final'!$AB$41="Muy Alta",'Mapa final'!$AD$41="Menor"),CONCATENATE("R6C",'Mapa final'!$R$41),"")</f>
        <v/>
      </c>
      <c r="V11" s="71" t="str">
        <f>IF(AND('Mapa final'!$AB$36="Muy Alta",'Mapa final'!$AD$36="Moderado"),CONCATENATE("R6C",'Mapa final'!$R$36),"")</f>
        <v/>
      </c>
      <c r="W11" s="72" t="str">
        <f>IF(AND('Mapa final'!$AB$37="Muy Alta",'Mapa final'!$AD$37="Moderado"),CONCATENATE("R6C",'Mapa final'!$R$37),"")</f>
        <v/>
      </c>
      <c r="X11" s="72" t="str">
        <f>IF(AND('Mapa final'!$AB$38="Muy Alta",'Mapa final'!$AD$38="Moderado"),CONCATENATE("R6C",'Mapa final'!$R$38),"")</f>
        <v/>
      </c>
      <c r="Y11" s="72" t="str">
        <f>IF(AND('Mapa final'!$AB$39="Muy Alta",'Mapa final'!$AD$39="Moderado"),CONCATENATE("R6C",'Mapa final'!$R$39),"")</f>
        <v/>
      </c>
      <c r="Z11" s="72" t="str">
        <f>IF(AND('Mapa final'!$AB$40="Muy Alta",'Mapa final'!$AD$40="Moderado"),CONCATENATE("R6C",'Mapa final'!$R$40),"")</f>
        <v/>
      </c>
      <c r="AA11" s="73" t="str">
        <f>IF(AND('Mapa final'!$AB$41="Muy Alta",'Mapa final'!$AD$41="Moderado"),CONCATENATE("R6C",'Mapa final'!$R$41),"")</f>
        <v/>
      </c>
      <c r="AB11" s="71" t="str">
        <f>IF(AND('Mapa final'!$AB$36="Muy Alta",'Mapa final'!$AD$36="Mayor"),CONCATENATE("R6C",'Mapa final'!$R$36),"")</f>
        <v/>
      </c>
      <c r="AC11" s="72" t="str">
        <f>IF(AND('Mapa final'!$AB$37="Muy Alta",'Mapa final'!$AD$37="Mayor"),CONCATENATE("R6C",'Mapa final'!$R$37),"")</f>
        <v/>
      </c>
      <c r="AD11" s="72" t="str">
        <f>IF(AND('Mapa final'!$AB$38="Muy Alta",'Mapa final'!$AD$38="Mayor"),CONCATENATE("R6C",'Mapa final'!$R$38),"")</f>
        <v/>
      </c>
      <c r="AE11" s="72" t="str">
        <f>IF(AND('Mapa final'!$AB$39="Muy Alta",'Mapa final'!$AD$39="Mayor"),CONCATENATE("R6C",'Mapa final'!$R$39),"")</f>
        <v/>
      </c>
      <c r="AF11" s="72" t="str">
        <f>IF(AND('Mapa final'!$AB$40="Muy Alta",'Mapa final'!$AD$40="Mayor"),CONCATENATE("R6C",'Mapa final'!$R$40),"")</f>
        <v/>
      </c>
      <c r="AG11" s="73" t="str">
        <f>IF(AND('Mapa final'!$AB$41="Muy Alta",'Mapa final'!$AD$41="Mayor"),CONCATENATE("R6C",'Mapa final'!$R$41),"")</f>
        <v/>
      </c>
      <c r="AH11" s="74" t="str">
        <f>IF(AND('Mapa final'!$AB$36="Muy Alta",'Mapa final'!$AD$36="Catastrófico"),CONCATENATE("R6C",'Mapa final'!$R$36),"")</f>
        <v/>
      </c>
      <c r="AI11" s="75" t="str">
        <f>IF(AND('Mapa final'!$AB$37="Muy Alta",'Mapa final'!$AD$37="Catastrófico"),CONCATENATE("R6C",'Mapa final'!$R$37),"")</f>
        <v/>
      </c>
      <c r="AJ11" s="75" t="str">
        <f>IF(AND('Mapa final'!$AB$38="Muy Alta",'Mapa final'!$AD$38="Catastrófico"),CONCATENATE("R6C",'Mapa final'!$R$38),"")</f>
        <v/>
      </c>
      <c r="AK11" s="75" t="str">
        <f>IF(AND('Mapa final'!$AB$39="Muy Alta",'Mapa final'!$AD$39="Catastrófico"),CONCATENATE("R6C",'Mapa final'!$R$39),"")</f>
        <v/>
      </c>
      <c r="AL11" s="75" t="str">
        <f>IF(AND('Mapa final'!$AB$40="Muy Alta",'Mapa final'!$AD$40="Catastrófico"),CONCATENATE("R6C",'Mapa final'!$R$40),"")</f>
        <v/>
      </c>
      <c r="AM11" s="76" t="str">
        <f>IF(AND('Mapa final'!$AB$41="Muy Alta",'Mapa final'!$AD$41="Catastrófico"),CONCATENATE("R6C",'Mapa final'!$R$41),"")</f>
        <v/>
      </c>
      <c r="AN11" s="1"/>
      <c r="AO11" s="503"/>
      <c r="AP11" s="503"/>
      <c r="AQ11" s="503"/>
      <c r="AR11" s="503"/>
      <c r="AS11" s="503"/>
      <c r="AT11" s="503"/>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row>
    <row r="12" spans="1:91" ht="15" customHeight="1" x14ac:dyDescent="0.3">
      <c r="A12" s="1"/>
      <c r="B12" s="458"/>
      <c r="C12" s="458"/>
      <c r="D12" s="458"/>
      <c r="E12" s="502"/>
      <c r="F12" s="502"/>
      <c r="G12" s="502"/>
      <c r="H12" s="502"/>
      <c r="I12" s="502"/>
      <c r="J12" s="71" t="str">
        <f>IF(AND('Mapa final'!$AB$42="Muy Alta",'Mapa final'!$AD$42="Leve"),CONCATENATE("R7C",'Mapa final'!$R$42),"")</f>
        <v/>
      </c>
      <c r="K12" s="72" t="str">
        <f>IF(AND('Mapa final'!$AB$43="Muy Alta",'Mapa final'!$AD$43="Leve"),CONCATENATE("R7C",'Mapa final'!$R$43),"")</f>
        <v/>
      </c>
      <c r="L12" s="72" t="str">
        <f>IF(AND('Mapa final'!$AB$44="Muy Alta",'Mapa final'!$AD$44="Leve"),CONCATENATE("R7C",'Mapa final'!$R$44),"")</f>
        <v/>
      </c>
      <c r="M12" s="72" t="str">
        <f>IF(AND('Mapa final'!$AB$45="Muy Alta",'Mapa final'!$AD$45="Leve"),CONCATENATE("R7C",'Mapa final'!$R$45),"")</f>
        <v/>
      </c>
      <c r="N12" s="72" t="str">
        <f>IF(AND('Mapa final'!$AB$46="Muy Alta",'Mapa final'!$AD$46="Leve"),CONCATENATE("R7C",'Mapa final'!$R$46),"")</f>
        <v/>
      </c>
      <c r="O12" s="73" t="str">
        <f>IF(AND('Mapa final'!$AB$47="Muy Alta",'Mapa final'!$AD$47="Leve"),CONCATENATE("R7C",'Mapa final'!$R$47),"")</f>
        <v/>
      </c>
      <c r="P12" s="71" t="str">
        <f>IF(AND('Mapa final'!$AB$42="Muy Alta",'Mapa final'!$AD$42="Menor"),CONCATENATE("R7C",'Mapa final'!$R$42),"")</f>
        <v/>
      </c>
      <c r="Q12" s="72" t="str">
        <f>IF(AND('Mapa final'!$AB$43="Muy Alta",'Mapa final'!$AD$43="Menor"),CONCATENATE("R7C",'Mapa final'!$R$43),"")</f>
        <v/>
      </c>
      <c r="R12" s="72" t="str">
        <f>IF(AND('Mapa final'!$AB$44="Muy Alta",'Mapa final'!$AD$44="Menor"),CONCATENATE("R7C",'Mapa final'!$R$44),"")</f>
        <v/>
      </c>
      <c r="S12" s="72" t="str">
        <f>IF(AND('Mapa final'!$AB$45="Muy Alta",'Mapa final'!$AD$45="Menor"),CONCATENATE("R7C",'Mapa final'!$R$45),"")</f>
        <v/>
      </c>
      <c r="T12" s="72" t="str">
        <f>IF(AND('Mapa final'!$AB$46="Muy Alta",'Mapa final'!$AD$46="Menor"),CONCATENATE("R7C",'Mapa final'!$R$46),"")</f>
        <v/>
      </c>
      <c r="U12" s="73" t="str">
        <f>IF(AND('Mapa final'!$AB$47="Muy Alta",'Mapa final'!$AD$47="Menor"),CONCATENATE("R7C",'Mapa final'!$R$47),"")</f>
        <v/>
      </c>
      <c r="V12" s="71" t="str">
        <f>IF(AND('Mapa final'!$AB$42="Muy Alta",'Mapa final'!$AD$42="Moderado"),CONCATENATE("R7C",'Mapa final'!$R$42),"")</f>
        <v/>
      </c>
      <c r="W12" s="72" t="str">
        <f>IF(AND('Mapa final'!$AB$43="Muy Alta",'Mapa final'!$AD$43="Moderado"),CONCATENATE("R7C",'Mapa final'!$R$43),"")</f>
        <v/>
      </c>
      <c r="X12" s="72" t="str">
        <f>IF(AND('Mapa final'!$AB$44="Muy Alta",'Mapa final'!$AD$44="Moderado"),CONCATENATE("R7C",'Mapa final'!$R$44),"")</f>
        <v/>
      </c>
      <c r="Y12" s="72" t="str">
        <f>IF(AND('Mapa final'!$AB$45="Muy Alta",'Mapa final'!$AD$45="Moderado"),CONCATENATE("R7C",'Mapa final'!$R$45),"")</f>
        <v/>
      </c>
      <c r="Z12" s="72" t="str">
        <f>IF(AND('Mapa final'!$AB$46="Muy Alta",'Mapa final'!$AD$46="Moderado"),CONCATENATE("R7C",'Mapa final'!$R$46),"")</f>
        <v/>
      </c>
      <c r="AA12" s="73" t="str">
        <f>IF(AND('Mapa final'!$AB$47="Muy Alta",'Mapa final'!$AD$47="Moderado"),CONCATENATE("R7C",'Mapa final'!$R$47),"")</f>
        <v/>
      </c>
      <c r="AB12" s="71" t="str">
        <f>IF(AND('Mapa final'!$AB$42="Muy Alta",'Mapa final'!$AD$42="Mayor"),CONCATENATE("R7C",'Mapa final'!$R$42),"")</f>
        <v/>
      </c>
      <c r="AC12" s="72" t="str">
        <f>IF(AND('Mapa final'!$AB$43="Muy Alta",'Mapa final'!$AD$43="Mayor"),CONCATENATE("R7C",'Mapa final'!$R$43),"")</f>
        <v/>
      </c>
      <c r="AD12" s="72" t="str">
        <f>IF(AND('Mapa final'!$AB$44="Muy Alta",'Mapa final'!$AD$44="Mayor"),CONCATENATE("R7C",'Mapa final'!$R$44),"")</f>
        <v/>
      </c>
      <c r="AE12" s="72" t="str">
        <f>IF(AND('Mapa final'!$AB$45="Muy Alta",'Mapa final'!$AD$45="Mayor"),CONCATENATE("R7C",'Mapa final'!$R$45),"")</f>
        <v/>
      </c>
      <c r="AF12" s="72" t="str">
        <f>IF(AND('Mapa final'!$AB$46="Muy Alta",'Mapa final'!$AD$46="Mayor"),CONCATENATE("R7C",'Mapa final'!$R$46),"")</f>
        <v/>
      </c>
      <c r="AG12" s="73" t="str">
        <f>IF(AND('Mapa final'!$AB$47="Muy Alta",'Mapa final'!$AD$47="Mayor"),CONCATENATE("R7C",'Mapa final'!$R$47),"")</f>
        <v/>
      </c>
      <c r="AH12" s="74" t="str">
        <f>IF(AND('Mapa final'!$AB$42="Muy Alta",'Mapa final'!$AD$42="Catastrófico"),CONCATENATE("R7C",'Mapa final'!$R$42),"")</f>
        <v/>
      </c>
      <c r="AI12" s="75" t="str">
        <f>IF(AND('Mapa final'!$AB$43="Muy Alta",'Mapa final'!$AD$43="Catastrófico"),CONCATENATE("R7C",'Mapa final'!$R$43),"")</f>
        <v/>
      </c>
      <c r="AJ12" s="75" t="str">
        <f>IF(AND('Mapa final'!$AB$44="Muy Alta",'Mapa final'!$AD$44="Catastrófico"),CONCATENATE("R7C",'Mapa final'!$R$44),"")</f>
        <v/>
      </c>
      <c r="AK12" s="75" t="str">
        <f>IF(AND('Mapa final'!$AB$45="Muy Alta",'Mapa final'!$AD$45="Catastrófico"),CONCATENATE("R7C",'Mapa final'!$R$45),"")</f>
        <v/>
      </c>
      <c r="AL12" s="75" t="str">
        <f>IF(AND('Mapa final'!$AB$46="Muy Alta",'Mapa final'!$AD$46="Catastrófico"),CONCATENATE("R7C",'Mapa final'!$R$46),"")</f>
        <v/>
      </c>
      <c r="AM12" s="76" t="str">
        <f>IF(AND('Mapa final'!$AB$47="Muy Alta",'Mapa final'!$AD$47="Catastrófico"),CONCATENATE("R7C",'Mapa final'!$R$47),"")</f>
        <v/>
      </c>
      <c r="AN12" s="1"/>
      <c r="AO12" s="503"/>
      <c r="AP12" s="503"/>
      <c r="AQ12" s="503"/>
      <c r="AR12" s="503"/>
      <c r="AS12" s="503"/>
      <c r="AT12" s="503"/>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row>
    <row r="13" spans="1:91" ht="15" customHeight="1" x14ac:dyDescent="0.3">
      <c r="A13" s="1"/>
      <c r="B13" s="458"/>
      <c r="C13" s="458"/>
      <c r="D13" s="458"/>
      <c r="E13" s="502"/>
      <c r="F13" s="502"/>
      <c r="G13" s="502"/>
      <c r="H13" s="502"/>
      <c r="I13" s="502"/>
      <c r="J13" s="71" t="str">
        <f>IF(AND('Mapa final'!$AB$48="Muy Alta",'Mapa final'!$AD$48="Leve"),CONCATENATE("R8C",'Mapa final'!$R$48),"")</f>
        <v/>
      </c>
      <c r="K13" s="72" t="str">
        <f>IF(AND('Mapa final'!$AB$49="Muy Alta",'Mapa final'!$AD$49="Leve"),CONCATENATE("R8C",'Mapa final'!$R$49),"")</f>
        <v/>
      </c>
      <c r="L13" s="72" t="str">
        <f>IF(AND('Mapa final'!$AB$50="Muy Alta",'Mapa final'!$AD$50="Leve"),CONCATENATE("R8C",'Mapa final'!$R$50),"")</f>
        <v/>
      </c>
      <c r="M13" s="72" t="str">
        <f>IF(AND('Mapa final'!$AB$51="Muy Alta",'Mapa final'!$AD$51="Leve"),CONCATENATE("R8C",'Mapa final'!$R$51),"")</f>
        <v/>
      </c>
      <c r="N13" s="72" t="str">
        <f>IF(AND('Mapa final'!$AB$52="Muy Alta",'Mapa final'!$AD$52="Leve"),CONCATENATE("R8C",'Mapa final'!$R$52),"")</f>
        <v/>
      </c>
      <c r="O13" s="73" t="str">
        <f>IF(AND('Mapa final'!$AB$53="Muy Alta",'Mapa final'!$AD$53="Leve"),CONCATENATE("R8C",'Mapa final'!$R$53),"")</f>
        <v/>
      </c>
      <c r="P13" s="71" t="str">
        <f>IF(AND('Mapa final'!$AB$48="Muy Alta",'Mapa final'!$AD$48="Menor"),CONCATENATE("R8C",'Mapa final'!$R$48),"")</f>
        <v/>
      </c>
      <c r="Q13" s="72" t="str">
        <f>IF(AND('Mapa final'!$AB$49="Muy Alta",'Mapa final'!$AD$49="Menor"),CONCATENATE("R8C",'Mapa final'!$R$49),"")</f>
        <v/>
      </c>
      <c r="R13" s="72" t="str">
        <f>IF(AND('Mapa final'!$AB$50="Muy Alta",'Mapa final'!$AD$50="Menor"),CONCATENATE("R8C",'Mapa final'!$R$50),"")</f>
        <v/>
      </c>
      <c r="S13" s="72" t="str">
        <f>IF(AND('Mapa final'!$AB$51="Muy Alta",'Mapa final'!$AD$51="Menor"),CONCATENATE("R8C",'Mapa final'!$R$51),"")</f>
        <v/>
      </c>
      <c r="T13" s="72" t="str">
        <f>IF(AND('Mapa final'!$AB$52="Muy Alta",'Mapa final'!$AD$52="Menor"),CONCATENATE("R8C",'Mapa final'!$R$52),"")</f>
        <v/>
      </c>
      <c r="U13" s="73" t="str">
        <f>IF(AND('Mapa final'!$AB$53="Muy Alta",'Mapa final'!$AD$53="Menor"),CONCATENATE("R8C",'Mapa final'!$R$53),"")</f>
        <v/>
      </c>
      <c r="V13" s="71" t="str">
        <f>IF(AND('Mapa final'!$AB$48="Muy Alta",'Mapa final'!$AD$48="Moderado"),CONCATENATE("R8C",'Mapa final'!$R$48),"")</f>
        <v/>
      </c>
      <c r="W13" s="72" t="str">
        <f>IF(AND('Mapa final'!$AB$49="Muy Alta",'Mapa final'!$AD$49="Moderado"),CONCATENATE("R8C",'Mapa final'!$R$49),"")</f>
        <v/>
      </c>
      <c r="X13" s="72" t="str">
        <f>IF(AND('Mapa final'!$AB$50="Muy Alta",'Mapa final'!$AD$50="Moderado"),CONCATENATE("R8C",'Mapa final'!$R$50),"")</f>
        <v/>
      </c>
      <c r="Y13" s="72" t="str">
        <f>IF(AND('Mapa final'!$AB$51="Muy Alta",'Mapa final'!$AD$51="Moderado"),CONCATENATE("R8C",'Mapa final'!$R$51),"")</f>
        <v/>
      </c>
      <c r="Z13" s="72" t="str">
        <f>IF(AND('Mapa final'!$AB$52="Muy Alta",'Mapa final'!$AD$52="Moderado"),CONCATENATE("R8C",'Mapa final'!$R$52),"")</f>
        <v/>
      </c>
      <c r="AA13" s="73" t="str">
        <f>IF(AND('Mapa final'!$AB$53="Muy Alta",'Mapa final'!$AD$53="Moderado"),CONCATENATE("R8C",'Mapa final'!$R$53),"")</f>
        <v/>
      </c>
      <c r="AB13" s="71" t="str">
        <f>IF(AND('Mapa final'!$AB$48="Muy Alta",'Mapa final'!$AD$48="Mayor"),CONCATENATE("R8C",'Mapa final'!$R$48),"")</f>
        <v/>
      </c>
      <c r="AC13" s="72" t="str">
        <f>IF(AND('Mapa final'!$AB$49="Muy Alta",'Mapa final'!$AD$49="Mayor"),CONCATENATE("R8C",'Mapa final'!$R$49),"")</f>
        <v/>
      </c>
      <c r="AD13" s="72" t="str">
        <f>IF(AND('Mapa final'!$AB$50="Muy Alta",'Mapa final'!$AD$50="Mayor"),CONCATENATE("R8C",'Mapa final'!$R$50),"")</f>
        <v/>
      </c>
      <c r="AE13" s="72" t="str">
        <f>IF(AND('Mapa final'!$AB$51="Muy Alta",'Mapa final'!$AD$51="Mayor"),CONCATENATE("R8C",'Mapa final'!$R$51),"")</f>
        <v/>
      </c>
      <c r="AF13" s="72" t="str">
        <f>IF(AND('Mapa final'!$AB$52="Muy Alta",'Mapa final'!$AD$52="Mayor"),CONCATENATE("R8C",'Mapa final'!$R$52),"")</f>
        <v/>
      </c>
      <c r="AG13" s="73" t="str">
        <f>IF(AND('Mapa final'!$AB$53="Muy Alta",'Mapa final'!$AD$53="Mayor"),CONCATENATE("R8C",'Mapa final'!$R$53),"")</f>
        <v/>
      </c>
      <c r="AH13" s="74" t="str">
        <f>IF(AND('Mapa final'!$AB$48="Muy Alta",'Mapa final'!$AD$48="Catastrófico"),CONCATENATE("R8C",'Mapa final'!$R$48),"")</f>
        <v/>
      </c>
      <c r="AI13" s="75" t="str">
        <f>IF(AND('Mapa final'!$AB$49="Muy Alta",'Mapa final'!$AD$49="Catastrófico"),CONCATENATE("R8C",'Mapa final'!$R$49),"")</f>
        <v/>
      </c>
      <c r="AJ13" s="75" t="str">
        <f>IF(AND('Mapa final'!$AB$50="Muy Alta",'Mapa final'!$AD$50="Catastrófico"),CONCATENATE("R8C",'Mapa final'!$R$50),"")</f>
        <v/>
      </c>
      <c r="AK13" s="75" t="str">
        <f>IF(AND('Mapa final'!$AB$51="Muy Alta",'Mapa final'!$AD$51="Catastrófico"),CONCATENATE("R8C",'Mapa final'!$R$51),"")</f>
        <v/>
      </c>
      <c r="AL13" s="75" t="str">
        <f>IF(AND('Mapa final'!$AB$52="Muy Alta",'Mapa final'!$AD$52="Catastrófico"),CONCATENATE("R8C",'Mapa final'!$R$52),"")</f>
        <v/>
      </c>
      <c r="AM13" s="76" t="str">
        <f>IF(AND('Mapa final'!$AB$53="Muy Alta",'Mapa final'!$AD$53="Catastrófico"),CONCATENATE("R8C",'Mapa final'!$R$53),"")</f>
        <v/>
      </c>
      <c r="AN13" s="1"/>
      <c r="AO13" s="503"/>
      <c r="AP13" s="503"/>
      <c r="AQ13" s="503"/>
      <c r="AR13" s="503"/>
      <c r="AS13" s="503"/>
      <c r="AT13" s="503"/>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row>
    <row r="14" spans="1:91" ht="15" customHeight="1" x14ac:dyDescent="0.3">
      <c r="A14" s="1"/>
      <c r="B14" s="458"/>
      <c r="C14" s="458"/>
      <c r="D14" s="458"/>
      <c r="E14" s="502"/>
      <c r="F14" s="502"/>
      <c r="G14" s="502"/>
      <c r="H14" s="502"/>
      <c r="I14" s="502"/>
      <c r="J14" s="71" t="str">
        <f>IF(AND('Mapa final'!$AB$54="Muy Alta",'Mapa final'!$AD$54="Leve"),CONCATENATE("R9C",'Mapa final'!$R$54),"")</f>
        <v/>
      </c>
      <c r="K14" s="72" t="str">
        <f>IF(AND('Mapa final'!$AB$55="Muy Alta",'Mapa final'!$AD$55="Leve"),CONCATENATE("R9C",'Mapa final'!$R$55),"")</f>
        <v/>
      </c>
      <c r="L14" s="72" t="str">
        <f>IF(AND('Mapa final'!$AB$56="Muy Alta",'Mapa final'!$AD$56="Leve"),CONCATENATE("R9C",'Mapa final'!$R$56),"")</f>
        <v/>
      </c>
      <c r="M14" s="72" t="str">
        <f>IF(AND('Mapa final'!$AB$57="Muy Alta",'Mapa final'!$AD$57="Leve"),CONCATENATE("R9C",'Mapa final'!$R$57),"")</f>
        <v/>
      </c>
      <c r="N14" s="72" t="str">
        <f>IF(AND('Mapa final'!$AB$58="Muy Alta",'Mapa final'!$AD$58="Leve"),CONCATENATE("R9C",'Mapa final'!$R$58),"")</f>
        <v/>
      </c>
      <c r="O14" s="73" t="str">
        <f>IF(AND('Mapa final'!$AB$59="Muy Alta",'Mapa final'!$AD$59="Leve"),CONCATENATE("R9C",'Mapa final'!$R$59),"")</f>
        <v/>
      </c>
      <c r="P14" s="71" t="str">
        <f>IF(AND('Mapa final'!$AB$54="Muy Alta",'Mapa final'!$AD$54="Menor"),CONCATENATE("R9C",'Mapa final'!$R$54),"")</f>
        <v/>
      </c>
      <c r="Q14" s="72" t="str">
        <f>IF(AND('Mapa final'!$AB$55="Muy Alta",'Mapa final'!$AD$55="Menor"),CONCATENATE("R9C",'Mapa final'!$R$55),"")</f>
        <v/>
      </c>
      <c r="R14" s="72" t="str">
        <f>IF(AND('Mapa final'!$AB$56="Muy Alta",'Mapa final'!$AD$56="Menor"),CONCATENATE("R9C",'Mapa final'!$R$56),"")</f>
        <v/>
      </c>
      <c r="S14" s="72" t="str">
        <f>IF(AND('Mapa final'!$AB$57="Muy Alta",'Mapa final'!$AD$57="Menor"),CONCATENATE("R9C",'Mapa final'!$R$57),"")</f>
        <v/>
      </c>
      <c r="T14" s="72" t="str">
        <f>IF(AND('Mapa final'!$AB$58="Muy Alta",'Mapa final'!$AD$58="Menor"),CONCATENATE("R9C",'Mapa final'!$R$58),"")</f>
        <v/>
      </c>
      <c r="U14" s="73" t="str">
        <f>IF(AND('Mapa final'!$AB$59="Muy Alta",'Mapa final'!$AD$59="Menor"),CONCATENATE("R9C",'Mapa final'!$R$59),"")</f>
        <v/>
      </c>
      <c r="V14" s="71" t="str">
        <f>IF(AND('Mapa final'!$AB$54="Muy Alta",'Mapa final'!$AD$54="Moderado"),CONCATENATE("R9C",'Mapa final'!$R$54),"")</f>
        <v/>
      </c>
      <c r="W14" s="72" t="str">
        <f>IF(AND('Mapa final'!$AB$55="Muy Alta",'Mapa final'!$AD$55="Moderado"),CONCATENATE("R9C",'Mapa final'!$R$55),"")</f>
        <v/>
      </c>
      <c r="X14" s="72" t="str">
        <f>IF(AND('Mapa final'!$AB$56="Muy Alta",'Mapa final'!$AD$56="Moderado"),CONCATENATE("R9C",'Mapa final'!$R$56),"")</f>
        <v/>
      </c>
      <c r="Y14" s="72" t="str">
        <f>IF(AND('Mapa final'!$AB$57="Muy Alta",'Mapa final'!$AD$57="Moderado"),CONCATENATE("R9C",'Mapa final'!$R$57),"")</f>
        <v/>
      </c>
      <c r="Z14" s="72" t="str">
        <f>IF(AND('Mapa final'!$AB$58="Muy Alta",'Mapa final'!$AD$58="Moderado"),CONCATENATE("R9C",'Mapa final'!$R$58),"")</f>
        <v/>
      </c>
      <c r="AA14" s="73" t="str">
        <f>IF(AND('Mapa final'!$AB$59="Muy Alta",'Mapa final'!$AD$59="Moderado"),CONCATENATE("R9C",'Mapa final'!$R$59),"")</f>
        <v/>
      </c>
      <c r="AB14" s="71" t="str">
        <f>IF(AND('Mapa final'!$AB$54="Muy Alta",'Mapa final'!$AD$54="Mayor"),CONCATENATE("R9C",'Mapa final'!$R$54),"")</f>
        <v/>
      </c>
      <c r="AC14" s="72" t="str">
        <f>IF(AND('Mapa final'!$AB$55="Muy Alta",'Mapa final'!$AD$55="Mayor"),CONCATENATE("R9C",'Mapa final'!$R$55),"")</f>
        <v/>
      </c>
      <c r="AD14" s="72" t="str">
        <f>IF(AND('Mapa final'!$AB$56="Muy Alta",'Mapa final'!$AD$56="Mayor"),CONCATENATE("R9C",'Mapa final'!$R$56),"")</f>
        <v/>
      </c>
      <c r="AE14" s="72" t="str">
        <f>IF(AND('Mapa final'!$AB$57="Muy Alta",'Mapa final'!$AD$57="Mayor"),CONCATENATE("R9C",'Mapa final'!$R$57),"")</f>
        <v/>
      </c>
      <c r="AF14" s="72" t="str">
        <f>IF(AND('Mapa final'!$AB$58="Muy Alta",'Mapa final'!$AD$58="Mayor"),CONCATENATE("R9C",'Mapa final'!$R$58),"")</f>
        <v/>
      </c>
      <c r="AG14" s="73" t="str">
        <f>IF(AND('Mapa final'!$AB$59="Muy Alta",'Mapa final'!$AD$59="Mayor"),CONCATENATE("R9C",'Mapa final'!$R$59),"")</f>
        <v/>
      </c>
      <c r="AH14" s="74" t="str">
        <f>IF(AND('Mapa final'!$AB$54="Muy Alta",'Mapa final'!$AD$54="Catastrófico"),CONCATENATE("R9C",'Mapa final'!$R$54),"")</f>
        <v/>
      </c>
      <c r="AI14" s="75" t="str">
        <f>IF(AND('Mapa final'!$AB$55="Muy Alta",'Mapa final'!$AD$55="Catastrófico"),CONCATENATE("R9C",'Mapa final'!$R$55),"")</f>
        <v/>
      </c>
      <c r="AJ14" s="75" t="str">
        <f>IF(AND('Mapa final'!$AB$56="Muy Alta",'Mapa final'!$AD$56="Catastrófico"),CONCATENATE("R9C",'Mapa final'!$R$56),"")</f>
        <v/>
      </c>
      <c r="AK14" s="75" t="str">
        <f>IF(AND('Mapa final'!$AB$57="Muy Alta",'Mapa final'!$AD$57="Catastrófico"),CONCATENATE("R9C",'Mapa final'!$R$57),"")</f>
        <v/>
      </c>
      <c r="AL14" s="75" t="str">
        <f>IF(AND('Mapa final'!$AB$58="Muy Alta",'Mapa final'!$AD$58="Catastrófico"),CONCATENATE("R9C",'Mapa final'!$R$58),"")</f>
        <v/>
      </c>
      <c r="AM14" s="76" t="str">
        <f>IF(AND('Mapa final'!$AB$59="Muy Alta",'Mapa final'!$AD$59="Catastrófico"),CONCATENATE("R9C",'Mapa final'!$R$59),"")</f>
        <v/>
      </c>
      <c r="AN14" s="1"/>
      <c r="AO14" s="503"/>
      <c r="AP14" s="503"/>
      <c r="AQ14" s="503"/>
      <c r="AR14" s="503"/>
      <c r="AS14" s="503"/>
      <c r="AT14" s="503"/>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row>
    <row r="15" spans="1:91" ht="15.75" customHeight="1" x14ac:dyDescent="0.3">
      <c r="A15" s="1"/>
      <c r="B15" s="458"/>
      <c r="C15" s="458"/>
      <c r="D15" s="458"/>
      <c r="E15" s="502"/>
      <c r="F15" s="502"/>
      <c r="G15" s="502"/>
      <c r="H15" s="502"/>
      <c r="I15" s="502"/>
      <c r="J15" s="77" t="str">
        <f>IF(AND('Mapa final'!$AB$60="Muy Alta",'Mapa final'!$AD$60="Leve"),CONCATENATE("R10C",'Mapa final'!$R$60),"")</f>
        <v/>
      </c>
      <c r="K15" s="78" t="str">
        <f>IF(AND('Mapa final'!$AB$61="Muy Alta",'Mapa final'!$AD$61="Leve"),CONCATENATE("R10C",'Mapa final'!$R$61),"")</f>
        <v/>
      </c>
      <c r="L15" s="78" t="str">
        <f>IF(AND('Mapa final'!$AB$62="Muy Alta",'Mapa final'!$AD$62="Leve"),CONCATENATE("R10C",'Mapa final'!$R$62),"")</f>
        <v/>
      </c>
      <c r="M15" s="78" t="str">
        <f>IF(AND('Mapa final'!$AB$63="Muy Alta",'Mapa final'!$AD$63="Leve"),CONCATENATE("R10C",'Mapa final'!$R$63),"")</f>
        <v/>
      </c>
      <c r="N15" s="78" t="str">
        <f>IF(AND('Mapa final'!$AB$64="Muy Alta",'Mapa final'!$AD$64="Leve"),CONCATENATE("R10C",'Mapa final'!$R$64),"")</f>
        <v/>
      </c>
      <c r="O15" s="79" t="str">
        <f>IF(AND('Mapa final'!$AB$65="Muy Alta",'Mapa final'!$AD$65="Leve"),CONCATENATE("R10C",'Mapa final'!$R$65),"")</f>
        <v/>
      </c>
      <c r="P15" s="71" t="str">
        <f>IF(AND('Mapa final'!$AB$60="Muy Alta",'Mapa final'!$AD$60="Menor"),CONCATENATE("R10C",'Mapa final'!$R$60),"")</f>
        <v/>
      </c>
      <c r="Q15" s="72" t="str">
        <f>IF(AND('Mapa final'!$AB$61="Muy Alta",'Mapa final'!$AD$61="Menor"),CONCATENATE("R10C",'Mapa final'!$R$61),"")</f>
        <v/>
      </c>
      <c r="R15" s="72" t="str">
        <f>IF(AND('Mapa final'!$AB$62="Muy Alta",'Mapa final'!$AD$62="Menor"),CONCATENATE("R10C",'Mapa final'!$R$62),"")</f>
        <v/>
      </c>
      <c r="S15" s="72" t="str">
        <f>IF(AND('Mapa final'!$AB$63="Muy Alta",'Mapa final'!$AD$63="Menor"),CONCATENATE("R10C",'Mapa final'!$R$63),"")</f>
        <v/>
      </c>
      <c r="T15" s="72" t="str">
        <f>IF(AND('Mapa final'!$AB$64="Muy Alta",'Mapa final'!$AD$64="Menor"),CONCATENATE("R10C",'Mapa final'!$R$64),"")</f>
        <v/>
      </c>
      <c r="U15" s="73" t="str">
        <f>IF(AND('Mapa final'!$AB$65="Muy Alta",'Mapa final'!$AD$65="Menor"),CONCATENATE("R10C",'Mapa final'!$R$65),"")</f>
        <v/>
      </c>
      <c r="V15" s="77" t="str">
        <f>IF(AND('Mapa final'!$AB$60="Muy Alta",'Mapa final'!$AD$60="Moderado"),CONCATENATE("R10C",'Mapa final'!$R$60),"")</f>
        <v/>
      </c>
      <c r="W15" s="78" t="str">
        <f>IF(AND('Mapa final'!$AB$61="Muy Alta",'Mapa final'!$AD$61="Moderado"),CONCATENATE("R10C",'Mapa final'!$R$61),"")</f>
        <v/>
      </c>
      <c r="X15" s="78" t="str">
        <f>IF(AND('Mapa final'!$AB$62="Muy Alta",'Mapa final'!$AD$62="Moderado"),CONCATENATE("R10C",'Mapa final'!$R$62),"")</f>
        <v/>
      </c>
      <c r="Y15" s="78" t="str">
        <f>IF(AND('Mapa final'!$AB$63="Muy Alta",'Mapa final'!$AD$63="Moderado"),CONCATENATE("R10C",'Mapa final'!$R$63),"")</f>
        <v/>
      </c>
      <c r="Z15" s="78" t="str">
        <f>IF(AND('Mapa final'!$AB$64="Muy Alta",'Mapa final'!$AD$64="Moderado"),CONCATENATE("R10C",'Mapa final'!$R$64),"")</f>
        <v/>
      </c>
      <c r="AA15" s="79" t="str">
        <f>IF(AND('Mapa final'!$AB$65="Muy Alta",'Mapa final'!$AD$65="Moderado"),CONCATENATE("R10C",'Mapa final'!$R$65),"")</f>
        <v/>
      </c>
      <c r="AB15" s="71" t="str">
        <f>IF(AND('Mapa final'!$AB$60="Muy Alta",'Mapa final'!$AD$60="Mayor"),CONCATENATE("R10C",'Mapa final'!$R$60),"")</f>
        <v/>
      </c>
      <c r="AC15" s="72" t="str">
        <f>IF(AND('Mapa final'!$AB$61="Muy Alta",'Mapa final'!$AD$61="Mayor"),CONCATENATE("R10C",'Mapa final'!$R$61),"")</f>
        <v/>
      </c>
      <c r="AD15" s="72" t="str">
        <f>IF(AND('Mapa final'!$AB$62="Muy Alta",'Mapa final'!$AD$62="Mayor"),CONCATENATE("R10C",'Mapa final'!$R$62),"")</f>
        <v/>
      </c>
      <c r="AE15" s="72" t="str">
        <f>IF(AND('Mapa final'!$AB$63="Muy Alta",'Mapa final'!$AD$63="Mayor"),CONCATENATE("R10C",'Mapa final'!$R$63),"")</f>
        <v/>
      </c>
      <c r="AF15" s="72" t="str">
        <f>IF(AND('Mapa final'!$AB$64="Muy Alta",'Mapa final'!$AD$64="Mayor"),CONCATENATE("R10C",'Mapa final'!$R$64),"")</f>
        <v/>
      </c>
      <c r="AG15" s="73" t="str">
        <f>IF(AND('Mapa final'!$AB$65="Muy Alta",'Mapa final'!$AD$65="Mayor"),CONCATENATE("R10C",'Mapa final'!$R$65),"")</f>
        <v/>
      </c>
      <c r="AH15" s="80" t="str">
        <f>IF(AND('Mapa final'!$AB$60="Muy Alta",'Mapa final'!$AD$60="Catastrófico"),CONCATENATE("R10C",'Mapa final'!$R$60),"")</f>
        <v/>
      </c>
      <c r="AI15" s="81" t="str">
        <f>IF(AND('Mapa final'!$AB$61="Muy Alta",'Mapa final'!$AD$61="Catastrófico"),CONCATENATE("R10C",'Mapa final'!$R$61),"")</f>
        <v/>
      </c>
      <c r="AJ15" s="81" t="str">
        <f>IF(AND('Mapa final'!$AB$62="Muy Alta",'Mapa final'!$AD$62="Catastrófico"),CONCATENATE("R10C",'Mapa final'!$R$62),"")</f>
        <v/>
      </c>
      <c r="AK15" s="81" t="str">
        <f>IF(AND('Mapa final'!$AB$63="Muy Alta",'Mapa final'!$AD$63="Catastrófico"),CONCATENATE("R10C",'Mapa final'!$R$63),"")</f>
        <v/>
      </c>
      <c r="AL15" s="81" t="str">
        <f>IF(AND('Mapa final'!$AB$64="Muy Alta",'Mapa final'!$AD$64="Catastrófico"),CONCATENATE("R10C",'Mapa final'!$R$64),"")</f>
        <v/>
      </c>
      <c r="AM15" s="82" t="str">
        <f>IF(AND('Mapa final'!$AB$65="Muy Alta",'Mapa final'!$AD$65="Catastrófico"),CONCATENATE("R10C",'Mapa final'!$R$65),"")</f>
        <v/>
      </c>
      <c r="AN15" s="1"/>
      <c r="AO15" s="503"/>
      <c r="AP15" s="503"/>
      <c r="AQ15" s="503"/>
      <c r="AR15" s="503"/>
      <c r="AS15" s="503"/>
      <c r="AT15" s="503"/>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row>
    <row r="16" spans="1:91" ht="15" customHeight="1" x14ac:dyDescent="0.3">
      <c r="A16" s="1"/>
      <c r="B16" s="458"/>
      <c r="C16" s="458"/>
      <c r="D16" s="458"/>
      <c r="E16" s="504" t="s">
        <v>129</v>
      </c>
      <c r="F16" s="504"/>
      <c r="G16" s="504"/>
      <c r="H16" s="504"/>
      <c r="I16" s="504"/>
      <c r="J16" s="83" t="str">
        <f>IF(AND('Mapa final'!$AB$10="Alta",'Mapa final'!$AD$10="Leve"),CONCATENATE("R1C",'Mapa final'!$R$10),"")</f>
        <v/>
      </c>
      <c r="K16" s="84" t="str">
        <f>IF(AND('Mapa final'!$AB$11="Alta",'Mapa final'!$AD$11="Leve"),CONCATENATE("R1C",'Mapa final'!$R$11),"")</f>
        <v/>
      </c>
      <c r="L16" s="84" t="str">
        <f>IF(AND('Mapa final'!$AB$12="Alta",'Mapa final'!$AD$12="Leve"),CONCATENATE("R1C",'Mapa final'!$R$12),"")</f>
        <v/>
      </c>
      <c r="M16" s="84" t="str">
        <f>IF(AND('Mapa final'!$AB$13="Alta",'Mapa final'!$AD$13="Leve"),CONCATENATE("R1C",'Mapa final'!$R$13),"")</f>
        <v/>
      </c>
      <c r="N16" s="84" t="str">
        <f>IF(AND('Mapa final'!$AB$14="Alta",'Mapa final'!$AD$14="Leve"),CONCATENATE("R1C",'Mapa final'!$R$14),"")</f>
        <v/>
      </c>
      <c r="O16" s="85" t="str">
        <f>IF(AND('Mapa final'!$AB$15="Alta",'Mapa final'!$AD$15="Leve"),CONCATENATE("R1C",'Mapa final'!$R$15),"")</f>
        <v/>
      </c>
      <c r="P16" s="83" t="str">
        <f>IF(AND('Mapa final'!$AB$10="Alta",'Mapa final'!$AD$10="Menor"),CONCATENATE("R1C",'Mapa final'!$R$10),"")</f>
        <v/>
      </c>
      <c r="Q16" s="84" t="str">
        <f>IF(AND('Mapa final'!$AB$11="Alta",'Mapa final'!$AD$11="Menor"),CONCATENATE("R1C",'Mapa final'!$R$11),"")</f>
        <v/>
      </c>
      <c r="R16" s="84" t="str">
        <f>IF(AND('Mapa final'!$AB$12="Alta",'Mapa final'!$AD$12="Menor"),CONCATENATE("R1C",'Mapa final'!$R$12),"")</f>
        <v/>
      </c>
      <c r="S16" s="84" t="str">
        <f>IF(AND('Mapa final'!$AB$13="Alta",'Mapa final'!$AD$13="Menor"),CONCATENATE("R1C",'Mapa final'!$R$13),"")</f>
        <v/>
      </c>
      <c r="T16" s="84" t="str">
        <f>IF(AND('Mapa final'!$AB$14="Alta",'Mapa final'!$AD$14="Menor"),CONCATENATE("R1C",'Mapa final'!$R$14),"")</f>
        <v/>
      </c>
      <c r="U16" s="85" t="str">
        <f>IF(AND('Mapa final'!$AB$15="Alta",'Mapa final'!$AD$15="Menor"),CONCATENATE("R1C",'Mapa final'!$R$15),"")</f>
        <v/>
      </c>
      <c r="V16" s="65" t="str">
        <f>IF(AND('Mapa final'!$AB$10="Alta",'Mapa final'!$AD$10="Moderado"),CONCATENATE("R1C",'Mapa final'!$R$10),"")</f>
        <v/>
      </c>
      <c r="W16" s="66" t="str">
        <f>IF(AND('Mapa final'!$AB$11="Alta",'Mapa final'!$AD$11="Moderado"),CONCATENATE("R1C",'Mapa final'!$R$11),"")</f>
        <v/>
      </c>
      <c r="X16" s="66" t="str">
        <f>IF(AND('Mapa final'!$AB$12="Alta",'Mapa final'!$AD$12="Moderado"),CONCATENATE("R1C",'Mapa final'!$R$12),"")</f>
        <v/>
      </c>
      <c r="Y16" s="66" t="str">
        <f>IF(AND('Mapa final'!$AB$13="Alta",'Mapa final'!$AD$13="Moderado"),CONCATENATE("R1C",'Mapa final'!$R$13),"")</f>
        <v/>
      </c>
      <c r="Z16" s="66" t="str">
        <f>IF(AND('Mapa final'!$AB$14="Alta",'Mapa final'!$AD$14="Moderado"),CONCATENATE("R1C",'Mapa final'!$R$14),"")</f>
        <v/>
      </c>
      <c r="AA16" s="67" t="str">
        <f>IF(AND('Mapa final'!$AB$15="Alta",'Mapa final'!$AD$15="Moderado"),CONCATENATE("R1C",'Mapa final'!$R$15),"")</f>
        <v/>
      </c>
      <c r="AB16" s="65" t="str">
        <f>IF(AND('Mapa final'!$AB$10="Alta",'Mapa final'!$AD$10="Mayor"),CONCATENATE("R1C",'Mapa final'!$R$10),"")</f>
        <v/>
      </c>
      <c r="AC16" s="66" t="str">
        <f>IF(AND('Mapa final'!$AB$11="Alta",'Mapa final'!$AD$11="Mayor"),CONCATENATE("R1C",'Mapa final'!$R$11),"")</f>
        <v/>
      </c>
      <c r="AD16" s="66" t="str">
        <f>IF(AND('Mapa final'!$AB$12="Alta",'Mapa final'!$AD$12="Mayor"),CONCATENATE("R1C",'Mapa final'!$R$12),"")</f>
        <v/>
      </c>
      <c r="AE16" s="66" t="str">
        <f>IF(AND('Mapa final'!$AB$13="Alta",'Mapa final'!$AD$13="Mayor"),CONCATENATE("R1C",'Mapa final'!$R$13),"")</f>
        <v/>
      </c>
      <c r="AF16" s="66" t="str">
        <f>IF(AND('Mapa final'!$AB$14="Alta",'Mapa final'!$AD$14="Mayor"),CONCATENATE("R1C",'Mapa final'!$R$14),"")</f>
        <v/>
      </c>
      <c r="AG16" s="67" t="str">
        <f>IF(AND('Mapa final'!$AB$15="Alta",'Mapa final'!$AD$15="Mayor"),CONCATENATE("R1C",'Mapa final'!$R$15),"")</f>
        <v/>
      </c>
      <c r="AH16" s="68" t="str">
        <f>IF(AND('Mapa final'!$AB$10="Alta",'Mapa final'!$AD$10="Catastrófico"),CONCATENATE("R1C",'Mapa final'!$R$10),"")</f>
        <v/>
      </c>
      <c r="AI16" s="69" t="str">
        <f>IF(AND('Mapa final'!$AB$11="Alta",'Mapa final'!$AD$11="Catastrófico"),CONCATENATE("R1C",'Mapa final'!$R$11),"")</f>
        <v/>
      </c>
      <c r="AJ16" s="69" t="str">
        <f>IF(AND('Mapa final'!$AB$12="Alta",'Mapa final'!$AD$12="Catastrófico"),CONCATENATE("R1C",'Mapa final'!$R$12),"")</f>
        <v/>
      </c>
      <c r="AK16" s="69" t="str">
        <f>IF(AND('Mapa final'!$AB$13="Alta",'Mapa final'!$AD$13="Catastrófico"),CONCATENATE("R1C",'Mapa final'!$R$13),"")</f>
        <v/>
      </c>
      <c r="AL16" s="69" t="str">
        <f>IF(AND('Mapa final'!$AB$14="Alta",'Mapa final'!$AD$14="Catastrófico"),CONCATENATE("R1C",'Mapa final'!$R$14),"")</f>
        <v/>
      </c>
      <c r="AM16" s="70" t="str">
        <f>IF(AND('Mapa final'!$AB$15="Alta",'Mapa final'!$AD$15="Catastrófico"),CONCATENATE("R1C",'Mapa final'!$R$15),"")</f>
        <v/>
      </c>
      <c r="AN16" s="1"/>
      <c r="AO16" s="505" t="s">
        <v>130</v>
      </c>
      <c r="AP16" s="505"/>
      <c r="AQ16" s="505"/>
      <c r="AR16" s="505"/>
      <c r="AS16" s="505"/>
      <c r="AT16" s="505"/>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row>
    <row r="17" spans="1:76" ht="15" customHeight="1" x14ac:dyDescent="0.3">
      <c r="A17" s="1"/>
      <c r="B17" s="458"/>
      <c r="C17" s="458"/>
      <c r="D17" s="458"/>
      <c r="E17" s="504"/>
      <c r="F17" s="504"/>
      <c r="G17" s="504"/>
      <c r="H17" s="504"/>
      <c r="I17" s="504"/>
      <c r="J17" s="86" t="str">
        <f>IF(AND('Mapa final'!$AB$16="Alta",'Mapa final'!$AD$16="Leve"),CONCATENATE("R2C",'Mapa final'!$R$16),"")</f>
        <v/>
      </c>
      <c r="K17" s="87" t="str">
        <f>IF(AND('Mapa final'!$AB$17="Alta",'Mapa final'!$AD$17="Leve"),CONCATENATE("R2C",'Mapa final'!$R$17),"")</f>
        <v/>
      </c>
      <c r="L17" s="87" t="str">
        <f>IF(AND('Mapa final'!$AB$18="Alta",'Mapa final'!$AD$18="Leve"),CONCATENATE("R2C",'Mapa final'!$R$18),"")</f>
        <v/>
      </c>
      <c r="M17" s="87" t="str">
        <f>IF(AND('Mapa final'!$AB$19="Alta",'Mapa final'!$AD$19="Leve"),CONCATENATE("R2C",'Mapa final'!$R$19),"")</f>
        <v/>
      </c>
      <c r="N17" s="87" t="str">
        <f>IF(AND('Mapa final'!$AB$20="Alta",'Mapa final'!$AD$20="Leve"),CONCATENATE("R2C",'Mapa final'!$R$20),"")</f>
        <v/>
      </c>
      <c r="O17" s="88" t="str">
        <f>IF(AND('Mapa final'!$AB$21="Alta",'Mapa final'!$AD$21="Leve"),CONCATENATE("R2C",'Mapa final'!$R$21),"")</f>
        <v/>
      </c>
      <c r="P17" s="86" t="str">
        <f>IF(AND('Mapa final'!$AB$16="Alta",'Mapa final'!$AD$16="Menor"),CONCATENATE("R2C",'Mapa final'!$R$16),"")</f>
        <v/>
      </c>
      <c r="Q17" s="87" t="str">
        <f>IF(AND('Mapa final'!$AB$17="Alta",'Mapa final'!$AD$17="Menor"),CONCATENATE("R2C",'Mapa final'!$R$17),"")</f>
        <v/>
      </c>
      <c r="R17" s="87" t="str">
        <f>IF(AND('Mapa final'!$AB$18="Alta",'Mapa final'!$AD$18="Menor"),CONCATENATE("R2C",'Mapa final'!$R$18),"")</f>
        <v/>
      </c>
      <c r="S17" s="87" t="str">
        <f>IF(AND('Mapa final'!$AB$19="Alta",'Mapa final'!$AD$19="Menor"),CONCATENATE("R2C",'Mapa final'!$R$19),"")</f>
        <v/>
      </c>
      <c r="T17" s="87" t="str">
        <f>IF(AND('Mapa final'!$AB$20="Alta",'Mapa final'!$AD$20="Menor"),CONCATENATE("R2C",'Mapa final'!$R$20),"")</f>
        <v/>
      </c>
      <c r="U17" s="88" t="str">
        <f>IF(AND('Mapa final'!$AB$21="Alta",'Mapa final'!$AD$21="Menor"),CONCATENATE("R2C",'Mapa final'!$R$21),"")</f>
        <v/>
      </c>
      <c r="V17" s="71" t="str">
        <f>IF(AND('Mapa final'!$AB$16="Alta",'Mapa final'!$AD$16="Moderado"),CONCATENATE("R2C",'Mapa final'!$R$16),"")</f>
        <v/>
      </c>
      <c r="W17" s="72" t="str">
        <f>IF(AND('Mapa final'!$AB$17="Alta",'Mapa final'!$AD$17="Moderado"),CONCATENATE("R2C",'Mapa final'!$R$17),"")</f>
        <v/>
      </c>
      <c r="X17" s="72" t="str">
        <f>IF(AND('Mapa final'!$AB$18="Alta",'Mapa final'!$AD$18="Moderado"),CONCATENATE("R2C",'Mapa final'!$R$18),"")</f>
        <v/>
      </c>
      <c r="Y17" s="72" t="str">
        <f>IF(AND('Mapa final'!$AB$19="Alta",'Mapa final'!$AD$19="Moderado"),CONCATENATE("R2C",'Mapa final'!$R$19),"")</f>
        <v/>
      </c>
      <c r="Z17" s="72" t="str">
        <f>IF(AND('Mapa final'!$AB$20="Alta",'Mapa final'!$AD$20="Moderado"),CONCATENATE("R2C",'Mapa final'!$R$20),"")</f>
        <v/>
      </c>
      <c r="AA17" s="73" t="str">
        <f>IF(AND('Mapa final'!$AB$21="Alta",'Mapa final'!$AD$21="Moderado"),CONCATENATE("R2C",'Mapa final'!$R$21),"")</f>
        <v/>
      </c>
      <c r="AB17" s="71" t="str">
        <f>IF(AND('Mapa final'!$AB$16="Alta",'Mapa final'!$AD$16="Mayor"),CONCATENATE("R2C",'Mapa final'!$R$16),"")</f>
        <v/>
      </c>
      <c r="AC17" s="72" t="str">
        <f>IF(AND('Mapa final'!$AB$17="Alta",'Mapa final'!$AD$17="Mayor"),CONCATENATE("R2C",'Mapa final'!$R$17),"")</f>
        <v/>
      </c>
      <c r="AD17" s="72" t="str">
        <f>IF(AND('Mapa final'!$AB$18="Alta",'Mapa final'!$AD$18="Mayor"),CONCATENATE("R2C",'Mapa final'!$R$18),"")</f>
        <v/>
      </c>
      <c r="AE17" s="72" t="str">
        <f>IF(AND('Mapa final'!$AB$19="Alta",'Mapa final'!$AD$19="Mayor"),CONCATENATE("R2C",'Mapa final'!$R$19),"")</f>
        <v/>
      </c>
      <c r="AF17" s="72" t="str">
        <f>IF(AND('Mapa final'!$AB$20="Alta",'Mapa final'!$AD$20="Mayor"),CONCATENATE("R2C",'Mapa final'!$R$20),"")</f>
        <v/>
      </c>
      <c r="AG17" s="73" t="str">
        <f>IF(AND('Mapa final'!$AB$21="Alta",'Mapa final'!$AD$21="Mayor"),CONCATENATE("R2C",'Mapa final'!$R$21),"")</f>
        <v/>
      </c>
      <c r="AH17" s="74" t="str">
        <f>IF(AND('Mapa final'!$AB$16="Alta",'Mapa final'!$AD$16="Catastrófico"),CONCATENATE("R2C",'Mapa final'!$R$16),"")</f>
        <v/>
      </c>
      <c r="AI17" s="75" t="str">
        <f>IF(AND('Mapa final'!$AB$17="Alta",'Mapa final'!$AD$17="Catastrófico"),CONCATENATE("R2C",'Mapa final'!$R$17),"")</f>
        <v/>
      </c>
      <c r="AJ17" s="75" t="str">
        <f>IF(AND('Mapa final'!$AB$18="Alta",'Mapa final'!$AD$18="Catastrófico"),CONCATENATE("R2C",'Mapa final'!$R$18),"")</f>
        <v/>
      </c>
      <c r="AK17" s="75" t="str">
        <f>IF(AND('Mapa final'!$AB$19="Alta",'Mapa final'!$AD$19="Catastrófico"),CONCATENATE("R2C",'Mapa final'!$R$19),"")</f>
        <v/>
      </c>
      <c r="AL17" s="75" t="str">
        <f>IF(AND('Mapa final'!$AB$20="Alta",'Mapa final'!$AD$20="Catastrófico"),CONCATENATE("R2C",'Mapa final'!$R$20),"")</f>
        <v/>
      </c>
      <c r="AM17" s="76" t="str">
        <f>IF(AND('Mapa final'!$AB$21="Alta",'Mapa final'!$AD$21="Catastrófico"),CONCATENATE("R2C",'Mapa final'!$R$21),"")</f>
        <v/>
      </c>
      <c r="AN17" s="1"/>
      <c r="AO17" s="505"/>
      <c r="AP17" s="505"/>
      <c r="AQ17" s="505"/>
      <c r="AR17" s="505"/>
      <c r="AS17" s="505"/>
      <c r="AT17" s="505"/>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row>
    <row r="18" spans="1:76" ht="15" customHeight="1" x14ac:dyDescent="0.3">
      <c r="A18" s="1"/>
      <c r="B18" s="458"/>
      <c r="C18" s="458"/>
      <c r="D18" s="458"/>
      <c r="E18" s="504"/>
      <c r="F18" s="504"/>
      <c r="G18" s="504"/>
      <c r="H18" s="504"/>
      <c r="I18" s="504"/>
      <c r="J18" s="86" t="str">
        <f>IF(AND('Mapa final'!$AB$22="Alta",'Mapa final'!$AD$22="Leve"),CONCATENATE("R3C",'Mapa final'!$R$22),"")</f>
        <v/>
      </c>
      <c r="K18" s="87" t="str">
        <f>IF(AND('Mapa final'!$AB$23="Alta",'Mapa final'!$AD$23="Leve"),CONCATENATE("R3C",'Mapa final'!$R$23),"")</f>
        <v/>
      </c>
      <c r="L18" s="87" t="e">
        <f>IF(AND('Mapa final'!#REF!="Alta",'Mapa final'!#REF!="Leve"),CONCATENATE("R3C",'Mapa final'!#REF!),"")</f>
        <v>#REF!</v>
      </c>
      <c r="M18" s="87" t="e">
        <f>IF(AND('Mapa final'!#REF!="Alta",'Mapa final'!#REF!="Leve"),CONCATENATE("R3C",'Mapa final'!#REF!),"")</f>
        <v>#REF!</v>
      </c>
      <c r="N18" s="87" t="e">
        <f>IF(AND('Mapa final'!#REF!="Alta",'Mapa final'!#REF!="Leve"),CONCATENATE("R3C",'Mapa final'!#REF!),"")</f>
        <v>#REF!</v>
      </c>
      <c r="O18" s="88" t="e">
        <f>IF(AND('Mapa final'!#REF!="Alta",'Mapa final'!#REF!="Leve"),CONCATENATE("R3C",'Mapa final'!#REF!),"")</f>
        <v>#REF!</v>
      </c>
      <c r="P18" s="86" t="str">
        <f>IF(AND('Mapa final'!$AB$22="Alta",'Mapa final'!$AD$22="Menor"),CONCATENATE("R3C",'Mapa final'!$R$22),"")</f>
        <v/>
      </c>
      <c r="Q18" s="87" t="str">
        <f>IF(AND('Mapa final'!$AB$23="Alta",'Mapa final'!$AD$23="Menor"),CONCATENATE("R3C",'Mapa final'!$R$23),"")</f>
        <v/>
      </c>
      <c r="R18" s="87" t="e">
        <f>IF(AND('Mapa final'!#REF!="Alta",'Mapa final'!#REF!="Menor"),CONCATENATE("R3C",'Mapa final'!#REF!),"")</f>
        <v>#REF!</v>
      </c>
      <c r="S18" s="87" t="e">
        <f>IF(AND('Mapa final'!#REF!="Alta",'Mapa final'!#REF!="Menor"),CONCATENATE("R3C",'Mapa final'!#REF!),"")</f>
        <v>#REF!</v>
      </c>
      <c r="T18" s="87" t="e">
        <f>IF(AND('Mapa final'!#REF!="Alta",'Mapa final'!#REF!="Menor"),CONCATENATE("R3C",'Mapa final'!#REF!),"")</f>
        <v>#REF!</v>
      </c>
      <c r="U18" s="88" t="e">
        <f>IF(AND('Mapa final'!#REF!="Alta",'Mapa final'!#REF!="Menor"),CONCATENATE("R3C",'Mapa final'!#REF!),"")</f>
        <v>#REF!</v>
      </c>
      <c r="V18" s="71" t="str">
        <f>IF(AND('Mapa final'!$AB$22="Alta",'Mapa final'!$AD$22="Moderado"),CONCATENATE("R3C",'Mapa final'!$R$22),"")</f>
        <v/>
      </c>
      <c r="W18" s="72" t="str">
        <f>IF(AND('Mapa final'!$AB$23="Alta",'Mapa final'!$AD$23="Moderado"),CONCATENATE("R3C",'Mapa final'!$R$23),"")</f>
        <v/>
      </c>
      <c r="X18" s="72" t="e">
        <f>IF(AND('Mapa final'!#REF!="Alta",'Mapa final'!#REF!="Moderado"),CONCATENATE("R3C",'Mapa final'!#REF!),"")</f>
        <v>#REF!</v>
      </c>
      <c r="Y18" s="72" t="e">
        <f>IF(AND('Mapa final'!#REF!="Alta",'Mapa final'!#REF!="Moderado"),CONCATENATE("R3C",'Mapa final'!#REF!),"")</f>
        <v>#REF!</v>
      </c>
      <c r="Z18" s="72" t="e">
        <f>IF(AND('Mapa final'!#REF!="Alta",'Mapa final'!#REF!="Moderado"),CONCATENATE("R3C",'Mapa final'!#REF!),"")</f>
        <v>#REF!</v>
      </c>
      <c r="AA18" s="73" t="e">
        <f>IF(AND('Mapa final'!#REF!="Alta",'Mapa final'!#REF!="Moderado"),CONCATENATE("R3C",'Mapa final'!#REF!),"")</f>
        <v>#REF!</v>
      </c>
      <c r="AB18" s="71" t="str">
        <f>IF(AND('Mapa final'!$AB$22="Alta",'Mapa final'!$AD$22="Mayor"),CONCATENATE("R3C",'Mapa final'!$R$22),"")</f>
        <v/>
      </c>
      <c r="AC18" s="72" t="str">
        <f>IF(AND('Mapa final'!$AB$23="Alta",'Mapa final'!$AD$23="Mayor"),CONCATENATE("R3C",'Mapa final'!$R$23),"")</f>
        <v/>
      </c>
      <c r="AD18" s="72" t="e">
        <f>IF(AND('Mapa final'!#REF!="Alta",'Mapa final'!#REF!="Mayor"),CONCATENATE("R3C",'Mapa final'!#REF!),"")</f>
        <v>#REF!</v>
      </c>
      <c r="AE18" s="72" t="e">
        <f>IF(AND('Mapa final'!#REF!="Alta",'Mapa final'!#REF!="Mayor"),CONCATENATE("R3C",'Mapa final'!#REF!),"")</f>
        <v>#REF!</v>
      </c>
      <c r="AF18" s="72" t="e">
        <f>IF(AND('Mapa final'!#REF!="Alta",'Mapa final'!#REF!="Mayor"),CONCATENATE("R3C",'Mapa final'!#REF!),"")</f>
        <v>#REF!</v>
      </c>
      <c r="AG18" s="73" t="e">
        <f>IF(AND('Mapa final'!#REF!="Alta",'Mapa final'!#REF!="Mayor"),CONCATENATE("R3C",'Mapa final'!#REF!),"")</f>
        <v>#REF!</v>
      </c>
      <c r="AH18" s="74" t="str">
        <f>IF(AND('Mapa final'!$AB$22="Alta",'Mapa final'!$AD$22="Catastrófico"),CONCATENATE("R3C",'Mapa final'!$R$22),"")</f>
        <v/>
      </c>
      <c r="AI18" s="75" t="str">
        <f>IF(AND('Mapa final'!$AB$23="Alta",'Mapa final'!$AD$23="Catastrófico"),CONCATENATE("R3C",'Mapa final'!$R$23),"")</f>
        <v/>
      </c>
      <c r="AJ18" s="75" t="e">
        <f>IF(AND('Mapa final'!#REF!="Alta",'Mapa final'!#REF!="Catastrófico"),CONCATENATE("R3C",'Mapa final'!#REF!),"")</f>
        <v>#REF!</v>
      </c>
      <c r="AK18" s="75" t="e">
        <f>IF(AND('Mapa final'!#REF!="Alta",'Mapa final'!#REF!="Catastrófico"),CONCATENATE("R3C",'Mapa final'!#REF!),"")</f>
        <v>#REF!</v>
      </c>
      <c r="AL18" s="75" t="e">
        <f>IF(AND('Mapa final'!#REF!="Alta",'Mapa final'!#REF!="Catastrófico"),CONCATENATE("R3C",'Mapa final'!#REF!),"")</f>
        <v>#REF!</v>
      </c>
      <c r="AM18" s="76" t="e">
        <f>IF(AND('Mapa final'!#REF!="Alta",'Mapa final'!#REF!="Catastrófico"),CONCATENATE("R3C",'Mapa final'!#REF!),"")</f>
        <v>#REF!</v>
      </c>
      <c r="AN18" s="1"/>
      <c r="AO18" s="505"/>
      <c r="AP18" s="505"/>
      <c r="AQ18" s="505"/>
      <c r="AR18" s="505"/>
      <c r="AS18" s="505"/>
      <c r="AT18" s="505"/>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row>
    <row r="19" spans="1:76" ht="15" customHeight="1" x14ac:dyDescent="0.3">
      <c r="A19" s="1"/>
      <c r="B19" s="458"/>
      <c r="C19" s="458"/>
      <c r="D19" s="458"/>
      <c r="E19" s="504"/>
      <c r="F19" s="504"/>
      <c r="G19" s="504"/>
      <c r="H19" s="504"/>
      <c r="I19" s="504"/>
      <c r="J19" s="86" t="str">
        <f>IF(AND('Mapa final'!$AB$24="Alta",'Mapa final'!$AD$24="Leve"),CONCATENATE("R4C",'Mapa final'!$R$24),"")</f>
        <v/>
      </c>
      <c r="K19" s="87" t="str">
        <f>IF(AND('Mapa final'!$AB$25="Alta",'Mapa final'!$AD$25="Leve"),CONCATENATE("R4C",'Mapa final'!$R$25),"")</f>
        <v/>
      </c>
      <c r="L19" s="87" t="str">
        <f>IF(AND('Mapa final'!$AB$26="Alta",'Mapa final'!$AD$26="Leve"),CONCATENATE("R4C",'Mapa final'!$R$26),"")</f>
        <v/>
      </c>
      <c r="M19" s="87" t="str">
        <f>IF(AND('Mapa final'!$AB$27="Alta",'Mapa final'!$AD$27="Leve"),CONCATENATE("R4C",'Mapa final'!$R$27),"")</f>
        <v/>
      </c>
      <c r="N19" s="87" t="str">
        <f>IF(AND('Mapa final'!$AB$28="Alta",'Mapa final'!$AD$28="Leve"),CONCATENATE("R4C",'Mapa final'!$R$28),"")</f>
        <v/>
      </c>
      <c r="O19" s="88" t="str">
        <f>IF(AND('Mapa final'!$AB$29="Alta",'Mapa final'!$AD$29="Leve"),CONCATENATE("R4C",'Mapa final'!$R$29),"")</f>
        <v/>
      </c>
      <c r="P19" s="86" t="str">
        <f>IF(AND('Mapa final'!$AB$24="Alta",'Mapa final'!$AD$24="Menor"),CONCATENATE("R4C",'Mapa final'!$R$24),"")</f>
        <v/>
      </c>
      <c r="Q19" s="87" t="str">
        <f>IF(AND('Mapa final'!$AB$25="Alta",'Mapa final'!$AD$25="Menor"),CONCATENATE("R4C",'Mapa final'!$R$25),"")</f>
        <v/>
      </c>
      <c r="R19" s="87" t="str">
        <f>IF(AND('Mapa final'!$AB$26="Alta",'Mapa final'!$AD$26="Menor"),CONCATENATE("R4C",'Mapa final'!$R$26),"")</f>
        <v/>
      </c>
      <c r="S19" s="87" t="str">
        <f>IF(AND('Mapa final'!$AB$27="Alta",'Mapa final'!$AD$27="Menor"),CONCATENATE("R4C",'Mapa final'!$R$27),"")</f>
        <v/>
      </c>
      <c r="T19" s="87" t="str">
        <f>IF(AND('Mapa final'!$AB$28="Alta",'Mapa final'!$AD$28="Menor"),CONCATENATE("R4C",'Mapa final'!$R$28),"")</f>
        <v/>
      </c>
      <c r="U19" s="88" t="str">
        <f>IF(AND('Mapa final'!$AB$29="Alta",'Mapa final'!$AD$29="Menor"),CONCATENATE("R4C",'Mapa final'!$R$29),"")</f>
        <v/>
      </c>
      <c r="V19" s="71" t="str">
        <f>IF(AND('Mapa final'!$AB$24="Alta",'Mapa final'!$AD$24="Moderado"),CONCATENATE("R4C",'Mapa final'!$R$24),"")</f>
        <v/>
      </c>
      <c r="W19" s="72" t="str">
        <f>IF(AND('Mapa final'!$AB$25="Alta",'Mapa final'!$AD$25="Moderado"),CONCATENATE("R4C",'Mapa final'!$R$25),"")</f>
        <v/>
      </c>
      <c r="X19" s="72" t="str">
        <f>IF(AND('Mapa final'!$AB$26="Alta",'Mapa final'!$AD$26="Moderado"),CONCATENATE("R4C",'Mapa final'!$R$26),"")</f>
        <v/>
      </c>
      <c r="Y19" s="72" t="str">
        <f>IF(AND('Mapa final'!$AB$27="Alta",'Mapa final'!$AD$27="Moderado"),CONCATENATE("R4C",'Mapa final'!$R$27),"")</f>
        <v/>
      </c>
      <c r="Z19" s="72" t="str">
        <f>IF(AND('Mapa final'!$AB$28="Alta",'Mapa final'!$AD$28="Moderado"),CONCATENATE("R4C",'Mapa final'!$R$28),"")</f>
        <v/>
      </c>
      <c r="AA19" s="73" t="str">
        <f>IF(AND('Mapa final'!$AB$29="Alta",'Mapa final'!$AD$29="Moderado"),CONCATENATE("R4C",'Mapa final'!$R$29),"")</f>
        <v/>
      </c>
      <c r="AB19" s="71" t="str">
        <f>IF(AND('Mapa final'!$AB$24="Alta",'Mapa final'!$AD$24="Mayor"),CONCATENATE("R4C",'Mapa final'!$R$24),"")</f>
        <v/>
      </c>
      <c r="AC19" s="72" t="str">
        <f>IF(AND('Mapa final'!$AB$25="Alta",'Mapa final'!$AD$25="Mayor"),CONCATENATE("R4C",'Mapa final'!$R$25),"")</f>
        <v/>
      </c>
      <c r="AD19" s="72" t="str">
        <f>IF(AND('Mapa final'!$AB$26="Alta",'Mapa final'!$AD$26="Mayor"),CONCATENATE("R4C",'Mapa final'!$R$26),"")</f>
        <v/>
      </c>
      <c r="AE19" s="72" t="str">
        <f>IF(AND('Mapa final'!$AB$27="Alta",'Mapa final'!$AD$27="Mayor"),CONCATENATE("R4C",'Mapa final'!$R$27),"")</f>
        <v/>
      </c>
      <c r="AF19" s="72" t="str">
        <f>IF(AND('Mapa final'!$AB$28="Alta",'Mapa final'!$AD$28="Mayor"),CONCATENATE("R4C",'Mapa final'!$R$28),"")</f>
        <v/>
      </c>
      <c r="AG19" s="73" t="str">
        <f>IF(AND('Mapa final'!$AB$29="Alta",'Mapa final'!$AD$29="Mayor"),CONCATENATE("R4C",'Mapa final'!$R$29),"")</f>
        <v/>
      </c>
      <c r="AH19" s="74" t="str">
        <f>IF(AND('Mapa final'!$AB$24="Alta",'Mapa final'!$AD$24="Catastrófico"),CONCATENATE("R4C",'Mapa final'!$R$24),"")</f>
        <v/>
      </c>
      <c r="AI19" s="75" t="str">
        <f>IF(AND('Mapa final'!$AB$25="Alta",'Mapa final'!$AD$25="Catastrófico"),CONCATENATE("R4C",'Mapa final'!$R$25),"")</f>
        <v/>
      </c>
      <c r="AJ19" s="75" t="str">
        <f>IF(AND('Mapa final'!$AB$26="Alta",'Mapa final'!$AD$26="Catastrófico"),CONCATENATE("R4C",'Mapa final'!$R$26),"")</f>
        <v/>
      </c>
      <c r="AK19" s="75" t="str">
        <f>IF(AND('Mapa final'!$AB$27="Alta",'Mapa final'!$AD$27="Catastrófico"),CONCATENATE("R4C",'Mapa final'!$R$27),"")</f>
        <v/>
      </c>
      <c r="AL19" s="75" t="str">
        <f>IF(AND('Mapa final'!$AB$28="Alta",'Mapa final'!$AD$28="Catastrófico"),CONCATENATE("R4C",'Mapa final'!$R$28),"")</f>
        <v/>
      </c>
      <c r="AM19" s="76" t="str">
        <f>IF(AND('Mapa final'!$AB$29="Alta",'Mapa final'!$AD$29="Catastrófico"),CONCATENATE("R4C",'Mapa final'!$R$29),"")</f>
        <v/>
      </c>
      <c r="AN19" s="1"/>
      <c r="AO19" s="505"/>
      <c r="AP19" s="505"/>
      <c r="AQ19" s="505"/>
      <c r="AR19" s="505"/>
      <c r="AS19" s="505"/>
      <c r="AT19" s="505"/>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row>
    <row r="20" spans="1:76" ht="15" customHeight="1" x14ac:dyDescent="0.3">
      <c r="A20" s="1"/>
      <c r="B20" s="458"/>
      <c r="C20" s="458"/>
      <c r="D20" s="458"/>
      <c r="E20" s="504"/>
      <c r="F20" s="504"/>
      <c r="G20" s="504"/>
      <c r="H20" s="504"/>
      <c r="I20" s="504"/>
      <c r="J20" s="86" t="str">
        <f>IF(AND('Mapa final'!$AB$30="Alta",'Mapa final'!$AD$30="Leve"),CONCATENATE("R5C",'Mapa final'!$R$30),"")</f>
        <v/>
      </c>
      <c r="K20" s="87" t="str">
        <f>IF(AND('Mapa final'!$AB$31="Alta",'Mapa final'!$AD$31="Leve"),CONCATENATE("R5C",'Mapa final'!$R$31),"")</f>
        <v/>
      </c>
      <c r="L20" s="87" t="str">
        <f>IF(AND('Mapa final'!$AB$32="Alta",'Mapa final'!$AD$32="Leve"),CONCATENATE("R5C",'Mapa final'!$R$32),"")</f>
        <v/>
      </c>
      <c r="M20" s="87" t="str">
        <f>IF(AND('Mapa final'!$AB$33="Alta",'Mapa final'!$AD$33="Leve"),CONCATENATE("R5C",'Mapa final'!$R$33),"")</f>
        <v/>
      </c>
      <c r="N20" s="87" t="str">
        <f>IF(AND('Mapa final'!$AB$34="Alta",'Mapa final'!$AD$34="Leve"),CONCATENATE("R5C",'Mapa final'!$R$34),"")</f>
        <v/>
      </c>
      <c r="O20" s="88" t="str">
        <f>IF(AND('Mapa final'!$AB$35="Alta",'Mapa final'!$AD$35="Leve"),CONCATENATE("R5C",'Mapa final'!$R$35),"")</f>
        <v/>
      </c>
      <c r="P20" s="86" t="str">
        <f>IF(AND('Mapa final'!$AB$30="Alta",'Mapa final'!$AD$30="Menor"),CONCATENATE("R5C",'Mapa final'!$R$30),"")</f>
        <v/>
      </c>
      <c r="Q20" s="87" t="str">
        <f>IF(AND('Mapa final'!$AB$31="Alta",'Mapa final'!$AD$31="Menor"),CONCATENATE("R5C",'Mapa final'!$R$31),"")</f>
        <v/>
      </c>
      <c r="R20" s="87" t="str">
        <f>IF(AND('Mapa final'!$AB$32="Alta",'Mapa final'!$AD$32="Menor"),CONCATENATE("R5C",'Mapa final'!$R$32),"")</f>
        <v/>
      </c>
      <c r="S20" s="87" t="str">
        <f>IF(AND('Mapa final'!$AB$33="Alta",'Mapa final'!$AD$33="Menor"),CONCATENATE("R5C",'Mapa final'!$R$33),"")</f>
        <v/>
      </c>
      <c r="T20" s="87" t="str">
        <f>IF(AND('Mapa final'!$AB$34="Alta",'Mapa final'!$AD$34="Menor"),CONCATENATE("R5C",'Mapa final'!$R$34),"")</f>
        <v/>
      </c>
      <c r="U20" s="88" t="str">
        <f>IF(AND('Mapa final'!$AB$35="Alta",'Mapa final'!$AD$35="Menor"),CONCATENATE("R5C",'Mapa final'!$R$35),"")</f>
        <v/>
      </c>
      <c r="V20" s="71" t="str">
        <f>IF(AND('Mapa final'!$AB$30="Alta",'Mapa final'!$AD$30="Moderado"),CONCATENATE("R5C",'Mapa final'!$R$30),"")</f>
        <v/>
      </c>
      <c r="W20" s="72" t="str">
        <f>IF(AND('Mapa final'!$AB$31="Alta",'Mapa final'!$AD$31="Moderado"),CONCATENATE("R5C",'Mapa final'!$R$31),"")</f>
        <v/>
      </c>
      <c r="X20" s="72" t="str">
        <f>IF(AND('Mapa final'!$AB$32="Alta",'Mapa final'!$AD$32="Moderado"),CONCATENATE("R5C",'Mapa final'!$R$32),"")</f>
        <v/>
      </c>
      <c r="Y20" s="72" t="str">
        <f>IF(AND('Mapa final'!$AB$33="Alta",'Mapa final'!$AD$33="Moderado"),CONCATENATE("R5C",'Mapa final'!$R$33),"")</f>
        <v/>
      </c>
      <c r="Z20" s="72" t="str">
        <f>IF(AND('Mapa final'!$AB$34="Alta",'Mapa final'!$AD$34="Moderado"),CONCATENATE("R5C",'Mapa final'!$R$34),"")</f>
        <v/>
      </c>
      <c r="AA20" s="73" t="str">
        <f>IF(AND('Mapa final'!$AB$35="Alta",'Mapa final'!$AD$35="Moderado"),CONCATENATE("R5C",'Mapa final'!$R$35),"")</f>
        <v/>
      </c>
      <c r="AB20" s="71" t="str">
        <f>IF(AND('Mapa final'!$AB$30="Alta",'Mapa final'!$AD$30="Mayor"),CONCATENATE("R5C",'Mapa final'!$R$30),"")</f>
        <v/>
      </c>
      <c r="AC20" s="72" t="str">
        <f>IF(AND('Mapa final'!$AB$31="Alta",'Mapa final'!$AD$31="Mayor"),CONCATENATE("R5C",'Mapa final'!$R$31),"")</f>
        <v/>
      </c>
      <c r="AD20" s="72" t="str">
        <f>IF(AND('Mapa final'!$AB$32="Alta",'Mapa final'!$AD$32="Mayor"),CONCATENATE("R5C",'Mapa final'!$R$32),"")</f>
        <v/>
      </c>
      <c r="AE20" s="72" t="str">
        <f>IF(AND('Mapa final'!$AB$33="Alta",'Mapa final'!$AD$33="Mayor"),CONCATENATE("R5C",'Mapa final'!$R$33),"")</f>
        <v/>
      </c>
      <c r="AF20" s="72" t="str">
        <f>IF(AND('Mapa final'!$AB$34="Alta",'Mapa final'!$AD$34="Mayor"),CONCATENATE("R5C",'Mapa final'!$R$34),"")</f>
        <v/>
      </c>
      <c r="AG20" s="73" t="str">
        <f>IF(AND('Mapa final'!$AB$35="Alta",'Mapa final'!$AD$35="Mayor"),CONCATENATE("R5C",'Mapa final'!$R$35),"")</f>
        <v/>
      </c>
      <c r="AH20" s="74" t="str">
        <f>IF(AND('Mapa final'!$AB$30="Alta",'Mapa final'!$AD$30="Catastrófico"),CONCATENATE("R5C",'Mapa final'!$R$30),"")</f>
        <v/>
      </c>
      <c r="AI20" s="75" t="str">
        <f>IF(AND('Mapa final'!$AB$31="Alta",'Mapa final'!$AD$31="Catastrófico"),CONCATENATE("R5C",'Mapa final'!$R$31),"")</f>
        <v/>
      </c>
      <c r="AJ20" s="75" t="str">
        <f>IF(AND('Mapa final'!$AB$32="Alta",'Mapa final'!$AD$32="Catastrófico"),CONCATENATE("R5C",'Mapa final'!$R$32),"")</f>
        <v/>
      </c>
      <c r="AK20" s="75" t="str">
        <f>IF(AND('Mapa final'!$AB$33="Alta",'Mapa final'!$AD$33="Catastrófico"),CONCATENATE("R5C",'Mapa final'!$R$33),"")</f>
        <v/>
      </c>
      <c r="AL20" s="75" t="str">
        <f>IF(AND('Mapa final'!$AB$34="Alta",'Mapa final'!$AD$34="Catastrófico"),CONCATENATE("R5C",'Mapa final'!$R$34),"")</f>
        <v/>
      </c>
      <c r="AM20" s="76" t="str">
        <f>IF(AND('Mapa final'!$AB$35="Alta",'Mapa final'!$AD$35="Catastrófico"),CONCATENATE("R5C",'Mapa final'!$R$35),"")</f>
        <v/>
      </c>
      <c r="AN20" s="1"/>
      <c r="AO20" s="505"/>
      <c r="AP20" s="505"/>
      <c r="AQ20" s="505"/>
      <c r="AR20" s="505"/>
      <c r="AS20" s="505"/>
      <c r="AT20" s="505"/>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row>
    <row r="21" spans="1:76" ht="15" customHeight="1" x14ac:dyDescent="0.3">
      <c r="A21" s="1"/>
      <c r="B21" s="458"/>
      <c r="C21" s="458"/>
      <c r="D21" s="458"/>
      <c r="E21" s="504"/>
      <c r="F21" s="504"/>
      <c r="G21" s="504"/>
      <c r="H21" s="504"/>
      <c r="I21" s="504"/>
      <c r="J21" s="86" t="str">
        <f>IF(AND('Mapa final'!$AB$36="Alta",'Mapa final'!$AD$36="Leve"),CONCATENATE("R6C",'Mapa final'!$R$36),"")</f>
        <v/>
      </c>
      <c r="K21" s="87" t="str">
        <f>IF(AND('Mapa final'!$AB$37="Alta",'Mapa final'!$AD$37="Leve"),CONCATENATE("R6C",'Mapa final'!$R$37),"")</f>
        <v/>
      </c>
      <c r="L21" s="87" t="str">
        <f>IF(AND('Mapa final'!$AB$38="Alta",'Mapa final'!$AD$38="Leve"),CONCATENATE("R6C",'Mapa final'!$R$38),"")</f>
        <v/>
      </c>
      <c r="M21" s="87" t="str">
        <f>IF(AND('Mapa final'!$AB$39="Alta",'Mapa final'!$AD$39="Leve"),CONCATENATE("R6C",'Mapa final'!$R$39),"")</f>
        <v/>
      </c>
      <c r="N21" s="87" t="str">
        <f>IF(AND('Mapa final'!$AB$40="Alta",'Mapa final'!$AD$40="Leve"),CONCATENATE("R6C",'Mapa final'!$R$40),"")</f>
        <v/>
      </c>
      <c r="O21" s="88" t="str">
        <f>IF(AND('Mapa final'!$AB$41="Alta",'Mapa final'!$AD$41="Leve"),CONCATENATE("R6C",'Mapa final'!$R$41),"")</f>
        <v/>
      </c>
      <c r="P21" s="86" t="str">
        <f>IF(AND('Mapa final'!$AB$36="Alta",'Mapa final'!$AD$36="Menor"),CONCATENATE("R6C",'Mapa final'!$R$36),"")</f>
        <v/>
      </c>
      <c r="Q21" s="87" t="str">
        <f>IF(AND('Mapa final'!$AB$37="Alta",'Mapa final'!$AD$37="Menor"),CONCATENATE("R6C",'Mapa final'!$R$37),"")</f>
        <v/>
      </c>
      <c r="R21" s="87" t="str">
        <f>IF(AND('Mapa final'!$AB$38="Alta",'Mapa final'!$AD$38="Menor"),CONCATENATE("R6C",'Mapa final'!$R$38),"")</f>
        <v/>
      </c>
      <c r="S21" s="87" t="str">
        <f>IF(AND('Mapa final'!$AB$39="Alta",'Mapa final'!$AD$39="Menor"),CONCATENATE("R6C",'Mapa final'!$R$39),"")</f>
        <v/>
      </c>
      <c r="T21" s="87" t="str">
        <f>IF(AND('Mapa final'!$AB$40="Alta",'Mapa final'!$AD$40="Menor"),CONCATENATE("R6C",'Mapa final'!$R$40),"")</f>
        <v/>
      </c>
      <c r="U21" s="88" t="str">
        <f>IF(AND('Mapa final'!$AB$41="Alta",'Mapa final'!$AD$41="Menor"),CONCATENATE("R6C",'Mapa final'!$R$41),"")</f>
        <v/>
      </c>
      <c r="V21" s="71" t="str">
        <f>IF(AND('Mapa final'!$AB$36="Alta",'Mapa final'!$AD$36="Moderado"),CONCATENATE("R6C",'Mapa final'!$R$36),"")</f>
        <v/>
      </c>
      <c r="W21" s="72" t="str">
        <f>IF(AND('Mapa final'!$AB$37="Alta",'Mapa final'!$AD$37="Moderado"),CONCATENATE("R6C",'Mapa final'!$R$37),"")</f>
        <v/>
      </c>
      <c r="X21" s="72" t="str">
        <f>IF(AND('Mapa final'!$AB$38="Alta",'Mapa final'!$AD$38="Moderado"),CONCATENATE("R6C",'Mapa final'!$R$38),"")</f>
        <v/>
      </c>
      <c r="Y21" s="72" t="str">
        <f>IF(AND('Mapa final'!$AB$39="Alta",'Mapa final'!$AD$39="Moderado"),CONCATENATE("R6C",'Mapa final'!$R$39),"")</f>
        <v/>
      </c>
      <c r="Z21" s="72" t="str">
        <f>IF(AND('Mapa final'!$AB$40="Alta",'Mapa final'!$AD$40="Moderado"),CONCATENATE("R6C",'Mapa final'!$R$40),"")</f>
        <v/>
      </c>
      <c r="AA21" s="73" t="str">
        <f>IF(AND('Mapa final'!$AB$41="Alta",'Mapa final'!$AD$41="Moderado"),CONCATENATE("R6C",'Mapa final'!$R$41),"")</f>
        <v/>
      </c>
      <c r="AB21" s="71" t="str">
        <f>IF(AND('Mapa final'!$AB$36="Alta",'Mapa final'!$AD$36="Mayor"),CONCATENATE("R6C",'Mapa final'!$R$36),"")</f>
        <v/>
      </c>
      <c r="AC21" s="72" t="str">
        <f>IF(AND('Mapa final'!$AB$37="Alta",'Mapa final'!$AD$37="Mayor"),CONCATENATE("R6C",'Mapa final'!$R$37),"")</f>
        <v/>
      </c>
      <c r="AD21" s="72" t="str">
        <f>IF(AND('Mapa final'!$AB$38="Alta",'Mapa final'!$AD$38="Mayor"),CONCATENATE("R6C",'Mapa final'!$R$38),"")</f>
        <v/>
      </c>
      <c r="AE21" s="72" t="str">
        <f>IF(AND('Mapa final'!$AB$39="Alta",'Mapa final'!$AD$39="Mayor"),CONCATENATE("R6C",'Mapa final'!$R$39),"")</f>
        <v/>
      </c>
      <c r="AF21" s="72" t="str">
        <f>IF(AND('Mapa final'!$AB$40="Alta",'Mapa final'!$AD$40="Mayor"),CONCATENATE("R6C",'Mapa final'!$R$40),"")</f>
        <v/>
      </c>
      <c r="AG21" s="73" t="str">
        <f>IF(AND('Mapa final'!$AB$41="Alta",'Mapa final'!$AD$41="Mayor"),CONCATENATE("R6C",'Mapa final'!$R$41),"")</f>
        <v/>
      </c>
      <c r="AH21" s="74" t="str">
        <f>IF(AND('Mapa final'!$AB$36="Alta",'Mapa final'!$AD$36="Catastrófico"),CONCATENATE("R6C",'Mapa final'!$R$36),"")</f>
        <v/>
      </c>
      <c r="AI21" s="75" t="str">
        <f>IF(AND('Mapa final'!$AB$37="Alta",'Mapa final'!$AD$37="Catastrófico"),CONCATENATE("R6C",'Mapa final'!$R$37),"")</f>
        <v/>
      </c>
      <c r="AJ21" s="75" t="str">
        <f>IF(AND('Mapa final'!$AB$38="Alta",'Mapa final'!$AD$38="Catastrófico"),CONCATENATE("R6C",'Mapa final'!$R$38),"")</f>
        <v/>
      </c>
      <c r="AK21" s="75" t="str">
        <f>IF(AND('Mapa final'!$AB$39="Alta",'Mapa final'!$AD$39="Catastrófico"),CONCATENATE("R6C",'Mapa final'!$R$39),"")</f>
        <v/>
      </c>
      <c r="AL21" s="75" t="str">
        <f>IF(AND('Mapa final'!$AB$40="Alta",'Mapa final'!$AD$40="Catastrófico"),CONCATENATE("R6C",'Mapa final'!$R$40),"")</f>
        <v/>
      </c>
      <c r="AM21" s="76" t="str">
        <f>IF(AND('Mapa final'!$AB$41="Alta",'Mapa final'!$AD$41="Catastrófico"),CONCATENATE("R6C",'Mapa final'!$R$41),"")</f>
        <v/>
      </c>
      <c r="AN21" s="1"/>
      <c r="AO21" s="505"/>
      <c r="AP21" s="505"/>
      <c r="AQ21" s="505"/>
      <c r="AR21" s="505"/>
      <c r="AS21" s="505"/>
      <c r="AT21" s="505"/>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row>
    <row r="22" spans="1:76" ht="15" customHeight="1" x14ac:dyDescent="0.3">
      <c r="A22" s="1"/>
      <c r="B22" s="458"/>
      <c r="C22" s="458"/>
      <c r="D22" s="458"/>
      <c r="E22" s="504"/>
      <c r="F22" s="504"/>
      <c r="G22" s="504"/>
      <c r="H22" s="504"/>
      <c r="I22" s="504"/>
      <c r="J22" s="86" t="str">
        <f>IF(AND('Mapa final'!$AB$42="Alta",'Mapa final'!$AD$42="Leve"),CONCATENATE("R7C",'Mapa final'!$R$42),"")</f>
        <v/>
      </c>
      <c r="K22" s="87" t="str">
        <f>IF(AND('Mapa final'!$AB$43="Alta",'Mapa final'!$AD$43="Leve"),CONCATENATE("R7C",'Mapa final'!$R$43),"")</f>
        <v/>
      </c>
      <c r="L22" s="87" t="str">
        <f>IF(AND('Mapa final'!$AB$44="Alta",'Mapa final'!$AD$44="Leve"),CONCATENATE("R7C",'Mapa final'!$R$44),"")</f>
        <v/>
      </c>
      <c r="M22" s="87" t="str">
        <f>IF(AND('Mapa final'!$AB$45="Alta",'Mapa final'!$AD$45="Leve"),CONCATENATE("R7C",'Mapa final'!$R$45),"")</f>
        <v/>
      </c>
      <c r="N22" s="87" t="str">
        <f>IF(AND('Mapa final'!$AB$46="Alta",'Mapa final'!$AD$46="Leve"),CONCATENATE("R7C",'Mapa final'!$R$46),"")</f>
        <v/>
      </c>
      <c r="O22" s="88" t="str">
        <f>IF(AND('Mapa final'!$AB$47="Alta",'Mapa final'!$AD$47="Leve"),CONCATENATE("R7C",'Mapa final'!$R$47),"")</f>
        <v/>
      </c>
      <c r="P22" s="86" t="str">
        <f>IF(AND('Mapa final'!$AB$42="Alta",'Mapa final'!$AD$42="Menor"),CONCATENATE("R7C",'Mapa final'!$R$42),"")</f>
        <v/>
      </c>
      <c r="Q22" s="87" t="str">
        <f>IF(AND('Mapa final'!$AB$43="Alta",'Mapa final'!$AD$43="Menor"),CONCATENATE("R7C",'Mapa final'!$R$43),"")</f>
        <v/>
      </c>
      <c r="R22" s="87" t="str">
        <f>IF(AND('Mapa final'!$AB$44="Alta",'Mapa final'!$AD$44="Menor"),CONCATENATE("R7C",'Mapa final'!$R$44),"")</f>
        <v/>
      </c>
      <c r="S22" s="87" t="str">
        <f>IF(AND('Mapa final'!$AB$45="Alta",'Mapa final'!$AD$45="Menor"),CONCATENATE("R7C",'Mapa final'!$R$45),"")</f>
        <v/>
      </c>
      <c r="T22" s="87" t="str">
        <f>IF(AND('Mapa final'!$AB$46="Alta",'Mapa final'!$AD$46="Menor"),CONCATENATE("R7C",'Mapa final'!$R$46),"")</f>
        <v/>
      </c>
      <c r="U22" s="88" t="str">
        <f>IF(AND('Mapa final'!$AB$47="Alta",'Mapa final'!$AD$47="Menor"),CONCATENATE("R7C",'Mapa final'!$R$47),"")</f>
        <v/>
      </c>
      <c r="V22" s="71" t="str">
        <f>IF(AND('Mapa final'!$AB$42="Alta",'Mapa final'!$AD$42="Moderado"),CONCATENATE("R7C",'Mapa final'!$R$42),"")</f>
        <v/>
      </c>
      <c r="W22" s="72" t="str">
        <f>IF(AND('Mapa final'!$AB$43="Alta",'Mapa final'!$AD$43="Moderado"),CONCATENATE("R7C",'Mapa final'!$R$43),"")</f>
        <v/>
      </c>
      <c r="X22" s="72" t="str">
        <f>IF(AND('Mapa final'!$AB$44="Alta",'Mapa final'!$AD$44="Moderado"),CONCATENATE("R7C",'Mapa final'!$R$44),"")</f>
        <v/>
      </c>
      <c r="Y22" s="72" t="str">
        <f>IF(AND('Mapa final'!$AB$45="Alta",'Mapa final'!$AD$45="Moderado"),CONCATENATE("R7C",'Mapa final'!$R$45),"")</f>
        <v/>
      </c>
      <c r="Z22" s="72" t="str">
        <f>IF(AND('Mapa final'!$AB$46="Alta",'Mapa final'!$AD$46="Moderado"),CONCATENATE("R7C",'Mapa final'!$R$46),"")</f>
        <v/>
      </c>
      <c r="AA22" s="73" t="str">
        <f>IF(AND('Mapa final'!$AB$47="Alta",'Mapa final'!$AD$47="Moderado"),CONCATENATE("R7C",'Mapa final'!$R$47),"")</f>
        <v/>
      </c>
      <c r="AB22" s="71" t="str">
        <f>IF(AND('Mapa final'!$AB$42="Alta",'Mapa final'!$AD$42="Mayor"),CONCATENATE("R7C",'Mapa final'!$R$42),"")</f>
        <v/>
      </c>
      <c r="AC22" s="72" t="str">
        <f>IF(AND('Mapa final'!$AB$43="Alta",'Mapa final'!$AD$43="Mayor"),CONCATENATE("R7C",'Mapa final'!$R$43),"")</f>
        <v/>
      </c>
      <c r="AD22" s="72" t="str">
        <f>IF(AND('Mapa final'!$AB$44="Alta",'Mapa final'!$AD$44="Mayor"),CONCATENATE("R7C",'Mapa final'!$R$44),"")</f>
        <v/>
      </c>
      <c r="AE22" s="72" t="str">
        <f>IF(AND('Mapa final'!$AB$45="Alta",'Mapa final'!$AD$45="Mayor"),CONCATENATE("R7C",'Mapa final'!$R$45),"")</f>
        <v/>
      </c>
      <c r="AF22" s="72" t="str">
        <f>IF(AND('Mapa final'!$AB$46="Alta",'Mapa final'!$AD$46="Mayor"),CONCATENATE("R7C",'Mapa final'!$R$46),"")</f>
        <v/>
      </c>
      <c r="AG22" s="73" t="str">
        <f>IF(AND('Mapa final'!$AB$47="Alta",'Mapa final'!$AD$47="Mayor"),CONCATENATE("R7C",'Mapa final'!$R$47),"")</f>
        <v/>
      </c>
      <c r="AH22" s="74" t="str">
        <f>IF(AND('Mapa final'!$AB$42="Alta",'Mapa final'!$AD$42="Catastrófico"),CONCATENATE("R7C",'Mapa final'!$R$42),"")</f>
        <v/>
      </c>
      <c r="AI22" s="75" t="str">
        <f>IF(AND('Mapa final'!$AB$43="Alta",'Mapa final'!$AD$43="Catastrófico"),CONCATENATE("R7C",'Mapa final'!$R$43),"")</f>
        <v/>
      </c>
      <c r="AJ22" s="75" t="str">
        <f>IF(AND('Mapa final'!$AB$44="Alta",'Mapa final'!$AD$44="Catastrófico"),CONCATENATE("R7C",'Mapa final'!$R$44),"")</f>
        <v/>
      </c>
      <c r="AK22" s="75" t="str">
        <f>IF(AND('Mapa final'!$AB$45="Alta",'Mapa final'!$AD$45="Catastrófico"),CONCATENATE("R7C",'Mapa final'!$R$45),"")</f>
        <v/>
      </c>
      <c r="AL22" s="75" t="str">
        <f>IF(AND('Mapa final'!$AB$46="Alta",'Mapa final'!$AD$46="Catastrófico"),CONCATENATE("R7C",'Mapa final'!$R$46),"")</f>
        <v/>
      </c>
      <c r="AM22" s="76" t="str">
        <f>IF(AND('Mapa final'!$AB$47="Alta",'Mapa final'!$AD$47="Catastrófico"),CONCATENATE("R7C",'Mapa final'!$R$47),"")</f>
        <v/>
      </c>
      <c r="AN22" s="1"/>
      <c r="AO22" s="505"/>
      <c r="AP22" s="505"/>
      <c r="AQ22" s="505"/>
      <c r="AR22" s="505"/>
      <c r="AS22" s="505"/>
      <c r="AT22" s="505"/>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row>
    <row r="23" spans="1:76" ht="15" customHeight="1" x14ac:dyDescent="0.3">
      <c r="A23" s="1"/>
      <c r="B23" s="458"/>
      <c r="C23" s="458"/>
      <c r="D23" s="458"/>
      <c r="E23" s="504"/>
      <c r="F23" s="504"/>
      <c r="G23" s="504"/>
      <c r="H23" s="504"/>
      <c r="I23" s="504"/>
      <c r="J23" s="86" t="str">
        <f>IF(AND('Mapa final'!$AB$48="Alta",'Mapa final'!$AD$48="Leve"),CONCATENATE("R8C",'Mapa final'!$R$48),"")</f>
        <v/>
      </c>
      <c r="K23" s="87" t="str">
        <f>IF(AND('Mapa final'!$AB$49="Alta",'Mapa final'!$AD$49="Leve"),CONCATENATE("R8C",'Mapa final'!$R$49),"")</f>
        <v/>
      </c>
      <c r="L23" s="87" t="str">
        <f>IF(AND('Mapa final'!$AB$50="Alta",'Mapa final'!$AD$50="Leve"),CONCATENATE("R8C",'Mapa final'!$R$50),"")</f>
        <v/>
      </c>
      <c r="M23" s="87" t="str">
        <f>IF(AND('Mapa final'!$AB$51="Alta",'Mapa final'!$AD$51="Leve"),CONCATENATE("R8C",'Mapa final'!$R$51),"")</f>
        <v/>
      </c>
      <c r="N23" s="87" t="str">
        <f>IF(AND('Mapa final'!$AB$52="Alta",'Mapa final'!$AD$52="Leve"),CONCATENATE("R8C",'Mapa final'!$R$52),"")</f>
        <v/>
      </c>
      <c r="O23" s="88" t="str">
        <f>IF(AND('Mapa final'!$AB$53="Alta",'Mapa final'!$AD$53="Leve"),CONCATENATE("R8C",'Mapa final'!$R$53),"")</f>
        <v/>
      </c>
      <c r="P23" s="86" t="str">
        <f>IF(AND('Mapa final'!$AB$48="Alta",'Mapa final'!$AD$48="Menor"),CONCATENATE("R8C",'Mapa final'!$R$48),"")</f>
        <v/>
      </c>
      <c r="Q23" s="87" t="str">
        <f>IF(AND('Mapa final'!$AB$49="Alta",'Mapa final'!$AD$49="Menor"),CONCATENATE("R8C",'Mapa final'!$R$49),"")</f>
        <v/>
      </c>
      <c r="R23" s="87" t="str">
        <f>IF(AND('Mapa final'!$AB$50="Alta",'Mapa final'!$AD$50="Menor"),CONCATENATE("R8C",'Mapa final'!$R$50),"")</f>
        <v/>
      </c>
      <c r="S23" s="87" t="str">
        <f>IF(AND('Mapa final'!$AB$51="Alta",'Mapa final'!$AD$51="Menor"),CONCATENATE("R8C",'Mapa final'!$R$51),"")</f>
        <v/>
      </c>
      <c r="T23" s="87" t="str">
        <f>IF(AND('Mapa final'!$AB$52="Alta",'Mapa final'!$AD$52="Menor"),CONCATENATE("R8C",'Mapa final'!$R$52),"")</f>
        <v/>
      </c>
      <c r="U23" s="88" t="str">
        <f>IF(AND('Mapa final'!$AB$53="Alta",'Mapa final'!$AD$53="Menor"),CONCATENATE("R8C",'Mapa final'!$R$53),"")</f>
        <v/>
      </c>
      <c r="V23" s="71" t="str">
        <f>IF(AND('Mapa final'!$AB$48="Alta",'Mapa final'!$AD$48="Moderado"),CONCATENATE("R8C",'Mapa final'!$R$48),"")</f>
        <v/>
      </c>
      <c r="W23" s="72" t="str">
        <f>IF(AND('Mapa final'!$AB$49="Alta",'Mapa final'!$AD$49="Moderado"),CONCATENATE("R8C",'Mapa final'!$R$49),"")</f>
        <v/>
      </c>
      <c r="X23" s="72" t="str">
        <f>IF(AND('Mapa final'!$AB$50="Alta",'Mapa final'!$AD$50="Moderado"),CONCATENATE("R8C",'Mapa final'!$R$50),"")</f>
        <v/>
      </c>
      <c r="Y23" s="72" t="str">
        <f>IF(AND('Mapa final'!$AB$51="Alta",'Mapa final'!$AD$51="Moderado"),CONCATENATE("R8C",'Mapa final'!$R$51),"")</f>
        <v/>
      </c>
      <c r="Z23" s="72" t="str">
        <f>IF(AND('Mapa final'!$AB$52="Alta",'Mapa final'!$AD$52="Moderado"),CONCATENATE("R8C",'Mapa final'!$R$52),"")</f>
        <v/>
      </c>
      <c r="AA23" s="73" t="str">
        <f>IF(AND('Mapa final'!$AB$53="Alta",'Mapa final'!$AD$53="Moderado"),CONCATENATE("R8C",'Mapa final'!$R$53),"")</f>
        <v/>
      </c>
      <c r="AB23" s="71" t="str">
        <f>IF(AND('Mapa final'!$AB$48="Alta",'Mapa final'!$AD$48="Mayor"),CONCATENATE("R8C",'Mapa final'!$R$48),"")</f>
        <v/>
      </c>
      <c r="AC23" s="72" t="str">
        <f>IF(AND('Mapa final'!$AB$49="Alta",'Mapa final'!$AD$49="Mayor"),CONCATENATE("R8C",'Mapa final'!$R$49),"")</f>
        <v/>
      </c>
      <c r="AD23" s="72" t="str">
        <f>IF(AND('Mapa final'!$AB$50="Alta",'Mapa final'!$AD$50="Mayor"),CONCATENATE("R8C",'Mapa final'!$R$50),"")</f>
        <v/>
      </c>
      <c r="AE23" s="72" t="str">
        <f>IF(AND('Mapa final'!$AB$51="Alta",'Mapa final'!$AD$51="Mayor"),CONCATENATE("R8C",'Mapa final'!$R$51),"")</f>
        <v/>
      </c>
      <c r="AF23" s="72" t="str">
        <f>IF(AND('Mapa final'!$AB$52="Alta",'Mapa final'!$AD$52="Mayor"),CONCATENATE("R8C",'Mapa final'!$R$52),"")</f>
        <v/>
      </c>
      <c r="AG23" s="73" t="str">
        <f>IF(AND('Mapa final'!$AB$53="Alta",'Mapa final'!$AD$53="Mayor"),CONCATENATE("R8C",'Mapa final'!$R$53),"")</f>
        <v/>
      </c>
      <c r="AH23" s="74" t="str">
        <f>IF(AND('Mapa final'!$AB$48="Alta",'Mapa final'!$AD$48="Catastrófico"),CONCATENATE("R8C",'Mapa final'!$R$48),"")</f>
        <v/>
      </c>
      <c r="AI23" s="75" t="str">
        <f>IF(AND('Mapa final'!$AB$49="Alta",'Mapa final'!$AD$49="Catastrófico"),CONCATENATE("R8C",'Mapa final'!$R$49),"")</f>
        <v/>
      </c>
      <c r="AJ23" s="75" t="str">
        <f>IF(AND('Mapa final'!$AB$50="Alta",'Mapa final'!$AD$50="Catastrófico"),CONCATENATE("R8C",'Mapa final'!$R$50),"")</f>
        <v/>
      </c>
      <c r="AK23" s="75" t="str">
        <f>IF(AND('Mapa final'!$AB$51="Alta",'Mapa final'!$AD$51="Catastrófico"),CONCATENATE("R8C",'Mapa final'!$R$51),"")</f>
        <v/>
      </c>
      <c r="AL23" s="75" t="str">
        <f>IF(AND('Mapa final'!$AB$52="Alta",'Mapa final'!$AD$52="Catastrófico"),CONCATENATE("R8C",'Mapa final'!$R$52),"")</f>
        <v/>
      </c>
      <c r="AM23" s="76" t="str">
        <f>IF(AND('Mapa final'!$AB$53="Alta",'Mapa final'!$AD$53="Catastrófico"),CONCATENATE("R8C",'Mapa final'!$R$53),"")</f>
        <v/>
      </c>
      <c r="AN23" s="1"/>
      <c r="AO23" s="505"/>
      <c r="AP23" s="505"/>
      <c r="AQ23" s="505"/>
      <c r="AR23" s="505"/>
      <c r="AS23" s="505"/>
      <c r="AT23" s="505"/>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row>
    <row r="24" spans="1:76" ht="15" customHeight="1" x14ac:dyDescent="0.3">
      <c r="A24" s="1"/>
      <c r="B24" s="458"/>
      <c r="C24" s="458"/>
      <c r="D24" s="458"/>
      <c r="E24" s="504"/>
      <c r="F24" s="504"/>
      <c r="G24" s="504"/>
      <c r="H24" s="504"/>
      <c r="I24" s="504"/>
      <c r="J24" s="86" t="str">
        <f>IF(AND('Mapa final'!$AB$54="Alta",'Mapa final'!$AD$54="Leve"),CONCATENATE("R9C",'Mapa final'!$R$54),"")</f>
        <v/>
      </c>
      <c r="K24" s="87" t="str">
        <f>IF(AND('Mapa final'!$AB$55="Alta",'Mapa final'!$AD$55="Leve"),CONCATENATE("R9C",'Mapa final'!$R$55),"")</f>
        <v/>
      </c>
      <c r="L24" s="87" t="str">
        <f>IF(AND('Mapa final'!$AB$56="Alta",'Mapa final'!$AD$56="Leve"),CONCATENATE("R9C",'Mapa final'!$R$56),"")</f>
        <v/>
      </c>
      <c r="M24" s="87" t="str">
        <f>IF(AND('Mapa final'!$AB$57="Alta",'Mapa final'!$AD$57="Leve"),CONCATENATE("R9C",'Mapa final'!$R$57),"")</f>
        <v/>
      </c>
      <c r="N24" s="87" t="str">
        <f>IF(AND('Mapa final'!$AB$58="Alta",'Mapa final'!$AD$58="Leve"),CONCATENATE("R9C",'Mapa final'!$R$58),"")</f>
        <v/>
      </c>
      <c r="O24" s="88" t="str">
        <f>IF(AND('Mapa final'!$AB$59="Alta",'Mapa final'!$AD$59="Leve"),CONCATENATE("R9C",'Mapa final'!$R$59),"")</f>
        <v/>
      </c>
      <c r="P24" s="86" t="str">
        <f>IF(AND('Mapa final'!$AB$54="Alta",'Mapa final'!$AD$54="Menor"),CONCATENATE("R9C",'Mapa final'!$R$54),"")</f>
        <v/>
      </c>
      <c r="Q24" s="87" t="str">
        <f>IF(AND('Mapa final'!$AB$55="Alta",'Mapa final'!$AD$55="Menor"),CONCATENATE("R9C",'Mapa final'!$R$55),"")</f>
        <v/>
      </c>
      <c r="R24" s="87" t="str">
        <f>IF(AND('Mapa final'!$AB$56="Alta",'Mapa final'!$AD$56="Menor"),CONCATENATE("R9C",'Mapa final'!$R$56),"")</f>
        <v/>
      </c>
      <c r="S24" s="87" t="str">
        <f>IF(AND('Mapa final'!$AB$57="Alta",'Mapa final'!$AD$57="Menor"),CONCATENATE("R9C",'Mapa final'!$R$57),"")</f>
        <v/>
      </c>
      <c r="T24" s="87" t="str">
        <f>IF(AND('Mapa final'!$AB$58="Alta",'Mapa final'!$AD$58="Menor"),CONCATENATE("R9C",'Mapa final'!$R$58),"")</f>
        <v/>
      </c>
      <c r="U24" s="88" t="str">
        <f>IF(AND('Mapa final'!$AB$59="Alta",'Mapa final'!$AD$59="Menor"),CONCATENATE("R9C",'Mapa final'!$R$59),"")</f>
        <v/>
      </c>
      <c r="V24" s="71" t="str">
        <f>IF(AND('Mapa final'!$AB$54="Alta",'Mapa final'!$AD$54="Moderado"),CONCATENATE("R9C",'Mapa final'!$R$54),"")</f>
        <v/>
      </c>
      <c r="W24" s="72" t="str">
        <f>IF(AND('Mapa final'!$AB$55="Alta",'Mapa final'!$AD$55="Moderado"),CONCATENATE("R9C",'Mapa final'!$R$55),"")</f>
        <v/>
      </c>
      <c r="X24" s="72" t="str">
        <f>IF(AND('Mapa final'!$AB$56="Alta",'Mapa final'!$AD$56="Moderado"),CONCATENATE("R9C",'Mapa final'!$R$56),"")</f>
        <v/>
      </c>
      <c r="Y24" s="72" t="str">
        <f>IF(AND('Mapa final'!$AB$57="Alta",'Mapa final'!$AD$57="Moderado"),CONCATENATE("R9C",'Mapa final'!$R$57),"")</f>
        <v/>
      </c>
      <c r="Z24" s="72" t="str">
        <f>IF(AND('Mapa final'!$AB$58="Alta",'Mapa final'!$AD$58="Moderado"),CONCATENATE("R9C",'Mapa final'!$R$58),"")</f>
        <v/>
      </c>
      <c r="AA24" s="73" t="str">
        <f>IF(AND('Mapa final'!$AB$59="Alta",'Mapa final'!$AD$59="Moderado"),CONCATENATE("R9C",'Mapa final'!$R$59),"")</f>
        <v/>
      </c>
      <c r="AB24" s="71" t="str">
        <f>IF(AND('Mapa final'!$AB$54="Alta",'Mapa final'!$AD$54="Mayor"),CONCATENATE("R9C",'Mapa final'!$R$54),"")</f>
        <v/>
      </c>
      <c r="AC24" s="72" t="str">
        <f>IF(AND('Mapa final'!$AB$55="Alta",'Mapa final'!$AD$55="Mayor"),CONCATENATE("R9C",'Mapa final'!$R$55),"")</f>
        <v/>
      </c>
      <c r="AD24" s="72" t="str">
        <f>IF(AND('Mapa final'!$AB$56="Alta",'Mapa final'!$AD$56="Mayor"),CONCATENATE("R9C",'Mapa final'!$R$56),"")</f>
        <v/>
      </c>
      <c r="AE24" s="72" t="str">
        <f>IF(AND('Mapa final'!$AB$57="Alta",'Mapa final'!$AD$57="Mayor"),CONCATENATE("R9C",'Mapa final'!$R$57),"")</f>
        <v/>
      </c>
      <c r="AF24" s="72" t="str">
        <f>IF(AND('Mapa final'!$AB$58="Alta",'Mapa final'!$AD$58="Mayor"),CONCATENATE("R9C",'Mapa final'!$R$58),"")</f>
        <v/>
      </c>
      <c r="AG24" s="73" t="str">
        <f>IF(AND('Mapa final'!$AB$59="Alta",'Mapa final'!$AD$59="Mayor"),CONCATENATE("R9C",'Mapa final'!$R$59),"")</f>
        <v/>
      </c>
      <c r="AH24" s="74" t="str">
        <f>IF(AND('Mapa final'!$AB$54="Alta",'Mapa final'!$AD$54="Catastrófico"),CONCATENATE("R9C",'Mapa final'!$R$54),"")</f>
        <v/>
      </c>
      <c r="AI24" s="75" t="str">
        <f>IF(AND('Mapa final'!$AB$55="Alta",'Mapa final'!$AD$55="Catastrófico"),CONCATENATE("R9C",'Mapa final'!$R$55),"")</f>
        <v/>
      </c>
      <c r="AJ24" s="75" t="str">
        <f>IF(AND('Mapa final'!$AB$56="Alta",'Mapa final'!$AD$56="Catastrófico"),CONCATENATE("R9C",'Mapa final'!$R$56),"")</f>
        <v/>
      </c>
      <c r="AK24" s="75" t="str">
        <f>IF(AND('Mapa final'!$AB$57="Alta",'Mapa final'!$AD$57="Catastrófico"),CONCATENATE("R9C",'Mapa final'!$R$57),"")</f>
        <v/>
      </c>
      <c r="AL24" s="75" t="str">
        <f>IF(AND('Mapa final'!$AB$58="Alta",'Mapa final'!$AD$58="Catastrófico"),CONCATENATE("R9C",'Mapa final'!$R$58),"")</f>
        <v/>
      </c>
      <c r="AM24" s="76" t="str">
        <f>IF(AND('Mapa final'!$AB$59="Alta",'Mapa final'!$AD$59="Catastrófico"),CONCATENATE("R9C",'Mapa final'!$R$59),"")</f>
        <v/>
      </c>
      <c r="AN24" s="1"/>
      <c r="AO24" s="505"/>
      <c r="AP24" s="505"/>
      <c r="AQ24" s="505"/>
      <c r="AR24" s="505"/>
      <c r="AS24" s="505"/>
      <c r="AT24" s="505"/>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row>
    <row r="25" spans="1:76" ht="15.75" customHeight="1" x14ac:dyDescent="0.3">
      <c r="A25" s="1"/>
      <c r="B25" s="458"/>
      <c r="C25" s="458"/>
      <c r="D25" s="458"/>
      <c r="E25" s="504"/>
      <c r="F25" s="504"/>
      <c r="G25" s="504"/>
      <c r="H25" s="504"/>
      <c r="I25" s="504"/>
      <c r="J25" s="89" t="str">
        <f>IF(AND('Mapa final'!$AB$60="Alta",'Mapa final'!$AD$60="Leve"),CONCATENATE("R10C",'Mapa final'!$R$60),"")</f>
        <v/>
      </c>
      <c r="K25" s="90" t="str">
        <f>IF(AND('Mapa final'!$AB$61="Alta",'Mapa final'!$AD$61="Leve"),CONCATENATE("R10C",'Mapa final'!$R$61),"")</f>
        <v/>
      </c>
      <c r="L25" s="90" t="str">
        <f>IF(AND('Mapa final'!$AB$62="Alta",'Mapa final'!$AD$62="Leve"),CONCATENATE("R10C",'Mapa final'!$R$62),"")</f>
        <v/>
      </c>
      <c r="M25" s="90" t="str">
        <f>IF(AND('Mapa final'!$AB$63="Alta",'Mapa final'!$AD$63="Leve"),CONCATENATE("R10C",'Mapa final'!$R$63),"")</f>
        <v/>
      </c>
      <c r="N25" s="90" t="str">
        <f>IF(AND('Mapa final'!$AB$64="Alta",'Mapa final'!$AD$64="Leve"),CONCATENATE("R10C",'Mapa final'!$R$64),"")</f>
        <v/>
      </c>
      <c r="O25" s="91" t="str">
        <f>IF(AND('Mapa final'!$AB$65="Alta",'Mapa final'!$AD$65="Leve"),CONCATENATE("R10C",'Mapa final'!$R$65),"")</f>
        <v/>
      </c>
      <c r="P25" s="89" t="str">
        <f>IF(AND('Mapa final'!$AB$60="Alta",'Mapa final'!$AD$60="Menor"),CONCATENATE("R10C",'Mapa final'!$R$60),"")</f>
        <v/>
      </c>
      <c r="Q25" s="90" t="str">
        <f>IF(AND('Mapa final'!$AB$61="Alta",'Mapa final'!$AD$61="Menor"),CONCATENATE("R10C",'Mapa final'!$R$61),"")</f>
        <v/>
      </c>
      <c r="R25" s="90" t="str">
        <f>IF(AND('Mapa final'!$AB$62="Alta",'Mapa final'!$AD$62="Menor"),CONCATENATE("R10C",'Mapa final'!$R$62),"")</f>
        <v/>
      </c>
      <c r="S25" s="90" t="str">
        <f>IF(AND('Mapa final'!$AB$63="Alta",'Mapa final'!$AD$63="Menor"),CONCATENATE("R10C",'Mapa final'!$R$63),"")</f>
        <v/>
      </c>
      <c r="T25" s="90" t="str">
        <f>IF(AND('Mapa final'!$AB$64="Alta",'Mapa final'!$AD$64="Menor"),CONCATENATE("R10C",'Mapa final'!$R$64),"")</f>
        <v/>
      </c>
      <c r="U25" s="91" t="str">
        <f>IF(AND('Mapa final'!$AB$65="Alta",'Mapa final'!$AD$65="Menor"),CONCATENATE("R10C",'Mapa final'!$R$65),"")</f>
        <v/>
      </c>
      <c r="V25" s="77" t="str">
        <f>IF(AND('Mapa final'!$AB$60="Alta",'Mapa final'!$AD$60="Moderado"),CONCATENATE("R10C",'Mapa final'!$R$60),"")</f>
        <v/>
      </c>
      <c r="W25" s="78" t="str">
        <f>IF(AND('Mapa final'!$AB$61="Alta",'Mapa final'!$AD$61="Moderado"),CONCATENATE("R10C",'Mapa final'!$R$61),"")</f>
        <v/>
      </c>
      <c r="X25" s="78" t="str">
        <f>IF(AND('Mapa final'!$AB$62="Alta",'Mapa final'!$AD$62="Moderado"),CONCATENATE("R10C",'Mapa final'!$R$62),"")</f>
        <v/>
      </c>
      <c r="Y25" s="78" t="str">
        <f>IF(AND('Mapa final'!$AB$63="Alta",'Mapa final'!$AD$63="Moderado"),CONCATENATE("R10C",'Mapa final'!$R$63),"")</f>
        <v/>
      </c>
      <c r="Z25" s="78" t="str">
        <f>IF(AND('Mapa final'!$AB$64="Alta",'Mapa final'!$AD$64="Moderado"),CONCATENATE("R10C",'Mapa final'!$R$64),"")</f>
        <v/>
      </c>
      <c r="AA25" s="79" t="str">
        <f>IF(AND('Mapa final'!$AB$65="Alta",'Mapa final'!$AD$65="Moderado"),CONCATENATE("R10C",'Mapa final'!$R$65),"")</f>
        <v/>
      </c>
      <c r="AB25" s="77" t="str">
        <f>IF(AND('Mapa final'!$AB$60="Alta",'Mapa final'!$AD$60="Mayor"),CONCATENATE("R10C",'Mapa final'!$R$60),"")</f>
        <v/>
      </c>
      <c r="AC25" s="78" t="str">
        <f>IF(AND('Mapa final'!$AB$61="Alta",'Mapa final'!$AD$61="Mayor"),CONCATENATE("R10C",'Mapa final'!$R$61),"")</f>
        <v/>
      </c>
      <c r="AD25" s="78" t="str">
        <f>IF(AND('Mapa final'!$AB$62="Alta",'Mapa final'!$AD$62="Mayor"),CONCATENATE("R10C",'Mapa final'!$R$62),"")</f>
        <v/>
      </c>
      <c r="AE25" s="78" t="str">
        <f>IF(AND('Mapa final'!$AB$63="Alta",'Mapa final'!$AD$63="Mayor"),CONCATENATE("R10C",'Mapa final'!$R$63),"")</f>
        <v/>
      </c>
      <c r="AF25" s="78" t="str">
        <f>IF(AND('Mapa final'!$AB$64="Alta",'Mapa final'!$AD$64="Mayor"),CONCATENATE("R10C",'Mapa final'!$R$64),"")</f>
        <v/>
      </c>
      <c r="AG25" s="79" t="str">
        <f>IF(AND('Mapa final'!$AB$65="Alta",'Mapa final'!$AD$65="Mayor"),CONCATENATE("R10C",'Mapa final'!$R$65),"")</f>
        <v/>
      </c>
      <c r="AH25" s="80" t="str">
        <f>IF(AND('Mapa final'!$AB$60="Alta",'Mapa final'!$AD$60="Catastrófico"),CONCATENATE("R10C",'Mapa final'!$R$60),"")</f>
        <v/>
      </c>
      <c r="AI25" s="81" t="str">
        <f>IF(AND('Mapa final'!$AB$61="Alta",'Mapa final'!$AD$61="Catastrófico"),CONCATENATE("R10C",'Mapa final'!$R$61),"")</f>
        <v/>
      </c>
      <c r="AJ25" s="81" t="str">
        <f>IF(AND('Mapa final'!$AB$62="Alta",'Mapa final'!$AD$62="Catastrófico"),CONCATENATE("R10C",'Mapa final'!$R$62),"")</f>
        <v/>
      </c>
      <c r="AK25" s="81" t="str">
        <f>IF(AND('Mapa final'!$AB$63="Alta",'Mapa final'!$AD$63="Catastrófico"),CONCATENATE("R10C",'Mapa final'!$R$63),"")</f>
        <v/>
      </c>
      <c r="AL25" s="81" t="str">
        <f>IF(AND('Mapa final'!$AB$64="Alta",'Mapa final'!$AD$64="Catastrófico"),CONCATENATE("R10C",'Mapa final'!$R$64),"")</f>
        <v/>
      </c>
      <c r="AM25" s="82" t="str">
        <f>IF(AND('Mapa final'!$AB$65="Alta",'Mapa final'!$AD$65="Catastrófico"),CONCATENATE("R10C",'Mapa final'!$R$65),"")</f>
        <v/>
      </c>
      <c r="AN25" s="1"/>
      <c r="AO25" s="505"/>
      <c r="AP25" s="505"/>
      <c r="AQ25" s="505"/>
      <c r="AR25" s="505"/>
      <c r="AS25" s="505"/>
      <c r="AT25" s="505"/>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row>
    <row r="26" spans="1:76" ht="15" customHeight="1" x14ac:dyDescent="0.3">
      <c r="A26" s="1"/>
      <c r="B26" s="458"/>
      <c r="C26" s="458"/>
      <c r="D26" s="458"/>
      <c r="E26" s="502" t="s">
        <v>131</v>
      </c>
      <c r="F26" s="502"/>
      <c r="G26" s="502"/>
      <c r="H26" s="502"/>
      <c r="I26" s="502"/>
      <c r="J26" s="83" t="str">
        <f>IF(AND('Mapa final'!$AB$10="Media",'Mapa final'!$AD$10="Leve"),CONCATENATE("R1C",'Mapa final'!$R$10),"")</f>
        <v/>
      </c>
      <c r="K26" s="84" t="str">
        <f>IF(AND('Mapa final'!$AB$11="Media",'Mapa final'!$AD$11="Leve"),CONCATENATE("R1C",'Mapa final'!$R$11),"")</f>
        <v/>
      </c>
      <c r="L26" s="84" t="str">
        <f>IF(AND('Mapa final'!$AB$12="Media",'Mapa final'!$AD$12="Leve"),CONCATENATE("R1C",'Mapa final'!$R$12),"")</f>
        <v/>
      </c>
      <c r="M26" s="84" t="str">
        <f>IF(AND('Mapa final'!$AB$13="Media",'Mapa final'!$AD$13="Leve"),CONCATENATE("R1C",'Mapa final'!$R$13),"")</f>
        <v/>
      </c>
      <c r="N26" s="84" t="str">
        <f>IF(AND('Mapa final'!$AB$14="Media",'Mapa final'!$AD$14="Leve"),CONCATENATE("R1C",'Mapa final'!$R$14),"")</f>
        <v/>
      </c>
      <c r="O26" s="85" t="str">
        <f>IF(AND('Mapa final'!$AB$15="Media",'Mapa final'!$AD$15="Leve"),CONCATENATE("R1C",'Mapa final'!$R$15),"")</f>
        <v/>
      </c>
      <c r="P26" s="83" t="str">
        <f>IF(AND('Mapa final'!$AB$10="Media",'Mapa final'!$AD$10="Menor"),CONCATENATE("R1C",'Mapa final'!$R$10),"")</f>
        <v/>
      </c>
      <c r="Q26" s="84" t="str">
        <f>IF(AND('Mapa final'!$AB$11="Media",'Mapa final'!$AD$11="Menor"),CONCATENATE("R1C",'Mapa final'!$R$11),"")</f>
        <v/>
      </c>
      <c r="R26" s="84" t="str">
        <f>IF(AND('Mapa final'!$AB$12="Media",'Mapa final'!$AD$12="Menor"),CONCATENATE("R1C",'Mapa final'!$R$12),"")</f>
        <v/>
      </c>
      <c r="S26" s="84" t="str">
        <f>IF(AND('Mapa final'!$AB$13="Media",'Mapa final'!$AD$13="Menor"),CONCATENATE("R1C",'Mapa final'!$R$13),"")</f>
        <v/>
      </c>
      <c r="T26" s="84" t="str">
        <f>IF(AND('Mapa final'!$AB$14="Media",'Mapa final'!$AD$14="Menor"),CONCATENATE("R1C",'Mapa final'!$R$14),"")</f>
        <v/>
      </c>
      <c r="U26" s="85" t="str">
        <f>IF(AND('Mapa final'!$AB$15="Media",'Mapa final'!$AD$15="Menor"),CONCATENATE("R1C",'Mapa final'!$R$15),"")</f>
        <v/>
      </c>
      <c r="V26" s="83" t="str">
        <f>IF(AND('Mapa final'!$AB$10="Media",'Mapa final'!$AD$10="Moderado"),CONCATENATE("R1C",'Mapa final'!$R$10),"")</f>
        <v/>
      </c>
      <c r="W26" s="84" t="str">
        <f>IF(AND('Mapa final'!$AB$11="Media",'Mapa final'!$AD$11="Moderado"),CONCATENATE("R1C",'Mapa final'!$R$11),"")</f>
        <v/>
      </c>
      <c r="X26" s="84" t="str">
        <f>IF(AND('Mapa final'!$AB$12="Media",'Mapa final'!$AD$12="Moderado"),CONCATENATE("R1C",'Mapa final'!$R$12),"")</f>
        <v/>
      </c>
      <c r="Y26" s="84" t="str">
        <f>IF(AND('Mapa final'!$AB$13="Media",'Mapa final'!$AD$13="Moderado"),CONCATENATE("R1C",'Mapa final'!$R$13),"")</f>
        <v/>
      </c>
      <c r="Z26" s="84" t="str">
        <f>IF(AND('Mapa final'!$AB$14="Media",'Mapa final'!$AD$14="Moderado"),CONCATENATE("R1C",'Mapa final'!$R$14),"")</f>
        <v/>
      </c>
      <c r="AA26" s="85" t="str">
        <f>IF(AND('Mapa final'!$AB$15="Media",'Mapa final'!$AD$15="Moderado"),CONCATENATE("R1C",'Mapa final'!$R$15),"")</f>
        <v/>
      </c>
      <c r="AB26" s="65" t="str">
        <f>IF(AND('Mapa final'!$AB$10="Media",'Mapa final'!$AD$10="Mayor"),CONCATENATE("R1C",'Mapa final'!$R$10),"")</f>
        <v/>
      </c>
      <c r="AC26" s="66" t="str">
        <f>IF(AND('Mapa final'!$AB$11="Media",'Mapa final'!$AD$11="Mayor"),CONCATENATE("R1C",'Mapa final'!$R$11),"")</f>
        <v/>
      </c>
      <c r="AD26" s="66" t="str">
        <f>IF(AND('Mapa final'!$AB$12="Media",'Mapa final'!$AD$12="Mayor"),CONCATENATE("R1C",'Mapa final'!$R$12),"")</f>
        <v/>
      </c>
      <c r="AE26" s="66" t="str">
        <f>IF(AND('Mapa final'!$AB$13="Media",'Mapa final'!$AD$13="Mayor"),CONCATENATE("R1C",'Mapa final'!$R$13),"")</f>
        <v/>
      </c>
      <c r="AF26" s="66" t="str">
        <f>IF(AND('Mapa final'!$AB$14="Media",'Mapa final'!$AD$14="Mayor"),CONCATENATE("R1C",'Mapa final'!$R$14),"")</f>
        <v/>
      </c>
      <c r="AG26" s="67" t="str">
        <f>IF(AND('Mapa final'!$AB$15="Media",'Mapa final'!$AD$15="Mayor"),CONCATENATE("R1C",'Mapa final'!$R$15),"")</f>
        <v/>
      </c>
      <c r="AH26" s="68" t="str">
        <f>IF(AND('Mapa final'!$AB$10="Media",'Mapa final'!$AD$10="Catastrófico"),CONCATENATE("R1C",'Mapa final'!$R$10),"")</f>
        <v/>
      </c>
      <c r="AI26" s="69" t="str">
        <f>IF(AND('Mapa final'!$AB$11="Media",'Mapa final'!$AD$11="Catastrófico"),CONCATENATE("R1C",'Mapa final'!$R$11),"")</f>
        <v/>
      </c>
      <c r="AJ26" s="69" t="str">
        <f>IF(AND('Mapa final'!$AB$12="Media",'Mapa final'!$AD$12="Catastrófico"),CONCATENATE("R1C",'Mapa final'!$R$12),"")</f>
        <v/>
      </c>
      <c r="AK26" s="69" t="str">
        <f>IF(AND('Mapa final'!$AB$13="Media",'Mapa final'!$AD$13="Catastrófico"),CONCATENATE("R1C",'Mapa final'!$R$13),"")</f>
        <v/>
      </c>
      <c r="AL26" s="69" t="str">
        <f>IF(AND('Mapa final'!$AB$14="Media",'Mapa final'!$AD$14="Catastrófico"),CONCATENATE("R1C",'Mapa final'!$R$14),"")</f>
        <v/>
      </c>
      <c r="AM26" s="70" t="str">
        <f>IF(AND('Mapa final'!$AB$15="Media",'Mapa final'!$AD$15="Catastrófico"),CONCATENATE("R1C",'Mapa final'!$R$15),"")</f>
        <v/>
      </c>
      <c r="AN26" s="1"/>
      <c r="AO26" s="506" t="s">
        <v>132</v>
      </c>
      <c r="AP26" s="506"/>
      <c r="AQ26" s="506"/>
      <c r="AR26" s="506"/>
      <c r="AS26" s="506"/>
      <c r="AT26" s="506"/>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row>
    <row r="27" spans="1:76" ht="15" customHeight="1" x14ac:dyDescent="0.3">
      <c r="A27" s="1"/>
      <c r="B27" s="458"/>
      <c r="C27" s="458"/>
      <c r="D27" s="458"/>
      <c r="E27" s="502"/>
      <c r="F27" s="502"/>
      <c r="G27" s="502"/>
      <c r="H27" s="502"/>
      <c r="I27" s="502"/>
      <c r="J27" s="86" t="str">
        <f>IF(AND('Mapa final'!$AB$16="Media",'Mapa final'!$AD$16="Leve"),CONCATENATE("R2C",'Mapa final'!$R$16),"")</f>
        <v/>
      </c>
      <c r="K27" s="87" t="str">
        <f>IF(AND('Mapa final'!$AB$17="Media",'Mapa final'!$AD$17="Leve"),CONCATENATE("R2C",'Mapa final'!$R$17),"")</f>
        <v/>
      </c>
      <c r="L27" s="87" t="str">
        <f>IF(AND('Mapa final'!$AB$18="Media",'Mapa final'!$AD$18="Leve"),CONCATENATE("R2C",'Mapa final'!$R$18),"")</f>
        <v/>
      </c>
      <c r="M27" s="87" t="str">
        <f>IF(AND('Mapa final'!$AB$19="Media",'Mapa final'!$AD$19="Leve"),CONCATENATE("R2C",'Mapa final'!$R$19),"")</f>
        <v/>
      </c>
      <c r="N27" s="87" t="str">
        <f>IF(AND('Mapa final'!$AB$20="Media",'Mapa final'!$AD$20="Leve"),CONCATENATE("R2C",'Mapa final'!$R$20),"")</f>
        <v/>
      </c>
      <c r="O27" s="88" t="str">
        <f>IF(AND('Mapa final'!$AB$21="Media",'Mapa final'!$AD$21="Leve"),CONCATENATE("R2C",'Mapa final'!$R$21),"")</f>
        <v/>
      </c>
      <c r="P27" s="86" t="str">
        <f>IF(AND('Mapa final'!$AB$16="Media",'Mapa final'!$AD$16="Menor"),CONCATENATE("R2C",'Mapa final'!$R$16),"")</f>
        <v/>
      </c>
      <c r="Q27" s="87" t="str">
        <f>IF(AND('Mapa final'!$AB$17="Media",'Mapa final'!$AD$17="Menor"),CONCATENATE("R2C",'Mapa final'!$R$17),"")</f>
        <v/>
      </c>
      <c r="R27" s="87" t="str">
        <f>IF(AND('Mapa final'!$AB$18="Media",'Mapa final'!$AD$18="Menor"),CONCATENATE("R2C",'Mapa final'!$R$18),"")</f>
        <v/>
      </c>
      <c r="S27" s="87" t="str">
        <f>IF(AND('Mapa final'!$AB$19="Media",'Mapa final'!$AD$19="Menor"),CONCATENATE("R2C",'Mapa final'!$R$19),"")</f>
        <v/>
      </c>
      <c r="T27" s="87" t="str">
        <f>IF(AND('Mapa final'!$AB$20="Media",'Mapa final'!$AD$20="Menor"),CONCATENATE("R2C",'Mapa final'!$R$20),"")</f>
        <v/>
      </c>
      <c r="U27" s="88" t="str">
        <f>IF(AND('Mapa final'!$AB$21="Media",'Mapa final'!$AD$21="Menor"),CONCATENATE("R2C",'Mapa final'!$R$21),"")</f>
        <v/>
      </c>
      <c r="V27" s="86" t="str">
        <f>IF(AND('Mapa final'!$AB$16="Media",'Mapa final'!$AD$16="Moderado"),CONCATENATE("R2C",'Mapa final'!$R$16),"")</f>
        <v/>
      </c>
      <c r="W27" s="87" t="str">
        <f>IF(AND('Mapa final'!$AB$17="Media",'Mapa final'!$AD$17="Moderado"),CONCATENATE("R2C",'Mapa final'!$R$17),"")</f>
        <v/>
      </c>
      <c r="X27" s="87" t="str">
        <f>IF(AND('Mapa final'!$AB$18="Media",'Mapa final'!$AD$18="Moderado"),CONCATENATE("R2C",'Mapa final'!$R$18),"")</f>
        <v/>
      </c>
      <c r="Y27" s="87" t="str">
        <f>IF(AND('Mapa final'!$AB$19="Media",'Mapa final'!$AD$19="Moderado"),CONCATENATE("R2C",'Mapa final'!$R$19),"")</f>
        <v/>
      </c>
      <c r="Z27" s="87" t="str">
        <f>IF(AND('Mapa final'!$AB$20="Media",'Mapa final'!$AD$20="Moderado"),CONCATENATE("R2C",'Mapa final'!$R$20),"")</f>
        <v/>
      </c>
      <c r="AA27" s="88" t="str">
        <f>IF(AND('Mapa final'!$AB$21="Media",'Mapa final'!$AD$21="Moderado"),CONCATENATE("R2C",'Mapa final'!$R$21),"")</f>
        <v/>
      </c>
      <c r="AB27" s="71" t="str">
        <f>IF(AND('Mapa final'!$AB$16="Media",'Mapa final'!$AD$16="Mayor"),CONCATENATE("R2C",'Mapa final'!$R$16),"")</f>
        <v/>
      </c>
      <c r="AC27" s="72" t="str">
        <f>IF(AND('Mapa final'!$AB$17="Media",'Mapa final'!$AD$17="Mayor"),CONCATENATE("R2C",'Mapa final'!$R$17),"")</f>
        <v/>
      </c>
      <c r="AD27" s="72" t="str">
        <f>IF(AND('Mapa final'!$AB$18="Media",'Mapa final'!$AD$18="Mayor"),CONCATENATE("R2C",'Mapa final'!$R$18),"")</f>
        <v/>
      </c>
      <c r="AE27" s="72" t="str">
        <f>IF(AND('Mapa final'!$AB$19="Media",'Mapa final'!$AD$19="Mayor"),CONCATENATE("R2C",'Mapa final'!$R$19),"")</f>
        <v/>
      </c>
      <c r="AF27" s="72" t="str">
        <f>IF(AND('Mapa final'!$AB$20="Media",'Mapa final'!$AD$20="Mayor"),CONCATENATE("R2C",'Mapa final'!$R$20),"")</f>
        <v/>
      </c>
      <c r="AG27" s="73" t="str">
        <f>IF(AND('Mapa final'!$AB$21="Media",'Mapa final'!$AD$21="Mayor"),CONCATENATE("R2C",'Mapa final'!$R$21),"")</f>
        <v/>
      </c>
      <c r="AH27" s="74" t="str">
        <f>IF(AND('Mapa final'!$AB$16="Media",'Mapa final'!$AD$16="Catastrófico"),CONCATENATE("R2C",'Mapa final'!$R$16),"")</f>
        <v/>
      </c>
      <c r="AI27" s="75" t="str">
        <f>IF(AND('Mapa final'!$AB$17="Media",'Mapa final'!$AD$17="Catastrófico"),CONCATENATE("R2C",'Mapa final'!$R$17),"")</f>
        <v/>
      </c>
      <c r="AJ27" s="75" t="str">
        <f>IF(AND('Mapa final'!$AB$18="Media",'Mapa final'!$AD$18="Catastrófico"),CONCATENATE("R2C",'Mapa final'!$R$18),"")</f>
        <v/>
      </c>
      <c r="AK27" s="75" t="str">
        <f>IF(AND('Mapa final'!$AB$19="Media",'Mapa final'!$AD$19="Catastrófico"),CONCATENATE("R2C",'Mapa final'!$R$19),"")</f>
        <v/>
      </c>
      <c r="AL27" s="75" t="str">
        <f>IF(AND('Mapa final'!$AB$20="Media",'Mapa final'!$AD$20="Catastrófico"),CONCATENATE("R2C",'Mapa final'!$R$20),"")</f>
        <v/>
      </c>
      <c r="AM27" s="76" t="str">
        <f>IF(AND('Mapa final'!$AB$21="Media",'Mapa final'!$AD$21="Catastrófico"),CONCATENATE("R2C",'Mapa final'!$R$21),"")</f>
        <v/>
      </c>
      <c r="AN27" s="1"/>
      <c r="AO27" s="506"/>
      <c r="AP27" s="506"/>
      <c r="AQ27" s="506"/>
      <c r="AR27" s="506"/>
      <c r="AS27" s="506"/>
      <c r="AT27" s="506"/>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row>
    <row r="28" spans="1:76" ht="15" customHeight="1" x14ac:dyDescent="0.3">
      <c r="A28" s="1"/>
      <c r="B28" s="458"/>
      <c r="C28" s="458"/>
      <c r="D28" s="458"/>
      <c r="E28" s="502"/>
      <c r="F28" s="502"/>
      <c r="G28" s="502"/>
      <c r="H28" s="502"/>
      <c r="I28" s="502"/>
      <c r="J28" s="86" t="str">
        <f>IF(AND('Mapa final'!$AB$22="Media",'Mapa final'!$AD$22="Leve"),CONCATENATE("R3C",'Mapa final'!$R$22),"")</f>
        <v/>
      </c>
      <c r="K28" s="87" t="str">
        <f>IF(AND('Mapa final'!$AB$23="Media",'Mapa final'!$AD$23="Leve"),CONCATENATE("R3C",'Mapa final'!$R$23),"")</f>
        <v/>
      </c>
      <c r="L28" s="87" t="e">
        <f>IF(AND('Mapa final'!#REF!="Media",'Mapa final'!#REF!="Leve"),CONCATENATE("R3C",'Mapa final'!#REF!),"")</f>
        <v>#REF!</v>
      </c>
      <c r="M28" s="87" t="e">
        <f>IF(AND('Mapa final'!#REF!="Media",'Mapa final'!#REF!="Leve"),CONCATENATE("R3C",'Mapa final'!#REF!),"")</f>
        <v>#REF!</v>
      </c>
      <c r="N28" s="87" t="e">
        <f>IF(AND('Mapa final'!#REF!="Media",'Mapa final'!#REF!="Leve"),CONCATENATE("R3C",'Mapa final'!#REF!),"")</f>
        <v>#REF!</v>
      </c>
      <c r="O28" s="88" t="e">
        <f>IF(AND('Mapa final'!#REF!="Media",'Mapa final'!#REF!="Leve"),CONCATENATE("R3C",'Mapa final'!#REF!),"")</f>
        <v>#REF!</v>
      </c>
      <c r="P28" s="86" t="str">
        <f>IF(AND('Mapa final'!$AB$22="Media",'Mapa final'!$AD$22="Menor"),CONCATENATE("R3C",'Mapa final'!$R$22),"")</f>
        <v/>
      </c>
      <c r="Q28" s="87" t="str">
        <f>IF(AND('Mapa final'!$AB$23="Media",'Mapa final'!$AD$23="Menor"),CONCATENATE("R3C",'Mapa final'!$R$23),"")</f>
        <v/>
      </c>
      <c r="R28" s="87" t="e">
        <f>IF(AND('Mapa final'!#REF!="Media",'Mapa final'!#REF!="Menor"),CONCATENATE("R3C",'Mapa final'!#REF!),"")</f>
        <v>#REF!</v>
      </c>
      <c r="S28" s="87" t="e">
        <f>IF(AND('Mapa final'!#REF!="Media",'Mapa final'!#REF!="Menor"),CONCATENATE("R3C",'Mapa final'!#REF!),"")</f>
        <v>#REF!</v>
      </c>
      <c r="T28" s="87" t="e">
        <f>IF(AND('Mapa final'!#REF!="Media",'Mapa final'!#REF!="Menor"),CONCATENATE("R3C",'Mapa final'!#REF!),"")</f>
        <v>#REF!</v>
      </c>
      <c r="U28" s="88" t="e">
        <f>IF(AND('Mapa final'!#REF!="Media",'Mapa final'!#REF!="Menor"),CONCATENATE("R3C",'Mapa final'!#REF!),"")</f>
        <v>#REF!</v>
      </c>
      <c r="V28" s="86" t="str">
        <f>IF(AND('Mapa final'!$AB$22="Media",'Mapa final'!$AD$22="Moderado"),CONCATENATE("R3C",'Mapa final'!$R$22),"")</f>
        <v/>
      </c>
      <c r="W28" s="87" t="str">
        <f>IF(AND('Mapa final'!$AB$23="Media",'Mapa final'!$AD$23="Moderado"),CONCATENATE("R3C",'Mapa final'!$R$23),"")</f>
        <v/>
      </c>
      <c r="X28" s="87" t="e">
        <f>IF(AND('Mapa final'!#REF!="Media",'Mapa final'!#REF!="Moderado"),CONCATENATE("R3C",'Mapa final'!#REF!),"")</f>
        <v>#REF!</v>
      </c>
      <c r="Y28" s="87" t="e">
        <f>IF(AND('Mapa final'!#REF!="Media",'Mapa final'!#REF!="Moderado"),CONCATENATE("R3C",'Mapa final'!#REF!),"")</f>
        <v>#REF!</v>
      </c>
      <c r="Z28" s="87" t="e">
        <f>IF(AND('Mapa final'!#REF!="Media",'Mapa final'!#REF!="Moderado"),CONCATENATE("R3C",'Mapa final'!#REF!),"")</f>
        <v>#REF!</v>
      </c>
      <c r="AA28" s="88" t="e">
        <f>IF(AND('Mapa final'!#REF!="Media",'Mapa final'!#REF!="Moderado"),CONCATENATE("R3C",'Mapa final'!#REF!),"")</f>
        <v>#REF!</v>
      </c>
      <c r="AB28" s="71" t="str">
        <f>IF(AND('Mapa final'!$AB$22="Media",'Mapa final'!$AD$22="Mayor"),CONCATENATE("R3C",'Mapa final'!$R$22),"")</f>
        <v/>
      </c>
      <c r="AC28" s="72" t="str">
        <f>IF(AND('Mapa final'!$AB$23="Media",'Mapa final'!$AD$23="Mayor"),CONCATENATE("R3C",'Mapa final'!$R$23),"")</f>
        <v/>
      </c>
      <c r="AD28" s="72" t="e">
        <f>IF(AND('Mapa final'!#REF!="Media",'Mapa final'!#REF!="Mayor"),CONCATENATE("R3C",'Mapa final'!#REF!),"")</f>
        <v>#REF!</v>
      </c>
      <c r="AE28" s="72" t="e">
        <f>IF(AND('Mapa final'!#REF!="Media",'Mapa final'!#REF!="Mayor"),CONCATENATE("R3C",'Mapa final'!#REF!),"")</f>
        <v>#REF!</v>
      </c>
      <c r="AF28" s="72" t="e">
        <f>IF(AND('Mapa final'!#REF!="Media",'Mapa final'!#REF!="Mayor"),CONCATENATE("R3C",'Mapa final'!#REF!),"")</f>
        <v>#REF!</v>
      </c>
      <c r="AG28" s="73" t="e">
        <f>IF(AND('Mapa final'!#REF!="Media",'Mapa final'!#REF!="Mayor"),CONCATENATE("R3C",'Mapa final'!#REF!),"")</f>
        <v>#REF!</v>
      </c>
      <c r="AH28" s="74" t="str">
        <f>IF(AND('Mapa final'!$AB$22="Media",'Mapa final'!$AD$22="Catastrófico"),CONCATENATE("R3C",'Mapa final'!$R$22),"")</f>
        <v/>
      </c>
      <c r="AI28" s="75" t="str">
        <f>IF(AND('Mapa final'!$AB$23="Media",'Mapa final'!$AD$23="Catastrófico"),CONCATENATE("R3C",'Mapa final'!$R$23),"")</f>
        <v/>
      </c>
      <c r="AJ28" s="75" t="e">
        <f>IF(AND('Mapa final'!#REF!="Media",'Mapa final'!#REF!="Catastrófico"),CONCATENATE("R3C",'Mapa final'!#REF!),"")</f>
        <v>#REF!</v>
      </c>
      <c r="AK28" s="75" t="e">
        <f>IF(AND('Mapa final'!#REF!="Media",'Mapa final'!#REF!="Catastrófico"),CONCATENATE("R3C",'Mapa final'!#REF!),"")</f>
        <v>#REF!</v>
      </c>
      <c r="AL28" s="75" t="e">
        <f>IF(AND('Mapa final'!#REF!="Media",'Mapa final'!#REF!="Catastrófico"),CONCATENATE("R3C",'Mapa final'!#REF!),"")</f>
        <v>#REF!</v>
      </c>
      <c r="AM28" s="76" t="e">
        <f>IF(AND('Mapa final'!#REF!="Media",'Mapa final'!#REF!="Catastrófico"),CONCATENATE("R3C",'Mapa final'!#REF!),"")</f>
        <v>#REF!</v>
      </c>
      <c r="AN28" s="1"/>
      <c r="AO28" s="506"/>
      <c r="AP28" s="506"/>
      <c r="AQ28" s="506"/>
      <c r="AR28" s="506"/>
      <c r="AS28" s="506"/>
      <c r="AT28" s="506"/>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row>
    <row r="29" spans="1:76" ht="15" customHeight="1" x14ac:dyDescent="0.3">
      <c r="A29" s="1"/>
      <c r="B29" s="458"/>
      <c r="C29" s="458"/>
      <c r="D29" s="458"/>
      <c r="E29" s="502"/>
      <c r="F29" s="502"/>
      <c r="G29" s="502"/>
      <c r="H29" s="502"/>
      <c r="I29" s="502"/>
      <c r="J29" s="86" t="str">
        <f>IF(AND('Mapa final'!$AB$24="Media",'Mapa final'!$AD$24="Leve"),CONCATENATE("R4C",'Mapa final'!$R$24),"")</f>
        <v/>
      </c>
      <c r="K29" s="87" t="str">
        <f>IF(AND('Mapa final'!$AB$25="Media",'Mapa final'!$AD$25="Leve"),CONCATENATE("R4C",'Mapa final'!$R$25),"")</f>
        <v/>
      </c>
      <c r="L29" s="87" t="str">
        <f>IF(AND('Mapa final'!$AB$26="Media",'Mapa final'!$AD$26="Leve"),CONCATENATE("R4C",'Mapa final'!$R$26),"")</f>
        <v/>
      </c>
      <c r="M29" s="87" t="str">
        <f>IF(AND('Mapa final'!$AB$27="Media",'Mapa final'!$AD$27="Leve"),CONCATENATE("R4C",'Mapa final'!$R$27),"")</f>
        <v/>
      </c>
      <c r="N29" s="87" t="str">
        <f>IF(AND('Mapa final'!$AB$28="Media",'Mapa final'!$AD$28="Leve"),CONCATENATE("R4C",'Mapa final'!$R$28),"")</f>
        <v/>
      </c>
      <c r="O29" s="88" t="str">
        <f>IF(AND('Mapa final'!$AB$29="Media",'Mapa final'!$AD$29="Leve"),CONCATENATE("R4C",'Mapa final'!$R$29),"")</f>
        <v/>
      </c>
      <c r="P29" s="86" t="str">
        <f>IF(AND('Mapa final'!$AB$24="Media",'Mapa final'!$AD$24="Menor"),CONCATENATE("R4C",'Mapa final'!$R$24),"")</f>
        <v/>
      </c>
      <c r="Q29" s="87" t="str">
        <f>IF(AND('Mapa final'!$AB$25="Media",'Mapa final'!$AD$25="Menor"),CONCATENATE("R4C",'Mapa final'!$R$25),"")</f>
        <v/>
      </c>
      <c r="R29" s="87" t="str">
        <f>IF(AND('Mapa final'!$AB$26="Media",'Mapa final'!$AD$26="Menor"),CONCATENATE("R4C",'Mapa final'!$R$26),"")</f>
        <v/>
      </c>
      <c r="S29" s="87" t="str">
        <f>IF(AND('Mapa final'!$AB$27="Media",'Mapa final'!$AD$27="Menor"),CONCATENATE("R4C",'Mapa final'!$R$27),"")</f>
        <v/>
      </c>
      <c r="T29" s="87" t="str">
        <f>IF(AND('Mapa final'!$AB$28="Media",'Mapa final'!$AD$28="Menor"),CONCATENATE("R4C",'Mapa final'!$R$28),"")</f>
        <v/>
      </c>
      <c r="U29" s="88" t="str">
        <f>IF(AND('Mapa final'!$AB$29="Media",'Mapa final'!$AD$29="Menor"),CONCATENATE("R4C",'Mapa final'!$R$29),"")</f>
        <v/>
      </c>
      <c r="V29" s="86" t="str">
        <f>IF(AND('Mapa final'!$AB$24="Media",'Mapa final'!$AD$24="Moderado"),CONCATENATE("R4C",'Mapa final'!$R$24),"")</f>
        <v/>
      </c>
      <c r="W29" s="87" t="str">
        <f>IF(AND('Mapa final'!$AB$25="Media",'Mapa final'!$AD$25="Moderado"),CONCATENATE("R4C",'Mapa final'!$R$25),"")</f>
        <v/>
      </c>
      <c r="X29" s="87" t="str">
        <f>IF(AND('Mapa final'!$AB$26="Media",'Mapa final'!$AD$26="Moderado"),CONCATENATE("R4C",'Mapa final'!$R$26),"")</f>
        <v/>
      </c>
      <c r="Y29" s="87" t="str">
        <f>IF(AND('Mapa final'!$AB$27="Media",'Mapa final'!$AD$27="Moderado"),CONCATENATE("R4C",'Mapa final'!$R$27),"")</f>
        <v/>
      </c>
      <c r="Z29" s="87" t="str">
        <f>IF(AND('Mapa final'!$AB$28="Media",'Mapa final'!$AD$28="Moderado"),CONCATENATE("R4C",'Mapa final'!$R$28),"")</f>
        <v/>
      </c>
      <c r="AA29" s="88" t="str">
        <f>IF(AND('Mapa final'!$AB$29="Media",'Mapa final'!$AD$29="Moderado"),CONCATENATE("R4C",'Mapa final'!$R$29),"")</f>
        <v/>
      </c>
      <c r="AB29" s="71" t="str">
        <f>IF(AND('Mapa final'!$AB$24="Media",'Mapa final'!$AD$24="Mayor"),CONCATENATE("R4C",'Mapa final'!$R$24),"")</f>
        <v/>
      </c>
      <c r="AC29" s="72" t="str">
        <f>IF(AND('Mapa final'!$AB$25="Media",'Mapa final'!$AD$25="Mayor"),CONCATENATE("R4C",'Mapa final'!$R$25),"")</f>
        <v/>
      </c>
      <c r="AD29" s="72" t="str">
        <f>IF(AND('Mapa final'!$AB$26="Media",'Mapa final'!$AD$26="Mayor"),CONCATENATE("R4C",'Mapa final'!$R$26),"")</f>
        <v/>
      </c>
      <c r="AE29" s="72" t="str">
        <f>IF(AND('Mapa final'!$AB$27="Media",'Mapa final'!$AD$27="Mayor"),CONCATENATE("R4C",'Mapa final'!$R$27),"")</f>
        <v/>
      </c>
      <c r="AF29" s="72" t="str">
        <f>IF(AND('Mapa final'!$AB$28="Media",'Mapa final'!$AD$28="Mayor"),CONCATENATE("R4C",'Mapa final'!$R$28),"")</f>
        <v/>
      </c>
      <c r="AG29" s="73" t="str">
        <f>IF(AND('Mapa final'!$AB$29="Media",'Mapa final'!$AD$29="Mayor"),CONCATENATE("R4C",'Mapa final'!$R$29),"")</f>
        <v/>
      </c>
      <c r="AH29" s="74" t="str">
        <f>IF(AND('Mapa final'!$AB$24="Media",'Mapa final'!$AD$24="Catastrófico"),CONCATENATE("R4C",'Mapa final'!$R$24),"")</f>
        <v/>
      </c>
      <c r="AI29" s="75" t="str">
        <f>IF(AND('Mapa final'!$AB$25="Media",'Mapa final'!$AD$25="Catastrófico"),CONCATENATE("R4C",'Mapa final'!$R$25),"")</f>
        <v/>
      </c>
      <c r="AJ29" s="75" t="str">
        <f>IF(AND('Mapa final'!$AB$26="Media",'Mapa final'!$AD$26="Catastrófico"),CONCATENATE("R4C",'Mapa final'!$R$26),"")</f>
        <v/>
      </c>
      <c r="AK29" s="75" t="str">
        <f>IF(AND('Mapa final'!$AB$27="Media",'Mapa final'!$AD$27="Catastrófico"),CONCATENATE("R4C",'Mapa final'!$R$27),"")</f>
        <v/>
      </c>
      <c r="AL29" s="75" t="str">
        <f>IF(AND('Mapa final'!$AB$28="Media",'Mapa final'!$AD$28="Catastrófico"),CONCATENATE("R4C",'Mapa final'!$R$28),"")</f>
        <v/>
      </c>
      <c r="AM29" s="76" t="str">
        <f>IF(AND('Mapa final'!$AB$29="Media",'Mapa final'!$AD$29="Catastrófico"),CONCATENATE("R4C",'Mapa final'!$R$29),"")</f>
        <v/>
      </c>
      <c r="AN29" s="1"/>
      <c r="AO29" s="506"/>
      <c r="AP29" s="506"/>
      <c r="AQ29" s="506"/>
      <c r="AR29" s="506"/>
      <c r="AS29" s="506"/>
      <c r="AT29" s="506"/>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row>
    <row r="30" spans="1:76" ht="15" customHeight="1" x14ac:dyDescent="0.3">
      <c r="A30" s="1"/>
      <c r="B30" s="458"/>
      <c r="C30" s="458"/>
      <c r="D30" s="458"/>
      <c r="E30" s="502"/>
      <c r="F30" s="502"/>
      <c r="G30" s="502"/>
      <c r="H30" s="502"/>
      <c r="I30" s="502"/>
      <c r="J30" s="86" t="str">
        <f>IF(AND('Mapa final'!$AB$30="Media",'Mapa final'!$AD$30="Leve"),CONCATENATE("R5C",'Mapa final'!$R$30),"")</f>
        <v/>
      </c>
      <c r="K30" s="87" t="str">
        <f>IF(AND('Mapa final'!$AB$31="Media",'Mapa final'!$AD$31="Leve"),CONCATENATE("R5C",'Mapa final'!$R$31),"")</f>
        <v/>
      </c>
      <c r="L30" s="87" t="str">
        <f>IF(AND('Mapa final'!$AB$32="Media",'Mapa final'!$AD$32="Leve"),CONCATENATE("R5C",'Mapa final'!$R$32),"")</f>
        <v/>
      </c>
      <c r="M30" s="87" t="str">
        <f>IF(AND('Mapa final'!$AB$33="Media",'Mapa final'!$AD$33="Leve"),CONCATENATE("R5C",'Mapa final'!$R$33),"")</f>
        <v/>
      </c>
      <c r="N30" s="87" t="str">
        <f>IF(AND('Mapa final'!$AB$34="Media",'Mapa final'!$AD$34="Leve"),CONCATENATE("R5C",'Mapa final'!$R$34),"")</f>
        <v/>
      </c>
      <c r="O30" s="88" t="str">
        <f>IF(AND('Mapa final'!$AB$35="Media",'Mapa final'!$AD$35="Leve"),CONCATENATE("R5C",'Mapa final'!$R$35),"")</f>
        <v/>
      </c>
      <c r="P30" s="86" t="str">
        <f>IF(AND('Mapa final'!$AB$30="Media",'Mapa final'!$AD$30="Menor"),CONCATENATE("R5C",'Mapa final'!$R$30),"")</f>
        <v/>
      </c>
      <c r="Q30" s="87" t="str">
        <f>IF(AND('Mapa final'!$AB$31="Media",'Mapa final'!$AD$31="Menor"),CONCATENATE("R5C",'Mapa final'!$R$31),"")</f>
        <v/>
      </c>
      <c r="R30" s="87" t="str">
        <f>IF(AND('Mapa final'!$AB$32="Media",'Mapa final'!$AD$32="Menor"),CONCATENATE("R5C",'Mapa final'!$R$32),"")</f>
        <v/>
      </c>
      <c r="S30" s="87" t="str">
        <f>IF(AND('Mapa final'!$AB$33="Media",'Mapa final'!$AD$33="Menor"),CONCATENATE("R5C",'Mapa final'!$R$33),"")</f>
        <v/>
      </c>
      <c r="T30" s="87" t="str">
        <f>IF(AND('Mapa final'!$AB$34="Media",'Mapa final'!$AD$34="Menor"),CONCATENATE("R5C",'Mapa final'!$R$34),"")</f>
        <v/>
      </c>
      <c r="U30" s="88" t="str">
        <f>IF(AND('Mapa final'!$AB$35="Media",'Mapa final'!$AD$35="Menor"),CONCATENATE("R5C",'Mapa final'!$R$35),"")</f>
        <v/>
      </c>
      <c r="V30" s="86" t="str">
        <f>IF(AND('Mapa final'!$AB$30="Media",'Mapa final'!$AD$30="Moderado"),CONCATENATE("R5C",'Mapa final'!$R$30),"")</f>
        <v/>
      </c>
      <c r="W30" s="87" t="str">
        <f>IF(AND('Mapa final'!$AB$31="Media",'Mapa final'!$AD$31="Moderado"),CONCATENATE("R5C",'Mapa final'!$R$31),"")</f>
        <v/>
      </c>
      <c r="X30" s="87" t="str">
        <f>IF(AND('Mapa final'!$AB$32="Media",'Mapa final'!$AD$32="Moderado"),CONCATENATE("R5C",'Mapa final'!$R$32),"")</f>
        <v/>
      </c>
      <c r="Y30" s="87" t="str">
        <f>IF(AND('Mapa final'!$AB$33="Media",'Mapa final'!$AD$33="Moderado"),CONCATENATE("R5C",'Mapa final'!$R$33),"")</f>
        <v/>
      </c>
      <c r="Z30" s="87" t="str">
        <f>IF(AND('Mapa final'!$AB$34="Media",'Mapa final'!$AD$34="Moderado"),CONCATENATE("R5C",'Mapa final'!$R$34),"")</f>
        <v/>
      </c>
      <c r="AA30" s="88" t="str">
        <f>IF(AND('Mapa final'!$AB$35="Media",'Mapa final'!$AD$35="Moderado"),CONCATENATE("R5C",'Mapa final'!$R$35),"")</f>
        <v/>
      </c>
      <c r="AB30" s="71" t="str">
        <f>IF(AND('Mapa final'!$AB$30="Media",'Mapa final'!$AD$30="Mayor"),CONCATENATE("R5C",'Mapa final'!$R$30),"")</f>
        <v/>
      </c>
      <c r="AC30" s="72" t="str">
        <f>IF(AND('Mapa final'!$AB$31="Media",'Mapa final'!$AD$31="Mayor"),CONCATENATE("R5C",'Mapa final'!$R$31),"")</f>
        <v/>
      </c>
      <c r="AD30" s="72" t="str">
        <f>IF(AND('Mapa final'!$AB$32="Media",'Mapa final'!$AD$32="Mayor"),CONCATENATE("R5C",'Mapa final'!$R$32),"")</f>
        <v/>
      </c>
      <c r="AE30" s="72" t="str">
        <f>IF(AND('Mapa final'!$AB$33="Media",'Mapa final'!$AD$33="Mayor"),CONCATENATE("R5C",'Mapa final'!$R$33),"")</f>
        <v/>
      </c>
      <c r="AF30" s="72" t="str">
        <f>IF(AND('Mapa final'!$AB$34="Media",'Mapa final'!$AD$34="Mayor"),CONCATENATE("R5C",'Mapa final'!$R$34),"")</f>
        <v/>
      </c>
      <c r="AG30" s="73" t="str">
        <f>IF(AND('Mapa final'!$AB$35="Media",'Mapa final'!$AD$35="Mayor"),CONCATENATE("R5C",'Mapa final'!$R$35),"")</f>
        <v/>
      </c>
      <c r="AH30" s="74" t="str">
        <f>IF(AND('Mapa final'!$AB$30="Media",'Mapa final'!$AD$30="Catastrófico"),CONCATENATE("R5C",'Mapa final'!$R$30),"")</f>
        <v/>
      </c>
      <c r="AI30" s="75" t="str">
        <f>IF(AND('Mapa final'!$AB$31="Media",'Mapa final'!$AD$31="Catastrófico"),CONCATENATE("R5C",'Mapa final'!$R$31),"")</f>
        <v/>
      </c>
      <c r="AJ30" s="75" t="str">
        <f>IF(AND('Mapa final'!$AB$32="Media",'Mapa final'!$AD$32="Catastrófico"),CONCATENATE("R5C",'Mapa final'!$R$32),"")</f>
        <v/>
      </c>
      <c r="AK30" s="75" t="str">
        <f>IF(AND('Mapa final'!$AB$33="Media",'Mapa final'!$AD$33="Catastrófico"),CONCATENATE("R5C",'Mapa final'!$R$33),"")</f>
        <v/>
      </c>
      <c r="AL30" s="75" t="str">
        <f>IF(AND('Mapa final'!$AB$34="Media",'Mapa final'!$AD$34="Catastrófico"),CONCATENATE("R5C",'Mapa final'!$R$34),"")</f>
        <v/>
      </c>
      <c r="AM30" s="76" t="str">
        <f>IF(AND('Mapa final'!$AB$35="Media",'Mapa final'!$AD$35="Catastrófico"),CONCATENATE("R5C",'Mapa final'!$R$35),"")</f>
        <v/>
      </c>
      <c r="AN30" s="1"/>
      <c r="AO30" s="506"/>
      <c r="AP30" s="506"/>
      <c r="AQ30" s="506"/>
      <c r="AR30" s="506"/>
      <c r="AS30" s="506"/>
      <c r="AT30" s="506"/>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row>
    <row r="31" spans="1:76" ht="15" customHeight="1" x14ac:dyDescent="0.3">
      <c r="A31" s="1"/>
      <c r="B31" s="458"/>
      <c r="C31" s="458"/>
      <c r="D31" s="458"/>
      <c r="E31" s="502"/>
      <c r="F31" s="502"/>
      <c r="G31" s="502"/>
      <c r="H31" s="502"/>
      <c r="I31" s="502"/>
      <c r="J31" s="86" t="str">
        <f>IF(AND('Mapa final'!$AB$36="Media",'Mapa final'!$AD$36="Leve"),CONCATENATE("R6C",'Mapa final'!$R$36),"")</f>
        <v/>
      </c>
      <c r="K31" s="87" t="str">
        <f>IF(AND('Mapa final'!$AB$37="Media",'Mapa final'!$AD$37="Leve"),CONCATENATE("R6C",'Mapa final'!$R$37),"")</f>
        <v/>
      </c>
      <c r="L31" s="87" t="str">
        <f>IF(AND('Mapa final'!$AB$38="Media",'Mapa final'!$AD$38="Leve"),CONCATENATE("R6C",'Mapa final'!$R$38),"")</f>
        <v/>
      </c>
      <c r="M31" s="87" t="str">
        <f>IF(AND('Mapa final'!$AB$39="Media",'Mapa final'!$AD$39="Leve"),CONCATENATE("R6C",'Mapa final'!$R$39),"")</f>
        <v/>
      </c>
      <c r="N31" s="87" t="str">
        <f>IF(AND('Mapa final'!$AB$40="Media",'Mapa final'!$AD$40="Leve"),CONCATENATE("R6C",'Mapa final'!$R$40),"")</f>
        <v/>
      </c>
      <c r="O31" s="88" t="str">
        <f>IF(AND('Mapa final'!$AB$41="Media",'Mapa final'!$AD$41="Leve"),CONCATENATE("R6C",'Mapa final'!$R$41),"")</f>
        <v/>
      </c>
      <c r="P31" s="86" t="str">
        <f>IF(AND('Mapa final'!$AB$36="Media",'Mapa final'!$AD$36="Menor"),CONCATENATE("R6C",'Mapa final'!$R$36),"")</f>
        <v/>
      </c>
      <c r="Q31" s="87" t="str">
        <f>IF(AND('Mapa final'!$AB$37="Media",'Mapa final'!$AD$37="Menor"),CONCATENATE("R6C",'Mapa final'!$R$37),"")</f>
        <v/>
      </c>
      <c r="R31" s="87" t="str">
        <f>IF(AND('Mapa final'!$AB$38="Media",'Mapa final'!$AD$38="Menor"),CONCATENATE("R6C",'Mapa final'!$R$38),"")</f>
        <v/>
      </c>
      <c r="S31" s="87" t="str">
        <f>IF(AND('Mapa final'!$AB$39="Media",'Mapa final'!$AD$39="Menor"),CONCATENATE("R6C",'Mapa final'!$R$39),"")</f>
        <v/>
      </c>
      <c r="T31" s="87" t="str">
        <f>IF(AND('Mapa final'!$AB$40="Media",'Mapa final'!$AD$40="Menor"),CONCATENATE("R6C",'Mapa final'!$R$40),"")</f>
        <v/>
      </c>
      <c r="U31" s="88" t="str">
        <f>IF(AND('Mapa final'!$AB$41="Media",'Mapa final'!$AD$41="Menor"),CONCATENATE("R6C",'Mapa final'!$R$41),"")</f>
        <v/>
      </c>
      <c r="V31" s="86" t="str">
        <f>IF(AND('Mapa final'!$AB$36="Media",'Mapa final'!$AD$36="Moderado"),CONCATENATE("R6C",'Mapa final'!$R$36),"")</f>
        <v/>
      </c>
      <c r="W31" s="87" t="str">
        <f>IF(AND('Mapa final'!$AB$37="Media",'Mapa final'!$AD$37="Moderado"),CONCATENATE("R6C",'Mapa final'!$R$37),"")</f>
        <v/>
      </c>
      <c r="X31" s="87" t="str">
        <f>IF(AND('Mapa final'!$AB$38="Media",'Mapa final'!$AD$38="Moderado"),CONCATENATE("R6C",'Mapa final'!$R$38),"")</f>
        <v/>
      </c>
      <c r="Y31" s="87" t="str">
        <f>IF(AND('Mapa final'!$AB$39="Media",'Mapa final'!$AD$39="Moderado"),CONCATENATE("R6C",'Mapa final'!$R$39),"")</f>
        <v/>
      </c>
      <c r="Z31" s="87" t="str">
        <f>IF(AND('Mapa final'!$AB$40="Media",'Mapa final'!$AD$40="Moderado"),CONCATENATE("R6C",'Mapa final'!$R$40),"")</f>
        <v/>
      </c>
      <c r="AA31" s="88" t="str">
        <f>IF(AND('Mapa final'!$AB$41="Media",'Mapa final'!$AD$41="Moderado"),CONCATENATE("R6C",'Mapa final'!$R$41),"")</f>
        <v/>
      </c>
      <c r="AB31" s="71" t="str">
        <f>IF(AND('Mapa final'!$AB$36="Media",'Mapa final'!$AD$36="Mayor"),CONCATENATE("R6C",'Mapa final'!$R$36),"")</f>
        <v/>
      </c>
      <c r="AC31" s="72" t="str">
        <f>IF(AND('Mapa final'!$AB$37="Media",'Mapa final'!$AD$37="Mayor"),CONCATENATE("R6C",'Mapa final'!$R$37),"")</f>
        <v/>
      </c>
      <c r="AD31" s="72" t="str">
        <f>IF(AND('Mapa final'!$AB$38="Media",'Mapa final'!$AD$38="Mayor"),CONCATENATE("R6C",'Mapa final'!$R$38),"")</f>
        <v/>
      </c>
      <c r="AE31" s="72" t="str">
        <f>IF(AND('Mapa final'!$AB$39="Media",'Mapa final'!$AD$39="Mayor"),CONCATENATE("R6C",'Mapa final'!$R$39),"")</f>
        <v/>
      </c>
      <c r="AF31" s="72" t="str">
        <f>IF(AND('Mapa final'!$AB$40="Media",'Mapa final'!$AD$40="Mayor"),CONCATENATE("R6C",'Mapa final'!$R$40),"")</f>
        <v/>
      </c>
      <c r="AG31" s="73" t="str">
        <f>IF(AND('Mapa final'!$AB$41="Media",'Mapa final'!$AD$41="Mayor"),CONCATENATE("R6C",'Mapa final'!$R$41),"")</f>
        <v/>
      </c>
      <c r="AH31" s="74" t="str">
        <f>IF(AND('Mapa final'!$AB$36="Media",'Mapa final'!$AD$36="Catastrófico"),CONCATENATE("R6C",'Mapa final'!$R$36),"")</f>
        <v/>
      </c>
      <c r="AI31" s="75" t="str">
        <f>IF(AND('Mapa final'!$AB$37="Media",'Mapa final'!$AD$37="Catastrófico"),CONCATENATE("R6C",'Mapa final'!$R$37),"")</f>
        <v/>
      </c>
      <c r="AJ31" s="75" t="str">
        <f>IF(AND('Mapa final'!$AB$38="Media",'Mapa final'!$AD$38="Catastrófico"),CONCATENATE("R6C",'Mapa final'!$R$38),"")</f>
        <v/>
      </c>
      <c r="AK31" s="75" t="str">
        <f>IF(AND('Mapa final'!$AB$39="Media",'Mapa final'!$AD$39="Catastrófico"),CONCATENATE("R6C",'Mapa final'!$R$39),"")</f>
        <v/>
      </c>
      <c r="AL31" s="75" t="str">
        <f>IF(AND('Mapa final'!$AB$40="Media",'Mapa final'!$AD$40="Catastrófico"),CONCATENATE("R6C",'Mapa final'!$R$40),"")</f>
        <v/>
      </c>
      <c r="AM31" s="76" t="str">
        <f>IF(AND('Mapa final'!$AB$41="Media",'Mapa final'!$AD$41="Catastrófico"),CONCATENATE("R6C",'Mapa final'!$R$41),"")</f>
        <v/>
      </c>
      <c r="AN31" s="1"/>
      <c r="AO31" s="506"/>
      <c r="AP31" s="506"/>
      <c r="AQ31" s="506"/>
      <c r="AR31" s="506"/>
      <c r="AS31" s="506"/>
      <c r="AT31" s="506"/>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row>
    <row r="32" spans="1:76" ht="15" customHeight="1" x14ac:dyDescent="0.3">
      <c r="A32" s="1"/>
      <c r="B32" s="458"/>
      <c r="C32" s="458"/>
      <c r="D32" s="458"/>
      <c r="E32" s="502"/>
      <c r="F32" s="502"/>
      <c r="G32" s="502"/>
      <c r="H32" s="502"/>
      <c r="I32" s="502"/>
      <c r="J32" s="86" t="str">
        <f>IF(AND('Mapa final'!$AB$42="Media",'Mapa final'!$AD$42="Leve"),CONCATENATE("R7C",'Mapa final'!$R$42),"")</f>
        <v/>
      </c>
      <c r="K32" s="87" t="str">
        <f>IF(AND('Mapa final'!$AB$43="Media",'Mapa final'!$AD$43="Leve"),CONCATENATE("R7C",'Mapa final'!$R$43),"")</f>
        <v/>
      </c>
      <c r="L32" s="87" t="str">
        <f>IF(AND('Mapa final'!$AB$44="Media",'Mapa final'!$AD$44="Leve"),CONCATENATE("R7C",'Mapa final'!$R$44),"")</f>
        <v/>
      </c>
      <c r="M32" s="87" t="str">
        <f>IF(AND('Mapa final'!$AB$45="Media",'Mapa final'!$AD$45="Leve"),CONCATENATE("R7C",'Mapa final'!$R$45),"")</f>
        <v/>
      </c>
      <c r="N32" s="87" t="str">
        <f>IF(AND('Mapa final'!$AB$46="Media",'Mapa final'!$AD$46="Leve"),CONCATENATE("R7C",'Mapa final'!$R$46),"")</f>
        <v/>
      </c>
      <c r="O32" s="88" t="str">
        <f>IF(AND('Mapa final'!$AB$47="Media",'Mapa final'!$AD$47="Leve"),CONCATENATE("R7C",'Mapa final'!$R$47),"")</f>
        <v/>
      </c>
      <c r="P32" s="86" t="str">
        <f>IF(AND('Mapa final'!$AB$42="Media",'Mapa final'!$AD$42="Menor"),CONCATENATE("R7C",'Mapa final'!$R$42),"")</f>
        <v/>
      </c>
      <c r="Q32" s="87" t="str">
        <f>IF(AND('Mapa final'!$AB$43="Media",'Mapa final'!$AD$43="Menor"),CONCATENATE("R7C",'Mapa final'!$R$43),"")</f>
        <v/>
      </c>
      <c r="R32" s="87" t="str">
        <f>IF(AND('Mapa final'!$AB$44="Media",'Mapa final'!$AD$44="Menor"),CONCATENATE("R7C",'Mapa final'!$R$44),"")</f>
        <v/>
      </c>
      <c r="S32" s="87" t="str">
        <f>IF(AND('Mapa final'!$AB$45="Media",'Mapa final'!$AD$45="Menor"),CONCATENATE("R7C",'Mapa final'!$R$45),"")</f>
        <v/>
      </c>
      <c r="T32" s="87" t="str">
        <f>IF(AND('Mapa final'!$AB$46="Media",'Mapa final'!$AD$46="Menor"),CONCATENATE("R7C",'Mapa final'!$R$46),"")</f>
        <v/>
      </c>
      <c r="U32" s="88" t="str">
        <f>IF(AND('Mapa final'!$AB$47="Media",'Mapa final'!$AD$47="Menor"),CONCATENATE("R7C",'Mapa final'!$R$47),"")</f>
        <v/>
      </c>
      <c r="V32" s="86" t="str">
        <f>IF(AND('Mapa final'!$AB$42="Media",'Mapa final'!$AD$42="Moderado"),CONCATENATE("R7C",'Mapa final'!$R$42),"")</f>
        <v/>
      </c>
      <c r="W32" s="87" t="str">
        <f>IF(AND('Mapa final'!$AB$43="Media",'Mapa final'!$AD$43="Moderado"),CONCATENATE("R7C",'Mapa final'!$R$43),"")</f>
        <v/>
      </c>
      <c r="X32" s="87" t="str">
        <f>IF(AND('Mapa final'!$AB$44="Media",'Mapa final'!$AD$44="Moderado"),CONCATENATE("R7C",'Mapa final'!$R$44),"")</f>
        <v/>
      </c>
      <c r="Y32" s="87" t="str">
        <f>IF(AND('Mapa final'!$AB$45="Media",'Mapa final'!$AD$45="Moderado"),CONCATENATE("R7C",'Mapa final'!$R$45),"")</f>
        <v/>
      </c>
      <c r="Z32" s="87" t="str">
        <f>IF(AND('Mapa final'!$AB$46="Media",'Mapa final'!$AD$46="Moderado"),CONCATENATE("R7C",'Mapa final'!$R$46),"")</f>
        <v/>
      </c>
      <c r="AA32" s="88" t="str">
        <f>IF(AND('Mapa final'!$AB$47="Media",'Mapa final'!$AD$47="Moderado"),CONCATENATE("R7C",'Mapa final'!$R$47),"")</f>
        <v/>
      </c>
      <c r="AB32" s="71" t="str">
        <f>IF(AND('Mapa final'!$AB$42="Media",'Mapa final'!$AD$42="Mayor"),CONCATENATE("R7C",'Mapa final'!$R$42),"")</f>
        <v/>
      </c>
      <c r="AC32" s="72" t="str">
        <f>IF(AND('Mapa final'!$AB$43="Media",'Mapa final'!$AD$43="Mayor"),CONCATENATE("R7C",'Mapa final'!$R$43),"")</f>
        <v/>
      </c>
      <c r="AD32" s="72" t="str">
        <f>IF(AND('Mapa final'!$AB$44="Media",'Mapa final'!$AD$44="Mayor"),CONCATENATE("R7C",'Mapa final'!$R$44),"")</f>
        <v/>
      </c>
      <c r="AE32" s="72" t="str">
        <f>IF(AND('Mapa final'!$AB$45="Media",'Mapa final'!$AD$45="Mayor"),CONCATENATE("R7C",'Mapa final'!$R$45),"")</f>
        <v/>
      </c>
      <c r="AF32" s="72" t="str">
        <f>IF(AND('Mapa final'!$AB$46="Media",'Mapa final'!$AD$46="Mayor"),CONCATENATE("R7C",'Mapa final'!$R$46),"")</f>
        <v/>
      </c>
      <c r="AG32" s="73" t="str">
        <f>IF(AND('Mapa final'!$AB$47="Media",'Mapa final'!$AD$47="Mayor"),CONCATENATE("R7C",'Mapa final'!$R$47),"")</f>
        <v/>
      </c>
      <c r="AH32" s="74" t="str">
        <f>IF(AND('Mapa final'!$AB$42="Media",'Mapa final'!$AD$42="Catastrófico"),CONCATENATE("R7C",'Mapa final'!$R$42),"")</f>
        <v/>
      </c>
      <c r="AI32" s="75" t="str">
        <f>IF(AND('Mapa final'!$AB$43="Media",'Mapa final'!$AD$43="Catastrófico"),CONCATENATE("R7C",'Mapa final'!$R$43),"")</f>
        <v/>
      </c>
      <c r="AJ32" s="75" t="str">
        <f>IF(AND('Mapa final'!$AB$44="Media",'Mapa final'!$AD$44="Catastrófico"),CONCATENATE("R7C",'Mapa final'!$R$44),"")</f>
        <v/>
      </c>
      <c r="AK32" s="75" t="str">
        <f>IF(AND('Mapa final'!$AB$45="Media",'Mapa final'!$AD$45="Catastrófico"),CONCATENATE("R7C",'Mapa final'!$R$45),"")</f>
        <v/>
      </c>
      <c r="AL32" s="75" t="str">
        <f>IF(AND('Mapa final'!$AB$46="Media",'Mapa final'!$AD$46="Catastrófico"),CONCATENATE("R7C",'Mapa final'!$R$46),"")</f>
        <v/>
      </c>
      <c r="AM32" s="76" t="str">
        <f>IF(AND('Mapa final'!$AB$47="Media",'Mapa final'!$AD$47="Catastrófico"),CONCATENATE("R7C",'Mapa final'!$R$47),"")</f>
        <v/>
      </c>
      <c r="AN32" s="1"/>
      <c r="AO32" s="506"/>
      <c r="AP32" s="506"/>
      <c r="AQ32" s="506"/>
      <c r="AR32" s="506"/>
      <c r="AS32" s="506"/>
      <c r="AT32" s="506"/>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row>
    <row r="33" spans="1:80" ht="15" customHeight="1" x14ac:dyDescent="0.3">
      <c r="A33" s="1"/>
      <c r="B33" s="458"/>
      <c r="C33" s="458"/>
      <c r="D33" s="458"/>
      <c r="E33" s="502"/>
      <c r="F33" s="502"/>
      <c r="G33" s="502"/>
      <c r="H33" s="502"/>
      <c r="I33" s="502"/>
      <c r="J33" s="86" t="str">
        <f>IF(AND('Mapa final'!$AB$48="Media",'Mapa final'!$AD$48="Leve"),CONCATENATE("R8C",'Mapa final'!$R$48),"")</f>
        <v/>
      </c>
      <c r="K33" s="87" t="str">
        <f>IF(AND('Mapa final'!$AB$49="Media",'Mapa final'!$AD$49="Leve"),CONCATENATE("R8C",'Mapa final'!$R$49),"")</f>
        <v/>
      </c>
      <c r="L33" s="87" t="str">
        <f>IF(AND('Mapa final'!$AB$50="Media",'Mapa final'!$AD$50="Leve"),CONCATENATE("R8C",'Mapa final'!$R$50),"")</f>
        <v/>
      </c>
      <c r="M33" s="87" t="str">
        <f>IF(AND('Mapa final'!$AB$51="Media",'Mapa final'!$AD$51="Leve"),CONCATENATE("R8C",'Mapa final'!$R$51),"")</f>
        <v/>
      </c>
      <c r="N33" s="87" t="str">
        <f>IF(AND('Mapa final'!$AB$52="Media",'Mapa final'!$AD$52="Leve"),CONCATENATE("R8C",'Mapa final'!$R$52),"")</f>
        <v/>
      </c>
      <c r="O33" s="88" t="str">
        <f>IF(AND('Mapa final'!$AB$53="Media",'Mapa final'!$AD$53="Leve"),CONCATENATE("R8C",'Mapa final'!$R$53),"")</f>
        <v/>
      </c>
      <c r="P33" s="86" t="str">
        <f>IF(AND('Mapa final'!$AB$48="Media",'Mapa final'!$AD$48="Menor"),CONCATENATE("R8C",'Mapa final'!$R$48),"")</f>
        <v/>
      </c>
      <c r="Q33" s="87" t="str">
        <f>IF(AND('Mapa final'!$AB$49="Media",'Mapa final'!$AD$49="Menor"),CONCATENATE("R8C",'Mapa final'!$R$49),"")</f>
        <v/>
      </c>
      <c r="R33" s="87" t="str">
        <f>IF(AND('Mapa final'!$AB$50="Media",'Mapa final'!$AD$50="Menor"),CONCATENATE("R8C",'Mapa final'!$R$50),"")</f>
        <v/>
      </c>
      <c r="S33" s="87" t="str">
        <f>IF(AND('Mapa final'!$AB$51="Media",'Mapa final'!$AD$51="Menor"),CONCATENATE("R8C",'Mapa final'!$R$51),"")</f>
        <v/>
      </c>
      <c r="T33" s="87" t="str">
        <f>IF(AND('Mapa final'!$AB$52="Media",'Mapa final'!$AD$52="Menor"),CONCATENATE("R8C",'Mapa final'!$R$52),"")</f>
        <v/>
      </c>
      <c r="U33" s="88" t="str">
        <f>IF(AND('Mapa final'!$AB$53="Media",'Mapa final'!$AD$53="Menor"),CONCATENATE("R8C",'Mapa final'!$R$53),"")</f>
        <v/>
      </c>
      <c r="V33" s="86" t="str">
        <f>IF(AND('Mapa final'!$AB$48="Media",'Mapa final'!$AD$48="Moderado"),CONCATENATE("R8C",'Mapa final'!$R$48),"")</f>
        <v/>
      </c>
      <c r="W33" s="87" t="str">
        <f>IF(AND('Mapa final'!$AB$49="Media",'Mapa final'!$AD$49="Moderado"),CONCATENATE("R8C",'Mapa final'!$R$49),"")</f>
        <v/>
      </c>
      <c r="X33" s="87" t="str">
        <f>IF(AND('Mapa final'!$AB$50="Media",'Mapa final'!$AD$50="Moderado"),CONCATENATE("R8C",'Mapa final'!$R$50),"")</f>
        <v/>
      </c>
      <c r="Y33" s="87" t="str">
        <f>IF(AND('Mapa final'!$AB$51="Media",'Mapa final'!$AD$51="Moderado"),CONCATENATE("R8C",'Mapa final'!$R$51),"")</f>
        <v/>
      </c>
      <c r="Z33" s="87" t="str">
        <f>IF(AND('Mapa final'!$AB$52="Media",'Mapa final'!$AD$52="Moderado"),CONCATENATE("R8C",'Mapa final'!$R$52),"")</f>
        <v/>
      </c>
      <c r="AA33" s="88" t="str">
        <f>IF(AND('Mapa final'!$AB$53="Media",'Mapa final'!$AD$53="Moderado"),CONCATENATE("R8C",'Mapa final'!$R$53),"")</f>
        <v/>
      </c>
      <c r="AB33" s="71" t="str">
        <f>IF(AND('Mapa final'!$AB$48="Media",'Mapa final'!$AD$48="Mayor"),CONCATENATE("R8C",'Mapa final'!$R$48),"")</f>
        <v/>
      </c>
      <c r="AC33" s="72" t="str">
        <f>IF(AND('Mapa final'!$AB$49="Media",'Mapa final'!$AD$49="Mayor"),CONCATENATE("R8C",'Mapa final'!$R$49),"")</f>
        <v/>
      </c>
      <c r="AD33" s="72" t="str">
        <f>IF(AND('Mapa final'!$AB$50="Media",'Mapa final'!$AD$50="Mayor"),CONCATENATE("R8C",'Mapa final'!$R$50),"")</f>
        <v/>
      </c>
      <c r="AE33" s="72" t="str">
        <f>IF(AND('Mapa final'!$AB$51="Media",'Mapa final'!$AD$51="Mayor"),CONCATENATE("R8C",'Mapa final'!$R$51),"")</f>
        <v/>
      </c>
      <c r="AF33" s="72" t="str">
        <f>IF(AND('Mapa final'!$AB$52="Media",'Mapa final'!$AD$52="Mayor"),CONCATENATE("R8C",'Mapa final'!$R$52),"")</f>
        <v/>
      </c>
      <c r="AG33" s="73" t="str">
        <f>IF(AND('Mapa final'!$AB$53="Media",'Mapa final'!$AD$53="Mayor"),CONCATENATE("R8C",'Mapa final'!$R$53),"")</f>
        <v/>
      </c>
      <c r="AH33" s="74" t="str">
        <f>IF(AND('Mapa final'!$AB$48="Media",'Mapa final'!$AD$48="Catastrófico"),CONCATENATE("R8C",'Mapa final'!$R$48),"")</f>
        <v/>
      </c>
      <c r="AI33" s="75" t="str">
        <f>IF(AND('Mapa final'!$AB$49="Media",'Mapa final'!$AD$49="Catastrófico"),CONCATENATE("R8C",'Mapa final'!$R$49),"")</f>
        <v/>
      </c>
      <c r="AJ33" s="75" t="str">
        <f>IF(AND('Mapa final'!$AB$50="Media",'Mapa final'!$AD$50="Catastrófico"),CONCATENATE("R8C",'Mapa final'!$R$50),"")</f>
        <v/>
      </c>
      <c r="AK33" s="75" t="str">
        <f>IF(AND('Mapa final'!$AB$51="Media",'Mapa final'!$AD$51="Catastrófico"),CONCATENATE("R8C",'Mapa final'!$R$51),"")</f>
        <v/>
      </c>
      <c r="AL33" s="75" t="str">
        <f>IF(AND('Mapa final'!$AB$52="Media",'Mapa final'!$AD$52="Catastrófico"),CONCATENATE("R8C",'Mapa final'!$R$52),"")</f>
        <v/>
      </c>
      <c r="AM33" s="76" t="str">
        <f>IF(AND('Mapa final'!$AB$53="Media",'Mapa final'!$AD$53="Catastrófico"),CONCATENATE("R8C",'Mapa final'!$R$53),"")</f>
        <v/>
      </c>
      <c r="AN33" s="1"/>
      <c r="AO33" s="506"/>
      <c r="AP33" s="506"/>
      <c r="AQ33" s="506"/>
      <c r="AR33" s="506"/>
      <c r="AS33" s="506"/>
      <c r="AT33" s="506"/>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row>
    <row r="34" spans="1:80" ht="15" customHeight="1" x14ac:dyDescent="0.3">
      <c r="A34" s="1"/>
      <c r="B34" s="458"/>
      <c r="C34" s="458"/>
      <c r="D34" s="458"/>
      <c r="E34" s="502"/>
      <c r="F34" s="502"/>
      <c r="G34" s="502"/>
      <c r="H34" s="502"/>
      <c r="I34" s="502"/>
      <c r="J34" s="86" t="str">
        <f>IF(AND('Mapa final'!$AB$54="Media",'Mapa final'!$AD$54="Leve"),CONCATENATE("R9C",'Mapa final'!$R$54),"")</f>
        <v/>
      </c>
      <c r="K34" s="87" t="str">
        <f>IF(AND('Mapa final'!$AB$55="Media",'Mapa final'!$AD$55="Leve"),CONCATENATE("R9C",'Mapa final'!$R$55),"")</f>
        <v/>
      </c>
      <c r="L34" s="87" t="str">
        <f>IF(AND('Mapa final'!$AB$56="Media",'Mapa final'!$AD$56="Leve"),CONCATENATE("R9C",'Mapa final'!$R$56),"")</f>
        <v/>
      </c>
      <c r="M34" s="87" t="str">
        <f>IF(AND('Mapa final'!$AB$57="Media",'Mapa final'!$AD$57="Leve"),CONCATENATE("R9C",'Mapa final'!$R$57),"")</f>
        <v/>
      </c>
      <c r="N34" s="87" t="str">
        <f>IF(AND('Mapa final'!$AB$58="Media",'Mapa final'!$AD$58="Leve"),CONCATENATE("R9C",'Mapa final'!$R$58),"")</f>
        <v/>
      </c>
      <c r="O34" s="88" t="str">
        <f>IF(AND('Mapa final'!$AB$59="Media",'Mapa final'!$AD$59="Leve"),CONCATENATE("R9C",'Mapa final'!$R$59),"")</f>
        <v/>
      </c>
      <c r="P34" s="86" t="str">
        <f>IF(AND('Mapa final'!$AB$54="Media",'Mapa final'!$AD$54="Menor"),CONCATENATE("R9C",'Mapa final'!$R$54),"")</f>
        <v/>
      </c>
      <c r="Q34" s="87" t="str">
        <f>IF(AND('Mapa final'!$AB$55="Media",'Mapa final'!$AD$55="Menor"),CONCATENATE("R9C",'Mapa final'!$R$55),"")</f>
        <v/>
      </c>
      <c r="R34" s="87" t="str">
        <f>IF(AND('Mapa final'!$AB$56="Media",'Mapa final'!$AD$56="Menor"),CONCATENATE("R9C",'Mapa final'!$R$56),"")</f>
        <v/>
      </c>
      <c r="S34" s="87" t="str">
        <f>IF(AND('Mapa final'!$AB$57="Media",'Mapa final'!$AD$57="Menor"),CONCATENATE("R9C",'Mapa final'!$R$57),"")</f>
        <v/>
      </c>
      <c r="T34" s="87" t="str">
        <f>IF(AND('Mapa final'!$AB$58="Media",'Mapa final'!$AD$58="Menor"),CONCATENATE("R9C",'Mapa final'!$R$58),"")</f>
        <v/>
      </c>
      <c r="U34" s="88" t="str">
        <f>IF(AND('Mapa final'!$AB$59="Media",'Mapa final'!$AD$59="Menor"),CONCATENATE("R9C",'Mapa final'!$R$59),"")</f>
        <v/>
      </c>
      <c r="V34" s="86" t="str">
        <f>IF(AND('Mapa final'!$AB$54="Media",'Mapa final'!$AD$54="Moderado"),CONCATENATE("R9C",'Mapa final'!$R$54),"")</f>
        <v/>
      </c>
      <c r="W34" s="87" t="str">
        <f>IF(AND('Mapa final'!$AB$55="Media",'Mapa final'!$AD$55="Moderado"),CONCATENATE("R9C",'Mapa final'!$R$55),"")</f>
        <v/>
      </c>
      <c r="X34" s="87" t="str">
        <f>IF(AND('Mapa final'!$AB$56="Media",'Mapa final'!$AD$56="Moderado"),CONCATENATE("R9C",'Mapa final'!$R$56),"")</f>
        <v/>
      </c>
      <c r="Y34" s="87" t="str">
        <f>IF(AND('Mapa final'!$AB$57="Media",'Mapa final'!$AD$57="Moderado"),CONCATENATE("R9C",'Mapa final'!$R$57),"")</f>
        <v/>
      </c>
      <c r="Z34" s="87" t="str">
        <f>IF(AND('Mapa final'!$AB$58="Media",'Mapa final'!$AD$58="Moderado"),CONCATENATE("R9C",'Mapa final'!$R$58),"")</f>
        <v/>
      </c>
      <c r="AA34" s="88" t="str">
        <f>IF(AND('Mapa final'!$AB$59="Media",'Mapa final'!$AD$59="Moderado"),CONCATENATE("R9C",'Mapa final'!$R$59),"")</f>
        <v/>
      </c>
      <c r="AB34" s="71" t="str">
        <f>IF(AND('Mapa final'!$AB$54="Media",'Mapa final'!$AD$54="Mayor"),CONCATENATE("R9C",'Mapa final'!$R$54),"")</f>
        <v/>
      </c>
      <c r="AC34" s="72" t="str">
        <f>IF(AND('Mapa final'!$AB$55="Media",'Mapa final'!$AD$55="Mayor"),CONCATENATE("R9C",'Mapa final'!$R$55),"")</f>
        <v/>
      </c>
      <c r="AD34" s="72" t="str">
        <f>IF(AND('Mapa final'!$AB$56="Media",'Mapa final'!$AD$56="Mayor"),CONCATENATE("R9C",'Mapa final'!$R$56),"")</f>
        <v/>
      </c>
      <c r="AE34" s="72" t="str">
        <f>IF(AND('Mapa final'!$AB$57="Media",'Mapa final'!$AD$57="Mayor"),CONCATENATE("R9C",'Mapa final'!$R$57),"")</f>
        <v/>
      </c>
      <c r="AF34" s="72" t="str">
        <f>IF(AND('Mapa final'!$AB$58="Media",'Mapa final'!$AD$58="Mayor"),CONCATENATE("R9C",'Mapa final'!$R$58),"")</f>
        <v/>
      </c>
      <c r="AG34" s="73" t="str">
        <f>IF(AND('Mapa final'!$AB$59="Media",'Mapa final'!$AD$59="Mayor"),CONCATENATE("R9C",'Mapa final'!$R$59),"")</f>
        <v/>
      </c>
      <c r="AH34" s="74" t="str">
        <f>IF(AND('Mapa final'!$AB$54="Media",'Mapa final'!$AD$54="Catastrófico"),CONCATENATE("R9C",'Mapa final'!$R$54),"")</f>
        <v/>
      </c>
      <c r="AI34" s="75" t="str">
        <f>IF(AND('Mapa final'!$AB$55="Media",'Mapa final'!$AD$55="Catastrófico"),CONCATENATE("R9C",'Mapa final'!$R$55),"")</f>
        <v/>
      </c>
      <c r="AJ34" s="75" t="str">
        <f>IF(AND('Mapa final'!$AB$56="Media",'Mapa final'!$AD$56="Catastrófico"),CONCATENATE("R9C",'Mapa final'!$R$56),"")</f>
        <v/>
      </c>
      <c r="AK34" s="75" t="str">
        <f>IF(AND('Mapa final'!$AB$57="Media",'Mapa final'!$AD$57="Catastrófico"),CONCATENATE("R9C",'Mapa final'!$R$57),"")</f>
        <v/>
      </c>
      <c r="AL34" s="75" t="str">
        <f>IF(AND('Mapa final'!$AB$58="Media",'Mapa final'!$AD$58="Catastrófico"),CONCATENATE("R9C",'Mapa final'!$R$58),"")</f>
        <v/>
      </c>
      <c r="AM34" s="76" t="str">
        <f>IF(AND('Mapa final'!$AB$59="Media",'Mapa final'!$AD$59="Catastrófico"),CONCATENATE("R9C",'Mapa final'!$R$59),"")</f>
        <v/>
      </c>
      <c r="AN34" s="1"/>
      <c r="AO34" s="506"/>
      <c r="AP34" s="506"/>
      <c r="AQ34" s="506"/>
      <c r="AR34" s="506"/>
      <c r="AS34" s="506"/>
      <c r="AT34" s="506"/>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row>
    <row r="35" spans="1:80" ht="15.75" customHeight="1" x14ac:dyDescent="0.3">
      <c r="A35" s="1"/>
      <c r="B35" s="458"/>
      <c r="C35" s="458"/>
      <c r="D35" s="458"/>
      <c r="E35" s="502"/>
      <c r="F35" s="502"/>
      <c r="G35" s="502"/>
      <c r="H35" s="502"/>
      <c r="I35" s="502"/>
      <c r="J35" s="86" t="str">
        <f>IF(AND('Mapa final'!$AB$60="Media",'Mapa final'!$AD$60="Leve"),CONCATENATE("R10C",'Mapa final'!$R$60),"")</f>
        <v/>
      </c>
      <c r="K35" s="87" t="str">
        <f>IF(AND('Mapa final'!$AB$61="Media",'Mapa final'!$AD$61="Leve"),CONCATENATE("R10C",'Mapa final'!$R$61),"")</f>
        <v/>
      </c>
      <c r="L35" s="87" t="str">
        <f>IF(AND('Mapa final'!$AB$62="Media",'Mapa final'!$AD$62="Leve"),CONCATENATE("R10C",'Mapa final'!$R$62),"")</f>
        <v/>
      </c>
      <c r="M35" s="87" t="str">
        <f>IF(AND('Mapa final'!$AB$63="Media",'Mapa final'!$AD$63="Leve"),CONCATENATE("R10C",'Mapa final'!$R$63),"")</f>
        <v/>
      </c>
      <c r="N35" s="87" t="str">
        <f>IF(AND('Mapa final'!$AB$64="Media",'Mapa final'!$AD$64="Leve"),CONCATENATE("R10C",'Mapa final'!$R$64),"")</f>
        <v/>
      </c>
      <c r="O35" s="88" t="str">
        <f>IF(AND('Mapa final'!$AB$65="Media",'Mapa final'!$AD$65="Leve"),CONCATENATE("R10C",'Mapa final'!$R$65),"")</f>
        <v/>
      </c>
      <c r="P35" s="86" t="str">
        <f>IF(AND('Mapa final'!$AB$60="Media",'Mapa final'!$AD$60="Menor"),CONCATENATE("R10C",'Mapa final'!$R$60),"")</f>
        <v/>
      </c>
      <c r="Q35" s="87" t="str">
        <f>IF(AND('Mapa final'!$AB$61="Media",'Mapa final'!$AD$61="Menor"),CONCATENATE("R10C",'Mapa final'!$R$61),"")</f>
        <v/>
      </c>
      <c r="R35" s="87" t="str">
        <f>IF(AND('Mapa final'!$AB$62="Media",'Mapa final'!$AD$62="Menor"),CONCATENATE("R10C",'Mapa final'!$R$62),"")</f>
        <v/>
      </c>
      <c r="S35" s="87" t="str">
        <f>IF(AND('Mapa final'!$AB$63="Media",'Mapa final'!$AD$63="Menor"),CONCATENATE("R10C",'Mapa final'!$R$63),"")</f>
        <v/>
      </c>
      <c r="T35" s="87" t="str">
        <f>IF(AND('Mapa final'!$AB$64="Media",'Mapa final'!$AD$64="Menor"),CONCATENATE("R10C",'Mapa final'!$R$64),"")</f>
        <v/>
      </c>
      <c r="U35" s="88" t="str">
        <f>IF(AND('Mapa final'!$AB$65="Media",'Mapa final'!$AD$65="Menor"),CONCATENATE("R10C",'Mapa final'!$R$65),"")</f>
        <v/>
      </c>
      <c r="V35" s="86" t="str">
        <f>IF(AND('Mapa final'!$AB$60="Media",'Mapa final'!$AD$60="Moderado"),CONCATENATE("R10C",'Mapa final'!$R$60),"")</f>
        <v/>
      </c>
      <c r="W35" s="87" t="str">
        <f>IF(AND('Mapa final'!$AB$61="Media",'Mapa final'!$AD$61="Moderado"),CONCATENATE("R10C",'Mapa final'!$R$61),"")</f>
        <v/>
      </c>
      <c r="X35" s="87" t="str">
        <f>IF(AND('Mapa final'!$AB$62="Media",'Mapa final'!$AD$62="Moderado"),CONCATENATE("R10C",'Mapa final'!$R$62),"")</f>
        <v/>
      </c>
      <c r="Y35" s="87" t="str">
        <f>IF(AND('Mapa final'!$AB$63="Media",'Mapa final'!$AD$63="Moderado"),CONCATENATE("R10C",'Mapa final'!$R$63),"")</f>
        <v/>
      </c>
      <c r="Z35" s="87" t="str">
        <f>IF(AND('Mapa final'!$AB$64="Media",'Mapa final'!$AD$64="Moderado"),CONCATENATE("R10C",'Mapa final'!$R$64),"")</f>
        <v/>
      </c>
      <c r="AA35" s="88" t="str">
        <f>IF(AND('Mapa final'!$AB$65="Media",'Mapa final'!$AD$65="Moderado"),CONCATENATE("R10C",'Mapa final'!$R$65),"")</f>
        <v/>
      </c>
      <c r="AB35" s="77" t="str">
        <f>IF(AND('Mapa final'!$AB$60="Media",'Mapa final'!$AD$60="Mayor"),CONCATENATE("R10C",'Mapa final'!$R$60),"")</f>
        <v/>
      </c>
      <c r="AC35" s="78" t="str">
        <f>IF(AND('Mapa final'!$AB$61="Media",'Mapa final'!$AD$61="Mayor"),CONCATENATE("R10C",'Mapa final'!$R$61),"")</f>
        <v/>
      </c>
      <c r="AD35" s="78" t="str">
        <f>IF(AND('Mapa final'!$AB$62="Media",'Mapa final'!$AD$62="Mayor"),CONCATENATE("R10C",'Mapa final'!$R$62),"")</f>
        <v/>
      </c>
      <c r="AE35" s="78" t="str">
        <f>IF(AND('Mapa final'!$AB$63="Media",'Mapa final'!$AD$63="Mayor"),CONCATENATE("R10C",'Mapa final'!$R$63),"")</f>
        <v/>
      </c>
      <c r="AF35" s="78" t="str">
        <f>IF(AND('Mapa final'!$AB$64="Media",'Mapa final'!$AD$64="Mayor"),CONCATENATE("R10C",'Mapa final'!$R$64),"")</f>
        <v/>
      </c>
      <c r="AG35" s="79" t="str">
        <f>IF(AND('Mapa final'!$AB$65="Media",'Mapa final'!$AD$65="Mayor"),CONCATENATE("R10C",'Mapa final'!$R$65),"")</f>
        <v/>
      </c>
      <c r="AH35" s="80" t="str">
        <f>IF(AND('Mapa final'!$AB$60="Media",'Mapa final'!$AD$60="Catastrófico"),CONCATENATE("R10C",'Mapa final'!$R$60),"")</f>
        <v/>
      </c>
      <c r="AI35" s="81" t="str">
        <f>IF(AND('Mapa final'!$AB$61="Media",'Mapa final'!$AD$61="Catastrófico"),CONCATENATE("R10C",'Mapa final'!$R$61),"")</f>
        <v/>
      </c>
      <c r="AJ35" s="81" t="str">
        <f>IF(AND('Mapa final'!$AB$62="Media",'Mapa final'!$AD$62="Catastrófico"),CONCATENATE("R10C",'Mapa final'!$R$62),"")</f>
        <v/>
      </c>
      <c r="AK35" s="81" t="str">
        <f>IF(AND('Mapa final'!$AB$63="Media",'Mapa final'!$AD$63="Catastrófico"),CONCATENATE("R10C",'Mapa final'!$R$63),"")</f>
        <v/>
      </c>
      <c r="AL35" s="81" t="str">
        <f>IF(AND('Mapa final'!$AB$64="Media",'Mapa final'!$AD$64="Catastrófico"),CONCATENATE("R10C",'Mapa final'!$R$64),"")</f>
        <v/>
      </c>
      <c r="AM35" s="82" t="str">
        <f>IF(AND('Mapa final'!$AB$65="Media",'Mapa final'!$AD$65="Catastrófico"),CONCATENATE("R10C",'Mapa final'!$R$65),"")</f>
        <v/>
      </c>
      <c r="AN35" s="1"/>
      <c r="AO35" s="506"/>
      <c r="AP35" s="506"/>
      <c r="AQ35" s="506"/>
      <c r="AR35" s="506"/>
      <c r="AS35" s="506"/>
      <c r="AT35" s="506"/>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row>
    <row r="36" spans="1:80" ht="15" customHeight="1" x14ac:dyDescent="0.3">
      <c r="A36" s="1"/>
      <c r="B36" s="458"/>
      <c r="C36" s="458"/>
      <c r="D36" s="458"/>
      <c r="E36" s="504" t="s">
        <v>133</v>
      </c>
      <c r="F36" s="504"/>
      <c r="G36" s="504"/>
      <c r="H36" s="504"/>
      <c r="I36" s="504"/>
      <c r="J36" s="92" t="str">
        <f>IF(AND('Mapa final'!$AB$10="Baja",'Mapa final'!$AD$10="Leve"),CONCATENATE("R1C",'Mapa final'!$R$10),"")</f>
        <v/>
      </c>
      <c r="K36" s="93" t="str">
        <f>IF(AND('Mapa final'!$AB$11="Baja",'Mapa final'!$AD$11="Leve"),CONCATENATE("R1C",'Mapa final'!$R$11),"")</f>
        <v/>
      </c>
      <c r="L36" s="93" t="str">
        <f>IF(AND('Mapa final'!$AB$12="Baja",'Mapa final'!$AD$12="Leve"),CONCATENATE("R1C",'Mapa final'!$R$12),"")</f>
        <v/>
      </c>
      <c r="M36" s="93" t="str">
        <f>IF(AND('Mapa final'!$AB$13="Baja",'Mapa final'!$AD$13="Leve"),CONCATENATE("R1C",'Mapa final'!$R$13),"")</f>
        <v/>
      </c>
      <c r="N36" s="93" t="str">
        <f>IF(AND('Mapa final'!$AB$14="Baja",'Mapa final'!$AD$14="Leve"),CONCATENATE("R1C",'Mapa final'!$R$14),"")</f>
        <v/>
      </c>
      <c r="O36" s="94" t="str">
        <f>IF(AND('Mapa final'!$AB$15="Baja",'Mapa final'!$AD$15="Leve"),CONCATENATE("R1C",'Mapa final'!$R$15),"")</f>
        <v/>
      </c>
      <c r="P36" s="83" t="str">
        <f>IF(AND('Mapa final'!$AB$10="Baja",'Mapa final'!$AD$10="Menor"),CONCATENATE("R1C",'Mapa final'!$R$10),"")</f>
        <v/>
      </c>
      <c r="Q36" s="84" t="str">
        <f>IF(AND('Mapa final'!$AB$11="Baja",'Mapa final'!$AD$11="Menor"),CONCATENATE("R1C",'Mapa final'!$R$11),"")</f>
        <v/>
      </c>
      <c r="R36" s="84" t="str">
        <f>IF(AND('Mapa final'!$AB$12="Baja",'Mapa final'!$AD$12="Menor"),CONCATENATE("R1C",'Mapa final'!$R$12),"")</f>
        <v/>
      </c>
      <c r="S36" s="84" t="str">
        <f>IF(AND('Mapa final'!$AB$13="Baja",'Mapa final'!$AD$13="Menor"),CONCATENATE("R1C",'Mapa final'!$R$13),"")</f>
        <v/>
      </c>
      <c r="T36" s="84" t="str">
        <f>IF(AND('Mapa final'!$AB$14="Baja",'Mapa final'!$AD$14="Menor"),CONCATENATE("R1C",'Mapa final'!$R$14),"")</f>
        <v/>
      </c>
      <c r="U36" s="85" t="str">
        <f>IF(AND('Mapa final'!$AB$15="Baja",'Mapa final'!$AD$15="Menor"),CONCATENATE("R1C",'Mapa final'!$R$15),"")</f>
        <v/>
      </c>
      <c r="V36" s="83" t="str">
        <f>IF(AND('Mapa final'!$AB$10="Baja",'Mapa final'!$AD$10="Moderado"),CONCATENATE("R1C",'Mapa final'!$R$10),"")</f>
        <v>R1C1</v>
      </c>
      <c r="W36" s="84" t="str">
        <f>IF(AND('Mapa final'!$AB$11="Baja",'Mapa final'!$AD$11="Moderado"),CONCATENATE("R1C",'Mapa final'!$R$11),"")</f>
        <v>R1C2</v>
      </c>
      <c r="X36" s="84" t="str">
        <f>IF(AND('Mapa final'!$AB$12="Baja",'Mapa final'!$AD$12="Moderado"),CONCATENATE("R1C",'Mapa final'!$R$12),"")</f>
        <v/>
      </c>
      <c r="Y36" s="84" t="str">
        <f>IF(AND('Mapa final'!$AB$13="Baja",'Mapa final'!$AD$13="Moderado"),CONCATENATE("R1C",'Mapa final'!$R$13),"")</f>
        <v/>
      </c>
      <c r="Z36" s="84" t="str">
        <f>IF(AND('Mapa final'!$AB$14="Baja",'Mapa final'!$AD$14="Moderado"),CONCATENATE("R1C",'Mapa final'!$R$14),"")</f>
        <v/>
      </c>
      <c r="AA36" s="85" t="str">
        <f>IF(AND('Mapa final'!$AB$15="Baja",'Mapa final'!$AD$15="Moderado"),CONCATENATE("R1C",'Mapa final'!$R$15),"")</f>
        <v/>
      </c>
      <c r="AB36" s="65" t="str">
        <f>IF(AND('Mapa final'!$AB$10="Baja",'Mapa final'!$AD$10="Mayor"),CONCATENATE("R1C",'Mapa final'!$R$10),"")</f>
        <v/>
      </c>
      <c r="AC36" s="66" t="str">
        <f>IF(AND('Mapa final'!$AB$11="Baja",'Mapa final'!$AD$11="Mayor"),CONCATENATE("R1C",'Mapa final'!$R$11),"")</f>
        <v/>
      </c>
      <c r="AD36" s="66" t="str">
        <f>IF(AND('Mapa final'!$AB$12="Baja",'Mapa final'!$AD$12="Mayor"),CONCATENATE("R1C",'Mapa final'!$R$12),"")</f>
        <v/>
      </c>
      <c r="AE36" s="66" t="str">
        <f>IF(AND('Mapa final'!$AB$13="Baja",'Mapa final'!$AD$13="Mayor"),CONCATENATE("R1C",'Mapa final'!$R$13),"")</f>
        <v/>
      </c>
      <c r="AF36" s="66" t="str">
        <f>IF(AND('Mapa final'!$AB$14="Baja",'Mapa final'!$AD$14="Mayor"),CONCATENATE("R1C",'Mapa final'!$R$14),"")</f>
        <v/>
      </c>
      <c r="AG36" s="67" t="str">
        <f>IF(AND('Mapa final'!$AB$15="Baja",'Mapa final'!$AD$15="Mayor"),CONCATENATE("R1C",'Mapa final'!$R$15),"")</f>
        <v/>
      </c>
      <c r="AH36" s="68" t="str">
        <f>IF(AND('Mapa final'!$AB$10="Baja",'Mapa final'!$AD$10="Catastrófico"),CONCATENATE("R1C",'Mapa final'!$R$10),"")</f>
        <v/>
      </c>
      <c r="AI36" s="69" t="str">
        <f>IF(AND('Mapa final'!$AB$11="Baja",'Mapa final'!$AD$11="Catastrófico"),CONCATENATE("R1C",'Mapa final'!$R$11),"")</f>
        <v/>
      </c>
      <c r="AJ36" s="69" t="str">
        <f>IF(AND('Mapa final'!$AB$12="Baja",'Mapa final'!$AD$12="Catastrófico"),CONCATENATE("R1C",'Mapa final'!$R$12),"")</f>
        <v/>
      </c>
      <c r="AK36" s="69" t="str">
        <f>IF(AND('Mapa final'!$AB$13="Baja",'Mapa final'!$AD$13="Catastrófico"),CONCATENATE("R1C",'Mapa final'!$R$13),"")</f>
        <v/>
      </c>
      <c r="AL36" s="69" t="str">
        <f>IF(AND('Mapa final'!$AB$14="Baja",'Mapa final'!$AD$14="Catastrófico"),CONCATENATE("R1C",'Mapa final'!$R$14),"")</f>
        <v/>
      </c>
      <c r="AM36" s="70" t="str">
        <f>IF(AND('Mapa final'!$AB$15="Baja",'Mapa final'!$AD$15="Catastrófico"),CONCATENATE("R1C",'Mapa final'!$R$15),"")</f>
        <v/>
      </c>
      <c r="AN36" s="1"/>
      <c r="AO36" s="507" t="s">
        <v>134</v>
      </c>
      <c r="AP36" s="507"/>
      <c r="AQ36" s="507"/>
      <c r="AR36" s="507"/>
      <c r="AS36" s="507"/>
      <c r="AT36" s="507"/>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row>
    <row r="37" spans="1:80" ht="15" customHeight="1" x14ac:dyDescent="0.3">
      <c r="A37" s="1"/>
      <c r="B37" s="458"/>
      <c r="C37" s="458"/>
      <c r="D37" s="458"/>
      <c r="E37" s="504"/>
      <c r="F37" s="504"/>
      <c r="G37" s="504"/>
      <c r="H37" s="504"/>
      <c r="I37" s="504"/>
      <c r="J37" s="95" t="str">
        <f>IF(AND('Mapa final'!$AB$16="Baja",'Mapa final'!$AD$16="Leve"),CONCATENATE("R2C",'Mapa final'!$R$16),"")</f>
        <v/>
      </c>
      <c r="K37" s="96" t="str">
        <f>IF(AND('Mapa final'!$AB$17="Baja",'Mapa final'!$AD$17="Leve"),CONCATENATE("R2C",'Mapa final'!$R$17),"")</f>
        <v/>
      </c>
      <c r="L37" s="96" t="str">
        <f>IF(AND('Mapa final'!$AB$18="Baja",'Mapa final'!$AD$18="Leve"),CONCATENATE("R2C",'Mapa final'!$R$18),"")</f>
        <v/>
      </c>
      <c r="M37" s="96" t="str">
        <f>IF(AND('Mapa final'!$AB$19="Baja",'Mapa final'!$AD$19="Leve"),CONCATENATE("R2C",'Mapa final'!$R$19),"")</f>
        <v/>
      </c>
      <c r="N37" s="96" t="str">
        <f>IF(AND('Mapa final'!$AB$20="Baja",'Mapa final'!$AD$20="Leve"),CONCATENATE("R2C",'Mapa final'!$R$20),"")</f>
        <v/>
      </c>
      <c r="O37" s="97" t="str">
        <f>IF(AND('Mapa final'!$AB$21="Baja",'Mapa final'!$AD$21="Leve"),CONCATENATE("R2C",'Mapa final'!$R$21),"")</f>
        <v/>
      </c>
      <c r="P37" s="86" t="str">
        <f>IF(AND('Mapa final'!$AB$16="Baja",'Mapa final'!$AD$16="Menor"),CONCATENATE("R2C",'Mapa final'!$R$16),"")</f>
        <v>R2C1</v>
      </c>
      <c r="Q37" s="87" t="str">
        <f>IF(AND('Mapa final'!$AB$17="Baja",'Mapa final'!$AD$17="Menor"),CONCATENATE("R2C",'Mapa final'!$R$17),"")</f>
        <v/>
      </c>
      <c r="R37" s="87" t="str">
        <f>IF(AND('Mapa final'!$AB$18="Baja",'Mapa final'!$AD$18="Menor"),CONCATENATE("R2C",'Mapa final'!$R$18),"")</f>
        <v/>
      </c>
      <c r="S37" s="87" t="str">
        <f>IF(AND('Mapa final'!$AB$19="Baja",'Mapa final'!$AD$19="Menor"),CONCATENATE("R2C",'Mapa final'!$R$19),"")</f>
        <v/>
      </c>
      <c r="T37" s="87" t="str">
        <f>IF(AND('Mapa final'!$AB$20="Baja",'Mapa final'!$AD$20="Menor"),CONCATENATE("R2C",'Mapa final'!$R$20),"")</f>
        <v/>
      </c>
      <c r="U37" s="88" t="str">
        <f>IF(AND('Mapa final'!$AB$21="Baja",'Mapa final'!$AD$21="Menor"),CONCATENATE("R2C",'Mapa final'!$R$21),"")</f>
        <v/>
      </c>
      <c r="V37" s="86" t="str">
        <f>IF(AND('Mapa final'!$AB$16="Baja",'Mapa final'!$AD$16="Moderado"),CONCATENATE("R2C",'Mapa final'!$R$16),"")</f>
        <v/>
      </c>
      <c r="W37" s="87" t="str">
        <f>IF(AND('Mapa final'!$AB$17="Baja",'Mapa final'!$AD$17="Moderado"),CONCATENATE("R2C",'Mapa final'!$R$17),"")</f>
        <v/>
      </c>
      <c r="X37" s="87" t="str">
        <f>IF(AND('Mapa final'!$AB$18="Baja",'Mapa final'!$AD$18="Moderado"),CONCATENATE("R2C",'Mapa final'!$R$18),"")</f>
        <v/>
      </c>
      <c r="Y37" s="87" t="str">
        <f>IF(AND('Mapa final'!$AB$19="Baja",'Mapa final'!$AD$19="Moderado"),CONCATENATE("R2C",'Mapa final'!$R$19),"")</f>
        <v/>
      </c>
      <c r="Z37" s="87" t="str">
        <f>IF(AND('Mapa final'!$AB$20="Baja",'Mapa final'!$AD$20="Moderado"),CONCATENATE("R2C",'Mapa final'!$R$20),"")</f>
        <v/>
      </c>
      <c r="AA37" s="88" t="str">
        <f>IF(AND('Mapa final'!$AB$21="Baja",'Mapa final'!$AD$21="Moderado"),CONCATENATE("R2C",'Mapa final'!$R$21),"")</f>
        <v/>
      </c>
      <c r="AB37" s="71" t="str">
        <f>IF(AND('Mapa final'!$AB$16="Baja",'Mapa final'!$AD$16="Mayor"),CONCATENATE("R2C",'Mapa final'!$R$16),"")</f>
        <v/>
      </c>
      <c r="AC37" s="72" t="str">
        <f>IF(AND('Mapa final'!$AB$17="Baja",'Mapa final'!$AD$17="Mayor"),CONCATENATE("R2C",'Mapa final'!$R$17),"")</f>
        <v/>
      </c>
      <c r="AD37" s="72" t="str">
        <f>IF(AND('Mapa final'!$AB$18="Baja",'Mapa final'!$AD$18="Mayor"),CONCATENATE("R2C",'Mapa final'!$R$18),"")</f>
        <v/>
      </c>
      <c r="AE37" s="72" t="str">
        <f>IF(AND('Mapa final'!$AB$19="Baja",'Mapa final'!$AD$19="Mayor"),CONCATENATE("R2C",'Mapa final'!$R$19),"")</f>
        <v/>
      </c>
      <c r="AF37" s="72" t="str">
        <f>IF(AND('Mapa final'!$AB$20="Baja",'Mapa final'!$AD$20="Mayor"),CONCATENATE("R2C",'Mapa final'!$R$20),"")</f>
        <v/>
      </c>
      <c r="AG37" s="73" t="str">
        <f>IF(AND('Mapa final'!$AB$21="Baja",'Mapa final'!$AD$21="Mayor"),CONCATENATE("R2C",'Mapa final'!$R$21),"")</f>
        <v/>
      </c>
      <c r="AH37" s="74" t="str">
        <f>IF(AND('Mapa final'!$AB$16="Baja",'Mapa final'!$AD$16="Catastrófico"),CONCATENATE("R2C",'Mapa final'!$R$16),"")</f>
        <v/>
      </c>
      <c r="AI37" s="75" t="str">
        <f>IF(AND('Mapa final'!$AB$17="Baja",'Mapa final'!$AD$17="Catastrófico"),CONCATENATE("R2C",'Mapa final'!$R$17),"")</f>
        <v/>
      </c>
      <c r="AJ37" s="75" t="str">
        <f>IF(AND('Mapa final'!$AB$18="Baja",'Mapa final'!$AD$18="Catastrófico"),CONCATENATE("R2C",'Mapa final'!$R$18),"")</f>
        <v/>
      </c>
      <c r="AK37" s="75" t="str">
        <f>IF(AND('Mapa final'!$AB$19="Baja",'Mapa final'!$AD$19="Catastrófico"),CONCATENATE("R2C",'Mapa final'!$R$19),"")</f>
        <v/>
      </c>
      <c r="AL37" s="75" t="str">
        <f>IF(AND('Mapa final'!$AB$20="Baja",'Mapa final'!$AD$20="Catastrófico"),CONCATENATE("R2C",'Mapa final'!$R$20),"")</f>
        <v/>
      </c>
      <c r="AM37" s="76" t="str">
        <f>IF(AND('Mapa final'!$AB$21="Baja",'Mapa final'!$AD$21="Catastrófico"),CONCATENATE("R2C",'Mapa final'!$R$21),"")</f>
        <v/>
      </c>
      <c r="AN37" s="1"/>
      <c r="AO37" s="507"/>
      <c r="AP37" s="507"/>
      <c r="AQ37" s="507"/>
      <c r="AR37" s="507"/>
      <c r="AS37" s="507"/>
      <c r="AT37" s="507"/>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row>
    <row r="38" spans="1:80" ht="15" customHeight="1" x14ac:dyDescent="0.3">
      <c r="A38" s="1"/>
      <c r="B38" s="458"/>
      <c r="C38" s="458"/>
      <c r="D38" s="458"/>
      <c r="E38" s="504"/>
      <c r="F38" s="504"/>
      <c r="G38" s="504"/>
      <c r="H38" s="504"/>
      <c r="I38" s="504"/>
      <c r="J38" s="95" t="str">
        <f>IF(AND('Mapa final'!$AB$22="Baja",'Mapa final'!$AD$22="Leve"),CONCATENATE("R3C",'Mapa final'!$R$22),"")</f>
        <v/>
      </c>
      <c r="K38" s="96" t="str">
        <f>IF(AND('Mapa final'!$AB$23="Baja",'Mapa final'!$AD$23="Leve"),CONCATENATE("R3C",'Mapa final'!$R$23),"")</f>
        <v/>
      </c>
      <c r="L38" s="96" t="e">
        <f>IF(AND('Mapa final'!#REF!="Baja",'Mapa final'!#REF!="Leve"),CONCATENATE("R3C",'Mapa final'!#REF!),"")</f>
        <v>#REF!</v>
      </c>
      <c r="M38" s="96" t="e">
        <f>IF(AND('Mapa final'!#REF!="Baja",'Mapa final'!#REF!="Leve"),CONCATENATE("R3C",'Mapa final'!#REF!),"")</f>
        <v>#REF!</v>
      </c>
      <c r="N38" s="96" t="e">
        <f>IF(AND('Mapa final'!#REF!="Baja",'Mapa final'!#REF!="Leve"),CONCATENATE("R3C",'Mapa final'!#REF!),"")</f>
        <v>#REF!</v>
      </c>
      <c r="O38" s="97" t="e">
        <f>IF(AND('Mapa final'!#REF!="Baja",'Mapa final'!#REF!="Leve"),CONCATENATE("R3C",'Mapa final'!#REF!),"")</f>
        <v>#REF!</v>
      </c>
      <c r="P38" s="86" t="str">
        <f>IF(AND('Mapa final'!$AB$22="Baja",'Mapa final'!$AD$22="Menor"),CONCATENATE("R3C",'Mapa final'!$R$22),"")</f>
        <v>R3C1</v>
      </c>
      <c r="Q38" s="87" t="str">
        <f>IF(AND('Mapa final'!$AB$23="Baja",'Mapa final'!$AD$23="Menor"),CONCATENATE("R3C",'Mapa final'!$R$23),"")</f>
        <v>R3C</v>
      </c>
      <c r="R38" s="87" t="e">
        <f>IF(AND('Mapa final'!#REF!="Baja",'Mapa final'!#REF!="Menor"),CONCATENATE("R3C",'Mapa final'!#REF!),"")</f>
        <v>#REF!</v>
      </c>
      <c r="S38" s="87" t="e">
        <f>IF(AND('Mapa final'!#REF!="Baja",'Mapa final'!#REF!="Menor"),CONCATENATE("R3C",'Mapa final'!#REF!),"")</f>
        <v>#REF!</v>
      </c>
      <c r="T38" s="87" t="e">
        <f>IF(AND('Mapa final'!#REF!="Baja",'Mapa final'!#REF!="Menor"),CONCATENATE("R3C",'Mapa final'!#REF!),"")</f>
        <v>#REF!</v>
      </c>
      <c r="U38" s="88" t="e">
        <f>IF(AND('Mapa final'!#REF!="Baja",'Mapa final'!#REF!="Menor"),CONCATENATE("R3C",'Mapa final'!#REF!),"")</f>
        <v>#REF!</v>
      </c>
      <c r="V38" s="86" t="str">
        <f>IF(AND('Mapa final'!$AB$22="Baja",'Mapa final'!$AD$22="Moderado"),CONCATENATE("R3C",'Mapa final'!$R$22),"")</f>
        <v/>
      </c>
      <c r="W38" s="87" t="str">
        <f>IF(AND('Mapa final'!$AB$23="Baja",'Mapa final'!$AD$23="Moderado"),CONCATENATE("R3C",'Mapa final'!$R$23),"")</f>
        <v/>
      </c>
      <c r="X38" s="87" t="e">
        <f>IF(AND('Mapa final'!#REF!="Baja",'Mapa final'!#REF!="Moderado"),CONCATENATE("R3C",'Mapa final'!#REF!),"")</f>
        <v>#REF!</v>
      </c>
      <c r="Y38" s="87" t="e">
        <f>IF(AND('Mapa final'!#REF!="Baja",'Mapa final'!#REF!="Moderado"),CONCATENATE("R3C",'Mapa final'!#REF!),"")</f>
        <v>#REF!</v>
      </c>
      <c r="Z38" s="87" t="e">
        <f>IF(AND('Mapa final'!#REF!="Baja",'Mapa final'!#REF!="Moderado"),CONCATENATE("R3C",'Mapa final'!#REF!),"")</f>
        <v>#REF!</v>
      </c>
      <c r="AA38" s="88" t="e">
        <f>IF(AND('Mapa final'!#REF!="Baja",'Mapa final'!#REF!="Moderado"),CONCATENATE("R3C",'Mapa final'!#REF!),"")</f>
        <v>#REF!</v>
      </c>
      <c r="AB38" s="71" t="str">
        <f>IF(AND('Mapa final'!$AB$22="Baja",'Mapa final'!$AD$22="Mayor"),CONCATENATE("R3C",'Mapa final'!$R$22),"")</f>
        <v/>
      </c>
      <c r="AC38" s="72" t="str">
        <f>IF(AND('Mapa final'!$AB$23="Baja",'Mapa final'!$AD$23="Mayor"),CONCATENATE("R3C",'Mapa final'!$R$23),"")</f>
        <v/>
      </c>
      <c r="AD38" s="72" t="e">
        <f>IF(AND('Mapa final'!#REF!="Baja",'Mapa final'!#REF!="Mayor"),CONCATENATE("R3C",'Mapa final'!#REF!),"")</f>
        <v>#REF!</v>
      </c>
      <c r="AE38" s="72" t="e">
        <f>IF(AND('Mapa final'!#REF!="Baja",'Mapa final'!#REF!="Mayor"),CONCATENATE("R3C",'Mapa final'!#REF!),"")</f>
        <v>#REF!</v>
      </c>
      <c r="AF38" s="72" t="e">
        <f>IF(AND('Mapa final'!#REF!="Baja",'Mapa final'!#REF!="Mayor"),CONCATENATE("R3C",'Mapa final'!#REF!),"")</f>
        <v>#REF!</v>
      </c>
      <c r="AG38" s="73" t="e">
        <f>IF(AND('Mapa final'!#REF!="Baja",'Mapa final'!#REF!="Mayor"),CONCATENATE("R3C",'Mapa final'!#REF!),"")</f>
        <v>#REF!</v>
      </c>
      <c r="AH38" s="74" t="str">
        <f>IF(AND('Mapa final'!$AB$22="Baja",'Mapa final'!$AD$22="Catastrófico"),CONCATENATE("R3C",'Mapa final'!$R$22),"")</f>
        <v/>
      </c>
      <c r="AI38" s="75" t="str">
        <f>IF(AND('Mapa final'!$AB$23="Baja",'Mapa final'!$AD$23="Catastrófico"),CONCATENATE("R3C",'Mapa final'!$R$23),"")</f>
        <v/>
      </c>
      <c r="AJ38" s="75" t="e">
        <f>IF(AND('Mapa final'!#REF!="Baja",'Mapa final'!#REF!="Catastrófico"),CONCATENATE("R3C",'Mapa final'!#REF!),"")</f>
        <v>#REF!</v>
      </c>
      <c r="AK38" s="75" t="e">
        <f>IF(AND('Mapa final'!#REF!="Baja",'Mapa final'!#REF!="Catastrófico"),CONCATENATE("R3C",'Mapa final'!#REF!),"")</f>
        <v>#REF!</v>
      </c>
      <c r="AL38" s="75" t="e">
        <f>IF(AND('Mapa final'!#REF!="Baja",'Mapa final'!#REF!="Catastrófico"),CONCATENATE("R3C",'Mapa final'!#REF!),"")</f>
        <v>#REF!</v>
      </c>
      <c r="AM38" s="76" t="e">
        <f>IF(AND('Mapa final'!#REF!="Baja",'Mapa final'!#REF!="Catastrófico"),CONCATENATE("R3C",'Mapa final'!#REF!),"")</f>
        <v>#REF!</v>
      </c>
      <c r="AN38" s="1"/>
      <c r="AO38" s="507"/>
      <c r="AP38" s="507"/>
      <c r="AQ38" s="507"/>
      <c r="AR38" s="507"/>
      <c r="AS38" s="507"/>
      <c r="AT38" s="507"/>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row>
    <row r="39" spans="1:80" ht="15" customHeight="1" x14ac:dyDescent="0.3">
      <c r="A39" s="1"/>
      <c r="B39" s="458"/>
      <c r="C39" s="458"/>
      <c r="D39" s="458"/>
      <c r="E39" s="504"/>
      <c r="F39" s="504"/>
      <c r="G39" s="504"/>
      <c r="H39" s="504"/>
      <c r="I39" s="504"/>
      <c r="J39" s="95" t="str">
        <f>IF(AND('Mapa final'!$AB$24="Baja",'Mapa final'!$AD$24="Leve"),CONCATENATE("R4C",'Mapa final'!$R$24),"")</f>
        <v/>
      </c>
      <c r="K39" s="96" t="str">
        <f>IF(AND('Mapa final'!$AB$25="Baja",'Mapa final'!$AD$25="Leve"),CONCATENATE("R4C",'Mapa final'!$R$25),"")</f>
        <v/>
      </c>
      <c r="L39" s="96" t="str">
        <f>IF(AND('Mapa final'!$AB$26="Baja",'Mapa final'!$AD$26="Leve"),CONCATENATE("R4C",'Mapa final'!$R$26),"")</f>
        <v/>
      </c>
      <c r="M39" s="96" t="str">
        <f>IF(AND('Mapa final'!$AB$27="Baja",'Mapa final'!$AD$27="Leve"),CONCATENATE("R4C",'Mapa final'!$R$27),"")</f>
        <v/>
      </c>
      <c r="N39" s="96" t="str">
        <f>IF(AND('Mapa final'!$AB$28="Baja",'Mapa final'!$AD$28="Leve"),CONCATENATE("R4C",'Mapa final'!$R$28),"")</f>
        <v/>
      </c>
      <c r="O39" s="97" t="str">
        <f>IF(AND('Mapa final'!$AB$29="Baja",'Mapa final'!$AD$29="Leve"),CONCATENATE("R4C",'Mapa final'!$R$29),"")</f>
        <v/>
      </c>
      <c r="P39" s="86" t="str">
        <f>IF(AND('Mapa final'!$AB$24="Baja",'Mapa final'!$AD$24="Menor"),CONCATENATE("R4C",'Mapa final'!$R$24),"")</f>
        <v/>
      </c>
      <c r="Q39" s="87" t="str">
        <f>IF(AND('Mapa final'!$AB$25="Baja",'Mapa final'!$AD$25="Menor"),CONCATENATE("R4C",'Mapa final'!$R$25),"")</f>
        <v/>
      </c>
      <c r="R39" s="87" t="str">
        <f>IF(AND('Mapa final'!$AB$26="Baja",'Mapa final'!$AD$26="Menor"),CONCATENATE("R4C",'Mapa final'!$R$26),"")</f>
        <v/>
      </c>
      <c r="S39" s="87" t="str">
        <f>IF(AND('Mapa final'!$AB$27="Baja",'Mapa final'!$AD$27="Menor"),CONCATENATE("R4C",'Mapa final'!$R$27),"")</f>
        <v/>
      </c>
      <c r="T39" s="87" t="str">
        <f>IF(AND('Mapa final'!$AB$28="Baja",'Mapa final'!$AD$28="Menor"),CONCATENATE("R4C",'Mapa final'!$R$28),"")</f>
        <v/>
      </c>
      <c r="U39" s="88" t="str">
        <f>IF(AND('Mapa final'!$AB$29="Baja",'Mapa final'!$AD$29="Menor"),CONCATENATE("R4C",'Mapa final'!$R$29),"")</f>
        <v/>
      </c>
      <c r="V39" s="86" t="str">
        <f>IF(AND('Mapa final'!$AB$24="Baja",'Mapa final'!$AD$24="Moderado"),CONCATENATE("R4C",'Mapa final'!$R$24),"")</f>
        <v/>
      </c>
      <c r="W39" s="87" t="str">
        <f>IF(AND('Mapa final'!$AB$25="Baja",'Mapa final'!$AD$25="Moderado"),CONCATENATE("R4C",'Mapa final'!$R$25),"")</f>
        <v/>
      </c>
      <c r="X39" s="87" t="str">
        <f>IF(AND('Mapa final'!$AB$26="Baja",'Mapa final'!$AD$26="Moderado"),CONCATENATE("R4C",'Mapa final'!$R$26),"")</f>
        <v/>
      </c>
      <c r="Y39" s="87" t="str">
        <f>IF(AND('Mapa final'!$AB$27="Baja",'Mapa final'!$AD$27="Moderado"),CONCATENATE("R4C",'Mapa final'!$R$27),"")</f>
        <v/>
      </c>
      <c r="Z39" s="87" t="str">
        <f>IF(AND('Mapa final'!$AB$28="Baja",'Mapa final'!$AD$28="Moderado"),CONCATENATE("R4C",'Mapa final'!$R$28),"")</f>
        <v/>
      </c>
      <c r="AA39" s="88" t="str">
        <f>IF(AND('Mapa final'!$AB$29="Baja",'Mapa final'!$AD$29="Moderado"),CONCATENATE("R4C",'Mapa final'!$R$29),"")</f>
        <v/>
      </c>
      <c r="AB39" s="71" t="str">
        <f>IF(AND('Mapa final'!$AB$24="Baja",'Mapa final'!$AD$24="Mayor"),CONCATENATE("R4C",'Mapa final'!$R$24),"")</f>
        <v/>
      </c>
      <c r="AC39" s="72" t="str">
        <f>IF(AND('Mapa final'!$AB$25="Baja",'Mapa final'!$AD$25="Mayor"),CONCATENATE("R4C",'Mapa final'!$R$25),"")</f>
        <v/>
      </c>
      <c r="AD39" s="72" t="str">
        <f>IF(AND('Mapa final'!$AB$26="Baja",'Mapa final'!$AD$26="Mayor"),CONCATENATE("R4C",'Mapa final'!$R$26),"")</f>
        <v/>
      </c>
      <c r="AE39" s="72" t="str">
        <f>IF(AND('Mapa final'!$AB$27="Baja",'Mapa final'!$AD$27="Mayor"),CONCATENATE("R4C",'Mapa final'!$R$27),"")</f>
        <v/>
      </c>
      <c r="AF39" s="72" t="str">
        <f>IF(AND('Mapa final'!$AB$28="Baja",'Mapa final'!$AD$28="Mayor"),CONCATENATE("R4C",'Mapa final'!$R$28),"")</f>
        <v/>
      </c>
      <c r="AG39" s="73" t="str">
        <f>IF(AND('Mapa final'!$AB$29="Baja",'Mapa final'!$AD$29="Mayor"),CONCATENATE("R4C",'Mapa final'!$R$29),"")</f>
        <v/>
      </c>
      <c r="AH39" s="74" t="str">
        <f>IF(AND('Mapa final'!$AB$24="Baja",'Mapa final'!$AD$24="Catastrófico"),CONCATENATE("R4C",'Mapa final'!$R$24),"")</f>
        <v/>
      </c>
      <c r="AI39" s="75" t="str">
        <f>IF(AND('Mapa final'!$AB$25="Baja",'Mapa final'!$AD$25="Catastrófico"),CONCATENATE("R4C",'Mapa final'!$R$25),"")</f>
        <v/>
      </c>
      <c r="AJ39" s="75" t="str">
        <f>IF(AND('Mapa final'!$AB$26="Baja",'Mapa final'!$AD$26="Catastrófico"),CONCATENATE("R4C",'Mapa final'!$R$26),"")</f>
        <v/>
      </c>
      <c r="AK39" s="75" t="str">
        <f>IF(AND('Mapa final'!$AB$27="Baja",'Mapa final'!$AD$27="Catastrófico"),CONCATENATE("R4C",'Mapa final'!$R$27),"")</f>
        <v/>
      </c>
      <c r="AL39" s="75" t="str">
        <f>IF(AND('Mapa final'!$AB$28="Baja",'Mapa final'!$AD$28="Catastrófico"),CONCATENATE("R4C",'Mapa final'!$R$28),"")</f>
        <v/>
      </c>
      <c r="AM39" s="76" t="str">
        <f>IF(AND('Mapa final'!$AB$29="Baja",'Mapa final'!$AD$29="Catastrófico"),CONCATENATE("R4C",'Mapa final'!$R$29),"")</f>
        <v/>
      </c>
      <c r="AN39" s="1"/>
      <c r="AO39" s="507"/>
      <c r="AP39" s="507"/>
      <c r="AQ39" s="507"/>
      <c r="AR39" s="507"/>
      <c r="AS39" s="507"/>
      <c r="AT39" s="507"/>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row>
    <row r="40" spans="1:80" ht="15" customHeight="1" x14ac:dyDescent="0.3">
      <c r="A40" s="1"/>
      <c r="B40" s="458"/>
      <c r="C40" s="458"/>
      <c r="D40" s="458"/>
      <c r="E40" s="504"/>
      <c r="F40" s="504"/>
      <c r="G40" s="504"/>
      <c r="H40" s="504"/>
      <c r="I40" s="504"/>
      <c r="J40" s="95" t="str">
        <f>IF(AND('Mapa final'!$AB$30="Baja",'Mapa final'!$AD$30="Leve"),CONCATENATE("R5C",'Mapa final'!$R$30),"")</f>
        <v/>
      </c>
      <c r="K40" s="96" t="str">
        <f>IF(AND('Mapa final'!$AB$31="Baja",'Mapa final'!$AD$31="Leve"),CONCATENATE("R5C",'Mapa final'!$R$31),"")</f>
        <v/>
      </c>
      <c r="L40" s="96" t="str">
        <f>IF(AND('Mapa final'!$AB$32="Baja",'Mapa final'!$AD$32="Leve"),CONCATENATE("R5C",'Mapa final'!$R$32),"")</f>
        <v/>
      </c>
      <c r="M40" s="96" t="str">
        <f>IF(AND('Mapa final'!$AB$33="Baja",'Mapa final'!$AD$33="Leve"),CONCATENATE("R5C",'Mapa final'!$R$33),"")</f>
        <v/>
      </c>
      <c r="N40" s="96" t="str">
        <f>IF(AND('Mapa final'!$AB$34="Baja",'Mapa final'!$AD$34="Leve"),CONCATENATE("R5C",'Mapa final'!$R$34),"")</f>
        <v/>
      </c>
      <c r="O40" s="97" t="str">
        <f>IF(AND('Mapa final'!$AB$35="Baja",'Mapa final'!$AD$35="Leve"),CONCATENATE("R5C",'Mapa final'!$R$35),"")</f>
        <v/>
      </c>
      <c r="P40" s="86" t="str">
        <f>IF(AND('Mapa final'!$AB$30="Baja",'Mapa final'!$AD$30="Menor"),CONCATENATE("R5C",'Mapa final'!$R$30),"")</f>
        <v/>
      </c>
      <c r="Q40" s="87" t="str">
        <f>IF(AND('Mapa final'!$AB$31="Baja",'Mapa final'!$AD$31="Menor"),CONCATENATE("R5C",'Mapa final'!$R$31),"")</f>
        <v/>
      </c>
      <c r="R40" s="87" t="str">
        <f>IF(AND('Mapa final'!$AB$32="Baja",'Mapa final'!$AD$32="Menor"),CONCATENATE("R5C",'Mapa final'!$R$32),"")</f>
        <v/>
      </c>
      <c r="S40" s="87" t="str">
        <f>IF(AND('Mapa final'!$AB$33="Baja",'Mapa final'!$AD$33="Menor"),CONCATENATE("R5C",'Mapa final'!$R$33),"")</f>
        <v/>
      </c>
      <c r="T40" s="87" t="str">
        <f>IF(AND('Mapa final'!$AB$34="Baja",'Mapa final'!$AD$34="Menor"),CONCATENATE("R5C",'Mapa final'!$R$34),"")</f>
        <v/>
      </c>
      <c r="U40" s="88" t="str">
        <f>IF(AND('Mapa final'!$AB$35="Baja",'Mapa final'!$AD$35="Menor"),CONCATENATE("R5C",'Mapa final'!$R$35),"")</f>
        <v/>
      </c>
      <c r="V40" s="86" t="str">
        <f>IF(AND('Mapa final'!$AB$30="Baja",'Mapa final'!$AD$30="Moderado"),CONCATENATE("R5C",'Mapa final'!$R$30),"")</f>
        <v/>
      </c>
      <c r="W40" s="87" t="str">
        <f>IF(AND('Mapa final'!$AB$31="Baja",'Mapa final'!$AD$31="Moderado"),CONCATENATE("R5C",'Mapa final'!$R$31),"")</f>
        <v/>
      </c>
      <c r="X40" s="87" t="str">
        <f>IF(AND('Mapa final'!$AB$32="Baja",'Mapa final'!$AD$32="Moderado"),CONCATENATE("R5C",'Mapa final'!$R$32),"")</f>
        <v/>
      </c>
      <c r="Y40" s="87" t="str">
        <f>IF(AND('Mapa final'!$AB$33="Baja",'Mapa final'!$AD$33="Moderado"),CONCATENATE("R5C",'Mapa final'!$R$33),"")</f>
        <v/>
      </c>
      <c r="Z40" s="87" t="str">
        <f>IF(AND('Mapa final'!$AB$34="Baja",'Mapa final'!$AD$34="Moderado"),CONCATENATE("R5C",'Mapa final'!$R$34),"")</f>
        <v/>
      </c>
      <c r="AA40" s="88" t="str">
        <f>IF(AND('Mapa final'!$AB$35="Baja",'Mapa final'!$AD$35="Moderado"),CONCATENATE("R5C",'Mapa final'!$R$35),"")</f>
        <v/>
      </c>
      <c r="AB40" s="71" t="str">
        <f>IF(AND('Mapa final'!$AB$30="Baja",'Mapa final'!$AD$30="Mayor"),CONCATENATE("R5C",'Mapa final'!$R$30),"")</f>
        <v/>
      </c>
      <c r="AC40" s="72" t="str">
        <f>IF(AND('Mapa final'!$AB$31="Baja",'Mapa final'!$AD$31="Mayor"),CONCATENATE("R5C",'Mapa final'!$R$31),"")</f>
        <v/>
      </c>
      <c r="AD40" s="72" t="str">
        <f>IF(AND('Mapa final'!$AB$32="Baja",'Mapa final'!$AD$32="Mayor"),CONCATENATE("R5C",'Mapa final'!$R$32),"")</f>
        <v/>
      </c>
      <c r="AE40" s="72" t="str">
        <f>IF(AND('Mapa final'!$AB$33="Baja",'Mapa final'!$AD$33="Mayor"),CONCATENATE("R5C",'Mapa final'!$R$33),"")</f>
        <v/>
      </c>
      <c r="AF40" s="72" t="str">
        <f>IF(AND('Mapa final'!$AB$34="Baja",'Mapa final'!$AD$34="Mayor"),CONCATENATE("R5C",'Mapa final'!$R$34),"")</f>
        <v/>
      </c>
      <c r="AG40" s="73" t="str">
        <f>IF(AND('Mapa final'!$AB$35="Baja",'Mapa final'!$AD$35="Mayor"),CONCATENATE("R5C",'Mapa final'!$R$35),"")</f>
        <v/>
      </c>
      <c r="AH40" s="74" t="str">
        <f>IF(AND('Mapa final'!$AB$30="Baja",'Mapa final'!$AD$30="Catastrófico"),CONCATENATE("R5C",'Mapa final'!$R$30),"")</f>
        <v/>
      </c>
      <c r="AI40" s="75" t="str">
        <f>IF(AND('Mapa final'!$AB$31="Baja",'Mapa final'!$AD$31="Catastrófico"),CONCATENATE("R5C",'Mapa final'!$R$31),"")</f>
        <v/>
      </c>
      <c r="AJ40" s="75" t="str">
        <f>IF(AND('Mapa final'!$AB$32="Baja",'Mapa final'!$AD$32="Catastrófico"),CONCATENATE("R5C",'Mapa final'!$R$32),"")</f>
        <v/>
      </c>
      <c r="AK40" s="75" t="str">
        <f>IF(AND('Mapa final'!$AB$33="Baja",'Mapa final'!$AD$33="Catastrófico"),CONCATENATE("R5C",'Mapa final'!$R$33),"")</f>
        <v/>
      </c>
      <c r="AL40" s="75" t="str">
        <f>IF(AND('Mapa final'!$AB$34="Baja",'Mapa final'!$AD$34="Catastrófico"),CONCATENATE("R5C",'Mapa final'!$R$34),"")</f>
        <v/>
      </c>
      <c r="AM40" s="76" t="str">
        <f>IF(AND('Mapa final'!$AB$35="Baja",'Mapa final'!$AD$35="Catastrófico"),CONCATENATE("R5C",'Mapa final'!$R$35),"")</f>
        <v/>
      </c>
      <c r="AN40" s="1"/>
      <c r="AO40" s="507"/>
      <c r="AP40" s="507"/>
      <c r="AQ40" s="507"/>
      <c r="AR40" s="507"/>
      <c r="AS40" s="507"/>
      <c r="AT40" s="507"/>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row>
    <row r="41" spans="1:80" ht="15" customHeight="1" x14ac:dyDescent="0.3">
      <c r="A41" s="1"/>
      <c r="B41" s="458"/>
      <c r="C41" s="458"/>
      <c r="D41" s="458"/>
      <c r="E41" s="504"/>
      <c r="F41" s="504"/>
      <c r="G41" s="504"/>
      <c r="H41" s="504"/>
      <c r="I41" s="504"/>
      <c r="J41" s="95" t="str">
        <f>IF(AND('Mapa final'!$AB$36="Baja",'Mapa final'!$AD$36="Leve"),CONCATENATE("R6C",'Mapa final'!$R$36),"")</f>
        <v/>
      </c>
      <c r="K41" s="96" t="str">
        <f>IF(AND('Mapa final'!$AB$37="Baja",'Mapa final'!$AD$37="Leve"),CONCATENATE("R6C",'Mapa final'!$R$37),"")</f>
        <v/>
      </c>
      <c r="L41" s="96" t="str">
        <f>IF(AND('Mapa final'!$AB$38="Baja",'Mapa final'!$AD$38="Leve"),CONCATENATE("R6C",'Mapa final'!$R$38),"")</f>
        <v/>
      </c>
      <c r="M41" s="96" t="str">
        <f>IF(AND('Mapa final'!$AB$39="Baja",'Mapa final'!$AD$39="Leve"),CONCATENATE("R6C",'Mapa final'!$R$39),"")</f>
        <v/>
      </c>
      <c r="N41" s="96" t="str">
        <f>IF(AND('Mapa final'!$AB$40="Baja",'Mapa final'!$AD$40="Leve"),CONCATENATE("R6C",'Mapa final'!$R$40),"")</f>
        <v/>
      </c>
      <c r="O41" s="97" t="str">
        <f>IF(AND('Mapa final'!$AB$41="Baja",'Mapa final'!$AD$41="Leve"),CONCATENATE("R6C",'Mapa final'!$R$41),"")</f>
        <v/>
      </c>
      <c r="P41" s="86" t="str">
        <f>IF(AND('Mapa final'!$AB$36="Baja",'Mapa final'!$AD$36="Menor"),CONCATENATE("R6C",'Mapa final'!$R$36),"")</f>
        <v/>
      </c>
      <c r="Q41" s="87" t="str">
        <f>IF(AND('Mapa final'!$AB$37="Baja",'Mapa final'!$AD$37="Menor"),CONCATENATE("R6C",'Mapa final'!$R$37),"")</f>
        <v/>
      </c>
      <c r="R41" s="87" t="str">
        <f>IF(AND('Mapa final'!$AB$38="Baja",'Mapa final'!$AD$38="Menor"),CONCATENATE("R6C",'Mapa final'!$R$38),"")</f>
        <v/>
      </c>
      <c r="S41" s="87" t="str">
        <f>IF(AND('Mapa final'!$AB$39="Baja",'Mapa final'!$AD$39="Menor"),CONCATENATE("R6C",'Mapa final'!$R$39),"")</f>
        <v/>
      </c>
      <c r="T41" s="87" t="str">
        <f>IF(AND('Mapa final'!$AB$40="Baja",'Mapa final'!$AD$40="Menor"),CONCATENATE("R6C",'Mapa final'!$R$40),"")</f>
        <v/>
      </c>
      <c r="U41" s="88" t="str">
        <f>IF(AND('Mapa final'!$AB$41="Baja",'Mapa final'!$AD$41="Menor"),CONCATENATE("R6C",'Mapa final'!$R$41),"")</f>
        <v/>
      </c>
      <c r="V41" s="86" t="str">
        <f>IF(AND('Mapa final'!$AB$36="Baja",'Mapa final'!$AD$36="Moderado"),CONCATENATE("R6C",'Mapa final'!$R$36),"")</f>
        <v/>
      </c>
      <c r="W41" s="87" t="str">
        <f>IF(AND('Mapa final'!$AB$37="Baja",'Mapa final'!$AD$37="Moderado"),CONCATENATE("R6C",'Mapa final'!$R$37),"")</f>
        <v/>
      </c>
      <c r="X41" s="87" t="str">
        <f>IF(AND('Mapa final'!$AB$38="Baja",'Mapa final'!$AD$38="Moderado"),CONCATENATE("R6C",'Mapa final'!$R$38),"")</f>
        <v/>
      </c>
      <c r="Y41" s="87" t="str">
        <f>IF(AND('Mapa final'!$AB$39="Baja",'Mapa final'!$AD$39="Moderado"),CONCATENATE("R6C",'Mapa final'!$R$39),"")</f>
        <v/>
      </c>
      <c r="Z41" s="87" t="str">
        <f>IF(AND('Mapa final'!$AB$40="Baja",'Mapa final'!$AD$40="Moderado"),CONCATENATE("R6C",'Mapa final'!$R$40),"")</f>
        <v/>
      </c>
      <c r="AA41" s="88" t="str">
        <f>IF(AND('Mapa final'!$AB$41="Baja",'Mapa final'!$AD$41="Moderado"),CONCATENATE("R6C",'Mapa final'!$R$41),"")</f>
        <v/>
      </c>
      <c r="AB41" s="71" t="str">
        <f>IF(AND('Mapa final'!$AB$36="Baja",'Mapa final'!$AD$36="Mayor"),CONCATENATE("R6C",'Mapa final'!$R$36),"")</f>
        <v/>
      </c>
      <c r="AC41" s="72" t="str">
        <f>IF(AND('Mapa final'!$AB$37="Baja",'Mapa final'!$AD$37="Mayor"),CONCATENATE("R6C",'Mapa final'!$R$37),"")</f>
        <v/>
      </c>
      <c r="AD41" s="72" t="str">
        <f>IF(AND('Mapa final'!$AB$38="Baja",'Mapa final'!$AD$38="Mayor"),CONCATENATE("R6C",'Mapa final'!$R$38),"")</f>
        <v/>
      </c>
      <c r="AE41" s="72" t="str">
        <f>IF(AND('Mapa final'!$AB$39="Baja",'Mapa final'!$AD$39="Mayor"),CONCATENATE("R6C",'Mapa final'!$R$39),"")</f>
        <v/>
      </c>
      <c r="AF41" s="72" t="str">
        <f>IF(AND('Mapa final'!$AB$40="Baja",'Mapa final'!$AD$40="Mayor"),CONCATENATE("R6C",'Mapa final'!$R$40),"")</f>
        <v/>
      </c>
      <c r="AG41" s="73" t="str">
        <f>IF(AND('Mapa final'!$AB$41="Baja",'Mapa final'!$AD$41="Mayor"),CONCATENATE("R6C",'Mapa final'!$R$41),"")</f>
        <v/>
      </c>
      <c r="AH41" s="74" t="str">
        <f>IF(AND('Mapa final'!$AB$36="Baja",'Mapa final'!$AD$36="Catastrófico"),CONCATENATE("R6C",'Mapa final'!$R$36),"")</f>
        <v/>
      </c>
      <c r="AI41" s="75" t="str">
        <f>IF(AND('Mapa final'!$AB$37="Baja",'Mapa final'!$AD$37="Catastrófico"),CONCATENATE("R6C",'Mapa final'!$R$37),"")</f>
        <v/>
      </c>
      <c r="AJ41" s="75" t="str">
        <f>IF(AND('Mapa final'!$AB$38="Baja",'Mapa final'!$AD$38="Catastrófico"),CONCATENATE("R6C",'Mapa final'!$R$38),"")</f>
        <v/>
      </c>
      <c r="AK41" s="75" t="str">
        <f>IF(AND('Mapa final'!$AB$39="Baja",'Mapa final'!$AD$39="Catastrófico"),CONCATENATE("R6C",'Mapa final'!$R$39),"")</f>
        <v/>
      </c>
      <c r="AL41" s="75" t="str">
        <f>IF(AND('Mapa final'!$AB$40="Baja",'Mapa final'!$AD$40="Catastrófico"),CONCATENATE("R6C",'Mapa final'!$R$40),"")</f>
        <v/>
      </c>
      <c r="AM41" s="76" t="str">
        <f>IF(AND('Mapa final'!$AB$41="Baja",'Mapa final'!$AD$41="Catastrófico"),CONCATENATE("R6C",'Mapa final'!$R$41),"")</f>
        <v/>
      </c>
      <c r="AN41" s="1"/>
      <c r="AO41" s="507"/>
      <c r="AP41" s="507"/>
      <c r="AQ41" s="507"/>
      <c r="AR41" s="507"/>
      <c r="AS41" s="507"/>
      <c r="AT41" s="507"/>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row>
    <row r="42" spans="1:80" ht="15" customHeight="1" x14ac:dyDescent="0.3">
      <c r="A42" s="1"/>
      <c r="B42" s="458"/>
      <c r="C42" s="458"/>
      <c r="D42" s="458"/>
      <c r="E42" s="504"/>
      <c r="F42" s="504"/>
      <c r="G42" s="504"/>
      <c r="H42" s="504"/>
      <c r="I42" s="504"/>
      <c r="J42" s="95" t="str">
        <f>IF(AND('Mapa final'!$AB$42="Baja",'Mapa final'!$AD$42="Leve"),CONCATENATE("R7C",'Mapa final'!$R$42),"")</f>
        <v/>
      </c>
      <c r="K42" s="96" t="str">
        <f>IF(AND('Mapa final'!$AB$43="Baja",'Mapa final'!$AD$43="Leve"),CONCATENATE("R7C",'Mapa final'!$R$43),"")</f>
        <v/>
      </c>
      <c r="L42" s="96" t="str">
        <f>IF(AND('Mapa final'!$AB$44="Baja",'Mapa final'!$AD$44="Leve"),CONCATENATE("R7C",'Mapa final'!$R$44),"")</f>
        <v/>
      </c>
      <c r="M42" s="96" t="str">
        <f>IF(AND('Mapa final'!$AB$45="Baja",'Mapa final'!$AD$45="Leve"),CONCATENATE("R7C",'Mapa final'!$R$45),"")</f>
        <v/>
      </c>
      <c r="N42" s="96" t="str">
        <f>IF(AND('Mapa final'!$AB$46="Baja",'Mapa final'!$AD$46="Leve"),CONCATENATE("R7C",'Mapa final'!$R$46),"")</f>
        <v/>
      </c>
      <c r="O42" s="97" t="str">
        <f>IF(AND('Mapa final'!$AB$47="Baja",'Mapa final'!$AD$47="Leve"),CONCATENATE("R7C",'Mapa final'!$R$47),"")</f>
        <v/>
      </c>
      <c r="P42" s="86" t="str">
        <f>IF(AND('Mapa final'!$AB$42="Baja",'Mapa final'!$AD$42="Menor"),CONCATENATE("R7C",'Mapa final'!$R$42),"")</f>
        <v/>
      </c>
      <c r="Q42" s="87" t="str">
        <f>IF(AND('Mapa final'!$AB$43="Baja",'Mapa final'!$AD$43="Menor"),CONCATENATE("R7C",'Mapa final'!$R$43),"")</f>
        <v/>
      </c>
      <c r="R42" s="87" t="str">
        <f>IF(AND('Mapa final'!$AB$44="Baja",'Mapa final'!$AD$44="Menor"),CONCATENATE("R7C",'Mapa final'!$R$44),"")</f>
        <v/>
      </c>
      <c r="S42" s="87" t="str">
        <f>IF(AND('Mapa final'!$AB$45="Baja",'Mapa final'!$AD$45="Menor"),CONCATENATE("R7C",'Mapa final'!$R$45),"")</f>
        <v/>
      </c>
      <c r="T42" s="87" t="str">
        <f>IF(AND('Mapa final'!$AB$46="Baja",'Mapa final'!$AD$46="Menor"),CONCATENATE("R7C",'Mapa final'!$R$46),"")</f>
        <v/>
      </c>
      <c r="U42" s="88" t="str">
        <f>IF(AND('Mapa final'!$AB$47="Baja",'Mapa final'!$AD$47="Menor"),CONCATENATE("R7C",'Mapa final'!$R$47),"")</f>
        <v/>
      </c>
      <c r="V42" s="86" t="str">
        <f>IF(AND('Mapa final'!$AB$42="Baja",'Mapa final'!$AD$42="Moderado"),CONCATENATE("R7C",'Mapa final'!$R$42),"")</f>
        <v/>
      </c>
      <c r="W42" s="87" t="str">
        <f>IF(AND('Mapa final'!$AB$43="Baja",'Mapa final'!$AD$43="Moderado"),CONCATENATE("R7C",'Mapa final'!$R$43),"")</f>
        <v/>
      </c>
      <c r="X42" s="87" t="str">
        <f>IF(AND('Mapa final'!$AB$44="Baja",'Mapa final'!$AD$44="Moderado"),CONCATENATE("R7C",'Mapa final'!$R$44),"")</f>
        <v/>
      </c>
      <c r="Y42" s="87" t="str">
        <f>IF(AND('Mapa final'!$AB$45="Baja",'Mapa final'!$AD$45="Moderado"),CONCATENATE("R7C",'Mapa final'!$R$45),"")</f>
        <v/>
      </c>
      <c r="Z42" s="87" t="str">
        <f>IF(AND('Mapa final'!$AB$46="Baja",'Mapa final'!$AD$46="Moderado"),CONCATENATE("R7C",'Mapa final'!$R$46),"")</f>
        <v/>
      </c>
      <c r="AA42" s="88" t="str">
        <f>IF(AND('Mapa final'!$AB$47="Baja",'Mapa final'!$AD$47="Moderado"),CONCATENATE("R7C",'Mapa final'!$R$47),"")</f>
        <v/>
      </c>
      <c r="AB42" s="71" t="str">
        <f>IF(AND('Mapa final'!$AB$42="Baja",'Mapa final'!$AD$42="Mayor"),CONCATENATE("R7C",'Mapa final'!$R$42),"")</f>
        <v/>
      </c>
      <c r="AC42" s="72" t="str">
        <f>IF(AND('Mapa final'!$AB$43="Baja",'Mapa final'!$AD$43="Mayor"),CONCATENATE("R7C",'Mapa final'!$R$43),"")</f>
        <v/>
      </c>
      <c r="AD42" s="72" t="str">
        <f>IF(AND('Mapa final'!$AB$44="Baja",'Mapa final'!$AD$44="Mayor"),CONCATENATE("R7C",'Mapa final'!$R$44),"")</f>
        <v/>
      </c>
      <c r="AE42" s="72" t="str">
        <f>IF(AND('Mapa final'!$AB$45="Baja",'Mapa final'!$AD$45="Mayor"),CONCATENATE("R7C",'Mapa final'!$R$45),"")</f>
        <v/>
      </c>
      <c r="AF42" s="72" t="str">
        <f>IF(AND('Mapa final'!$AB$46="Baja",'Mapa final'!$AD$46="Mayor"),CONCATENATE("R7C",'Mapa final'!$R$46),"")</f>
        <v/>
      </c>
      <c r="AG42" s="73" t="str">
        <f>IF(AND('Mapa final'!$AB$47="Baja",'Mapa final'!$AD$47="Mayor"),CONCATENATE("R7C",'Mapa final'!$R$47),"")</f>
        <v/>
      </c>
      <c r="AH42" s="74" t="str">
        <f>IF(AND('Mapa final'!$AB$42="Baja",'Mapa final'!$AD$42="Catastrófico"),CONCATENATE("R7C",'Mapa final'!$R$42),"")</f>
        <v/>
      </c>
      <c r="AI42" s="75" t="str">
        <f>IF(AND('Mapa final'!$AB$43="Baja",'Mapa final'!$AD$43="Catastrófico"),CONCATENATE("R7C",'Mapa final'!$R$43),"")</f>
        <v/>
      </c>
      <c r="AJ42" s="75" t="str">
        <f>IF(AND('Mapa final'!$AB$44="Baja",'Mapa final'!$AD$44="Catastrófico"),CONCATENATE("R7C",'Mapa final'!$R$44),"")</f>
        <v/>
      </c>
      <c r="AK42" s="75" t="str">
        <f>IF(AND('Mapa final'!$AB$45="Baja",'Mapa final'!$AD$45="Catastrófico"),CONCATENATE("R7C",'Mapa final'!$R$45),"")</f>
        <v/>
      </c>
      <c r="AL42" s="75" t="str">
        <f>IF(AND('Mapa final'!$AB$46="Baja",'Mapa final'!$AD$46="Catastrófico"),CONCATENATE("R7C",'Mapa final'!$R$46),"")</f>
        <v/>
      </c>
      <c r="AM42" s="76" t="str">
        <f>IF(AND('Mapa final'!$AB$47="Baja",'Mapa final'!$AD$47="Catastrófico"),CONCATENATE("R7C",'Mapa final'!$R$47),"")</f>
        <v/>
      </c>
      <c r="AN42" s="1"/>
      <c r="AO42" s="507"/>
      <c r="AP42" s="507"/>
      <c r="AQ42" s="507"/>
      <c r="AR42" s="507"/>
      <c r="AS42" s="507"/>
      <c r="AT42" s="507"/>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row>
    <row r="43" spans="1:80" ht="15" customHeight="1" x14ac:dyDescent="0.3">
      <c r="A43" s="1"/>
      <c r="B43" s="458"/>
      <c r="C43" s="458"/>
      <c r="D43" s="458"/>
      <c r="E43" s="504"/>
      <c r="F43" s="504"/>
      <c r="G43" s="504"/>
      <c r="H43" s="504"/>
      <c r="I43" s="504"/>
      <c r="J43" s="95" t="str">
        <f>IF(AND('Mapa final'!$AB$48="Baja",'Mapa final'!$AD$48="Leve"),CONCATENATE("R8C",'Mapa final'!$R$48),"")</f>
        <v/>
      </c>
      <c r="K43" s="96" t="str">
        <f>IF(AND('Mapa final'!$AB$49="Baja",'Mapa final'!$AD$49="Leve"),CONCATENATE("R8C",'Mapa final'!$R$49),"")</f>
        <v/>
      </c>
      <c r="L43" s="96" t="str">
        <f>IF(AND('Mapa final'!$AB$50="Baja",'Mapa final'!$AD$50="Leve"),CONCATENATE("R8C",'Mapa final'!$R$50),"")</f>
        <v/>
      </c>
      <c r="M43" s="96" t="str">
        <f>IF(AND('Mapa final'!$AB$51="Baja",'Mapa final'!$AD$51="Leve"),CONCATENATE("R8C",'Mapa final'!$R$51),"")</f>
        <v/>
      </c>
      <c r="N43" s="96" t="str">
        <f>IF(AND('Mapa final'!$AB$52="Baja",'Mapa final'!$AD$52="Leve"),CONCATENATE("R8C",'Mapa final'!$R$52),"")</f>
        <v/>
      </c>
      <c r="O43" s="97" t="str">
        <f>IF(AND('Mapa final'!$AB$53="Baja",'Mapa final'!$AD$53="Leve"),CONCATENATE("R8C",'Mapa final'!$R$53),"")</f>
        <v/>
      </c>
      <c r="P43" s="86" t="str">
        <f>IF(AND('Mapa final'!$AB$48="Baja",'Mapa final'!$AD$48="Menor"),CONCATENATE("R8C",'Mapa final'!$R$48),"")</f>
        <v/>
      </c>
      <c r="Q43" s="87" t="str">
        <f>IF(AND('Mapa final'!$AB$49="Baja",'Mapa final'!$AD$49="Menor"),CONCATENATE("R8C",'Mapa final'!$R$49),"")</f>
        <v/>
      </c>
      <c r="R43" s="87" t="str">
        <f>IF(AND('Mapa final'!$AB$50="Baja",'Mapa final'!$AD$50="Menor"),CONCATENATE("R8C",'Mapa final'!$R$50),"")</f>
        <v/>
      </c>
      <c r="S43" s="87" t="str">
        <f>IF(AND('Mapa final'!$AB$51="Baja",'Mapa final'!$AD$51="Menor"),CONCATENATE("R8C",'Mapa final'!$R$51),"")</f>
        <v/>
      </c>
      <c r="T43" s="87" t="str">
        <f>IF(AND('Mapa final'!$AB$52="Baja",'Mapa final'!$AD$52="Menor"),CONCATENATE("R8C",'Mapa final'!$R$52),"")</f>
        <v/>
      </c>
      <c r="U43" s="88" t="str">
        <f>IF(AND('Mapa final'!$AB$53="Baja",'Mapa final'!$AD$53="Menor"),CONCATENATE("R8C",'Mapa final'!$R$53),"")</f>
        <v/>
      </c>
      <c r="V43" s="86" t="str">
        <f>IF(AND('Mapa final'!$AB$48="Baja",'Mapa final'!$AD$48="Moderado"),CONCATENATE("R8C",'Mapa final'!$R$48),"")</f>
        <v/>
      </c>
      <c r="W43" s="87" t="str">
        <f>IF(AND('Mapa final'!$AB$49="Baja",'Mapa final'!$AD$49="Moderado"),CONCATENATE("R8C",'Mapa final'!$R$49),"")</f>
        <v/>
      </c>
      <c r="X43" s="87" t="str">
        <f>IF(AND('Mapa final'!$AB$50="Baja",'Mapa final'!$AD$50="Moderado"),CONCATENATE("R8C",'Mapa final'!$R$50),"")</f>
        <v/>
      </c>
      <c r="Y43" s="87" t="str">
        <f>IF(AND('Mapa final'!$AB$51="Baja",'Mapa final'!$AD$51="Moderado"),CONCATENATE("R8C",'Mapa final'!$R$51),"")</f>
        <v/>
      </c>
      <c r="Z43" s="87" t="str">
        <f>IF(AND('Mapa final'!$AB$52="Baja",'Mapa final'!$AD$52="Moderado"),CONCATENATE("R8C",'Mapa final'!$R$52),"")</f>
        <v/>
      </c>
      <c r="AA43" s="88" t="str">
        <f>IF(AND('Mapa final'!$AB$53="Baja",'Mapa final'!$AD$53="Moderado"),CONCATENATE("R8C",'Mapa final'!$R$53),"")</f>
        <v/>
      </c>
      <c r="AB43" s="71" t="str">
        <f>IF(AND('Mapa final'!$AB$48="Baja",'Mapa final'!$AD$48="Mayor"),CONCATENATE("R8C",'Mapa final'!$R$48),"")</f>
        <v/>
      </c>
      <c r="AC43" s="72" t="str">
        <f>IF(AND('Mapa final'!$AB$49="Baja",'Mapa final'!$AD$49="Mayor"),CONCATENATE("R8C",'Mapa final'!$R$49),"")</f>
        <v/>
      </c>
      <c r="AD43" s="72" t="str">
        <f>IF(AND('Mapa final'!$AB$50="Baja",'Mapa final'!$AD$50="Mayor"),CONCATENATE("R8C",'Mapa final'!$R$50),"")</f>
        <v/>
      </c>
      <c r="AE43" s="72" t="str">
        <f>IF(AND('Mapa final'!$AB$51="Baja",'Mapa final'!$AD$51="Mayor"),CONCATENATE("R8C",'Mapa final'!$R$51),"")</f>
        <v/>
      </c>
      <c r="AF43" s="72" t="str">
        <f>IF(AND('Mapa final'!$AB$52="Baja",'Mapa final'!$AD$52="Mayor"),CONCATENATE("R8C",'Mapa final'!$R$52),"")</f>
        <v/>
      </c>
      <c r="AG43" s="73" t="str">
        <f>IF(AND('Mapa final'!$AB$53="Baja",'Mapa final'!$AD$53="Mayor"),CONCATENATE("R8C",'Mapa final'!$R$53),"")</f>
        <v/>
      </c>
      <c r="AH43" s="74" t="str">
        <f>IF(AND('Mapa final'!$AB$48="Baja",'Mapa final'!$AD$48="Catastrófico"),CONCATENATE("R8C",'Mapa final'!$R$48),"")</f>
        <v/>
      </c>
      <c r="AI43" s="75" t="str">
        <f>IF(AND('Mapa final'!$AB$49="Baja",'Mapa final'!$AD$49="Catastrófico"),CONCATENATE("R8C",'Mapa final'!$R$49),"")</f>
        <v/>
      </c>
      <c r="AJ43" s="75" t="str">
        <f>IF(AND('Mapa final'!$AB$50="Baja",'Mapa final'!$AD$50="Catastrófico"),CONCATENATE("R8C",'Mapa final'!$R$50),"")</f>
        <v/>
      </c>
      <c r="AK43" s="75" t="str">
        <f>IF(AND('Mapa final'!$AB$51="Baja",'Mapa final'!$AD$51="Catastrófico"),CONCATENATE("R8C",'Mapa final'!$R$51),"")</f>
        <v/>
      </c>
      <c r="AL43" s="75" t="str">
        <f>IF(AND('Mapa final'!$AB$52="Baja",'Mapa final'!$AD$52="Catastrófico"),CONCATENATE("R8C",'Mapa final'!$R$52),"")</f>
        <v/>
      </c>
      <c r="AM43" s="76" t="str">
        <f>IF(AND('Mapa final'!$AB$53="Baja",'Mapa final'!$AD$53="Catastrófico"),CONCATENATE("R8C",'Mapa final'!$R$53),"")</f>
        <v/>
      </c>
      <c r="AN43" s="1"/>
      <c r="AO43" s="507"/>
      <c r="AP43" s="507"/>
      <c r="AQ43" s="507"/>
      <c r="AR43" s="507"/>
      <c r="AS43" s="507"/>
      <c r="AT43" s="507"/>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row>
    <row r="44" spans="1:80" ht="15" customHeight="1" x14ac:dyDescent="0.3">
      <c r="A44" s="1"/>
      <c r="B44" s="458"/>
      <c r="C44" s="458"/>
      <c r="D44" s="458"/>
      <c r="E44" s="504"/>
      <c r="F44" s="504"/>
      <c r="G44" s="504"/>
      <c r="H44" s="504"/>
      <c r="I44" s="504"/>
      <c r="J44" s="95" t="str">
        <f>IF(AND('Mapa final'!$AB$54="Baja",'Mapa final'!$AD$54="Leve"),CONCATENATE("R9C",'Mapa final'!$R$54),"")</f>
        <v/>
      </c>
      <c r="K44" s="96" t="str">
        <f>IF(AND('Mapa final'!$AB$55="Baja",'Mapa final'!$AD$55="Leve"),CONCATENATE("R9C",'Mapa final'!$R$55),"")</f>
        <v/>
      </c>
      <c r="L44" s="96" t="str">
        <f>IF(AND('Mapa final'!$AB$56="Baja",'Mapa final'!$AD$56="Leve"),CONCATENATE("R9C",'Mapa final'!$R$56),"")</f>
        <v/>
      </c>
      <c r="M44" s="96" t="str">
        <f>IF(AND('Mapa final'!$AB$57="Baja",'Mapa final'!$AD$57="Leve"),CONCATENATE("R9C",'Mapa final'!$R$57),"")</f>
        <v/>
      </c>
      <c r="N44" s="96" t="str">
        <f>IF(AND('Mapa final'!$AB$58="Baja",'Mapa final'!$AD$58="Leve"),CONCATENATE("R9C",'Mapa final'!$R$58),"")</f>
        <v/>
      </c>
      <c r="O44" s="97" t="str">
        <f>IF(AND('Mapa final'!$AB$59="Baja",'Mapa final'!$AD$59="Leve"),CONCATENATE("R9C",'Mapa final'!$R$59),"")</f>
        <v/>
      </c>
      <c r="P44" s="86" t="str">
        <f>IF(AND('Mapa final'!$AB$54="Baja",'Mapa final'!$AD$54="Menor"),CONCATENATE("R9C",'Mapa final'!$R$54),"")</f>
        <v/>
      </c>
      <c r="Q44" s="87" t="str">
        <f>IF(AND('Mapa final'!$AB$55="Baja",'Mapa final'!$AD$55="Menor"),CONCATENATE("R9C",'Mapa final'!$R$55),"")</f>
        <v/>
      </c>
      <c r="R44" s="87" t="str">
        <f>IF(AND('Mapa final'!$AB$56="Baja",'Mapa final'!$AD$56="Menor"),CONCATENATE("R9C",'Mapa final'!$R$56),"")</f>
        <v/>
      </c>
      <c r="S44" s="87" t="str">
        <f>IF(AND('Mapa final'!$AB$57="Baja",'Mapa final'!$AD$57="Menor"),CONCATENATE("R9C",'Mapa final'!$R$57),"")</f>
        <v/>
      </c>
      <c r="T44" s="87" t="str">
        <f>IF(AND('Mapa final'!$AB$58="Baja",'Mapa final'!$AD$58="Menor"),CONCATENATE("R9C",'Mapa final'!$R$58),"")</f>
        <v/>
      </c>
      <c r="U44" s="88" t="str">
        <f>IF(AND('Mapa final'!$AB$59="Baja",'Mapa final'!$AD$59="Menor"),CONCATENATE("R9C",'Mapa final'!$R$59),"")</f>
        <v/>
      </c>
      <c r="V44" s="86" t="str">
        <f>IF(AND('Mapa final'!$AB$54="Baja",'Mapa final'!$AD$54="Moderado"),CONCATENATE("R9C",'Mapa final'!$R$54),"")</f>
        <v/>
      </c>
      <c r="W44" s="87" t="str">
        <f>IF(AND('Mapa final'!$AB$55="Baja",'Mapa final'!$AD$55="Moderado"),CONCATENATE("R9C",'Mapa final'!$R$55),"")</f>
        <v/>
      </c>
      <c r="X44" s="87" t="str">
        <f>IF(AND('Mapa final'!$AB$56="Baja",'Mapa final'!$AD$56="Moderado"),CONCATENATE("R9C",'Mapa final'!$R$56),"")</f>
        <v/>
      </c>
      <c r="Y44" s="87" t="str">
        <f>IF(AND('Mapa final'!$AB$57="Baja",'Mapa final'!$AD$57="Moderado"),CONCATENATE("R9C",'Mapa final'!$R$57),"")</f>
        <v/>
      </c>
      <c r="Z44" s="87" t="str">
        <f>IF(AND('Mapa final'!$AB$58="Baja",'Mapa final'!$AD$58="Moderado"),CONCATENATE("R9C",'Mapa final'!$R$58),"")</f>
        <v/>
      </c>
      <c r="AA44" s="88" t="str">
        <f>IF(AND('Mapa final'!$AB$59="Baja",'Mapa final'!$AD$59="Moderado"),CONCATENATE("R9C",'Mapa final'!$R$59),"")</f>
        <v/>
      </c>
      <c r="AB44" s="71" t="str">
        <f>IF(AND('Mapa final'!$AB$54="Baja",'Mapa final'!$AD$54="Mayor"),CONCATENATE("R9C",'Mapa final'!$R$54),"")</f>
        <v/>
      </c>
      <c r="AC44" s="72" t="str">
        <f>IF(AND('Mapa final'!$AB$55="Baja",'Mapa final'!$AD$55="Mayor"),CONCATENATE("R9C",'Mapa final'!$R$55),"")</f>
        <v/>
      </c>
      <c r="AD44" s="72" t="str">
        <f>IF(AND('Mapa final'!$AB$56="Baja",'Mapa final'!$AD$56="Mayor"),CONCATENATE("R9C",'Mapa final'!$R$56),"")</f>
        <v/>
      </c>
      <c r="AE44" s="72" t="str">
        <f>IF(AND('Mapa final'!$AB$57="Baja",'Mapa final'!$AD$57="Mayor"),CONCATENATE("R9C",'Mapa final'!$R$57),"")</f>
        <v/>
      </c>
      <c r="AF44" s="72" t="str">
        <f>IF(AND('Mapa final'!$AB$58="Baja",'Mapa final'!$AD$58="Mayor"),CONCATENATE("R9C",'Mapa final'!$R$58),"")</f>
        <v/>
      </c>
      <c r="AG44" s="73" t="str">
        <f>IF(AND('Mapa final'!$AB$59="Baja",'Mapa final'!$AD$59="Mayor"),CONCATENATE("R9C",'Mapa final'!$R$59),"")</f>
        <v/>
      </c>
      <c r="AH44" s="74" t="str">
        <f>IF(AND('Mapa final'!$AB$54="Baja",'Mapa final'!$AD$54="Catastrófico"),CONCATENATE("R9C",'Mapa final'!$R$54),"")</f>
        <v/>
      </c>
      <c r="AI44" s="75" t="str">
        <f>IF(AND('Mapa final'!$AB$55="Baja",'Mapa final'!$AD$55="Catastrófico"),CONCATENATE("R9C",'Mapa final'!$R$55),"")</f>
        <v/>
      </c>
      <c r="AJ44" s="75" t="str">
        <f>IF(AND('Mapa final'!$AB$56="Baja",'Mapa final'!$AD$56="Catastrófico"),CONCATENATE("R9C",'Mapa final'!$R$56),"")</f>
        <v/>
      </c>
      <c r="AK44" s="75" t="str">
        <f>IF(AND('Mapa final'!$AB$57="Baja",'Mapa final'!$AD$57="Catastrófico"),CONCATENATE("R9C",'Mapa final'!$R$57),"")</f>
        <v/>
      </c>
      <c r="AL44" s="75" t="str">
        <f>IF(AND('Mapa final'!$AB$58="Baja",'Mapa final'!$AD$58="Catastrófico"),CONCATENATE("R9C",'Mapa final'!$R$58),"")</f>
        <v/>
      </c>
      <c r="AM44" s="76" t="str">
        <f>IF(AND('Mapa final'!$AB$59="Baja",'Mapa final'!$AD$59="Catastrófico"),CONCATENATE("R9C",'Mapa final'!$R$59),"")</f>
        <v/>
      </c>
      <c r="AN44" s="1"/>
      <c r="AO44" s="507"/>
      <c r="AP44" s="507"/>
      <c r="AQ44" s="507"/>
      <c r="AR44" s="507"/>
      <c r="AS44" s="507"/>
      <c r="AT44" s="507"/>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row>
    <row r="45" spans="1:80" ht="15.75" customHeight="1" x14ac:dyDescent="0.3">
      <c r="A45" s="1"/>
      <c r="B45" s="458"/>
      <c r="C45" s="458"/>
      <c r="D45" s="458"/>
      <c r="E45" s="504"/>
      <c r="F45" s="504"/>
      <c r="G45" s="504"/>
      <c r="H45" s="504"/>
      <c r="I45" s="504"/>
      <c r="J45" s="98" t="str">
        <f>IF(AND('Mapa final'!$AB$60="Baja",'Mapa final'!$AD$60="Leve"),CONCATENATE("R10C",'Mapa final'!$R$60),"")</f>
        <v/>
      </c>
      <c r="K45" s="99" t="str">
        <f>IF(AND('Mapa final'!$AB$61="Baja",'Mapa final'!$AD$61="Leve"),CONCATENATE("R10C",'Mapa final'!$R$61),"")</f>
        <v/>
      </c>
      <c r="L45" s="99" t="str">
        <f>IF(AND('Mapa final'!$AB$62="Baja",'Mapa final'!$AD$62="Leve"),CONCATENATE("R10C",'Mapa final'!$R$62),"")</f>
        <v/>
      </c>
      <c r="M45" s="99" t="str">
        <f>IF(AND('Mapa final'!$AB$63="Baja",'Mapa final'!$AD$63="Leve"),CONCATENATE("R10C",'Mapa final'!$R$63),"")</f>
        <v/>
      </c>
      <c r="N45" s="99" t="str">
        <f>IF(AND('Mapa final'!$AB$64="Baja",'Mapa final'!$AD$64="Leve"),CONCATENATE("R10C",'Mapa final'!$R$64),"")</f>
        <v/>
      </c>
      <c r="O45" s="100" t="str">
        <f>IF(AND('Mapa final'!$AB$65="Baja",'Mapa final'!$AD$65="Leve"),CONCATENATE("R10C",'Mapa final'!$R$65),"")</f>
        <v/>
      </c>
      <c r="P45" s="86" t="str">
        <f>IF(AND('Mapa final'!$AB$60="Baja",'Mapa final'!$AD$60="Menor"),CONCATENATE("R10C",'Mapa final'!$R$60),"")</f>
        <v/>
      </c>
      <c r="Q45" s="87" t="str">
        <f>IF(AND('Mapa final'!$AB$61="Baja",'Mapa final'!$AD$61="Menor"),CONCATENATE("R10C",'Mapa final'!$R$61),"")</f>
        <v/>
      </c>
      <c r="R45" s="87" t="str">
        <f>IF(AND('Mapa final'!$AB$62="Baja",'Mapa final'!$AD$62="Menor"),CONCATENATE("R10C",'Mapa final'!$R$62),"")</f>
        <v/>
      </c>
      <c r="S45" s="87" t="str">
        <f>IF(AND('Mapa final'!$AB$63="Baja",'Mapa final'!$AD$63="Menor"),CONCATENATE("R10C",'Mapa final'!$R$63),"")</f>
        <v/>
      </c>
      <c r="T45" s="87" t="str">
        <f>IF(AND('Mapa final'!$AB$64="Baja",'Mapa final'!$AD$64="Menor"),CONCATENATE("R10C",'Mapa final'!$R$64),"")</f>
        <v/>
      </c>
      <c r="U45" s="88" t="str">
        <f>IF(AND('Mapa final'!$AB$65="Baja",'Mapa final'!$AD$65="Menor"),CONCATENATE("R10C",'Mapa final'!$R$65),"")</f>
        <v/>
      </c>
      <c r="V45" s="89" t="str">
        <f>IF(AND('Mapa final'!$AB$60="Baja",'Mapa final'!$AD$60="Moderado"),CONCATENATE("R10C",'Mapa final'!$R$60),"")</f>
        <v/>
      </c>
      <c r="W45" s="90" t="str">
        <f>IF(AND('Mapa final'!$AB$61="Baja",'Mapa final'!$AD$61="Moderado"),CONCATENATE("R10C",'Mapa final'!$R$61),"")</f>
        <v/>
      </c>
      <c r="X45" s="90" t="str">
        <f>IF(AND('Mapa final'!$AB$62="Baja",'Mapa final'!$AD$62="Moderado"),CONCATENATE("R10C",'Mapa final'!$R$62),"")</f>
        <v/>
      </c>
      <c r="Y45" s="90" t="str">
        <f>IF(AND('Mapa final'!$AB$63="Baja",'Mapa final'!$AD$63="Moderado"),CONCATENATE("R10C",'Mapa final'!$R$63),"")</f>
        <v/>
      </c>
      <c r="Z45" s="90" t="str">
        <f>IF(AND('Mapa final'!$AB$64="Baja",'Mapa final'!$AD$64="Moderado"),CONCATENATE("R10C",'Mapa final'!$R$64),"")</f>
        <v/>
      </c>
      <c r="AA45" s="91" t="str">
        <f>IF(AND('Mapa final'!$AB$65="Baja",'Mapa final'!$AD$65="Moderado"),CONCATENATE("R10C",'Mapa final'!$R$65),"")</f>
        <v/>
      </c>
      <c r="AB45" s="77" t="str">
        <f>IF(AND('Mapa final'!$AB$60="Baja",'Mapa final'!$AD$60="Mayor"),CONCATENATE("R10C",'Mapa final'!$R$60),"")</f>
        <v/>
      </c>
      <c r="AC45" s="78" t="str">
        <f>IF(AND('Mapa final'!$AB$61="Baja",'Mapa final'!$AD$61="Mayor"),CONCATENATE("R10C",'Mapa final'!$R$61),"")</f>
        <v/>
      </c>
      <c r="AD45" s="78" t="str">
        <f>IF(AND('Mapa final'!$AB$62="Baja",'Mapa final'!$AD$62="Mayor"),CONCATENATE("R10C",'Mapa final'!$R$62),"")</f>
        <v/>
      </c>
      <c r="AE45" s="78" t="str">
        <f>IF(AND('Mapa final'!$AB$63="Baja",'Mapa final'!$AD$63="Mayor"),CONCATENATE("R10C",'Mapa final'!$R$63),"")</f>
        <v/>
      </c>
      <c r="AF45" s="78" t="str">
        <f>IF(AND('Mapa final'!$AB$64="Baja",'Mapa final'!$AD$64="Mayor"),CONCATENATE("R10C",'Mapa final'!$R$64),"")</f>
        <v/>
      </c>
      <c r="AG45" s="79" t="str">
        <f>IF(AND('Mapa final'!$AB$65="Baja",'Mapa final'!$AD$65="Mayor"),CONCATENATE("R10C",'Mapa final'!$R$65),"")</f>
        <v/>
      </c>
      <c r="AH45" s="80" t="str">
        <f>IF(AND('Mapa final'!$AB$60="Baja",'Mapa final'!$AD$60="Catastrófico"),CONCATENATE("R10C",'Mapa final'!$R$60),"")</f>
        <v/>
      </c>
      <c r="AI45" s="81" t="str">
        <f>IF(AND('Mapa final'!$AB$61="Baja",'Mapa final'!$AD$61="Catastrófico"),CONCATENATE("R10C",'Mapa final'!$R$61),"")</f>
        <v/>
      </c>
      <c r="AJ45" s="81" t="str">
        <f>IF(AND('Mapa final'!$AB$62="Baja",'Mapa final'!$AD$62="Catastrófico"),CONCATENATE("R10C",'Mapa final'!$R$62),"")</f>
        <v/>
      </c>
      <c r="AK45" s="81" t="str">
        <f>IF(AND('Mapa final'!$AB$63="Baja",'Mapa final'!$AD$63="Catastrófico"),CONCATENATE("R10C",'Mapa final'!$R$63),"")</f>
        <v/>
      </c>
      <c r="AL45" s="81" t="str">
        <f>IF(AND('Mapa final'!$AB$64="Baja",'Mapa final'!$AD$64="Catastrófico"),CONCATENATE("R10C",'Mapa final'!$R$64),"")</f>
        <v/>
      </c>
      <c r="AM45" s="82" t="str">
        <f>IF(AND('Mapa final'!$AB$65="Baja",'Mapa final'!$AD$65="Catastrófico"),CONCATENATE("R10C",'Mapa final'!$R$65),"")</f>
        <v/>
      </c>
      <c r="AN45" s="1"/>
      <c r="AO45" s="507"/>
      <c r="AP45" s="507"/>
      <c r="AQ45" s="507"/>
      <c r="AR45" s="507"/>
      <c r="AS45" s="507"/>
      <c r="AT45" s="507"/>
    </row>
    <row r="46" spans="1:80" ht="46.5" customHeight="1" x14ac:dyDescent="0.45">
      <c r="A46" s="1"/>
      <c r="B46" s="458"/>
      <c r="C46" s="458"/>
      <c r="D46" s="458"/>
      <c r="E46" s="502" t="s">
        <v>135</v>
      </c>
      <c r="F46" s="502"/>
      <c r="G46" s="502"/>
      <c r="H46" s="502"/>
      <c r="I46" s="502"/>
      <c r="J46" s="92" t="str">
        <f>IF(AND('Mapa final'!$AB$10="Muy Baja",'Mapa final'!$AD$10="Leve"),CONCATENATE("R1C",'Mapa final'!$R$10),"")</f>
        <v/>
      </c>
      <c r="K46" s="93" t="str">
        <f>IF(AND('Mapa final'!$AB$11="Muy Baja",'Mapa final'!$AD$11="Leve"),CONCATENATE("R1C",'Mapa final'!$R$11),"")</f>
        <v/>
      </c>
      <c r="L46" s="93" t="str">
        <f>IF(AND('Mapa final'!$AB$12="Muy Baja",'Mapa final'!$AD$12="Leve"),CONCATENATE("R1C",'Mapa final'!$R$12),"")</f>
        <v/>
      </c>
      <c r="M46" s="93" t="str">
        <f>IF(AND('Mapa final'!$AB$13="Muy Baja",'Mapa final'!$AD$13="Leve"),CONCATENATE("R1C",'Mapa final'!$R$13),"")</f>
        <v/>
      </c>
      <c r="N46" s="93" t="str">
        <f>IF(AND('Mapa final'!$AB$14="Muy Baja",'Mapa final'!$AD$14="Leve"),CONCATENATE("R1C",'Mapa final'!$R$14),"")</f>
        <v/>
      </c>
      <c r="O46" s="94" t="str">
        <f>IF(AND('Mapa final'!$AB$15="Muy Baja",'Mapa final'!$AD$15="Leve"),CONCATENATE("R1C",'Mapa final'!$R$15),"")</f>
        <v/>
      </c>
      <c r="P46" s="92" t="str">
        <f>IF(AND('Mapa final'!$AB$10="Muy Baja",'Mapa final'!$AD$10="Menor"),CONCATENATE("R1C",'Mapa final'!$R$10),"")</f>
        <v/>
      </c>
      <c r="Q46" s="93" t="str">
        <f>IF(AND('Mapa final'!$AB$11="Muy Baja",'Mapa final'!$AD$11="Menor"),CONCATENATE("R1C",'Mapa final'!$R$11),"")</f>
        <v/>
      </c>
      <c r="R46" s="93" t="str">
        <f>IF(AND('Mapa final'!$AB$12="Muy Baja",'Mapa final'!$AD$12="Menor"),CONCATENATE("R1C",'Mapa final'!$R$12),"")</f>
        <v/>
      </c>
      <c r="S46" s="93" t="str">
        <f>IF(AND('Mapa final'!$AB$13="Muy Baja",'Mapa final'!$AD$13="Menor"),CONCATENATE("R1C",'Mapa final'!$R$13),"")</f>
        <v/>
      </c>
      <c r="T46" s="93" t="str">
        <f>IF(AND('Mapa final'!$AB$14="Muy Baja",'Mapa final'!$AD$14="Menor"),CONCATENATE("R1C",'Mapa final'!$R$14),"")</f>
        <v/>
      </c>
      <c r="U46" s="94" t="str">
        <f>IF(AND('Mapa final'!$AB$15="Muy Baja",'Mapa final'!$AD$15="Menor"),CONCATENATE("R1C",'Mapa final'!$R$15),"")</f>
        <v/>
      </c>
      <c r="V46" s="83" t="str">
        <f>IF(AND('Mapa final'!$AB$10="Muy Baja",'Mapa final'!$AD$10="Moderado"),CONCATENATE("R1C",'Mapa final'!$R$10),"")</f>
        <v/>
      </c>
      <c r="W46" s="101" t="str">
        <f>IF(AND('Mapa final'!$AB$11="Muy Baja",'Mapa final'!$AD$11="Moderado"),CONCATENATE("R1C",'Mapa final'!$R$11),"")</f>
        <v/>
      </c>
      <c r="X46" s="84" t="str">
        <f>IF(AND('Mapa final'!$AB$12="Muy Baja",'Mapa final'!$AD$12="Moderado"),CONCATENATE("R1C",'Mapa final'!$R$12),"")</f>
        <v>R1C3</v>
      </c>
      <c r="Y46" s="84" t="str">
        <f>IF(AND('Mapa final'!$AB$13="Muy Baja",'Mapa final'!$AD$13="Moderado"),CONCATENATE("R1C",'Mapa final'!$R$13),"")</f>
        <v/>
      </c>
      <c r="Z46" s="84" t="str">
        <f>IF(AND('Mapa final'!$AB$14="Muy Baja",'Mapa final'!$AD$14="Moderado"),CONCATENATE("R1C",'Mapa final'!$R$14),"")</f>
        <v/>
      </c>
      <c r="AA46" s="85" t="str">
        <f>IF(AND('Mapa final'!$AB$15="Muy Baja",'Mapa final'!$AD$15="Moderado"),CONCATENATE("R1C",'Mapa final'!$R$15),"")</f>
        <v/>
      </c>
      <c r="AB46" s="65" t="str">
        <f>IF(AND('Mapa final'!$AB$10="Muy Baja",'Mapa final'!$AD$10="Mayor"),CONCATENATE("R1C",'Mapa final'!$R$10),"")</f>
        <v/>
      </c>
      <c r="AC46" s="66" t="str">
        <f>IF(AND('Mapa final'!$AB$11="Muy Baja",'Mapa final'!$AD$11="Mayor"),CONCATENATE("R1C",'Mapa final'!$R$11),"")</f>
        <v/>
      </c>
      <c r="AD46" s="66" t="str">
        <f>IF(AND('Mapa final'!$AB$12="Muy Baja",'Mapa final'!$AD$12="Mayor"),CONCATENATE("R1C",'Mapa final'!$R$12),"")</f>
        <v/>
      </c>
      <c r="AE46" s="66" t="str">
        <f>IF(AND('Mapa final'!$AB$13="Muy Baja",'Mapa final'!$AD$13="Mayor"),CONCATENATE("R1C",'Mapa final'!$R$13),"")</f>
        <v/>
      </c>
      <c r="AF46" s="66" t="str">
        <f>IF(AND('Mapa final'!$AB$14="Muy Baja",'Mapa final'!$AD$14="Mayor"),CONCATENATE("R1C",'Mapa final'!$R$14),"")</f>
        <v/>
      </c>
      <c r="AG46" s="67" t="str">
        <f>IF(AND('Mapa final'!$AB$15="Muy Baja",'Mapa final'!$AD$15="Mayor"),CONCATENATE("R1C",'Mapa final'!$R$15),"")</f>
        <v/>
      </c>
      <c r="AH46" s="68" t="str">
        <f>IF(AND('Mapa final'!$AB$10="Muy Baja",'Mapa final'!$AD$10="Catastrófico"),CONCATENATE("R1C",'Mapa final'!$R$10),"")</f>
        <v/>
      </c>
      <c r="AI46" s="69" t="str">
        <f>IF(AND('Mapa final'!$AB$11="Muy Baja",'Mapa final'!$AD$11="Catastrófico"),CONCATENATE("R1C",'Mapa final'!$R$11),"")</f>
        <v/>
      </c>
      <c r="AJ46" s="69" t="str">
        <f>IF(AND('Mapa final'!$AB$12="Muy Baja",'Mapa final'!$AD$12="Catastrófico"),CONCATENATE("R1C",'Mapa final'!$R$12),"")</f>
        <v/>
      </c>
      <c r="AK46" s="69" t="str">
        <f>IF(AND('Mapa final'!$AB$13="Muy Baja",'Mapa final'!$AD$13="Catastrófico"),CONCATENATE("R1C",'Mapa final'!$R$13),"")</f>
        <v/>
      </c>
      <c r="AL46" s="69" t="str">
        <f>IF(AND('Mapa final'!$AB$14="Muy Baja",'Mapa final'!$AD$14="Catastrófico"),CONCATENATE("R1C",'Mapa final'!$R$14),"")</f>
        <v/>
      </c>
      <c r="AM46" s="70" t="str">
        <f>IF(AND('Mapa final'!$AB$15="Muy Baja",'Mapa final'!$AD$15="Catastrófico"),CONCATENATE("R1C",'Mapa final'!$R$15),"")</f>
        <v/>
      </c>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row>
    <row r="47" spans="1:80" ht="46.5" customHeight="1" x14ac:dyDescent="0.3">
      <c r="A47" s="1"/>
      <c r="B47" s="458"/>
      <c r="C47" s="458"/>
      <c r="D47" s="458"/>
      <c r="E47" s="502"/>
      <c r="F47" s="502"/>
      <c r="G47" s="502"/>
      <c r="H47" s="502"/>
      <c r="I47" s="502"/>
      <c r="J47" s="95" t="str">
        <f>IF(AND('Mapa final'!$AB$16="Muy Baja",'Mapa final'!$AD$16="Leve"),CONCATENATE("R2C",'Mapa final'!$R$16),"")</f>
        <v/>
      </c>
      <c r="K47" s="96" t="str">
        <f>IF(AND('Mapa final'!$AB$17="Muy Baja",'Mapa final'!$AD$17="Leve"),CONCATENATE("R2C",'Mapa final'!$R$17),"")</f>
        <v/>
      </c>
      <c r="L47" s="96" t="str">
        <f>IF(AND('Mapa final'!$AB$18="Muy Baja",'Mapa final'!$AD$18="Leve"),CONCATENATE("R2C",'Mapa final'!$R$18),"")</f>
        <v/>
      </c>
      <c r="M47" s="96" t="str">
        <f>IF(AND('Mapa final'!$AB$19="Muy Baja",'Mapa final'!$AD$19="Leve"),CONCATENATE("R2C",'Mapa final'!$R$19),"")</f>
        <v/>
      </c>
      <c r="N47" s="96" t="str">
        <f>IF(AND('Mapa final'!$AB$20="Muy Baja",'Mapa final'!$AD$20="Leve"),CONCATENATE("R2C",'Mapa final'!$R$20),"")</f>
        <v/>
      </c>
      <c r="O47" s="97" t="str">
        <f>IF(AND('Mapa final'!$AB$21="Muy Baja",'Mapa final'!$AD$21="Leve"),CONCATENATE("R2C",'Mapa final'!$R$21),"")</f>
        <v/>
      </c>
      <c r="P47" s="95" t="str">
        <f>IF(AND('Mapa final'!$AB$16="Muy Baja",'Mapa final'!$AD$16="Menor"),CONCATENATE("R2C",'Mapa final'!$R$16),"")</f>
        <v/>
      </c>
      <c r="Q47" s="96" t="str">
        <f>IF(AND('Mapa final'!$AB$17="Muy Baja",'Mapa final'!$AD$17="Menor"),CONCATENATE("R2C",'Mapa final'!$R$17),"")</f>
        <v>R2C2</v>
      </c>
      <c r="R47" s="96" t="str">
        <f>IF(AND('Mapa final'!$AB$18="Muy Baja",'Mapa final'!$AD$18="Menor"),CONCATENATE("R2C",'Mapa final'!$R$18),"")</f>
        <v/>
      </c>
      <c r="S47" s="96" t="str">
        <f>IF(AND('Mapa final'!$AB$19="Muy Baja",'Mapa final'!$AD$19="Menor"),CONCATENATE("R2C",'Mapa final'!$R$19),"")</f>
        <v/>
      </c>
      <c r="T47" s="96" t="str">
        <f>IF(AND('Mapa final'!$AB$20="Muy Baja",'Mapa final'!$AD$20="Menor"),CONCATENATE("R2C",'Mapa final'!$R$20),"")</f>
        <v/>
      </c>
      <c r="U47" s="97" t="str">
        <f>IF(AND('Mapa final'!$AB$21="Muy Baja",'Mapa final'!$AD$21="Menor"),CONCATENATE("R2C",'Mapa final'!$R$21),"")</f>
        <v/>
      </c>
      <c r="V47" s="86" t="str">
        <f>IF(AND('Mapa final'!$AB$16="Muy Baja",'Mapa final'!$AD$16="Moderado"),CONCATENATE("R2C",'Mapa final'!$R$16),"")</f>
        <v/>
      </c>
      <c r="W47" s="87" t="str">
        <f>IF(AND('Mapa final'!$AB$17="Muy Baja",'Mapa final'!$AD$17="Moderado"),CONCATENATE("R2C",'Mapa final'!$R$17),"")</f>
        <v/>
      </c>
      <c r="X47" s="87" t="str">
        <f>IF(AND('Mapa final'!$AB$18="Muy Baja",'Mapa final'!$AD$18="Moderado"),CONCATENATE("R2C",'Mapa final'!$R$18),"")</f>
        <v/>
      </c>
      <c r="Y47" s="87" t="str">
        <f>IF(AND('Mapa final'!$AB$19="Muy Baja",'Mapa final'!$AD$19="Moderado"),CONCATENATE("R2C",'Mapa final'!$R$19),"")</f>
        <v/>
      </c>
      <c r="Z47" s="87" t="str">
        <f>IF(AND('Mapa final'!$AB$20="Muy Baja",'Mapa final'!$AD$20="Moderado"),CONCATENATE("R2C",'Mapa final'!$R$20),"")</f>
        <v/>
      </c>
      <c r="AA47" s="88" t="str">
        <f>IF(AND('Mapa final'!$AB$21="Muy Baja",'Mapa final'!$AD$21="Moderado"),CONCATENATE("R2C",'Mapa final'!$R$21),"")</f>
        <v/>
      </c>
      <c r="AB47" s="71" t="str">
        <f>IF(AND('Mapa final'!$AB$16="Muy Baja",'Mapa final'!$AD$16="Mayor"),CONCATENATE("R2C",'Mapa final'!$R$16),"")</f>
        <v/>
      </c>
      <c r="AC47" s="72" t="str">
        <f>IF(AND('Mapa final'!$AB$17="Muy Baja",'Mapa final'!$AD$17="Mayor"),CONCATENATE("R2C",'Mapa final'!$R$17),"")</f>
        <v/>
      </c>
      <c r="AD47" s="72" t="str">
        <f>IF(AND('Mapa final'!$AB$18="Muy Baja",'Mapa final'!$AD$18="Mayor"),CONCATENATE("R2C",'Mapa final'!$R$18),"")</f>
        <v/>
      </c>
      <c r="AE47" s="72" t="str">
        <f>IF(AND('Mapa final'!$AB$19="Muy Baja",'Mapa final'!$AD$19="Mayor"),CONCATENATE("R2C",'Mapa final'!$R$19),"")</f>
        <v/>
      </c>
      <c r="AF47" s="72" t="str">
        <f>IF(AND('Mapa final'!$AB$20="Muy Baja",'Mapa final'!$AD$20="Mayor"),CONCATENATE("R2C",'Mapa final'!$R$20),"")</f>
        <v/>
      </c>
      <c r="AG47" s="73" t="str">
        <f>IF(AND('Mapa final'!$AB$21="Muy Baja",'Mapa final'!$AD$21="Mayor"),CONCATENATE("R2C",'Mapa final'!$R$21),"")</f>
        <v/>
      </c>
      <c r="AH47" s="74" t="str">
        <f>IF(AND('Mapa final'!$AB$16="Muy Baja",'Mapa final'!$AD$16="Catastrófico"),CONCATENATE("R2C",'Mapa final'!$R$16),"")</f>
        <v/>
      </c>
      <c r="AI47" s="75" t="str">
        <f>IF(AND('Mapa final'!$AB$17="Muy Baja",'Mapa final'!$AD$17="Catastrófico"),CONCATENATE("R2C",'Mapa final'!$R$17),"")</f>
        <v/>
      </c>
      <c r="AJ47" s="75" t="str">
        <f>IF(AND('Mapa final'!$AB$18="Muy Baja",'Mapa final'!$AD$18="Catastrófico"),CONCATENATE("R2C",'Mapa final'!$R$18),"")</f>
        <v/>
      </c>
      <c r="AK47" s="75" t="str">
        <f>IF(AND('Mapa final'!$AB$19="Muy Baja",'Mapa final'!$AD$19="Catastrófico"),CONCATENATE("R2C",'Mapa final'!$R$19),"")</f>
        <v/>
      </c>
      <c r="AL47" s="75" t="str">
        <f>IF(AND('Mapa final'!$AB$20="Muy Baja",'Mapa final'!$AD$20="Catastrófico"),CONCATENATE("R2C",'Mapa final'!$R$20),"")</f>
        <v/>
      </c>
      <c r="AM47" s="76" t="str">
        <f>IF(AND('Mapa final'!$AB$21="Muy Baja",'Mapa final'!$AD$21="Catastrófico"),CONCATENATE("R2C",'Mapa final'!$R$21),"")</f>
        <v/>
      </c>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row>
    <row r="48" spans="1:80" ht="15" customHeight="1" x14ac:dyDescent="0.3">
      <c r="A48" s="1"/>
      <c r="B48" s="458"/>
      <c r="C48" s="458"/>
      <c r="D48" s="458"/>
      <c r="E48" s="502"/>
      <c r="F48" s="502"/>
      <c r="G48" s="502"/>
      <c r="H48" s="502"/>
      <c r="I48" s="502"/>
      <c r="J48" s="95" t="str">
        <f>IF(AND('Mapa final'!$AB$22="Muy Baja",'Mapa final'!$AD$22="Leve"),CONCATENATE("R3C",'Mapa final'!$R$22),"")</f>
        <v/>
      </c>
      <c r="K48" s="96" t="str">
        <f>IF(AND('Mapa final'!$AB$23="Muy Baja",'Mapa final'!$AD$23="Leve"),CONCATENATE("R3C",'Mapa final'!$R$23),"")</f>
        <v/>
      </c>
      <c r="L48" s="96" t="e">
        <f>IF(AND('Mapa final'!#REF!="Muy Baja",'Mapa final'!#REF!="Leve"),CONCATENATE("R3C",'Mapa final'!#REF!),"")</f>
        <v>#REF!</v>
      </c>
      <c r="M48" s="96" t="e">
        <f>IF(AND('Mapa final'!#REF!="Muy Baja",'Mapa final'!#REF!="Leve"),CONCATENATE("R3C",'Mapa final'!#REF!),"")</f>
        <v>#REF!</v>
      </c>
      <c r="N48" s="96" t="e">
        <f>IF(AND('Mapa final'!#REF!="Muy Baja",'Mapa final'!#REF!="Leve"),CONCATENATE("R3C",'Mapa final'!#REF!),"")</f>
        <v>#REF!</v>
      </c>
      <c r="O48" s="97" t="e">
        <f>IF(AND('Mapa final'!#REF!="Muy Baja",'Mapa final'!#REF!="Leve"),CONCATENATE("R3C",'Mapa final'!#REF!),"")</f>
        <v>#REF!</v>
      </c>
      <c r="P48" s="95" t="str">
        <f>IF(AND('Mapa final'!$AB$22="Muy Baja",'Mapa final'!$AD$22="Menor"),CONCATENATE("R3C",'Mapa final'!$R$22),"")</f>
        <v/>
      </c>
      <c r="Q48" s="96" t="str">
        <f>IF(AND('Mapa final'!$AB$23="Muy Baja",'Mapa final'!$AD$23="Menor"),CONCATENATE("R3C",'Mapa final'!$R$23),"")</f>
        <v/>
      </c>
      <c r="R48" s="96" t="e">
        <f>IF(AND('Mapa final'!#REF!="Muy Baja",'Mapa final'!#REF!="Menor"),CONCATENATE("R3C",'Mapa final'!#REF!),"")</f>
        <v>#REF!</v>
      </c>
      <c r="S48" s="96" t="e">
        <f>IF(AND('Mapa final'!#REF!="Muy Baja",'Mapa final'!#REF!="Menor"),CONCATENATE("R3C",'Mapa final'!#REF!),"")</f>
        <v>#REF!</v>
      </c>
      <c r="T48" s="96" t="e">
        <f>IF(AND('Mapa final'!#REF!="Muy Baja",'Mapa final'!#REF!="Menor"),CONCATENATE("R3C",'Mapa final'!#REF!),"")</f>
        <v>#REF!</v>
      </c>
      <c r="U48" s="97" t="e">
        <f>IF(AND('Mapa final'!#REF!="Muy Baja",'Mapa final'!#REF!="Menor"),CONCATENATE("R3C",'Mapa final'!#REF!),"")</f>
        <v>#REF!</v>
      </c>
      <c r="V48" s="86" t="str">
        <f>IF(AND('Mapa final'!$AB$22="Muy Baja",'Mapa final'!$AD$22="Moderado"),CONCATENATE("R3C",'Mapa final'!$R$22),"")</f>
        <v/>
      </c>
      <c r="W48" s="87" t="str">
        <f>IF(AND('Mapa final'!$AB$23="Muy Baja",'Mapa final'!$AD$23="Moderado"),CONCATENATE("R3C",'Mapa final'!$R$23),"")</f>
        <v/>
      </c>
      <c r="X48" s="87" t="e">
        <f>IF(AND('Mapa final'!#REF!="Muy Baja",'Mapa final'!#REF!="Moderado"),CONCATENATE("R3C",'Mapa final'!#REF!),"")</f>
        <v>#REF!</v>
      </c>
      <c r="Y48" s="87" t="e">
        <f>IF(AND('Mapa final'!#REF!="Muy Baja",'Mapa final'!#REF!="Moderado"),CONCATENATE("R3C",'Mapa final'!#REF!),"")</f>
        <v>#REF!</v>
      </c>
      <c r="Z48" s="87" t="e">
        <f>IF(AND('Mapa final'!#REF!="Muy Baja",'Mapa final'!#REF!="Moderado"),CONCATENATE("R3C",'Mapa final'!#REF!),"")</f>
        <v>#REF!</v>
      </c>
      <c r="AA48" s="88" t="e">
        <f>IF(AND('Mapa final'!#REF!="Muy Baja",'Mapa final'!#REF!="Moderado"),CONCATENATE("R3C",'Mapa final'!#REF!),"")</f>
        <v>#REF!</v>
      </c>
      <c r="AB48" s="71" t="str">
        <f>IF(AND('Mapa final'!$AB$22="Muy Baja",'Mapa final'!$AD$22="Mayor"),CONCATENATE("R3C",'Mapa final'!$R$22),"")</f>
        <v/>
      </c>
      <c r="AC48" s="72" t="str">
        <f>IF(AND('Mapa final'!$AB$23="Muy Baja",'Mapa final'!$AD$23="Mayor"),CONCATENATE("R3C",'Mapa final'!$R$23),"")</f>
        <v/>
      </c>
      <c r="AD48" s="72" t="e">
        <f>IF(AND('Mapa final'!#REF!="Muy Baja",'Mapa final'!#REF!="Mayor"),CONCATENATE("R3C",'Mapa final'!#REF!),"")</f>
        <v>#REF!</v>
      </c>
      <c r="AE48" s="72" t="e">
        <f>IF(AND('Mapa final'!#REF!="Muy Baja",'Mapa final'!#REF!="Mayor"),CONCATENATE("R3C",'Mapa final'!#REF!),"")</f>
        <v>#REF!</v>
      </c>
      <c r="AF48" s="72" t="e">
        <f>IF(AND('Mapa final'!#REF!="Muy Baja",'Mapa final'!#REF!="Mayor"),CONCATENATE("R3C",'Mapa final'!#REF!),"")</f>
        <v>#REF!</v>
      </c>
      <c r="AG48" s="73" t="e">
        <f>IF(AND('Mapa final'!#REF!="Muy Baja",'Mapa final'!#REF!="Mayor"),CONCATENATE("R3C",'Mapa final'!#REF!),"")</f>
        <v>#REF!</v>
      </c>
      <c r="AH48" s="74" t="str">
        <f>IF(AND('Mapa final'!$AB$22="Muy Baja",'Mapa final'!$AD$22="Catastrófico"),CONCATENATE("R3C",'Mapa final'!$R$22),"")</f>
        <v/>
      </c>
      <c r="AI48" s="75" t="str">
        <f>IF(AND('Mapa final'!$AB$23="Muy Baja",'Mapa final'!$AD$23="Catastrófico"),CONCATENATE("R3C",'Mapa final'!$R$23),"")</f>
        <v/>
      </c>
      <c r="AJ48" s="75" t="e">
        <f>IF(AND('Mapa final'!#REF!="Muy Baja",'Mapa final'!#REF!="Catastrófico"),CONCATENATE("R3C",'Mapa final'!#REF!),"")</f>
        <v>#REF!</v>
      </c>
      <c r="AK48" s="75" t="e">
        <f>IF(AND('Mapa final'!#REF!="Muy Baja",'Mapa final'!#REF!="Catastrófico"),CONCATENATE("R3C",'Mapa final'!#REF!),"")</f>
        <v>#REF!</v>
      </c>
      <c r="AL48" s="75" t="e">
        <f>IF(AND('Mapa final'!#REF!="Muy Baja",'Mapa final'!#REF!="Catastrófico"),CONCATENATE("R3C",'Mapa final'!#REF!),"")</f>
        <v>#REF!</v>
      </c>
      <c r="AM48" s="76" t="e">
        <f>IF(AND('Mapa final'!#REF!="Muy Baja",'Mapa final'!#REF!="Catastrófico"),CONCATENATE("R3C",'Mapa final'!#REF!),"")</f>
        <v>#REF!</v>
      </c>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row>
    <row r="49" spans="1:80" ht="15" customHeight="1" x14ac:dyDescent="0.3">
      <c r="A49" s="1"/>
      <c r="B49" s="458"/>
      <c r="C49" s="458"/>
      <c r="D49" s="458"/>
      <c r="E49" s="502"/>
      <c r="F49" s="502"/>
      <c r="G49" s="502"/>
      <c r="H49" s="502"/>
      <c r="I49" s="502"/>
      <c r="J49" s="95" t="str">
        <f>IF(AND('Mapa final'!$AB$24="Muy Baja",'Mapa final'!$AD$24="Leve"),CONCATENATE("R4C",'Mapa final'!$R$24),"")</f>
        <v/>
      </c>
      <c r="K49" s="96" t="str">
        <f>IF(AND('Mapa final'!$AB$25="Muy Baja",'Mapa final'!$AD$25="Leve"),CONCATENATE("R4C",'Mapa final'!$R$25),"")</f>
        <v/>
      </c>
      <c r="L49" s="96" t="str">
        <f>IF(AND('Mapa final'!$AB$26="Muy Baja",'Mapa final'!$AD$26="Leve"),CONCATENATE("R4C",'Mapa final'!$R$26),"")</f>
        <v/>
      </c>
      <c r="M49" s="96" t="str">
        <f>IF(AND('Mapa final'!$AB$27="Muy Baja",'Mapa final'!$AD$27="Leve"),CONCATENATE("R4C",'Mapa final'!$R$27),"")</f>
        <v/>
      </c>
      <c r="N49" s="96" t="str">
        <f>IF(AND('Mapa final'!$AB$28="Muy Baja",'Mapa final'!$AD$28="Leve"),CONCATENATE("R4C",'Mapa final'!$R$28),"")</f>
        <v/>
      </c>
      <c r="O49" s="97" t="str">
        <f>IF(AND('Mapa final'!$AB$29="Muy Baja",'Mapa final'!$AD$29="Leve"),CONCATENATE("R4C",'Mapa final'!$R$29),"")</f>
        <v/>
      </c>
      <c r="P49" s="95" t="str">
        <f>IF(AND('Mapa final'!$AB$24="Muy Baja",'Mapa final'!$AD$24="Menor"),CONCATENATE("R4C",'Mapa final'!$R$24),"")</f>
        <v/>
      </c>
      <c r="Q49" s="96" t="str">
        <f>IF(AND('Mapa final'!$AB$25="Muy Baja",'Mapa final'!$AD$25="Menor"),CONCATENATE("R4C",'Mapa final'!$R$25),"")</f>
        <v/>
      </c>
      <c r="R49" s="96" t="str">
        <f>IF(AND('Mapa final'!$AB$26="Muy Baja",'Mapa final'!$AD$26="Menor"),CONCATENATE("R4C",'Mapa final'!$R$26),"")</f>
        <v/>
      </c>
      <c r="S49" s="96" t="str">
        <f>IF(AND('Mapa final'!$AB$27="Muy Baja",'Mapa final'!$AD$27="Menor"),CONCATENATE("R4C",'Mapa final'!$R$27),"")</f>
        <v/>
      </c>
      <c r="T49" s="96" t="str">
        <f>IF(AND('Mapa final'!$AB$28="Muy Baja",'Mapa final'!$AD$28="Menor"),CONCATENATE("R4C",'Mapa final'!$R$28),"")</f>
        <v/>
      </c>
      <c r="U49" s="97" t="str">
        <f>IF(AND('Mapa final'!$AB$29="Muy Baja",'Mapa final'!$AD$29="Menor"),CONCATENATE("R4C",'Mapa final'!$R$29),"")</f>
        <v/>
      </c>
      <c r="V49" s="86" t="str">
        <f>IF(AND('Mapa final'!$AB$24="Muy Baja",'Mapa final'!$AD$24="Moderado"),CONCATENATE("R4C",'Mapa final'!$R$24),"")</f>
        <v/>
      </c>
      <c r="W49" s="87" t="str">
        <f>IF(AND('Mapa final'!$AB$25="Muy Baja",'Mapa final'!$AD$25="Moderado"),CONCATENATE("R4C",'Mapa final'!$R$25),"")</f>
        <v/>
      </c>
      <c r="X49" s="87" t="str">
        <f>IF(AND('Mapa final'!$AB$26="Muy Baja",'Mapa final'!$AD$26="Moderado"),CONCATENATE("R4C",'Mapa final'!$R$26),"")</f>
        <v/>
      </c>
      <c r="Y49" s="87" t="str">
        <f>IF(AND('Mapa final'!$AB$27="Muy Baja",'Mapa final'!$AD$27="Moderado"),CONCATENATE("R4C",'Mapa final'!$R$27),"")</f>
        <v/>
      </c>
      <c r="Z49" s="87" t="str">
        <f>IF(AND('Mapa final'!$AB$28="Muy Baja",'Mapa final'!$AD$28="Moderado"),CONCATENATE("R4C",'Mapa final'!$R$28),"")</f>
        <v/>
      </c>
      <c r="AA49" s="88" t="str">
        <f>IF(AND('Mapa final'!$AB$29="Muy Baja",'Mapa final'!$AD$29="Moderado"),CONCATENATE("R4C",'Mapa final'!$R$29),"")</f>
        <v/>
      </c>
      <c r="AB49" s="71" t="str">
        <f>IF(AND('Mapa final'!$AB$24="Muy Baja",'Mapa final'!$AD$24="Mayor"),CONCATENATE("R4C",'Mapa final'!$R$24),"")</f>
        <v/>
      </c>
      <c r="AC49" s="72" t="str">
        <f>IF(AND('Mapa final'!$AB$25="Muy Baja",'Mapa final'!$AD$25="Mayor"),CONCATENATE("R4C",'Mapa final'!$R$25),"")</f>
        <v/>
      </c>
      <c r="AD49" s="72" t="str">
        <f>IF(AND('Mapa final'!$AB$26="Muy Baja",'Mapa final'!$AD$26="Mayor"),CONCATENATE("R4C",'Mapa final'!$R$26),"")</f>
        <v/>
      </c>
      <c r="AE49" s="72" t="str">
        <f>IF(AND('Mapa final'!$AB$27="Muy Baja",'Mapa final'!$AD$27="Mayor"),CONCATENATE("R4C",'Mapa final'!$R$27),"")</f>
        <v/>
      </c>
      <c r="AF49" s="72" t="str">
        <f>IF(AND('Mapa final'!$AB$28="Muy Baja",'Mapa final'!$AD$28="Mayor"),CONCATENATE("R4C",'Mapa final'!$R$28),"")</f>
        <v/>
      </c>
      <c r="AG49" s="73" t="str">
        <f>IF(AND('Mapa final'!$AB$29="Muy Baja",'Mapa final'!$AD$29="Mayor"),CONCATENATE("R4C",'Mapa final'!$R$29),"")</f>
        <v/>
      </c>
      <c r="AH49" s="74" t="str">
        <f>IF(AND('Mapa final'!$AB$24="Muy Baja",'Mapa final'!$AD$24="Catastrófico"),CONCATENATE("R4C",'Mapa final'!$R$24),"")</f>
        <v/>
      </c>
      <c r="AI49" s="75" t="str">
        <f>IF(AND('Mapa final'!$AB$25="Muy Baja",'Mapa final'!$AD$25="Catastrófico"),CONCATENATE("R4C",'Mapa final'!$R$25),"")</f>
        <v/>
      </c>
      <c r="AJ49" s="75" t="str">
        <f>IF(AND('Mapa final'!$AB$26="Muy Baja",'Mapa final'!$AD$26="Catastrófico"),CONCATENATE("R4C",'Mapa final'!$R$26),"")</f>
        <v/>
      </c>
      <c r="AK49" s="75" t="str">
        <f>IF(AND('Mapa final'!$AB$27="Muy Baja",'Mapa final'!$AD$27="Catastrófico"),CONCATENATE("R4C",'Mapa final'!$R$27),"")</f>
        <v/>
      </c>
      <c r="AL49" s="75" t="str">
        <f>IF(AND('Mapa final'!$AB$28="Muy Baja",'Mapa final'!$AD$28="Catastrófico"),CONCATENATE("R4C",'Mapa final'!$R$28),"")</f>
        <v/>
      </c>
      <c r="AM49" s="76" t="str">
        <f>IF(AND('Mapa final'!$AB$29="Muy Baja",'Mapa final'!$AD$29="Catastrófico"),CONCATENATE("R4C",'Mapa final'!$R$29),"")</f>
        <v/>
      </c>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row>
    <row r="50" spans="1:80" ht="15" customHeight="1" x14ac:dyDescent="0.3">
      <c r="A50" s="1"/>
      <c r="B50" s="458"/>
      <c r="C50" s="458"/>
      <c r="D50" s="458"/>
      <c r="E50" s="502"/>
      <c r="F50" s="502"/>
      <c r="G50" s="502"/>
      <c r="H50" s="502"/>
      <c r="I50" s="502"/>
      <c r="J50" s="95" t="str">
        <f>IF(AND('Mapa final'!$AB$30="Muy Baja",'Mapa final'!$AD$30="Leve"),CONCATENATE("R5C",'Mapa final'!$R$30),"")</f>
        <v/>
      </c>
      <c r="K50" s="96" t="str">
        <f>IF(AND('Mapa final'!$AB$31="Muy Baja",'Mapa final'!$AD$31="Leve"),CONCATENATE("R5C",'Mapa final'!$R$31),"")</f>
        <v/>
      </c>
      <c r="L50" s="96" t="str">
        <f>IF(AND('Mapa final'!$AB$32="Muy Baja",'Mapa final'!$AD$32="Leve"),CONCATENATE("R5C",'Mapa final'!$R$32),"")</f>
        <v/>
      </c>
      <c r="M50" s="96" t="str">
        <f>IF(AND('Mapa final'!$AB$33="Muy Baja",'Mapa final'!$AD$33="Leve"),CONCATENATE("R5C",'Mapa final'!$R$33),"")</f>
        <v/>
      </c>
      <c r="N50" s="96" t="str">
        <f>IF(AND('Mapa final'!$AB$34="Muy Baja",'Mapa final'!$AD$34="Leve"),CONCATENATE("R5C",'Mapa final'!$R$34),"")</f>
        <v/>
      </c>
      <c r="O50" s="97" t="str">
        <f>IF(AND('Mapa final'!$AB$35="Muy Baja",'Mapa final'!$AD$35="Leve"),CONCATENATE("R5C",'Mapa final'!$R$35),"")</f>
        <v/>
      </c>
      <c r="P50" s="95" t="str">
        <f>IF(AND('Mapa final'!$AB$30="Muy Baja",'Mapa final'!$AD$30="Menor"),CONCATENATE("R5C",'Mapa final'!$R$30),"")</f>
        <v/>
      </c>
      <c r="Q50" s="96" t="str">
        <f>IF(AND('Mapa final'!$AB$31="Muy Baja",'Mapa final'!$AD$31="Menor"),CONCATENATE("R5C",'Mapa final'!$R$31),"")</f>
        <v/>
      </c>
      <c r="R50" s="96" t="str">
        <f>IF(AND('Mapa final'!$AB$32="Muy Baja",'Mapa final'!$AD$32="Menor"),CONCATENATE("R5C",'Mapa final'!$R$32),"")</f>
        <v/>
      </c>
      <c r="S50" s="96" t="str">
        <f>IF(AND('Mapa final'!$AB$33="Muy Baja",'Mapa final'!$AD$33="Menor"),CONCATENATE("R5C",'Mapa final'!$R$33),"")</f>
        <v/>
      </c>
      <c r="T50" s="96" t="str">
        <f>IF(AND('Mapa final'!$AB$34="Muy Baja",'Mapa final'!$AD$34="Menor"),CONCATENATE("R5C",'Mapa final'!$R$34),"")</f>
        <v/>
      </c>
      <c r="U50" s="97" t="str">
        <f>IF(AND('Mapa final'!$AB$35="Muy Baja",'Mapa final'!$AD$35="Menor"),CONCATENATE("R5C",'Mapa final'!$R$35),"")</f>
        <v/>
      </c>
      <c r="V50" s="86" t="str">
        <f>IF(AND('Mapa final'!$AB$30="Muy Baja",'Mapa final'!$AD$30="Moderado"),CONCATENATE("R5C",'Mapa final'!$R$30),"")</f>
        <v/>
      </c>
      <c r="W50" s="87" t="str">
        <f>IF(AND('Mapa final'!$AB$31="Muy Baja",'Mapa final'!$AD$31="Moderado"),CONCATENATE("R5C",'Mapa final'!$R$31),"")</f>
        <v/>
      </c>
      <c r="X50" s="87" t="str">
        <f>IF(AND('Mapa final'!$AB$32="Muy Baja",'Mapa final'!$AD$32="Moderado"),CONCATENATE("R5C",'Mapa final'!$R$32),"")</f>
        <v/>
      </c>
      <c r="Y50" s="87" t="str">
        <f>IF(AND('Mapa final'!$AB$33="Muy Baja",'Mapa final'!$AD$33="Moderado"),CONCATENATE("R5C",'Mapa final'!$R$33),"")</f>
        <v/>
      </c>
      <c r="Z50" s="87" t="str">
        <f>IF(AND('Mapa final'!$AB$34="Muy Baja",'Mapa final'!$AD$34="Moderado"),CONCATENATE("R5C",'Mapa final'!$R$34),"")</f>
        <v/>
      </c>
      <c r="AA50" s="88" t="str">
        <f>IF(AND('Mapa final'!$AB$35="Muy Baja",'Mapa final'!$AD$35="Moderado"),CONCATENATE("R5C",'Mapa final'!$R$35),"")</f>
        <v/>
      </c>
      <c r="AB50" s="71" t="str">
        <f>IF(AND('Mapa final'!$AB$30="Muy Baja",'Mapa final'!$AD$30="Mayor"),CONCATENATE("R5C",'Mapa final'!$R$30),"")</f>
        <v/>
      </c>
      <c r="AC50" s="72" t="str">
        <f>IF(AND('Mapa final'!$AB$31="Muy Baja",'Mapa final'!$AD$31="Mayor"),CONCATENATE("R5C",'Mapa final'!$R$31),"")</f>
        <v/>
      </c>
      <c r="AD50" s="72" t="str">
        <f>IF(AND('Mapa final'!$AB$32="Muy Baja",'Mapa final'!$AD$32="Mayor"),CONCATENATE("R5C",'Mapa final'!$R$32),"")</f>
        <v/>
      </c>
      <c r="AE50" s="72" t="str">
        <f>IF(AND('Mapa final'!$AB$33="Muy Baja",'Mapa final'!$AD$33="Mayor"),CONCATENATE("R5C",'Mapa final'!$R$33),"")</f>
        <v/>
      </c>
      <c r="AF50" s="72" t="str">
        <f>IF(AND('Mapa final'!$AB$34="Muy Baja",'Mapa final'!$AD$34="Mayor"),CONCATENATE("R5C",'Mapa final'!$R$34),"")</f>
        <v/>
      </c>
      <c r="AG50" s="73" t="str">
        <f>IF(AND('Mapa final'!$AB$35="Muy Baja",'Mapa final'!$AD$35="Mayor"),CONCATENATE("R5C",'Mapa final'!$R$35),"")</f>
        <v/>
      </c>
      <c r="AH50" s="74" t="str">
        <f>IF(AND('Mapa final'!$AB$30="Muy Baja",'Mapa final'!$AD$30="Catastrófico"),CONCATENATE("R5C",'Mapa final'!$R$30),"")</f>
        <v/>
      </c>
      <c r="AI50" s="75" t="str">
        <f>IF(AND('Mapa final'!$AB$31="Muy Baja",'Mapa final'!$AD$31="Catastrófico"),CONCATENATE("R5C",'Mapa final'!$R$31),"")</f>
        <v/>
      </c>
      <c r="AJ50" s="75" t="str">
        <f>IF(AND('Mapa final'!$AB$32="Muy Baja",'Mapa final'!$AD$32="Catastrófico"),CONCATENATE("R5C",'Mapa final'!$R$32),"")</f>
        <v/>
      </c>
      <c r="AK50" s="75" t="str">
        <f>IF(AND('Mapa final'!$AB$33="Muy Baja",'Mapa final'!$AD$33="Catastrófico"),CONCATENATE("R5C",'Mapa final'!$R$33),"")</f>
        <v/>
      </c>
      <c r="AL50" s="75" t="str">
        <f>IF(AND('Mapa final'!$AB$34="Muy Baja",'Mapa final'!$AD$34="Catastrófico"),CONCATENATE("R5C",'Mapa final'!$R$34),"")</f>
        <v/>
      </c>
      <c r="AM50" s="76" t="str">
        <f>IF(AND('Mapa final'!$AB$35="Muy Baja",'Mapa final'!$AD$35="Catastrófico"),CONCATENATE("R5C",'Mapa final'!$R$35),"")</f>
        <v/>
      </c>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row>
    <row r="51" spans="1:80" ht="15" customHeight="1" x14ac:dyDescent="0.3">
      <c r="A51" s="1"/>
      <c r="B51" s="458"/>
      <c r="C51" s="458"/>
      <c r="D51" s="458"/>
      <c r="E51" s="502"/>
      <c r="F51" s="502"/>
      <c r="G51" s="502"/>
      <c r="H51" s="502"/>
      <c r="I51" s="502"/>
      <c r="J51" s="95" t="str">
        <f>IF(AND('Mapa final'!$AB$36="Muy Baja",'Mapa final'!$AD$36="Leve"),CONCATENATE("R6C",'Mapa final'!$R$36),"")</f>
        <v/>
      </c>
      <c r="K51" s="96" t="str">
        <f>IF(AND('Mapa final'!$AB$37="Muy Baja",'Mapa final'!$AD$37="Leve"),CONCATENATE("R6C",'Mapa final'!$R$37),"")</f>
        <v/>
      </c>
      <c r="L51" s="96" t="str">
        <f>IF(AND('Mapa final'!$AB$38="Muy Baja",'Mapa final'!$AD$38="Leve"),CONCATENATE("R6C",'Mapa final'!$R$38),"")</f>
        <v/>
      </c>
      <c r="M51" s="96" t="str">
        <f>IF(AND('Mapa final'!$AB$39="Muy Baja",'Mapa final'!$AD$39="Leve"),CONCATENATE("R6C",'Mapa final'!$R$39),"")</f>
        <v/>
      </c>
      <c r="N51" s="96" t="str">
        <f>IF(AND('Mapa final'!$AB$40="Muy Baja",'Mapa final'!$AD$40="Leve"),CONCATENATE("R6C",'Mapa final'!$R$40),"")</f>
        <v/>
      </c>
      <c r="O51" s="97" t="str">
        <f>IF(AND('Mapa final'!$AB$41="Muy Baja",'Mapa final'!$AD$41="Leve"),CONCATENATE("R6C",'Mapa final'!$R$41),"")</f>
        <v/>
      </c>
      <c r="P51" s="95" t="str">
        <f>IF(AND('Mapa final'!$AB$36="Muy Baja",'Mapa final'!$AD$36="Menor"),CONCATENATE("R6C",'Mapa final'!$R$36),"")</f>
        <v/>
      </c>
      <c r="Q51" s="96" t="str">
        <f>IF(AND('Mapa final'!$AB$37="Muy Baja",'Mapa final'!$AD$37="Menor"),CONCATENATE("R6C",'Mapa final'!$R$37),"")</f>
        <v/>
      </c>
      <c r="R51" s="96" t="str">
        <f>IF(AND('Mapa final'!$AB$38="Muy Baja",'Mapa final'!$AD$38="Menor"),CONCATENATE("R6C",'Mapa final'!$R$38),"")</f>
        <v/>
      </c>
      <c r="S51" s="96" t="str">
        <f>IF(AND('Mapa final'!$AB$39="Muy Baja",'Mapa final'!$AD$39="Menor"),CONCATENATE("R6C",'Mapa final'!$R$39),"")</f>
        <v/>
      </c>
      <c r="T51" s="96" t="str">
        <f>IF(AND('Mapa final'!$AB$40="Muy Baja",'Mapa final'!$AD$40="Menor"),CONCATENATE("R6C",'Mapa final'!$R$40),"")</f>
        <v/>
      </c>
      <c r="U51" s="97" t="str">
        <f>IF(AND('Mapa final'!$AB$41="Muy Baja",'Mapa final'!$AD$41="Menor"),CONCATENATE("R6C",'Mapa final'!$R$41),"")</f>
        <v/>
      </c>
      <c r="V51" s="86" t="str">
        <f>IF(AND('Mapa final'!$AB$36="Muy Baja",'Mapa final'!$AD$36="Moderado"),CONCATENATE("R6C",'Mapa final'!$R$36),"")</f>
        <v/>
      </c>
      <c r="W51" s="87" t="str">
        <f>IF(AND('Mapa final'!$AB$37="Muy Baja",'Mapa final'!$AD$37="Moderado"),CONCATENATE("R6C",'Mapa final'!$R$37),"")</f>
        <v/>
      </c>
      <c r="X51" s="87" t="str">
        <f>IF(AND('Mapa final'!$AB$38="Muy Baja",'Mapa final'!$AD$38="Moderado"),CONCATENATE("R6C",'Mapa final'!$R$38),"")</f>
        <v/>
      </c>
      <c r="Y51" s="87" t="str">
        <f>IF(AND('Mapa final'!$AB$39="Muy Baja",'Mapa final'!$AD$39="Moderado"),CONCATENATE("R6C",'Mapa final'!$R$39),"")</f>
        <v/>
      </c>
      <c r="Z51" s="87" t="str">
        <f>IF(AND('Mapa final'!$AB$40="Muy Baja",'Mapa final'!$AD$40="Moderado"),CONCATENATE("R6C",'Mapa final'!$R$40),"")</f>
        <v/>
      </c>
      <c r="AA51" s="88" t="str">
        <f>IF(AND('Mapa final'!$AB$41="Muy Baja",'Mapa final'!$AD$41="Moderado"),CONCATENATE("R6C",'Mapa final'!$R$41),"")</f>
        <v/>
      </c>
      <c r="AB51" s="71" t="str">
        <f>IF(AND('Mapa final'!$AB$36="Muy Baja",'Mapa final'!$AD$36="Mayor"),CONCATENATE("R6C",'Mapa final'!$R$36),"")</f>
        <v/>
      </c>
      <c r="AC51" s="72" t="str">
        <f>IF(AND('Mapa final'!$AB$37="Muy Baja",'Mapa final'!$AD$37="Mayor"),CONCATENATE("R6C",'Mapa final'!$R$37),"")</f>
        <v/>
      </c>
      <c r="AD51" s="72" t="str">
        <f>IF(AND('Mapa final'!$AB$38="Muy Baja",'Mapa final'!$AD$38="Mayor"),CONCATENATE("R6C",'Mapa final'!$R$38),"")</f>
        <v/>
      </c>
      <c r="AE51" s="72" t="str">
        <f>IF(AND('Mapa final'!$AB$39="Muy Baja",'Mapa final'!$AD$39="Mayor"),CONCATENATE("R6C",'Mapa final'!$R$39),"")</f>
        <v/>
      </c>
      <c r="AF51" s="72" t="str">
        <f>IF(AND('Mapa final'!$AB$40="Muy Baja",'Mapa final'!$AD$40="Mayor"),CONCATENATE("R6C",'Mapa final'!$R$40),"")</f>
        <v/>
      </c>
      <c r="AG51" s="73" t="str">
        <f>IF(AND('Mapa final'!$AB$41="Muy Baja",'Mapa final'!$AD$41="Mayor"),CONCATENATE("R6C",'Mapa final'!$R$41),"")</f>
        <v/>
      </c>
      <c r="AH51" s="74" t="str">
        <f>IF(AND('Mapa final'!$AB$36="Muy Baja",'Mapa final'!$AD$36="Catastrófico"),CONCATENATE("R6C",'Mapa final'!$R$36),"")</f>
        <v/>
      </c>
      <c r="AI51" s="75" t="str">
        <f>IF(AND('Mapa final'!$AB$37="Muy Baja",'Mapa final'!$AD$37="Catastrófico"),CONCATENATE("R6C",'Mapa final'!$R$37),"")</f>
        <v/>
      </c>
      <c r="AJ51" s="75" t="str">
        <f>IF(AND('Mapa final'!$AB$38="Muy Baja",'Mapa final'!$AD$38="Catastrófico"),CONCATENATE("R6C",'Mapa final'!$R$38),"")</f>
        <v/>
      </c>
      <c r="AK51" s="75" t="str">
        <f>IF(AND('Mapa final'!$AB$39="Muy Baja",'Mapa final'!$AD$39="Catastrófico"),CONCATENATE("R6C",'Mapa final'!$R$39),"")</f>
        <v/>
      </c>
      <c r="AL51" s="75" t="str">
        <f>IF(AND('Mapa final'!$AB$40="Muy Baja",'Mapa final'!$AD$40="Catastrófico"),CONCATENATE("R6C",'Mapa final'!$R$40),"")</f>
        <v/>
      </c>
      <c r="AM51" s="76" t="str">
        <f>IF(AND('Mapa final'!$AB$41="Muy Baja",'Mapa final'!$AD$41="Catastrófico"),CONCATENATE("R6C",'Mapa final'!$R$41),"")</f>
        <v/>
      </c>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row>
    <row r="52" spans="1:80" ht="15" customHeight="1" x14ac:dyDescent="0.3">
      <c r="A52" s="1"/>
      <c r="B52" s="458"/>
      <c r="C52" s="458"/>
      <c r="D52" s="458"/>
      <c r="E52" s="502"/>
      <c r="F52" s="502"/>
      <c r="G52" s="502"/>
      <c r="H52" s="502"/>
      <c r="I52" s="502"/>
      <c r="J52" s="95" t="str">
        <f>IF(AND('Mapa final'!$AB$42="Muy Baja",'Mapa final'!$AD$42="Leve"),CONCATENATE("R7C",'Mapa final'!$R$42),"")</f>
        <v/>
      </c>
      <c r="K52" s="96" t="str">
        <f>IF(AND('Mapa final'!$AB$43="Muy Baja",'Mapa final'!$AD$43="Leve"),CONCATENATE("R7C",'Mapa final'!$R$43),"")</f>
        <v/>
      </c>
      <c r="L52" s="96" t="str">
        <f>IF(AND('Mapa final'!$AB$44="Muy Baja",'Mapa final'!$AD$44="Leve"),CONCATENATE("R7C",'Mapa final'!$R$44),"")</f>
        <v/>
      </c>
      <c r="M52" s="96" t="str">
        <f>IF(AND('Mapa final'!$AB$45="Muy Baja",'Mapa final'!$AD$45="Leve"),CONCATENATE("R7C",'Mapa final'!$R$45),"")</f>
        <v/>
      </c>
      <c r="N52" s="96" t="str">
        <f>IF(AND('Mapa final'!$AB$46="Muy Baja",'Mapa final'!$AD$46="Leve"),CONCATENATE("R7C",'Mapa final'!$R$46),"")</f>
        <v/>
      </c>
      <c r="O52" s="97" t="str">
        <f>IF(AND('Mapa final'!$AB$47="Muy Baja",'Mapa final'!$AD$47="Leve"),CONCATENATE("R7C",'Mapa final'!$R$47),"")</f>
        <v/>
      </c>
      <c r="P52" s="95" t="str">
        <f>IF(AND('Mapa final'!$AB$42="Muy Baja",'Mapa final'!$AD$42="Menor"),CONCATENATE("R7C",'Mapa final'!$R$42),"")</f>
        <v/>
      </c>
      <c r="Q52" s="96" t="str">
        <f>IF(AND('Mapa final'!$AB$43="Muy Baja",'Mapa final'!$AD$43="Menor"),CONCATENATE("R7C",'Mapa final'!$R$43),"")</f>
        <v/>
      </c>
      <c r="R52" s="96" t="str">
        <f>IF(AND('Mapa final'!$AB$44="Muy Baja",'Mapa final'!$AD$44="Menor"),CONCATENATE("R7C",'Mapa final'!$R$44),"")</f>
        <v/>
      </c>
      <c r="S52" s="96" t="str">
        <f>IF(AND('Mapa final'!$AB$45="Muy Baja",'Mapa final'!$AD$45="Menor"),CONCATENATE("R7C",'Mapa final'!$R$45),"")</f>
        <v/>
      </c>
      <c r="T52" s="96" t="str">
        <f>IF(AND('Mapa final'!$AB$46="Muy Baja",'Mapa final'!$AD$46="Menor"),CONCATENATE("R7C",'Mapa final'!$R$46),"")</f>
        <v/>
      </c>
      <c r="U52" s="97" t="str">
        <f>IF(AND('Mapa final'!$AB$47="Muy Baja",'Mapa final'!$AD$47="Menor"),CONCATENATE("R7C",'Mapa final'!$R$47),"")</f>
        <v/>
      </c>
      <c r="V52" s="86" t="str">
        <f>IF(AND('Mapa final'!$AB$42="Muy Baja",'Mapa final'!$AD$42="Moderado"),CONCATENATE("R7C",'Mapa final'!$R$42),"")</f>
        <v/>
      </c>
      <c r="W52" s="87" t="str">
        <f>IF(AND('Mapa final'!$AB$43="Muy Baja",'Mapa final'!$AD$43="Moderado"),CONCATENATE("R7C",'Mapa final'!$R$43),"")</f>
        <v/>
      </c>
      <c r="X52" s="87" t="str">
        <f>IF(AND('Mapa final'!$AB$44="Muy Baja",'Mapa final'!$AD$44="Moderado"),CONCATENATE("R7C",'Mapa final'!$R$44),"")</f>
        <v/>
      </c>
      <c r="Y52" s="87" t="str">
        <f>IF(AND('Mapa final'!$AB$45="Muy Baja",'Mapa final'!$AD$45="Moderado"),CONCATENATE("R7C",'Mapa final'!$R$45),"")</f>
        <v/>
      </c>
      <c r="Z52" s="87" t="str">
        <f>IF(AND('Mapa final'!$AB$46="Muy Baja",'Mapa final'!$AD$46="Moderado"),CONCATENATE("R7C",'Mapa final'!$R$46),"")</f>
        <v/>
      </c>
      <c r="AA52" s="88" t="str">
        <f>IF(AND('Mapa final'!$AB$47="Muy Baja",'Mapa final'!$AD$47="Moderado"),CONCATENATE("R7C",'Mapa final'!$R$47),"")</f>
        <v/>
      </c>
      <c r="AB52" s="71" t="str">
        <f>IF(AND('Mapa final'!$AB$42="Muy Baja",'Mapa final'!$AD$42="Mayor"),CONCATENATE("R7C",'Mapa final'!$R$42),"")</f>
        <v/>
      </c>
      <c r="AC52" s="72" t="str">
        <f>IF(AND('Mapa final'!$AB$43="Muy Baja",'Mapa final'!$AD$43="Mayor"),CONCATENATE("R7C",'Mapa final'!$R$43),"")</f>
        <v/>
      </c>
      <c r="AD52" s="72" t="str">
        <f>IF(AND('Mapa final'!$AB$44="Muy Baja",'Mapa final'!$AD$44="Mayor"),CONCATENATE("R7C",'Mapa final'!$R$44),"")</f>
        <v/>
      </c>
      <c r="AE52" s="72" t="str">
        <f>IF(AND('Mapa final'!$AB$45="Muy Baja",'Mapa final'!$AD$45="Mayor"),CONCATENATE("R7C",'Mapa final'!$R$45),"")</f>
        <v/>
      </c>
      <c r="AF52" s="72" t="str">
        <f>IF(AND('Mapa final'!$AB$46="Muy Baja",'Mapa final'!$AD$46="Mayor"),CONCATENATE("R7C",'Mapa final'!$R$46),"")</f>
        <v/>
      </c>
      <c r="AG52" s="73" t="str">
        <f>IF(AND('Mapa final'!$AB$47="Muy Baja",'Mapa final'!$AD$47="Mayor"),CONCATENATE("R7C",'Mapa final'!$R$47),"")</f>
        <v/>
      </c>
      <c r="AH52" s="74" t="str">
        <f>IF(AND('Mapa final'!$AB$42="Muy Baja",'Mapa final'!$AD$42="Catastrófico"),CONCATENATE("R7C",'Mapa final'!$R$42),"")</f>
        <v/>
      </c>
      <c r="AI52" s="75" t="str">
        <f>IF(AND('Mapa final'!$AB$43="Muy Baja",'Mapa final'!$AD$43="Catastrófico"),CONCATENATE("R7C",'Mapa final'!$R$43),"")</f>
        <v/>
      </c>
      <c r="AJ52" s="75" t="str">
        <f>IF(AND('Mapa final'!$AB$44="Muy Baja",'Mapa final'!$AD$44="Catastrófico"),CONCATENATE("R7C",'Mapa final'!$R$44),"")</f>
        <v/>
      </c>
      <c r="AK52" s="75" t="str">
        <f>IF(AND('Mapa final'!$AB$45="Muy Baja",'Mapa final'!$AD$45="Catastrófico"),CONCATENATE("R7C",'Mapa final'!$R$45),"")</f>
        <v/>
      </c>
      <c r="AL52" s="75" t="str">
        <f>IF(AND('Mapa final'!$AB$46="Muy Baja",'Mapa final'!$AD$46="Catastrófico"),CONCATENATE("R7C",'Mapa final'!$R$46),"")</f>
        <v/>
      </c>
      <c r="AM52" s="76" t="str">
        <f>IF(AND('Mapa final'!$AB$47="Muy Baja",'Mapa final'!$AD$47="Catastrófico"),CONCATENATE("R7C",'Mapa final'!$R$47),"")</f>
        <v/>
      </c>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row>
    <row r="53" spans="1:80" ht="15" customHeight="1" x14ac:dyDescent="0.3">
      <c r="A53" s="1"/>
      <c r="B53" s="458"/>
      <c r="C53" s="458"/>
      <c r="D53" s="458"/>
      <c r="E53" s="502"/>
      <c r="F53" s="502"/>
      <c r="G53" s="502"/>
      <c r="H53" s="502"/>
      <c r="I53" s="502"/>
      <c r="J53" s="95" t="str">
        <f>IF(AND('Mapa final'!$AB$48="Muy Baja",'Mapa final'!$AD$48="Leve"),CONCATENATE("R8C",'Mapa final'!$R$48),"")</f>
        <v/>
      </c>
      <c r="K53" s="96" t="str">
        <f>IF(AND('Mapa final'!$AB$49="Muy Baja",'Mapa final'!$AD$49="Leve"),CONCATENATE("R8C",'Mapa final'!$R$49),"")</f>
        <v/>
      </c>
      <c r="L53" s="96" t="str">
        <f>IF(AND('Mapa final'!$AB$50="Muy Baja",'Mapa final'!$AD$50="Leve"),CONCATENATE("R8C",'Mapa final'!$R$50),"")</f>
        <v/>
      </c>
      <c r="M53" s="96" t="str">
        <f>IF(AND('Mapa final'!$AB$51="Muy Baja",'Mapa final'!$AD$51="Leve"),CONCATENATE("R8C",'Mapa final'!$R$51),"")</f>
        <v/>
      </c>
      <c r="N53" s="96" t="str">
        <f>IF(AND('Mapa final'!$AB$52="Muy Baja",'Mapa final'!$AD$52="Leve"),CONCATENATE("R8C",'Mapa final'!$R$52),"")</f>
        <v/>
      </c>
      <c r="O53" s="97" t="str">
        <f>IF(AND('Mapa final'!$AB$53="Muy Baja",'Mapa final'!$AD$53="Leve"),CONCATENATE("R8C",'Mapa final'!$R$53),"")</f>
        <v/>
      </c>
      <c r="P53" s="95" t="str">
        <f>IF(AND('Mapa final'!$AB$48="Muy Baja",'Mapa final'!$AD$48="Menor"),CONCATENATE("R8C",'Mapa final'!$R$48),"")</f>
        <v/>
      </c>
      <c r="Q53" s="96" t="str">
        <f>IF(AND('Mapa final'!$AB$49="Muy Baja",'Mapa final'!$AD$49="Menor"),CONCATENATE("R8C",'Mapa final'!$R$49),"")</f>
        <v/>
      </c>
      <c r="R53" s="96" t="str">
        <f>IF(AND('Mapa final'!$AB$50="Muy Baja",'Mapa final'!$AD$50="Menor"),CONCATENATE("R8C",'Mapa final'!$R$50),"")</f>
        <v/>
      </c>
      <c r="S53" s="96" t="str">
        <f>IF(AND('Mapa final'!$AB$51="Muy Baja",'Mapa final'!$AD$51="Menor"),CONCATENATE("R8C",'Mapa final'!$R$51),"")</f>
        <v/>
      </c>
      <c r="T53" s="96" t="str">
        <f>IF(AND('Mapa final'!$AB$52="Muy Baja",'Mapa final'!$AD$52="Menor"),CONCATENATE("R8C",'Mapa final'!$R$52),"")</f>
        <v/>
      </c>
      <c r="U53" s="97" t="str">
        <f>IF(AND('Mapa final'!$AB$53="Muy Baja",'Mapa final'!$AD$53="Menor"),CONCATENATE("R8C",'Mapa final'!$R$53),"")</f>
        <v/>
      </c>
      <c r="V53" s="86" t="str">
        <f>IF(AND('Mapa final'!$AB$48="Muy Baja",'Mapa final'!$AD$48="Moderado"),CONCATENATE("R8C",'Mapa final'!$R$48),"")</f>
        <v/>
      </c>
      <c r="W53" s="87" t="str">
        <f>IF(AND('Mapa final'!$AB$49="Muy Baja",'Mapa final'!$AD$49="Moderado"),CONCATENATE("R8C",'Mapa final'!$R$49),"")</f>
        <v/>
      </c>
      <c r="X53" s="87" t="str">
        <f>IF(AND('Mapa final'!$AB$50="Muy Baja",'Mapa final'!$AD$50="Moderado"),CONCATENATE("R8C",'Mapa final'!$R$50),"")</f>
        <v/>
      </c>
      <c r="Y53" s="87" t="str">
        <f>IF(AND('Mapa final'!$AB$51="Muy Baja",'Mapa final'!$AD$51="Moderado"),CONCATENATE("R8C",'Mapa final'!$R$51),"")</f>
        <v/>
      </c>
      <c r="Z53" s="87" t="str">
        <f>IF(AND('Mapa final'!$AB$52="Muy Baja",'Mapa final'!$AD$52="Moderado"),CONCATENATE("R8C",'Mapa final'!$R$52),"")</f>
        <v/>
      </c>
      <c r="AA53" s="88" t="str">
        <f>IF(AND('Mapa final'!$AB$53="Muy Baja",'Mapa final'!$AD$53="Moderado"),CONCATENATE("R8C",'Mapa final'!$R$53),"")</f>
        <v/>
      </c>
      <c r="AB53" s="71" t="str">
        <f>IF(AND('Mapa final'!$AB$48="Muy Baja",'Mapa final'!$AD$48="Mayor"),CONCATENATE("R8C",'Mapa final'!$R$48),"")</f>
        <v/>
      </c>
      <c r="AC53" s="72" t="str">
        <f>IF(AND('Mapa final'!$AB$49="Muy Baja",'Mapa final'!$AD$49="Mayor"),CONCATENATE("R8C",'Mapa final'!$R$49),"")</f>
        <v/>
      </c>
      <c r="AD53" s="72" t="str">
        <f>IF(AND('Mapa final'!$AB$50="Muy Baja",'Mapa final'!$AD$50="Mayor"),CONCATENATE("R8C",'Mapa final'!$R$50),"")</f>
        <v/>
      </c>
      <c r="AE53" s="72" t="str">
        <f>IF(AND('Mapa final'!$AB$51="Muy Baja",'Mapa final'!$AD$51="Mayor"),CONCATENATE("R8C",'Mapa final'!$R$51),"")</f>
        <v/>
      </c>
      <c r="AF53" s="72" t="str">
        <f>IF(AND('Mapa final'!$AB$52="Muy Baja",'Mapa final'!$AD$52="Mayor"),CONCATENATE("R8C",'Mapa final'!$R$52),"")</f>
        <v/>
      </c>
      <c r="AG53" s="73" t="str">
        <f>IF(AND('Mapa final'!$AB$53="Muy Baja",'Mapa final'!$AD$53="Mayor"),CONCATENATE("R8C",'Mapa final'!$R$53),"")</f>
        <v/>
      </c>
      <c r="AH53" s="74" t="str">
        <f>IF(AND('Mapa final'!$AB$48="Muy Baja",'Mapa final'!$AD$48="Catastrófico"),CONCATENATE("R8C",'Mapa final'!$R$48),"")</f>
        <v/>
      </c>
      <c r="AI53" s="75" t="str">
        <f>IF(AND('Mapa final'!$AB$49="Muy Baja",'Mapa final'!$AD$49="Catastrófico"),CONCATENATE("R8C",'Mapa final'!$R$49),"")</f>
        <v/>
      </c>
      <c r="AJ53" s="75" t="str">
        <f>IF(AND('Mapa final'!$AB$50="Muy Baja",'Mapa final'!$AD$50="Catastrófico"),CONCATENATE("R8C",'Mapa final'!$R$50),"")</f>
        <v/>
      </c>
      <c r="AK53" s="75" t="str">
        <f>IF(AND('Mapa final'!$AB$51="Muy Baja",'Mapa final'!$AD$51="Catastrófico"),CONCATENATE("R8C",'Mapa final'!$R$51),"")</f>
        <v/>
      </c>
      <c r="AL53" s="75" t="str">
        <f>IF(AND('Mapa final'!$AB$52="Muy Baja",'Mapa final'!$AD$52="Catastrófico"),CONCATENATE("R8C",'Mapa final'!$R$52),"")</f>
        <v/>
      </c>
      <c r="AM53" s="76" t="str">
        <f>IF(AND('Mapa final'!$AB$53="Muy Baja",'Mapa final'!$AD$53="Catastrófico"),CONCATENATE("R8C",'Mapa final'!$R$53),"")</f>
        <v/>
      </c>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row>
    <row r="54" spans="1:80" ht="15" customHeight="1" x14ac:dyDescent="0.3">
      <c r="A54" s="1"/>
      <c r="B54" s="458"/>
      <c r="C54" s="458"/>
      <c r="D54" s="458"/>
      <c r="E54" s="502"/>
      <c r="F54" s="502"/>
      <c r="G54" s="502"/>
      <c r="H54" s="502"/>
      <c r="I54" s="502"/>
      <c r="J54" s="95" t="str">
        <f>IF(AND('Mapa final'!$AB$54="Muy Baja",'Mapa final'!$AD$54="Leve"),CONCATENATE("R9C",'Mapa final'!$R$54),"")</f>
        <v/>
      </c>
      <c r="K54" s="96" t="str">
        <f>IF(AND('Mapa final'!$AB$55="Muy Baja",'Mapa final'!$AD$55="Leve"),CONCATENATE("R9C",'Mapa final'!$R$55),"")</f>
        <v/>
      </c>
      <c r="L54" s="96" t="str">
        <f>IF(AND('Mapa final'!$AB$56="Muy Baja",'Mapa final'!$AD$56="Leve"),CONCATENATE("R9C",'Mapa final'!$R$56),"")</f>
        <v/>
      </c>
      <c r="M54" s="96" t="str">
        <f>IF(AND('Mapa final'!$AB$57="Muy Baja",'Mapa final'!$AD$57="Leve"),CONCATENATE("R9C",'Mapa final'!$R$57),"")</f>
        <v/>
      </c>
      <c r="N54" s="96" t="str">
        <f>IF(AND('Mapa final'!$AB$58="Muy Baja",'Mapa final'!$AD$58="Leve"),CONCATENATE("R9C",'Mapa final'!$R$58),"")</f>
        <v/>
      </c>
      <c r="O54" s="97" t="str">
        <f>IF(AND('Mapa final'!$AB$59="Muy Baja",'Mapa final'!$AD$59="Leve"),CONCATENATE("R9C",'Mapa final'!$R$59),"")</f>
        <v/>
      </c>
      <c r="P54" s="95" t="str">
        <f>IF(AND('Mapa final'!$AB$54="Muy Baja",'Mapa final'!$AD$54="Menor"),CONCATENATE("R9C",'Mapa final'!$R$54),"")</f>
        <v/>
      </c>
      <c r="Q54" s="96" t="str">
        <f>IF(AND('Mapa final'!$AB$55="Muy Baja",'Mapa final'!$AD$55="Menor"),CONCATENATE("R9C",'Mapa final'!$R$55),"")</f>
        <v/>
      </c>
      <c r="R54" s="96" t="str">
        <f>IF(AND('Mapa final'!$AB$56="Muy Baja",'Mapa final'!$AD$56="Menor"),CONCATENATE("R9C",'Mapa final'!$R$56),"")</f>
        <v/>
      </c>
      <c r="S54" s="96" t="str">
        <f>IF(AND('Mapa final'!$AB$57="Muy Baja",'Mapa final'!$AD$57="Menor"),CONCATENATE("R9C",'Mapa final'!$R$57),"")</f>
        <v/>
      </c>
      <c r="T54" s="96" t="str">
        <f>IF(AND('Mapa final'!$AB$58="Muy Baja",'Mapa final'!$AD$58="Menor"),CONCATENATE("R9C",'Mapa final'!$R$58),"")</f>
        <v/>
      </c>
      <c r="U54" s="97" t="str">
        <f>IF(AND('Mapa final'!$AB$59="Muy Baja",'Mapa final'!$AD$59="Menor"),CONCATENATE("R9C",'Mapa final'!$R$59),"")</f>
        <v/>
      </c>
      <c r="V54" s="86" t="str">
        <f>IF(AND('Mapa final'!$AB$54="Muy Baja",'Mapa final'!$AD$54="Moderado"),CONCATENATE("R9C",'Mapa final'!$R$54),"")</f>
        <v/>
      </c>
      <c r="W54" s="87" t="str">
        <f>IF(AND('Mapa final'!$AB$55="Muy Baja",'Mapa final'!$AD$55="Moderado"),CONCATENATE("R9C",'Mapa final'!$R$55),"")</f>
        <v/>
      </c>
      <c r="X54" s="87" t="str">
        <f>IF(AND('Mapa final'!$AB$56="Muy Baja",'Mapa final'!$AD$56="Moderado"),CONCATENATE("R9C",'Mapa final'!$R$56),"")</f>
        <v/>
      </c>
      <c r="Y54" s="87" t="str">
        <f>IF(AND('Mapa final'!$AB$57="Muy Baja",'Mapa final'!$AD$57="Moderado"),CONCATENATE("R9C",'Mapa final'!$R$57),"")</f>
        <v/>
      </c>
      <c r="Z54" s="87" t="str">
        <f>IF(AND('Mapa final'!$AB$58="Muy Baja",'Mapa final'!$AD$58="Moderado"),CONCATENATE("R9C",'Mapa final'!$R$58),"")</f>
        <v/>
      </c>
      <c r="AA54" s="88" t="str">
        <f>IF(AND('Mapa final'!$AB$59="Muy Baja",'Mapa final'!$AD$59="Moderado"),CONCATENATE("R9C",'Mapa final'!$R$59),"")</f>
        <v/>
      </c>
      <c r="AB54" s="71" t="str">
        <f>IF(AND('Mapa final'!$AB$54="Muy Baja",'Mapa final'!$AD$54="Mayor"),CONCATENATE("R9C",'Mapa final'!$R$54),"")</f>
        <v/>
      </c>
      <c r="AC54" s="72" t="str">
        <f>IF(AND('Mapa final'!$AB$55="Muy Baja",'Mapa final'!$AD$55="Mayor"),CONCATENATE("R9C",'Mapa final'!$R$55),"")</f>
        <v/>
      </c>
      <c r="AD54" s="72" t="str">
        <f>IF(AND('Mapa final'!$AB$56="Muy Baja",'Mapa final'!$AD$56="Mayor"),CONCATENATE("R9C",'Mapa final'!$R$56),"")</f>
        <v/>
      </c>
      <c r="AE54" s="72" t="str">
        <f>IF(AND('Mapa final'!$AB$57="Muy Baja",'Mapa final'!$AD$57="Mayor"),CONCATENATE("R9C",'Mapa final'!$R$57),"")</f>
        <v/>
      </c>
      <c r="AF54" s="72" t="str">
        <f>IF(AND('Mapa final'!$AB$58="Muy Baja",'Mapa final'!$AD$58="Mayor"),CONCATENATE("R9C",'Mapa final'!$R$58),"")</f>
        <v/>
      </c>
      <c r="AG54" s="73" t="str">
        <f>IF(AND('Mapa final'!$AB$59="Muy Baja",'Mapa final'!$AD$59="Mayor"),CONCATENATE("R9C",'Mapa final'!$R$59),"")</f>
        <v/>
      </c>
      <c r="AH54" s="74" t="str">
        <f>IF(AND('Mapa final'!$AB$54="Muy Baja",'Mapa final'!$AD$54="Catastrófico"),CONCATENATE("R9C",'Mapa final'!$R$54),"")</f>
        <v/>
      </c>
      <c r="AI54" s="75" t="str">
        <f>IF(AND('Mapa final'!$AB$55="Muy Baja",'Mapa final'!$AD$55="Catastrófico"),CONCATENATE("R9C",'Mapa final'!$R$55),"")</f>
        <v/>
      </c>
      <c r="AJ54" s="75" t="str">
        <f>IF(AND('Mapa final'!$AB$56="Muy Baja",'Mapa final'!$AD$56="Catastrófico"),CONCATENATE("R9C",'Mapa final'!$R$56),"")</f>
        <v/>
      </c>
      <c r="AK54" s="75" t="str">
        <f>IF(AND('Mapa final'!$AB$57="Muy Baja",'Mapa final'!$AD$57="Catastrófico"),CONCATENATE("R9C",'Mapa final'!$R$57),"")</f>
        <v/>
      </c>
      <c r="AL54" s="75" t="str">
        <f>IF(AND('Mapa final'!$AB$58="Muy Baja",'Mapa final'!$AD$58="Catastrófico"),CONCATENATE("R9C",'Mapa final'!$R$58),"")</f>
        <v/>
      </c>
      <c r="AM54" s="76" t="str">
        <f>IF(AND('Mapa final'!$AB$59="Muy Baja",'Mapa final'!$AD$59="Catastrófico"),CONCATENATE("R9C",'Mapa final'!$R$59),"")</f>
        <v/>
      </c>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row>
    <row r="55" spans="1:80" ht="15.75" customHeight="1" x14ac:dyDescent="0.3">
      <c r="A55" s="1"/>
      <c r="B55" s="458"/>
      <c r="C55" s="458"/>
      <c r="D55" s="458"/>
      <c r="E55" s="502"/>
      <c r="F55" s="502"/>
      <c r="G55" s="502"/>
      <c r="H55" s="502"/>
      <c r="I55" s="502"/>
      <c r="J55" s="98" t="str">
        <f>IF(AND('Mapa final'!$AB$60="Muy Baja",'Mapa final'!$AD$60="Leve"),CONCATENATE("R10C",'Mapa final'!$R$60),"")</f>
        <v/>
      </c>
      <c r="K55" s="99" t="str">
        <f>IF(AND('Mapa final'!$AB$61="Muy Baja",'Mapa final'!$AD$61="Leve"),CONCATENATE("R10C",'Mapa final'!$R$61),"")</f>
        <v/>
      </c>
      <c r="L55" s="99" t="str">
        <f>IF(AND('Mapa final'!$AB$62="Muy Baja",'Mapa final'!$AD$62="Leve"),CONCATENATE("R10C",'Mapa final'!$R$62),"")</f>
        <v/>
      </c>
      <c r="M55" s="99" t="str">
        <f>IF(AND('Mapa final'!$AB$63="Muy Baja",'Mapa final'!$AD$63="Leve"),CONCATENATE("R10C",'Mapa final'!$R$63),"")</f>
        <v/>
      </c>
      <c r="N55" s="99" t="str">
        <f>IF(AND('Mapa final'!$AB$64="Muy Baja",'Mapa final'!$AD$64="Leve"),CONCATENATE("R10C",'Mapa final'!$R$64),"")</f>
        <v/>
      </c>
      <c r="O55" s="100" t="str">
        <f>IF(AND('Mapa final'!$AB$65="Muy Baja",'Mapa final'!$AD$65="Leve"),CONCATENATE("R10C",'Mapa final'!$R$65),"")</f>
        <v/>
      </c>
      <c r="P55" s="98" t="str">
        <f>IF(AND('Mapa final'!$AB$60="Muy Baja",'Mapa final'!$AD$60="Menor"),CONCATENATE("R10C",'Mapa final'!$R$60),"")</f>
        <v/>
      </c>
      <c r="Q55" s="99" t="str">
        <f>IF(AND('Mapa final'!$AB$61="Muy Baja",'Mapa final'!$AD$61="Menor"),CONCATENATE("R10C",'Mapa final'!$R$61),"")</f>
        <v/>
      </c>
      <c r="R55" s="99" t="str">
        <f>IF(AND('Mapa final'!$AB$62="Muy Baja",'Mapa final'!$AD$62="Menor"),CONCATENATE("R10C",'Mapa final'!$R$62),"")</f>
        <v/>
      </c>
      <c r="S55" s="99" t="str">
        <f>IF(AND('Mapa final'!$AB$63="Muy Baja",'Mapa final'!$AD$63="Menor"),CONCATENATE("R10C",'Mapa final'!$R$63),"")</f>
        <v/>
      </c>
      <c r="T55" s="99" t="str">
        <f>IF(AND('Mapa final'!$AB$64="Muy Baja",'Mapa final'!$AD$64="Menor"),CONCATENATE("R10C",'Mapa final'!$R$64),"")</f>
        <v/>
      </c>
      <c r="U55" s="100" t="str">
        <f>IF(AND('Mapa final'!$AB$65="Muy Baja",'Mapa final'!$AD$65="Menor"),CONCATENATE("R10C",'Mapa final'!$R$65),"")</f>
        <v/>
      </c>
      <c r="V55" s="89" t="str">
        <f>IF(AND('Mapa final'!$AB$60="Muy Baja",'Mapa final'!$AD$60="Moderado"),CONCATENATE("R10C",'Mapa final'!$R$60),"")</f>
        <v/>
      </c>
      <c r="W55" s="90" t="str">
        <f>IF(AND('Mapa final'!$AB$61="Muy Baja",'Mapa final'!$AD$61="Moderado"),CONCATENATE("R10C",'Mapa final'!$R$61),"")</f>
        <v/>
      </c>
      <c r="X55" s="90" t="str">
        <f>IF(AND('Mapa final'!$AB$62="Muy Baja",'Mapa final'!$AD$62="Moderado"),CONCATENATE("R10C",'Mapa final'!$R$62),"")</f>
        <v/>
      </c>
      <c r="Y55" s="90" t="str">
        <f>IF(AND('Mapa final'!$AB$63="Muy Baja",'Mapa final'!$AD$63="Moderado"),CONCATENATE("R10C",'Mapa final'!$R$63),"")</f>
        <v/>
      </c>
      <c r="Z55" s="90" t="str">
        <f>IF(AND('Mapa final'!$AB$64="Muy Baja",'Mapa final'!$AD$64="Moderado"),CONCATENATE("R10C",'Mapa final'!$R$64),"")</f>
        <v/>
      </c>
      <c r="AA55" s="91" t="str">
        <f>IF(AND('Mapa final'!$AB$65="Muy Baja",'Mapa final'!$AD$65="Moderado"),CONCATENATE("R10C",'Mapa final'!$R$65),"")</f>
        <v/>
      </c>
      <c r="AB55" s="77" t="str">
        <f>IF(AND('Mapa final'!$AB$60="Muy Baja",'Mapa final'!$AD$60="Mayor"),CONCATENATE("R10C",'Mapa final'!$R$60),"")</f>
        <v/>
      </c>
      <c r="AC55" s="78" t="str">
        <f>IF(AND('Mapa final'!$AB$61="Muy Baja",'Mapa final'!$AD$61="Mayor"),CONCATENATE("R10C",'Mapa final'!$R$61),"")</f>
        <v/>
      </c>
      <c r="AD55" s="78" t="str">
        <f>IF(AND('Mapa final'!$AB$62="Muy Baja",'Mapa final'!$AD$62="Mayor"),CONCATENATE("R10C",'Mapa final'!$R$62),"")</f>
        <v/>
      </c>
      <c r="AE55" s="78" t="str">
        <f>IF(AND('Mapa final'!$AB$63="Muy Baja",'Mapa final'!$AD$63="Mayor"),CONCATENATE("R10C",'Mapa final'!$R$63),"")</f>
        <v/>
      </c>
      <c r="AF55" s="78" t="str">
        <f>IF(AND('Mapa final'!$AB$64="Muy Baja",'Mapa final'!$AD$64="Mayor"),CONCATENATE("R10C",'Mapa final'!$R$64),"")</f>
        <v/>
      </c>
      <c r="AG55" s="79" t="str">
        <f>IF(AND('Mapa final'!$AB$65="Muy Baja",'Mapa final'!$AD$65="Mayor"),CONCATENATE("R10C",'Mapa final'!$R$65),"")</f>
        <v/>
      </c>
      <c r="AH55" s="80" t="str">
        <f>IF(AND('Mapa final'!$AB$60="Muy Baja",'Mapa final'!$AD$60="Catastrófico"),CONCATENATE("R10C",'Mapa final'!$R$60),"")</f>
        <v/>
      </c>
      <c r="AI55" s="81" t="str">
        <f>IF(AND('Mapa final'!$AB$61="Muy Baja",'Mapa final'!$AD$61="Catastrófico"),CONCATENATE("R10C",'Mapa final'!$R$61),"")</f>
        <v/>
      </c>
      <c r="AJ55" s="81" t="str">
        <f>IF(AND('Mapa final'!$AB$62="Muy Baja",'Mapa final'!$AD$62="Catastrófico"),CONCATENATE("R10C",'Mapa final'!$R$62),"")</f>
        <v/>
      </c>
      <c r="AK55" s="81" t="str">
        <f>IF(AND('Mapa final'!$AB$63="Muy Baja",'Mapa final'!$AD$63="Catastrófico"),CONCATENATE("R10C",'Mapa final'!$R$63),"")</f>
        <v/>
      </c>
      <c r="AL55" s="81" t="str">
        <f>IF(AND('Mapa final'!$AB$64="Muy Baja",'Mapa final'!$AD$64="Catastrófico"),CONCATENATE("R10C",'Mapa final'!$R$64),"")</f>
        <v/>
      </c>
      <c r="AM55" s="82" t="str">
        <f>IF(AND('Mapa final'!$AB$65="Muy Baja",'Mapa final'!$AD$65="Catastrófico"),CONCATENATE("R10C",'Mapa final'!$R$65),"")</f>
        <v/>
      </c>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row>
    <row r="56" spans="1:80" ht="15" customHeight="1" x14ac:dyDescent="0.3">
      <c r="A56" s="1"/>
      <c r="B56" s="1"/>
      <c r="C56" s="1"/>
      <c r="D56" s="1"/>
      <c r="E56" s="1"/>
      <c r="F56" s="1"/>
      <c r="G56" s="1"/>
      <c r="H56" s="1"/>
      <c r="I56" s="1"/>
      <c r="J56" s="502" t="s">
        <v>136</v>
      </c>
      <c r="K56" s="502"/>
      <c r="L56" s="502"/>
      <c r="M56" s="502"/>
      <c r="N56" s="502"/>
      <c r="O56" s="502"/>
      <c r="P56" s="502" t="s">
        <v>137</v>
      </c>
      <c r="Q56" s="502"/>
      <c r="R56" s="502"/>
      <c r="S56" s="502"/>
      <c r="T56" s="502"/>
      <c r="U56" s="502"/>
      <c r="V56" s="502" t="s">
        <v>138</v>
      </c>
      <c r="W56" s="502"/>
      <c r="X56" s="502"/>
      <c r="Y56" s="502"/>
      <c r="Z56" s="502"/>
      <c r="AA56" s="502"/>
      <c r="AB56" s="502" t="s">
        <v>139</v>
      </c>
      <c r="AC56" s="502"/>
      <c r="AD56" s="502"/>
      <c r="AE56" s="502"/>
      <c r="AF56" s="502"/>
      <c r="AG56" s="502"/>
      <c r="AH56" s="502" t="s">
        <v>140</v>
      </c>
      <c r="AI56" s="502"/>
      <c r="AJ56" s="502"/>
      <c r="AK56" s="502"/>
      <c r="AL56" s="502"/>
      <c r="AM56" s="502"/>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row>
    <row r="57" spans="1:80" x14ac:dyDescent="0.3">
      <c r="A57" s="1"/>
      <c r="B57" s="1"/>
      <c r="C57" s="1"/>
      <c r="D57" s="1"/>
      <c r="E57" s="1"/>
      <c r="F57" s="1"/>
      <c r="G57" s="1"/>
      <c r="H57" s="1"/>
      <c r="I57" s="1"/>
      <c r="J57" s="502"/>
      <c r="K57" s="502"/>
      <c r="L57" s="502"/>
      <c r="M57" s="502"/>
      <c r="N57" s="502"/>
      <c r="O57" s="502"/>
      <c r="P57" s="502"/>
      <c r="Q57" s="502"/>
      <c r="R57" s="502"/>
      <c r="S57" s="502"/>
      <c r="T57" s="502"/>
      <c r="U57" s="502"/>
      <c r="V57" s="502"/>
      <c r="W57" s="502"/>
      <c r="X57" s="502"/>
      <c r="Y57" s="502"/>
      <c r="Z57" s="502"/>
      <c r="AA57" s="502"/>
      <c r="AB57" s="502"/>
      <c r="AC57" s="502"/>
      <c r="AD57" s="502"/>
      <c r="AE57" s="502"/>
      <c r="AF57" s="502"/>
      <c r="AG57" s="502"/>
      <c r="AH57" s="502"/>
      <c r="AI57" s="502"/>
      <c r="AJ57" s="502"/>
      <c r="AK57" s="502"/>
      <c r="AL57" s="502"/>
      <c r="AM57" s="502"/>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row>
    <row r="58" spans="1:80" x14ac:dyDescent="0.3">
      <c r="A58" s="1"/>
      <c r="B58" s="1"/>
      <c r="C58" s="1"/>
      <c r="D58" s="1"/>
      <c r="E58" s="1"/>
      <c r="F58" s="1"/>
      <c r="G58" s="1"/>
      <c r="H58" s="1"/>
      <c r="I58" s="1"/>
      <c r="J58" s="502"/>
      <c r="K58" s="502"/>
      <c r="L58" s="502"/>
      <c r="M58" s="502"/>
      <c r="N58" s="502"/>
      <c r="O58" s="502"/>
      <c r="P58" s="502"/>
      <c r="Q58" s="502"/>
      <c r="R58" s="502"/>
      <c r="S58" s="502"/>
      <c r="T58" s="502"/>
      <c r="U58" s="502"/>
      <c r="V58" s="502"/>
      <c r="W58" s="502"/>
      <c r="X58" s="502"/>
      <c r="Y58" s="502"/>
      <c r="Z58" s="502"/>
      <c r="AA58" s="502"/>
      <c r="AB58" s="502"/>
      <c r="AC58" s="502"/>
      <c r="AD58" s="502"/>
      <c r="AE58" s="502"/>
      <c r="AF58" s="502"/>
      <c r="AG58" s="502"/>
      <c r="AH58" s="502"/>
      <c r="AI58" s="502"/>
      <c r="AJ58" s="502"/>
      <c r="AK58" s="502"/>
      <c r="AL58" s="502"/>
      <c r="AM58" s="502"/>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row>
    <row r="59" spans="1:80" x14ac:dyDescent="0.3">
      <c r="A59" s="1"/>
      <c r="B59" s="1"/>
      <c r="C59" s="1"/>
      <c r="D59" s="1"/>
      <c r="E59" s="1"/>
      <c r="F59" s="1"/>
      <c r="G59" s="1"/>
      <c r="H59" s="1"/>
      <c r="I59" s="1"/>
      <c r="J59" s="502"/>
      <c r="K59" s="502"/>
      <c r="L59" s="502"/>
      <c r="M59" s="502"/>
      <c r="N59" s="502"/>
      <c r="O59" s="502"/>
      <c r="P59" s="502"/>
      <c r="Q59" s="502"/>
      <c r="R59" s="502"/>
      <c r="S59" s="502"/>
      <c r="T59" s="502"/>
      <c r="U59" s="502"/>
      <c r="V59" s="502"/>
      <c r="W59" s="502"/>
      <c r="X59" s="502"/>
      <c r="Y59" s="502"/>
      <c r="Z59" s="502"/>
      <c r="AA59" s="502"/>
      <c r="AB59" s="502"/>
      <c r="AC59" s="502"/>
      <c r="AD59" s="502"/>
      <c r="AE59" s="502"/>
      <c r="AF59" s="502"/>
      <c r="AG59" s="502"/>
      <c r="AH59" s="502"/>
      <c r="AI59" s="502"/>
      <c r="AJ59" s="502"/>
      <c r="AK59" s="502"/>
      <c r="AL59" s="502"/>
      <c r="AM59" s="502"/>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row>
    <row r="60" spans="1:80" x14ac:dyDescent="0.3">
      <c r="A60" s="1"/>
      <c r="B60" s="1"/>
      <c r="C60" s="1"/>
      <c r="D60" s="1"/>
      <c r="E60" s="1"/>
      <c r="F60" s="1"/>
      <c r="G60" s="1"/>
      <c r="H60" s="1"/>
      <c r="I60" s="1"/>
      <c r="J60" s="502"/>
      <c r="K60" s="502"/>
      <c r="L60" s="502"/>
      <c r="M60" s="502"/>
      <c r="N60" s="502"/>
      <c r="O60" s="502"/>
      <c r="P60" s="502"/>
      <c r="Q60" s="502"/>
      <c r="R60" s="502"/>
      <c r="S60" s="502"/>
      <c r="T60" s="502"/>
      <c r="U60" s="502"/>
      <c r="V60" s="502"/>
      <c r="W60" s="502"/>
      <c r="X60" s="502"/>
      <c r="Y60" s="502"/>
      <c r="Z60" s="502"/>
      <c r="AA60" s="502"/>
      <c r="AB60" s="502"/>
      <c r="AC60" s="502"/>
      <c r="AD60" s="502"/>
      <c r="AE60" s="502"/>
      <c r="AF60" s="502"/>
      <c r="AG60" s="502"/>
      <c r="AH60" s="502"/>
      <c r="AI60" s="502"/>
      <c r="AJ60" s="502"/>
      <c r="AK60" s="502"/>
      <c r="AL60" s="502"/>
      <c r="AM60" s="502"/>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row>
    <row r="61" spans="1:80" x14ac:dyDescent="0.3">
      <c r="A61" s="1"/>
      <c r="B61" s="1"/>
      <c r="C61" s="1"/>
      <c r="D61" s="1"/>
      <c r="E61" s="1"/>
      <c r="F61" s="1"/>
      <c r="G61" s="1"/>
      <c r="H61" s="1"/>
      <c r="I61" s="1"/>
      <c r="J61" s="502"/>
      <c r="K61" s="502"/>
      <c r="L61" s="502"/>
      <c r="M61" s="502"/>
      <c r="N61" s="502"/>
      <c r="O61" s="502"/>
      <c r="P61" s="502"/>
      <c r="Q61" s="502"/>
      <c r="R61" s="502"/>
      <c r="S61" s="502"/>
      <c r="T61" s="502"/>
      <c r="U61" s="502"/>
      <c r="V61" s="502"/>
      <c r="W61" s="502"/>
      <c r="X61" s="502"/>
      <c r="Y61" s="502"/>
      <c r="Z61" s="502"/>
      <c r="AA61" s="502"/>
      <c r="AB61" s="502"/>
      <c r="AC61" s="502"/>
      <c r="AD61" s="502"/>
      <c r="AE61" s="502"/>
      <c r="AF61" s="502"/>
      <c r="AG61" s="502"/>
      <c r="AH61" s="502"/>
      <c r="AI61" s="502"/>
      <c r="AJ61" s="502"/>
      <c r="AK61" s="502"/>
      <c r="AL61" s="502"/>
      <c r="AM61" s="502"/>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row>
    <row r="62" spans="1:80" x14ac:dyDescent="0.3">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spans="1:80" ht="15" customHeight="1" x14ac:dyDescent="0.3">
      <c r="A63" s="1"/>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1"/>
      <c r="AV63" s="1"/>
      <c r="AW63" s="1"/>
      <c r="AX63" s="1"/>
      <c r="AY63" s="1"/>
      <c r="AZ63" s="1"/>
      <c r="BA63" s="1"/>
      <c r="BB63" s="1"/>
      <c r="BC63" s="1"/>
      <c r="BD63" s="1"/>
      <c r="BE63" s="1"/>
      <c r="BF63" s="1"/>
      <c r="BG63" s="1"/>
      <c r="BH63" s="1"/>
    </row>
    <row r="64" spans="1:80" ht="15" customHeight="1" x14ac:dyDescent="0.3">
      <c r="A64" s="1"/>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1"/>
      <c r="AV64" s="1"/>
      <c r="AW64" s="1"/>
      <c r="AX64" s="1"/>
      <c r="AY64" s="1"/>
      <c r="AZ64" s="1"/>
      <c r="BA64" s="1"/>
      <c r="BB64" s="1"/>
      <c r="BC64" s="1"/>
      <c r="BD64" s="1"/>
      <c r="BE64" s="1"/>
      <c r="BF64" s="1"/>
      <c r="BG64" s="1"/>
      <c r="BH64" s="1"/>
    </row>
    <row r="65" spans="1:60"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row>
    <row r="66" spans="1:60"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row>
    <row r="67" spans="1:60"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row>
    <row r="68" spans="1:60"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row>
    <row r="69" spans="1:60"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row>
    <row r="70" spans="1:60"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row>
    <row r="71" spans="1:60"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row>
    <row r="72" spans="1:60"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spans="1:60"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spans="1:60"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spans="1:60"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0"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spans="1:60"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spans="1:60"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spans="1:60"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spans="1:60"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spans="1:60"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spans="1:60"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spans="1:60"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spans="1:60"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spans="1:60"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spans="1:60"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spans="1:60"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spans="1:60"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spans="1:60"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spans="1:60"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spans="1:60"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spans="1:60"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spans="1:60"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spans="1:60"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spans="1:60"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spans="1:60"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spans="1:60"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spans="1:60"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spans="1:60"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spans="1:60"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spans="1:60"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spans="1:60"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row r="104" spans="1:60"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row>
    <row r="105" spans="1:60"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row>
    <row r="106" spans="1:60"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row>
    <row r="107" spans="1:60"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row>
    <row r="108" spans="1:60"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row>
    <row r="109" spans="1:60"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row>
    <row r="110" spans="1:60"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row>
    <row r="111" spans="1:60"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row>
    <row r="112" spans="1:60"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row>
    <row r="113" spans="1:60"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row>
    <row r="114" spans="1:60"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row>
    <row r="115" spans="1:60"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row>
    <row r="116" spans="1:60"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row>
    <row r="117" spans="1:60"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row>
    <row r="118" spans="1:60"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row>
    <row r="119" spans="1:60"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row>
    <row r="120" spans="1:60"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row>
    <row r="121" spans="1:60"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row>
    <row r="122" spans="1:60"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row>
    <row r="123" spans="1:60"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row>
    <row r="124" spans="1:60"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row>
    <row r="125" spans="1:60"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row>
    <row r="126" spans="1:60"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row>
    <row r="127" spans="1:60"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row>
    <row r="128" spans="1:60"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row>
    <row r="129" spans="1:60"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row>
    <row r="130" spans="1:60"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row>
    <row r="131" spans="1:60"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row>
    <row r="132" spans="1:60"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row>
    <row r="133" spans="1:60"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row>
    <row r="134" spans="1:60"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row>
    <row r="135" spans="1:60"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row>
    <row r="136" spans="1:60"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row>
    <row r="137" spans="1:60"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row>
    <row r="138" spans="1:60"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row>
    <row r="139" spans="1:60"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row>
    <row r="140" spans="1:60"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row>
    <row r="141" spans="1:60"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row>
    <row r="142" spans="1:60"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row>
    <row r="143" spans="1:60"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row>
    <row r="144" spans="1:60"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row>
    <row r="145" spans="1:60"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row>
    <row r="146" spans="1:60"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row>
    <row r="147" spans="1:60"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row>
    <row r="148" spans="1:60"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row>
    <row r="149" spans="1:60"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row>
    <row r="150" spans="1:60"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row>
    <row r="151" spans="1:60"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row>
    <row r="152" spans="1:60"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row>
    <row r="153" spans="1:60"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row>
    <row r="154" spans="1:60"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row>
    <row r="155" spans="1:60"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row>
    <row r="156" spans="1:60"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row>
    <row r="157" spans="1:60"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row>
    <row r="158" spans="1:60"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row>
    <row r="159" spans="1:60"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row>
    <row r="160" spans="1:60"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row>
    <row r="161" spans="1:60"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row>
    <row r="162" spans="1:60"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row>
    <row r="163" spans="1:60"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row>
    <row r="164" spans="1:60"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row>
    <row r="165" spans="1:60"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row>
    <row r="166" spans="1:60"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row>
    <row r="167" spans="1:60"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row>
    <row r="168" spans="1:60"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row>
    <row r="169" spans="1:60"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row>
    <row r="170" spans="1:60"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row>
    <row r="171" spans="1:60"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row>
    <row r="172" spans="1:60"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row>
    <row r="173" spans="1:60"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row>
    <row r="174" spans="1:60"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row>
    <row r="175" spans="1:60"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row>
    <row r="176" spans="1:60"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row>
    <row r="177" spans="1:60"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row>
    <row r="178" spans="1:60"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row>
    <row r="179" spans="1:60"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row>
    <row r="180" spans="1:60"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row>
    <row r="181" spans="1:60"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row>
    <row r="182" spans="1:60"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row>
    <row r="183" spans="1:60"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row>
    <row r="184" spans="1:60"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row>
    <row r="185" spans="1:60"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row>
    <row r="186" spans="1:60"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row>
    <row r="187" spans="1:60"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row>
    <row r="188" spans="1:60"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row>
    <row r="189" spans="1:60"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row>
    <row r="190" spans="1:60"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row>
    <row r="191" spans="1:60" x14ac:dyDescent="0.3">
      <c r="A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row>
    <row r="192" spans="1:60" x14ac:dyDescent="0.3">
      <c r="A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row>
    <row r="193" spans="1:52" x14ac:dyDescent="0.3">
      <c r="A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row>
    <row r="194" spans="1:52" x14ac:dyDescent="0.3">
      <c r="A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row>
    <row r="195" spans="1:52" x14ac:dyDescent="0.3">
      <c r="A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row>
    <row r="196" spans="1:52" x14ac:dyDescent="0.3">
      <c r="A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row>
    <row r="197" spans="1:52" x14ac:dyDescent="0.3">
      <c r="A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row>
    <row r="198" spans="1:52" x14ac:dyDescent="0.3">
      <c r="A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row>
    <row r="199" spans="1:52" x14ac:dyDescent="0.3">
      <c r="A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row>
    <row r="200" spans="1:52" x14ac:dyDescent="0.3">
      <c r="A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row>
    <row r="201" spans="1:52" x14ac:dyDescent="0.3">
      <c r="A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row>
    <row r="202" spans="1:52" x14ac:dyDescent="0.3">
      <c r="A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row>
    <row r="203" spans="1:52" x14ac:dyDescent="0.3">
      <c r="A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row>
    <row r="204" spans="1:52" x14ac:dyDescent="0.3">
      <c r="A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row>
    <row r="205" spans="1:52" x14ac:dyDescent="0.3">
      <c r="A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row>
    <row r="206" spans="1:52" x14ac:dyDescent="0.3">
      <c r="A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row>
    <row r="207" spans="1:52" x14ac:dyDescent="0.3">
      <c r="A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row>
    <row r="208" spans="1:52" x14ac:dyDescent="0.3">
      <c r="A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row>
    <row r="209" spans="1:52" x14ac:dyDescent="0.3">
      <c r="A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row>
    <row r="210" spans="1:52" x14ac:dyDescent="0.3">
      <c r="A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row>
    <row r="211" spans="1:52" x14ac:dyDescent="0.3">
      <c r="A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row>
    <row r="212" spans="1:52" x14ac:dyDescent="0.3">
      <c r="A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row>
    <row r="213" spans="1:52" x14ac:dyDescent="0.3">
      <c r="A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row>
    <row r="214" spans="1:52" x14ac:dyDescent="0.3">
      <c r="A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row>
    <row r="215" spans="1:52" x14ac:dyDescent="0.3">
      <c r="A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row>
    <row r="216" spans="1:52" x14ac:dyDescent="0.3">
      <c r="A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row>
    <row r="217" spans="1:52" x14ac:dyDescent="0.3">
      <c r="A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row>
    <row r="218" spans="1:52" x14ac:dyDescent="0.3">
      <c r="A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row>
    <row r="219" spans="1:52" x14ac:dyDescent="0.3">
      <c r="A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row>
    <row r="220" spans="1:52" x14ac:dyDescent="0.3">
      <c r="A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row>
    <row r="221" spans="1:52" x14ac:dyDescent="0.3">
      <c r="A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row>
    <row r="222" spans="1:52" x14ac:dyDescent="0.3">
      <c r="A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row>
    <row r="223" spans="1:52" x14ac:dyDescent="0.3">
      <c r="A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row>
    <row r="224" spans="1:52" x14ac:dyDescent="0.3">
      <c r="A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row>
    <row r="225" spans="1:52" x14ac:dyDescent="0.3">
      <c r="A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row>
    <row r="226" spans="1:52" x14ac:dyDescent="0.3">
      <c r="A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row>
    <row r="227" spans="1:52" x14ac:dyDescent="0.3">
      <c r="A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row>
    <row r="228" spans="1:52" x14ac:dyDescent="0.3">
      <c r="A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row>
    <row r="229" spans="1:52" x14ac:dyDescent="0.3">
      <c r="A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row>
    <row r="230" spans="1:52" x14ac:dyDescent="0.3">
      <c r="A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row>
    <row r="231" spans="1:52" x14ac:dyDescent="0.3">
      <c r="A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row>
    <row r="232" spans="1:52" x14ac:dyDescent="0.3">
      <c r="A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row>
    <row r="233" spans="1:52" x14ac:dyDescent="0.3">
      <c r="A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row>
    <row r="234" spans="1:52" x14ac:dyDescent="0.3">
      <c r="A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row>
    <row r="235" spans="1:52" x14ac:dyDescent="0.3">
      <c r="A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row>
    <row r="236" spans="1:52" x14ac:dyDescent="0.3">
      <c r="A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row>
    <row r="237" spans="1:52" x14ac:dyDescent="0.3">
      <c r="A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row>
    <row r="238" spans="1:52" x14ac:dyDescent="0.3">
      <c r="A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row>
    <row r="239" spans="1:52" x14ac:dyDescent="0.3">
      <c r="A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row>
    <row r="240" spans="1:52" x14ac:dyDescent="0.3">
      <c r="A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row>
    <row r="241" spans="1:52" x14ac:dyDescent="0.3">
      <c r="A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row>
    <row r="242" spans="1:52" x14ac:dyDescent="0.3">
      <c r="A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row>
    <row r="243" spans="1:52" x14ac:dyDescent="0.3">
      <c r="A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row>
    <row r="244" spans="1:52" x14ac:dyDescent="0.3">
      <c r="A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row>
    <row r="245" spans="1:52" x14ac:dyDescent="0.3">
      <c r="A245" s="1"/>
    </row>
    <row r="246" spans="1:52" x14ac:dyDescent="0.3">
      <c r="A246" s="1"/>
    </row>
    <row r="247" spans="1:52" x14ac:dyDescent="0.3">
      <c r="A247" s="1"/>
    </row>
    <row r="248" spans="1:52" x14ac:dyDescent="0.3">
      <c r="A248" s="1"/>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B2:I4"/>
    <mergeCell ref="J2:AM4"/>
    <mergeCell ref="B6:D55"/>
    <mergeCell ref="E6:I15"/>
    <mergeCell ref="AO6:AT15"/>
    <mergeCell ref="E16:I25"/>
    <mergeCell ref="AO16:AT25"/>
    <mergeCell ref="E26:I35"/>
    <mergeCell ref="AO26:AT35"/>
    <mergeCell ref="E36:I45"/>
    <mergeCell ref="AO36:AT45"/>
    <mergeCell ref="E46:I55"/>
  </mergeCells>
  <pageMargins left="0.7" right="0.7" top="0.75" bottom="0.75" header="0.511811023622047" footer="0.511811023622047"/>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5" zoomScaleNormal="85" workbookViewId="0"/>
  </sheetViews>
  <sheetFormatPr baseColWidth="10" defaultColWidth="10.6640625" defaultRowHeight="14.4" x14ac:dyDescent="0.3"/>
  <cols>
    <col min="2" max="2" width="24.109375" customWidth="1"/>
    <col min="3" max="3" width="70.109375" customWidth="1"/>
    <col min="4" max="4" width="29.88671875" customWidth="1"/>
  </cols>
  <sheetData>
    <row r="1" spans="1:37" ht="23.4" x14ac:dyDescent="0.3">
      <c r="A1" s="1"/>
      <c r="B1" s="508" t="s">
        <v>142</v>
      </c>
      <c r="C1" s="508"/>
      <c r="D1" s="508"/>
      <c r="E1" s="1"/>
      <c r="F1" s="1"/>
      <c r="G1" s="1"/>
      <c r="H1" s="1"/>
      <c r="I1" s="1"/>
      <c r="J1" s="1"/>
      <c r="K1" s="1"/>
      <c r="L1" s="1"/>
      <c r="M1" s="1"/>
      <c r="N1" s="1"/>
      <c r="O1" s="1"/>
      <c r="P1" s="1"/>
      <c r="Q1" s="1"/>
      <c r="R1" s="1"/>
      <c r="S1" s="1"/>
      <c r="T1" s="1"/>
      <c r="U1" s="1"/>
      <c r="V1" s="1"/>
      <c r="W1" s="1"/>
      <c r="X1" s="1"/>
      <c r="Y1" s="1"/>
      <c r="Z1" s="1"/>
      <c r="AA1" s="1"/>
      <c r="AB1" s="1"/>
      <c r="AC1" s="1"/>
      <c r="AD1" s="1"/>
      <c r="AE1" s="1"/>
    </row>
    <row r="2" spans="1:37"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7" ht="25.2" x14ac:dyDescent="0.3">
      <c r="A3" s="1"/>
      <c r="B3" s="102"/>
      <c r="C3" s="103" t="s">
        <v>143</v>
      </c>
      <c r="D3" s="103" t="s">
        <v>120</v>
      </c>
      <c r="E3" s="1"/>
      <c r="F3" s="1"/>
      <c r="G3" s="1"/>
      <c r="H3" s="1"/>
      <c r="I3" s="1"/>
      <c r="J3" s="1"/>
      <c r="K3" s="1"/>
      <c r="L3" s="1"/>
      <c r="M3" s="1"/>
      <c r="N3" s="1"/>
      <c r="O3" s="1"/>
      <c r="P3" s="1"/>
      <c r="Q3" s="1"/>
      <c r="R3" s="1"/>
      <c r="S3" s="1"/>
      <c r="T3" s="1"/>
      <c r="U3" s="1"/>
      <c r="V3" s="1"/>
      <c r="W3" s="1"/>
      <c r="X3" s="1"/>
      <c r="Y3" s="1"/>
      <c r="Z3" s="1"/>
      <c r="AA3" s="1"/>
      <c r="AB3" s="1"/>
      <c r="AC3" s="1"/>
      <c r="AD3" s="1"/>
      <c r="AE3" s="1"/>
    </row>
    <row r="4" spans="1:37" ht="50.4" x14ac:dyDescent="0.3">
      <c r="A4" s="1"/>
      <c r="B4" s="104" t="s">
        <v>144</v>
      </c>
      <c r="C4" s="105" t="s">
        <v>145</v>
      </c>
      <c r="D4" s="106">
        <v>0.2</v>
      </c>
      <c r="E4" s="1"/>
      <c r="F4" s="1"/>
      <c r="G4" s="1"/>
      <c r="H4" s="1"/>
      <c r="I4" s="1"/>
      <c r="J4" s="1"/>
      <c r="K4" s="1"/>
      <c r="L4" s="1"/>
      <c r="M4" s="1"/>
      <c r="N4" s="1"/>
      <c r="O4" s="1"/>
      <c r="P4" s="1"/>
      <c r="Q4" s="1"/>
      <c r="R4" s="1"/>
      <c r="S4" s="1"/>
      <c r="T4" s="1"/>
      <c r="U4" s="1"/>
      <c r="V4" s="1"/>
      <c r="W4" s="1"/>
      <c r="X4" s="1"/>
      <c r="Y4" s="1"/>
      <c r="Z4" s="1"/>
      <c r="AA4" s="1"/>
      <c r="AB4" s="1"/>
      <c r="AC4" s="1"/>
      <c r="AD4" s="1"/>
      <c r="AE4" s="1"/>
    </row>
    <row r="5" spans="1:37" ht="50.4" x14ac:dyDescent="0.3">
      <c r="A5" s="1"/>
      <c r="B5" s="107" t="s">
        <v>146</v>
      </c>
      <c r="C5" s="108" t="s">
        <v>147</v>
      </c>
      <c r="D5" s="109">
        <v>0.4</v>
      </c>
      <c r="E5" s="1"/>
      <c r="F5" s="1"/>
      <c r="G5" s="1"/>
      <c r="H5" s="1"/>
      <c r="I5" s="1"/>
      <c r="J5" s="1"/>
      <c r="K5" s="1"/>
      <c r="L5" s="1"/>
      <c r="M5" s="1"/>
      <c r="N5" s="1"/>
      <c r="O5" s="1"/>
      <c r="P5" s="1"/>
      <c r="Q5" s="1"/>
      <c r="R5" s="1"/>
      <c r="S5" s="1"/>
      <c r="T5" s="1"/>
      <c r="U5" s="1"/>
      <c r="V5" s="1"/>
      <c r="W5" s="1"/>
      <c r="X5" s="1"/>
      <c r="Y5" s="1"/>
      <c r="Z5" s="1"/>
      <c r="AA5" s="1"/>
      <c r="AB5" s="1"/>
      <c r="AC5" s="1"/>
      <c r="AD5" s="1"/>
      <c r="AE5" s="1"/>
    </row>
    <row r="6" spans="1:37" ht="50.4" x14ac:dyDescent="0.3">
      <c r="A6" s="1"/>
      <c r="B6" s="110" t="s">
        <v>148</v>
      </c>
      <c r="C6" s="108" t="s">
        <v>149</v>
      </c>
      <c r="D6" s="109">
        <v>0.6</v>
      </c>
      <c r="E6" s="1"/>
      <c r="F6" s="1"/>
      <c r="G6" s="1"/>
      <c r="H6" s="1"/>
      <c r="I6" s="1"/>
      <c r="J6" s="1"/>
      <c r="K6" s="1"/>
      <c r="L6" s="1"/>
      <c r="M6" s="1"/>
      <c r="N6" s="1"/>
      <c r="O6" s="1"/>
      <c r="P6" s="1"/>
      <c r="Q6" s="1"/>
      <c r="R6" s="1"/>
      <c r="S6" s="1"/>
      <c r="T6" s="1"/>
      <c r="U6" s="1"/>
      <c r="V6" s="1"/>
      <c r="W6" s="1"/>
      <c r="X6" s="1"/>
      <c r="Y6" s="1"/>
      <c r="Z6" s="1"/>
      <c r="AA6" s="1"/>
      <c r="AB6" s="1"/>
      <c r="AC6" s="1"/>
      <c r="AD6" s="1"/>
      <c r="AE6" s="1"/>
    </row>
    <row r="7" spans="1:37" ht="75.599999999999994" x14ac:dyDescent="0.3">
      <c r="A7" s="1"/>
      <c r="B7" s="111" t="s">
        <v>150</v>
      </c>
      <c r="C7" s="108" t="s">
        <v>151</v>
      </c>
      <c r="D7" s="109">
        <v>0.8</v>
      </c>
      <c r="E7" s="1"/>
      <c r="F7" s="1"/>
      <c r="G7" s="1"/>
      <c r="H7" s="1"/>
      <c r="I7" s="1"/>
      <c r="J7" s="1"/>
      <c r="K7" s="1"/>
      <c r="L7" s="1"/>
      <c r="M7" s="1"/>
      <c r="N7" s="1"/>
      <c r="O7" s="1"/>
      <c r="P7" s="1"/>
      <c r="Q7" s="1"/>
      <c r="R7" s="1"/>
      <c r="S7" s="1"/>
      <c r="T7" s="1"/>
      <c r="U7" s="1"/>
      <c r="V7" s="1"/>
      <c r="W7" s="1"/>
      <c r="X7" s="1"/>
      <c r="Y7" s="1"/>
      <c r="Z7" s="1"/>
      <c r="AA7" s="1"/>
      <c r="AB7" s="1"/>
      <c r="AC7" s="1"/>
      <c r="AD7" s="1"/>
      <c r="AE7" s="1"/>
    </row>
    <row r="8" spans="1:37" ht="50.4" x14ac:dyDescent="0.3">
      <c r="A8" s="1"/>
      <c r="B8" s="112" t="s">
        <v>152</v>
      </c>
      <c r="C8" s="108" t="s">
        <v>153</v>
      </c>
      <c r="D8" s="109">
        <v>1</v>
      </c>
      <c r="E8" s="1"/>
      <c r="F8" s="1"/>
      <c r="G8" s="1"/>
      <c r="H8" s="1"/>
      <c r="I8" s="1"/>
      <c r="J8" s="1"/>
      <c r="K8" s="1"/>
      <c r="L8" s="1"/>
      <c r="M8" s="1"/>
      <c r="N8" s="1"/>
      <c r="O8" s="1"/>
      <c r="P8" s="1"/>
      <c r="Q8" s="1"/>
      <c r="R8" s="1"/>
      <c r="S8" s="1"/>
      <c r="T8" s="1"/>
      <c r="U8" s="1"/>
      <c r="V8" s="1"/>
      <c r="W8" s="1"/>
      <c r="X8" s="1"/>
      <c r="Y8" s="1"/>
      <c r="Z8" s="1"/>
      <c r="AA8" s="1"/>
      <c r="AB8" s="1"/>
      <c r="AC8" s="1"/>
      <c r="AD8" s="1"/>
      <c r="AE8" s="1"/>
    </row>
    <row r="9" spans="1:37" x14ac:dyDescent="0.3">
      <c r="A9" s="1"/>
      <c r="B9" s="113"/>
      <c r="C9" s="113"/>
      <c r="D9" s="113"/>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x14ac:dyDescent="0.3">
      <c r="A10" s="1"/>
      <c r="B10" s="114"/>
      <c r="C10" s="113"/>
      <c r="D10" s="113"/>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row>
    <row r="11" spans="1:37" x14ac:dyDescent="0.3">
      <c r="A11" s="1"/>
      <c r="B11" s="113"/>
      <c r="C11" s="113"/>
      <c r="D11" s="113"/>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37" x14ac:dyDescent="0.3">
      <c r="A12" s="1"/>
      <c r="B12" s="113"/>
      <c r="C12" s="113"/>
      <c r="D12" s="113"/>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row>
    <row r="13" spans="1:37" x14ac:dyDescent="0.3">
      <c r="A13" s="1"/>
      <c r="B13" s="113"/>
      <c r="C13" s="113"/>
      <c r="D13" s="113"/>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row>
    <row r="14" spans="1:37" x14ac:dyDescent="0.3">
      <c r="A14" s="1"/>
      <c r="B14" s="113"/>
      <c r="C14" s="113"/>
      <c r="D14" s="113"/>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1:37" x14ac:dyDescent="0.3">
      <c r="A15" s="1"/>
      <c r="B15" s="113"/>
      <c r="C15" s="113"/>
      <c r="D15" s="113"/>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spans="1:37" x14ac:dyDescent="0.3">
      <c r="A16" s="1"/>
      <c r="B16" s="113"/>
      <c r="C16" s="113"/>
      <c r="D16" s="113"/>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1:37" x14ac:dyDescent="0.3">
      <c r="A17" s="1"/>
      <c r="B17" s="113"/>
      <c r="C17" s="113"/>
      <c r="D17" s="113"/>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37" x14ac:dyDescent="0.3">
      <c r="A18" s="1"/>
      <c r="B18" s="113"/>
      <c r="C18" s="113"/>
      <c r="D18" s="113"/>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row>
    <row r="19" spans="1:37" x14ac:dyDescent="0.3">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1:37"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x14ac:dyDescent="0.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row>
    <row r="23" spans="1:37"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x14ac:dyDescent="0.3">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x14ac:dyDescent="0.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spans="1:37"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x14ac:dyDescent="0.3">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37"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row>
    <row r="29" spans="1:37"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1:37" x14ac:dyDescent="0.3">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x14ac:dyDescent="0.3">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1:37" x14ac:dyDescent="0.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1:28" x14ac:dyDescent="0.3">
      <c r="A33" s="1"/>
      <c r="E33" s="1"/>
      <c r="F33" s="1"/>
      <c r="G33" s="1"/>
      <c r="H33" s="1"/>
      <c r="I33" s="1"/>
      <c r="J33" s="1"/>
      <c r="K33" s="1"/>
      <c r="L33" s="1"/>
      <c r="M33" s="1"/>
      <c r="N33" s="1"/>
      <c r="O33" s="1"/>
      <c r="P33" s="1"/>
      <c r="Q33" s="1"/>
      <c r="R33" s="1"/>
      <c r="S33" s="1"/>
      <c r="T33" s="1"/>
      <c r="U33" s="1"/>
      <c r="V33" s="1"/>
      <c r="W33" s="1"/>
      <c r="X33" s="1"/>
      <c r="Y33" s="1"/>
      <c r="Z33" s="1"/>
      <c r="AA33" s="1"/>
      <c r="AB33" s="1"/>
    </row>
    <row r="34" spans="1:28" x14ac:dyDescent="0.3">
      <c r="A34" s="1"/>
      <c r="E34" s="1"/>
      <c r="F34" s="1"/>
      <c r="G34" s="1"/>
      <c r="H34" s="1"/>
      <c r="I34" s="1"/>
      <c r="J34" s="1"/>
      <c r="K34" s="1"/>
      <c r="L34" s="1"/>
      <c r="M34" s="1"/>
      <c r="N34" s="1"/>
      <c r="O34" s="1"/>
      <c r="P34" s="1"/>
      <c r="Q34" s="1"/>
      <c r="R34" s="1"/>
      <c r="S34" s="1"/>
      <c r="T34" s="1"/>
      <c r="U34" s="1"/>
      <c r="V34" s="1"/>
      <c r="W34" s="1"/>
      <c r="X34" s="1"/>
      <c r="Y34" s="1"/>
      <c r="Z34" s="1"/>
      <c r="AA34" s="1"/>
      <c r="AB34" s="1"/>
    </row>
    <row r="35" spans="1:28" x14ac:dyDescent="0.3">
      <c r="A35" s="1"/>
    </row>
    <row r="36" spans="1:28" x14ac:dyDescent="0.3">
      <c r="A36" s="1"/>
    </row>
    <row r="37" spans="1:28" x14ac:dyDescent="0.3">
      <c r="A37" s="1"/>
    </row>
    <row r="38" spans="1:28" x14ac:dyDescent="0.3">
      <c r="A38" s="1"/>
    </row>
    <row r="39" spans="1:28" x14ac:dyDescent="0.3">
      <c r="A39" s="1"/>
    </row>
    <row r="40" spans="1:28" x14ac:dyDescent="0.3">
      <c r="A40" s="1"/>
    </row>
    <row r="41" spans="1:28" x14ac:dyDescent="0.3">
      <c r="A41" s="1"/>
    </row>
    <row r="42" spans="1:28" x14ac:dyDescent="0.3">
      <c r="A42" s="1"/>
    </row>
    <row r="43" spans="1:28" x14ac:dyDescent="0.3">
      <c r="A43" s="1"/>
    </row>
    <row r="44" spans="1:28" x14ac:dyDescent="0.3">
      <c r="A44" s="1"/>
    </row>
    <row r="45" spans="1:28" x14ac:dyDescent="0.3">
      <c r="A45" s="1"/>
    </row>
    <row r="46" spans="1:28" x14ac:dyDescent="0.3">
      <c r="A46" s="1"/>
    </row>
    <row r="47" spans="1:28" x14ac:dyDescent="0.3">
      <c r="A47" s="1"/>
    </row>
    <row r="48" spans="1:28" x14ac:dyDescent="0.3">
      <c r="A48" s="1"/>
    </row>
    <row r="49" spans="1:1" x14ac:dyDescent="0.3">
      <c r="A49" s="1"/>
    </row>
    <row r="50" spans="1:1" x14ac:dyDescent="0.3">
      <c r="A50" s="1"/>
    </row>
    <row r="51" spans="1:1" x14ac:dyDescent="0.3">
      <c r="A51" s="1"/>
    </row>
    <row r="52" spans="1:1" x14ac:dyDescent="0.3">
      <c r="A52" s="1"/>
    </row>
    <row r="53" spans="1:1" x14ac:dyDescent="0.3">
      <c r="A53" s="1"/>
    </row>
    <row r="54" spans="1:1" x14ac:dyDescent="0.3">
      <c r="A54" s="1"/>
    </row>
    <row r="55" spans="1:1" x14ac:dyDescent="0.3">
      <c r="A55" s="1"/>
    </row>
  </sheetData>
  <mergeCells count="1">
    <mergeCell ref="B1:D1"/>
  </mergeCells>
  <pageMargins left="0.7" right="0.7" top="0.75" bottom="0.75" header="0.511811023622047" footer="0.511811023622047"/>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7933C"/>
  </sheetPr>
  <dimension ref="A1:U224"/>
  <sheetViews>
    <sheetView topLeftCell="D1" zoomScaleNormal="100" workbookViewId="0">
      <selection activeCell="C15" sqref="C15"/>
    </sheetView>
  </sheetViews>
  <sheetFormatPr baseColWidth="10" defaultColWidth="11.44140625" defaultRowHeight="14.4" x14ac:dyDescent="0.3"/>
  <cols>
    <col min="1" max="1" width="11.44140625" style="115"/>
    <col min="2" max="2" width="40.44140625" style="115" customWidth="1"/>
    <col min="3" max="3" width="74.88671875" style="115" customWidth="1"/>
    <col min="4" max="4" width="135" style="115" customWidth="1"/>
    <col min="5" max="5" width="137.88671875" style="115" customWidth="1"/>
    <col min="6" max="16384" width="11.44140625" style="115"/>
  </cols>
  <sheetData>
    <row r="1" spans="1:21" ht="32.4" x14ac:dyDescent="0.3">
      <c r="A1" s="113"/>
      <c r="B1" s="509" t="s">
        <v>154</v>
      </c>
      <c r="C1" s="509"/>
      <c r="D1" s="509"/>
      <c r="E1" s="113"/>
      <c r="F1" s="113"/>
      <c r="G1" s="113"/>
      <c r="H1" s="113"/>
      <c r="I1" s="113"/>
      <c r="J1" s="113"/>
      <c r="K1" s="113"/>
      <c r="L1" s="113"/>
      <c r="M1" s="113"/>
      <c r="N1" s="113"/>
      <c r="O1" s="113"/>
      <c r="P1" s="113"/>
      <c r="Q1" s="113"/>
      <c r="R1" s="113"/>
      <c r="S1" s="113"/>
      <c r="T1" s="113"/>
      <c r="U1" s="113"/>
    </row>
    <row r="2" spans="1:21" x14ac:dyDescent="0.3">
      <c r="A2" s="113"/>
      <c r="B2" s="113"/>
      <c r="C2" s="113"/>
      <c r="D2" s="113"/>
      <c r="E2" s="113"/>
      <c r="F2" s="113"/>
      <c r="G2" s="113"/>
      <c r="H2" s="113"/>
      <c r="I2" s="113"/>
      <c r="J2" s="113"/>
      <c r="K2" s="113"/>
      <c r="L2" s="113"/>
      <c r="M2" s="113"/>
      <c r="N2" s="113"/>
      <c r="O2" s="113"/>
      <c r="P2" s="113"/>
      <c r="Q2" s="113"/>
      <c r="R2" s="113"/>
      <c r="S2" s="113"/>
      <c r="T2" s="113"/>
      <c r="U2" s="113"/>
    </row>
    <row r="3" spans="1:21" ht="30" x14ac:dyDescent="0.3">
      <c r="A3" s="113"/>
      <c r="B3" s="116"/>
      <c r="C3" s="117" t="s">
        <v>155</v>
      </c>
      <c r="D3" s="117" t="s">
        <v>118</v>
      </c>
      <c r="E3" s="113"/>
      <c r="F3" s="113"/>
      <c r="G3" s="113"/>
      <c r="H3" s="113"/>
      <c r="I3" s="113"/>
      <c r="J3" s="113"/>
      <c r="K3" s="113"/>
      <c r="L3" s="113"/>
      <c r="M3" s="113"/>
      <c r="N3" s="113"/>
      <c r="O3" s="113"/>
      <c r="P3" s="113"/>
      <c r="Q3" s="113"/>
      <c r="R3" s="113"/>
      <c r="S3" s="113"/>
      <c r="T3" s="113"/>
      <c r="U3" s="113"/>
    </row>
    <row r="4" spans="1:21" ht="32.4" x14ac:dyDescent="0.3">
      <c r="A4" s="113" t="s">
        <v>156</v>
      </c>
      <c r="B4" s="118" t="s">
        <v>157</v>
      </c>
      <c r="C4" s="119" t="s">
        <v>158</v>
      </c>
      <c r="D4" s="120" t="s">
        <v>159</v>
      </c>
      <c r="E4" s="113"/>
      <c r="F4" s="113"/>
      <c r="G4" s="113"/>
      <c r="H4" s="113"/>
      <c r="I4" s="113"/>
      <c r="J4" s="113"/>
      <c r="K4" s="113"/>
      <c r="L4" s="113"/>
      <c r="M4" s="113"/>
      <c r="N4" s="113"/>
      <c r="O4" s="113"/>
      <c r="P4" s="113"/>
      <c r="Q4" s="113"/>
      <c r="R4" s="113"/>
      <c r="S4" s="113"/>
      <c r="T4" s="113"/>
      <c r="U4" s="113"/>
    </row>
    <row r="5" spans="1:21" ht="64.8" x14ac:dyDescent="0.3">
      <c r="A5" s="113" t="s">
        <v>119</v>
      </c>
      <c r="B5" s="121" t="s">
        <v>160</v>
      </c>
      <c r="C5" s="122" t="s">
        <v>161</v>
      </c>
      <c r="D5" s="123" t="s">
        <v>162</v>
      </c>
      <c r="E5" s="113"/>
      <c r="F5" s="113"/>
      <c r="G5" s="113"/>
      <c r="H5" s="113"/>
      <c r="I5" s="113"/>
      <c r="J5" s="113"/>
      <c r="K5" s="113"/>
      <c r="L5" s="113"/>
      <c r="M5" s="113"/>
      <c r="N5" s="113"/>
      <c r="O5" s="113"/>
      <c r="P5" s="113"/>
      <c r="Q5" s="113"/>
      <c r="R5" s="113"/>
      <c r="S5" s="113"/>
      <c r="T5" s="113"/>
      <c r="U5" s="113"/>
    </row>
    <row r="6" spans="1:21" ht="64.8" x14ac:dyDescent="0.3">
      <c r="A6" s="113" t="s">
        <v>132</v>
      </c>
      <c r="B6" s="124" t="s">
        <v>163</v>
      </c>
      <c r="C6" s="122" t="s">
        <v>164</v>
      </c>
      <c r="D6" s="123" t="s">
        <v>165</v>
      </c>
      <c r="E6" s="113"/>
      <c r="F6" s="113"/>
      <c r="G6" s="113"/>
      <c r="H6" s="113"/>
      <c r="I6" s="113"/>
      <c r="J6" s="113"/>
      <c r="K6" s="113"/>
      <c r="L6" s="113"/>
      <c r="M6" s="113"/>
      <c r="N6" s="113"/>
      <c r="O6" s="113"/>
      <c r="P6" s="113"/>
      <c r="Q6" s="113"/>
      <c r="R6" s="113"/>
      <c r="S6" s="113"/>
      <c r="T6" s="113"/>
      <c r="U6" s="113"/>
    </row>
    <row r="7" spans="1:21" ht="97.2" x14ac:dyDescent="0.3">
      <c r="A7" s="113" t="s">
        <v>166</v>
      </c>
      <c r="B7" s="125" t="s">
        <v>167</v>
      </c>
      <c r="C7" s="122" t="s">
        <v>168</v>
      </c>
      <c r="D7" s="123" t="s">
        <v>169</v>
      </c>
      <c r="E7" s="113"/>
      <c r="F7" s="113"/>
      <c r="G7" s="113"/>
      <c r="H7" s="113"/>
      <c r="I7" s="113"/>
      <c r="J7" s="113"/>
      <c r="K7" s="113"/>
      <c r="L7" s="113"/>
      <c r="M7" s="113"/>
      <c r="N7" s="113"/>
      <c r="O7" s="113"/>
      <c r="P7" s="113"/>
      <c r="Q7" s="113"/>
      <c r="R7" s="113"/>
      <c r="S7" s="113"/>
      <c r="T7" s="113"/>
      <c r="U7" s="113"/>
    </row>
    <row r="8" spans="1:21" ht="64.8" x14ac:dyDescent="0.3">
      <c r="A8" s="113" t="s">
        <v>170</v>
      </c>
      <c r="B8" s="126" t="s">
        <v>171</v>
      </c>
      <c r="C8" s="122" t="s">
        <v>172</v>
      </c>
      <c r="D8" s="123" t="s">
        <v>173</v>
      </c>
      <c r="E8" s="113"/>
      <c r="F8" s="113"/>
      <c r="G8" s="113"/>
      <c r="H8" s="113"/>
      <c r="I8" s="113"/>
      <c r="J8" s="113"/>
      <c r="K8" s="113"/>
      <c r="L8" s="113"/>
      <c r="M8" s="113"/>
      <c r="N8" s="113"/>
      <c r="O8" s="113"/>
      <c r="P8" s="113"/>
      <c r="Q8" s="113"/>
      <c r="R8" s="113"/>
      <c r="S8" s="113"/>
      <c r="T8" s="113"/>
      <c r="U8" s="113"/>
    </row>
    <row r="9" spans="1:21" s="129" customFormat="1" ht="20.399999999999999" x14ac:dyDescent="0.3">
      <c r="A9" s="127"/>
      <c r="B9" s="127"/>
      <c r="C9" s="128"/>
      <c r="D9" s="128"/>
      <c r="E9" s="127"/>
      <c r="F9" s="127"/>
      <c r="G9" s="127"/>
      <c r="H9" s="127"/>
      <c r="I9" s="127"/>
      <c r="J9" s="127"/>
      <c r="K9" s="127"/>
      <c r="L9" s="127"/>
      <c r="M9" s="127"/>
      <c r="N9" s="127"/>
      <c r="O9" s="127"/>
      <c r="P9" s="127"/>
      <c r="Q9" s="127"/>
      <c r="R9" s="127"/>
      <c r="S9" s="127"/>
      <c r="T9" s="127"/>
      <c r="U9" s="127"/>
    </row>
    <row r="10" spans="1:21" s="129" customFormat="1" x14ac:dyDescent="0.3">
      <c r="A10" s="127"/>
      <c r="B10" s="130"/>
      <c r="C10" s="130"/>
      <c r="D10" s="130"/>
      <c r="E10" s="127"/>
      <c r="F10" s="127"/>
      <c r="G10" s="127"/>
      <c r="H10" s="127"/>
      <c r="I10" s="127"/>
      <c r="J10" s="127"/>
      <c r="K10" s="127"/>
      <c r="L10" s="127"/>
      <c r="M10" s="127"/>
      <c r="N10" s="127"/>
      <c r="O10" s="127"/>
      <c r="P10" s="127"/>
      <c r="Q10" s="127"/>
      <c r="R10" s="127"/>
      <c r="S10" s="127"/>
      <c r="T10" s="127"/>
      <c r="U10" s="127"/>
    </row>
    <row r="11" spans="1:21" s="129" customFormat="1" x14ac:dyDescent="0.3">
      <c r="A11" s="127"/>
      <c r="B11" s="127" t="s">
        <v>174</v>
      </c>
      <c r="C11" s="127" t="s">
        <v>175</v>
      </c>
      <c r="D11" s="127" t="s">
        <v>176</v>
      </c>
      <c r="E11" s="127"/>
      <c r="F11" s="127"/>
      <c r="G11" s="127"/>
      <c r="H11" s="127"/>
      <c r="I11" s="127"/>
      <c r="J11" s="127"/>
      <c r="K11" s="127"/>
      <c r="L11" s="127"/>
      <c r="M11" s="127"/>
      <c r="N11" s="127"/>
      <c r="O11" s="127"/>
      <c r="P11" s="127"/>
      <c r="Q11" s="127"/>
      <c r="R11" s="127"/>
      <c r="S11" s="127"/>
      <c r="T11" s="127"/>
      <c r="U11" s="127"/>
    </row>
    <row r="12" spans="1:21" s="129" customFormat="1" x14ac:dyDescent="0.3">
      <c r="A12" s="127"/>
      <c r="B12" s="127" t="s">
        <v>177</v>
      </c>
      <c r="C12" s="127" t="s">
        <v>178</v>
      </c>
      <c r="D12" s="127" t="s">
        <v>111</v>
      </c>
      <c r="E12" s="127"/>
      <c r="F12" s="127"/>
      <c r="G12" s="127"/>
      <c r="H12" s="127"/>
      <c r="I12" s="127"/>
      <c r="J12" s="127"/>
      <c r="K12" s="127"/>
      <c r="L12" s="127"/>
      <c r="M12" s="127"/>
      <c r="N12" s="127"/>
      <c r="O12" s="127"/>
      <c r="P12" s="127"/>
      <c r="Q12" s="127"/>
      <c r="R12" s="127"/>
      <c r="S12" s="127"/>
      <c r="T12" s="127"/>
      <c r="U12" s="127"/>
    </row>
    <row r="13" spans="1:21" s="129" customFormat="1" x14ac:dyDescent="0.3">
      <c r="A13" s="127"/>
      <c r="B13" s="127"/>
      <c r="C13" s="127" t="s">
        <v>179</v>
      </c>
      <c r="D13" s="127" t="s">
        <v>101</v>
      </c>
      <c r="E13" s="127"/>
      <c r="F13" s="127"/>
      <c r="G13" s="127"/>
      <c r="H13" s="127"/>
      <c r="I13" s="127"/>
      <c r="J13" s="127"/>
      <c r="K13" s="127"/>
      <c r="L13" s="127"/>
      <c r="M13" s="127"/>
      <c r="N13" s="127"/>
      <c r="O13" s="127"/>
      <c r="P13" s="127"/>
      <c r="Q13" s="127"/>
      <c r="R13" s="127"/>
      <c r="S13" s="127"/>
      <c r="T13" s="127"/>
      <c r="U13" s="127"/>
    </row>
    <row r="14" spans="1:21" s="129" customFormat="1" x14ac:dyDescent="0.3">
      <c r="A14" s="127"/>
      <c r="B14" s="127"/>
      <c r="C14" s="127" t="s">
        <v>180</v>
      </c>
      <c r="D14" s="127" t="s">
        <v>181</v>
      </c>
      <c r="E14" s="127"/>
      <c r="F14" s="127"/>
      <c r="G14" s="127"/>
      <c r="H14" s="127"/>
      <c r="I14" s="127"/>
      <c r="J14" s="127"/>
      <c r="K14" s="127"/>
      <c r="L14" s="127"/>
      <c r="M14" s="127"/>
      <c r="N14" s="127"/>
      <c r="O14" s="127"/>
      <c r="P14" s="127"/>
      <c r="Q14" s="127"/>
      <c r="R14" s="127"/>
      <c r="S14" s="127"/>
      <c r="T14" s="127"/>
      <c r="U14" s="127"/>
    </row>
    <row r="15" spans="1:21" s="129" customFormat="1" x14ac:dyDescent="0.3">
      <c r="A15" s="127"/>
      <c r="B15" s="127"/>
      <c r="C15" s="127" t="s">
        <v>182</v>
      </c>
      <c r="D15" s="127" t="s">
        <v>183</v>
      </c>
      <c r="E15" s="127"/>
      <c r="F15" s="127"/>
      <c r="G15" s="127"/>
      <c r="H15" s="127"/>
      <c r="I15" s="127"/>
      <c r="J15" s="127"/>
      <c r="K15" s="127"/>
      <c r="L15" s="127"/>
      <c r="M15" s="127"/>
      <c r="N15" s="127"/>
      <c r="O15" s="127"/>
      <c r="P15" s="127"/>
      <c r="Q15" s="127"/>
      <c r="R15" s="127"/>
      <c r="S15" s="127"/>
      <c r="T15" s="127"/>
      <c r="U15" s="127"/>
    </row>
    <row r="16" spans="1:21" s="129" customFormat="1" x14ac:dyDescent="0.3">
      <c r="A16" s="127"/>
      <c r="B16" s="127"/>
      <c r="C16" s="127"/>
      <c r="D16" s="127"/>
      <c r="E16" s="127"/>
      <c r="F16" s="127"/>
      <c r="G16" s="127"/>
      <c r="H16" s="127"/>
      <c r="I16" s="127"/>
      <c r="J16" s="127"/>
      <c r="K16" s="127"/>
      <c r="L16" s="127"/>
      <c r="M16" s="127"/>
      <c r="N16" s="127"/>
      <c r="O16" s="127"/>
    </row>
    <row r="17" spans="1:15" s="129" customFormat="1" x14ac:dyDescent="0.3">
      <c r="A17" s="127"/>
      <c r="B17" s="127"/>
      <c r="C17" s="127"/>
      <c r="D17" s="127"/>
      <c r="E17" s="127"/>
      <c r="F17" s="127"/>
      <c r="G17" s="127"/>
      <c r="H17" s="127"/>
      <c r="I17" s="127"/>
      <c r="J17" s="127"/>
      <c r="K17" s="127"/>
      <c r="L17" s="127"/>
      <c r="M17" s="127"/>
      <c r="N17" s="127"/>
      <c r="O17" s="127"/>
    </row>
    <row r="18" spans="1:15" s="129" customFormat="1" x14ac:dyDescent="0.3">
      <c r="A18" s="127"/>
      <c r="B18" s="127"/>
      <c r="C18" s="127"/>
      <c r="D18" s="127"/>
      <c r="E18" s="127"/>
      <c r="F18" s="127"/>
      <c r="G18" s="127"/>
      <c r="H18" s="127"/>
      <c r="I18" s="127"/>
      <c r="J18" s="127"/>
      <c r="K18" s="127"/>
      <c r="L18" s="127"/>
      <c r="M18" s="127"/>
      <c r="N18" s="127"/>
      <c r="O18" s="127"/>
    </row>
    <row r="19" spans="1:15" s="129" customFormat="1" x14ac:dyDescent="0.3">
      <c r="A19" s="127"/>
      <c r="B19" s="127"/>
      <c r="C19" s="127"/>
      <c r="D19" s="127"/>
      <c r="E19" s="127"/>
      <c r="F19" s="127"/>
      <c r="G19" s="127"/>
      <c r="H19" s="127"/>
      <c r="I19" s="127"/>
      <c r="J19" s="127"/>
      <c r="K19" s="127"/>
      <c r="L19" s="127"/>
      <c r="M19" s="127"/>
      <c r="N19" s="127"/>
      <c r="O19" s="127"/>
    </row>
    <row r="20" spans="1:15" s="129" customFormat="1" x14ac:dyDescent="0.3">
      <c r="A20" s="127"/>
      <c r="B20" s="127"/>
      <c r="C20" s="127"/>
      <c r="D20" s="127"/>
      <c r="E20" s="127"/>
      <c r="F20" s="127"/>
      <c r="G20" s="127"/>
      <c r="H20" s="127"/>
      <c r="I20" s="127"/>
      <c r="J20" s="127"/>
      <c r="K20" s="127"/>
      <c r="L20" s="127"/>
      <c r="M20" s="127"/>
      <c r="N20" s="127"/>
      <c r="O20" s="127"/>
    </row>
    <row r="21" spans="1:15" s="129" customFormat="1" x14ac:dyDescent="0.3">
      <c r="A21" s="127"/>
      <c r="B21" s="127"/>
      <c r="C21" s="127"/>
      <c r="D21" s="127"/>
      <c r="E21" s="127"/>
      <c r="F21" s="127"/>
      <c r="G21" s="127"/>
      <c r="H21" s="127"/>
      <c r="I21" s="127"/>
      <c r="J21" s="127"/>
      <c r="K21" s="127"/>
      <c r="L21" s="127"/>
      <c r="M21" s="127"/>
      <c r="N21" s="127"/>
      <c r="O21" s="127"/>
    </row>
    <row r="22" spans="1:15" s="129" customFormat="1" ht="20.399999999999999" x14ac:dyDescent="0.3">
      <c r="A22" s="127"/>
      <c r="B22" s="127"/>
      <c r="C22" s="128"/>
      <c r="D22" s="128"/>
      <c r="E22" s="127"/>
      <c r="F22" s="127"/>
      <c r="G22" s="127"/>
      <c r="H22" s="127"/>
      <c r="I22" s="127"/>
      <c r="J22" s="127"/>
      <c r="K22" s="127"/>
      <c r="L22" s="127"/>
      <c r="M22" s="127"/>
      <c r="N22" s="127"/>
      <c r="O22" s="127"/>
    </row>
    <row r="23" spans="1:15" s="129" customFormat="1" ht="20.399999999999999" x14ac:dyDescent="0.3">
      <c r="A23" s="127"/>
      <c r="B23" s="127"/>
      <c r="C23" s="128"/>
      <c r="D23" s="128"/>
      <c r="E23" s="127"/>
      <c r="F23" s="127"/>
      <c r="G23" s="127"/>
      <c r="H23" s="127"/>
      <c r="I23" s="127"/>
      <c r="J23" s="127"/>
      <c r="K23" s="127"/>
      <c r="L23" s="127"/>
      <c r="M23" s="127"/>
      <c r="N23" s="127"/>
      <c r="O23" s="127"/>
    </row>
    <row r="24" spans="1:15" s="129" customFormat="1" ht="20.399999999999999" x14ac:dyDescent="0.3">
      <c r="A24" s="127"/>
      <c r="B24" s="127"/>
      <c r="C24" s="128"/>
      <c r="D24" s="128"/>
      <c r="E24" s="127"/>
      <c r="F24" s="127"/>
      <c r="G24" s="127"/>
      <c r="H24" s="127"/>
      <c r="I24" s="127"/>
      <c r="J24" s="127"/>
      <c r="K24" s="127"/>
      <c r="L24" s="127"/>
      <c r="M24" s="127"/>
      <c r="N24" s="127"/>
      <c r="O24" s="127"/>
    </row>
    <row r="25" spans="1:15" s="129" customFormat="1" ht="20.399999999999999" x14ac:dyDescent="0.3">
      <c r="A25" s="127"/>
      <c r="B25" s="127"/>
      <c r="C25" s="128"/>
      <c r="D25" s="128"/>
      <c r="E25" s="127"/>
      <c r="F25" s="127"/>
      <c r="G25" s="127"/>
      <c r="H25" s="127"/>
      <c r="I25" s="127"/>
      <c r="J25" s="127"/>
      <c r="K25" s="127"/>
      <c r="L25" s="127"/>
      <c r="M25" s="127"/>
      <c r="N25" s="127"/>
      <c r="O25" s="127"/>
    </row>
    <row r="26" spans="1:15" s="129" customFormat="1" ht="20.399999999999999" x14ac:dyDescent="0.3">
      <c r="A26" s="127"/>
      <c r="B26" s="127"/>
      <c r="C26" s="128"/>
      <c r="D26" s="128"/>
      <c r="E26" s="127"/>
      <c r="F26" s="127"/>
      <c r="G26" s="127"/>
      <c r="H26" s="127"/>
      <c r="I26" s="127"/>
      <c r="J26" s="127"/>
      <c r="K26" s="127"/>
      <c r="L26" s="127"/>
      <c r="M26" s="127"/>
      <c r="N26" s="127"/>
      <c r="O26" s="127"/>
    </row>
    <row r="27" spans="1:15" s="129" customFormat="1" ht="20.399999999999999" x14ac:dyDescent="0.3">
      <c r="A27" s="127"/>
      <c r="B27" s="127"/>
      <c r="C27" s="128"/>
      <c r="D27" s="128"/>
      <c r="E27" s="127"/>
      <c r="F27" s="127"/>
      <c r="G27" s="127"/>
      <c r="H27" s="127"/>
      <c r="I27" s="127"/>
      <c r="J27" s="127"/>
      <c r="K27" s="127"/>
      <c r="L27" s="127"/>
      <c r="M27" s="127"/>
      <c r="N27" s="127"/>
      <c r="O27" s="127"/>
    </row>
    <row r="28" spans="1:15" s="129" customFormat="1" ht="20.399999999999999" x14ac:dyDescent="0.3">
      <c r="A28" s="127"/>
      <c r="B28" s="127"/>
      <c r="C28" s="128"/>
      <c r="D28" s="128"/>
      <c r="E28" s="127"/>
      <c r="F28" s="127"/>
      <c r="G28" s="127"/>
      <c r="H28" s="127"/>
      <c r="I28" s="127"/>
      <c r="J28" s="127"/>
      <c r="K28" s="127"/>
      <c r="L28" s="127"/>
      <c r="M28" s="127"/>
      <c r="N28" s="127"/>
      <c r="O28" s="127"/>
    </row>
    <row r="29" spans="1:15" s="129" customFormat="1" ht="20.399999999999999" x14ac:dyDescent="0.3">
      <c r="A29" s="127"/>
      <c r="B29" s="127"/>
      <c r="C29" s="128"/>
      <c r="D29" s="128"/>
      <c r="E29" s="127"/>
      <c r="F29" s="127"/>
      <c r="G29" s="127"/>
      <c r="H29" s="127"/>
      <c r="I29" s="127"/>
      <c r="J29" s="127"/>
      <c r="K29" s="127"/>
      <c r="L29" s="127"/>
      <c r="M29" s="127"/>
      <c r="N29" s="127"/>
      <c r="O29" s="127"/>
    </row>
    <row r="30" spans="1:15" s="129" customFormat="1" ht="20.399999999999999" x14ac:dyDescent="0.3">
      <c r="A30" s="127"/>
      <c r="B30" s="127"/>
      <c r="C30" s="128"/>
      <c r="D30" s="128"/>
      <c r="E30" s="127"/>
      <c r="F30" s="127"/>
      <c r="G30" s="127"/>
      <c r="H30" s="127"/>
      <c r="I30" s="127"/>
      <c r="J30" s="127"/>
      <c r="K30" s="127"/>
      <c r="L30" s="127"/>
      <c r="M30" s="127"/>
      <c r="N30" s="127"/>
      <c r="O30" s="127"/>
    </row>
    <row r="31" spans="1:15" s="129" customFormat="1" ht="20.399999999999999" x14ac:dyDescent="0.3">
      <c r="A31" s="127"/>
      <c r="B31" s="127"/>
      <c r="C31" s="128"/>
      <c r="D31" s="128"/>
      <c r="E31" s="127"/>
      <c r="F31" s="127"/>
      <c r="G31" s="127"/>
      <c r="H31" s="127"/>
      <c r="I31" s="127"/>
      <c r="J31" s="127"/>
      <c r="K31" s="127"/>
      <c r="L31" s="127"/>
      <c r="M31" s="127"/>
      <c r="N31" s="127"/>
      <c r="O31" s="127"/>
    </row>
    <row r="32" spans="1:15" s="129" customFormat="1" ht="20.399999999999999" x14ac:dyDescent="0.3">
      <c r="A32" s="127"/>
      <c r="B32" s="127"/>
      <c r="C32" s="128"/>
      <c r="D32" s="128"/>
      <c r="E32" s="127"/>
      <c r="F32" s="127"/>
      <c r="G32" s="127"/>
      <c r="H32" s="127"/>
      <c r="I32" s="127"/>
      <c r="J32" s="127"/>
      <c r="K32" s="127"/>
      <c r="L32" s="127"/>
      <c r="M32" s="127"/>
      <c r="N32" s="127"/>
      <c r="O32" s="127"/>
    </row>
    <row r="33" spans="1:15" s="129" customFormat="1" ht="20.399999999999999" x14ac:dyDescent="0.3">
      <c r="A33" s="127"/>
      <c r="B33" s="127"/>
      <c r="C33" s="128"/>
      <c r="D33" s="128"/>
      <c r="E33" s="127"/>
      <c r="F33" s="127"/>
      <c r="G33" s="127"/>
      <c r="H33" s="127"/>
      <c r="I33" s="127"/>
      <c r="J33" s="127"/>
      <c r="K33" s="127"/>
      <c r="L33" s="127"/>
      <c r="M33" s="127"/>
      <c r="N33" s="127"/>
      <c r="O33" s="127"/>
    </row>
    <row r="34" spans="1:15" s="129" customFormat="1" ht="20.399999999999999" x14ac:dyDescent="0.3">
      <c r="A34" s="127"/>
      <c r="B34" s="127"/>
      <c r="C34" s="128"/>
      <c r="D34" s="128"/>
      <c r="E34" s="127"/>
      <c r="F34" s="127"/>
      <c r="G34" s="127"/>
      <c r="H34" s="127"/>
      <c r="I34" s="127"/>
      <c r="J34" s="127"/>
      <c r="K34" s="127"/>
      <c r="L34" s="127"/>
      <c r="M34" s="127"/>
      <c r="N34" s="127"/>
      <c r="O34" s="127"/>
    </row>
    <row r="35" spans="1:15" s="129" customFormat="1" ht="20.399999999999999" x14ac:dyDescent="0.3">
      <c r="A35" s="127"/>
      <c r="B35" s="127"/>
      <c r="C35" s="128"/>
      <c r="D35" s="128"/>
      <c r="E35" s="127"/>
      <c r="F35" s="127"/>
      <c r="G35" s="127"/>
      <c r="H35" s="127"/>
      <c r="I35" s="127"/>
      <c r="J35" s="127"/>
      <c r="K35" s="127"/>
      <c r="L35" s="127"/>
      <c r="M35" s="127"/>
      <c r="N35" s="127"/>
      <c r="O35" s="127"/>
    </row>
    <row r="36" spans="1:15" s="129" customFormat="1" ht="20.399999999999999" x14ac:dyDescent="0.3">
      <c r="A36" s="127"/>
      <c r="B36" s="127"/>
      <c r="C36" s="128"/>
      <c r="D36" s="128"/>
      <c r="E36" s="127"/>
      <c r="F36" s="127"/>
      <c r="G36" s="127"/>
      <c r="H36" s="127"/>
      <c r="I36" s="127"/>
      <c r="J36" s="127"/>
      <c r="K36" s="127"/>
      <c r="L36" s="127"/>
      <c r="M36" s="127"/>
      <c r="N36" s="127"/>
      <c r="O36" s="127"/>
    </row>
    <row r="37" spans="1:15" s="129" customFormat="1" ht="20.399999999999999" x14ac:dyDescent="0.3">
      <c r="A37" s="127"/>
      <c r="B37" s="127"/>
      <c r="C37" s="128"/>
      <c r="D37" s="128"/>
      <c r="E37" s="127"/>
      <c r="F37" s="127"/>
      <c r="G37" s="127"/>
      <c r="H37" s="127"/>
      <c r="I37" s="127"/>
      <c r="J37" s="127"/>
      <c r="K37" s="127"/>
      <c r="L37" s="127"/>
      <c r="M37" s="127"/>
      <c r="N37" s="127"/>
      <c r="O37" s="127"/>
    </row>
    <row r="38" spans="1:15" s="129" customFormat="1" ht="20.399999999999999" x14ac:dyDescent="0.3">
      <c r="A38" s="127"/>
      <c r="B38" s="127"/>
      <c r="C38" s="128"/>
      <c r="D38" s="128"/>
      <c r="E38" s="127"/>
      <c r="F38" s="127"/>
      <c r="G38" s="127"/>
      <c r="H38" s="127"/>
      <c r="I38" s="127"/>
      <c r="J38" s="127"/>
      <c r="K38" s="127"/>
      <c r="L38" s="127"/>
      <c r="M38" s="127"/>
      <c r="N38" s="127"/>
      <c r="O38" s="127"/>
    </row>
    <row r="39" spans="1:15" s="129" customFormat="1" ht="20.399999999999999" x14ac:dyDescent="0.3">
      <c r="A39" s="127"/>
      <c r="B39" s="127"/>
      <c r="C39" s="128"/>
      <c r="D39" s="128"/>
      <c r="E39" s="127"/>
      <c r="F39" s="127"/>
      <c r="G39" s="127"/>
      <c r="H39" s="127"/>
      <c r="I39" s="127"/>
      <c r="J39" s="127"/>
      <c r="K39" s="127"/>
      <c r="L39" s="127"/>
      <c r="M39" s="127"/>
      <c r="N39" s="127"/>
      <c r="O39" s="127"/>
    </row>
    <row r="40" spans="1:15" s="129" customFormat="1" ht="20.399999999999999" x14ac:dyDescent="0.3">
      <c r="A40" s="127"/>
      <c r="B40" s="127"/>
      <c r="C40" s="128"/>
      <c r="D40" s="128"/>
      <c r="E40" s="127"/>
      <c r="F40" s="127"/>
      <c r="G40" s="127"/>
      <c r="H40" s="127"/>
      <c r="I40" s="127"/>
      <c r="J40" s="127"/>
      <c r="K40" s="127"/>
      <c r="L40" s="127"/>
      <c r="M40" s="127"/>
      <c r="N40" s="127"/>
      <c r="O40" s="127"/>
    </row>
    <row r="41" spans="1:15" s="129" customFormat="1" ht="20.399999999999999" x14ac:dyDescent="0.3">
      <c r="A41" s="127"/>
      <c r="B41" s="127"/>
      <c r="C41" s="128"/>
      <c r="D41" s="128"/>
      <c r="E41" s="127"/>
      <c r="F41" s="127"/>
      <c r="G41" s="127"/>
      <c r="H41" s="127"/>
      <c r="I41" s="127"/>
      <c r="J41" s="127"/>
      <c r="K41" s="127"/>
      <c r="L41" s="127"/>
      <c r="M41" s="127"/>
      <c r="N41" s="127"/>
      <c r="O41" s="127"/>
    </row>
    <row r="42" spans="1:15" s="129" customFormat="1" ht="20.399999999999999" x14ac:dyDescent="0.3">
      <c r="A42" s="127"/>
      <c r="B42" s="127"/>
      <c r="C42" s="128"/>
      <c r="D42" s="128"/>
      <c r="E42" s="127"/>
      <c r="F42" s="127"/>
      <c r="G42" s="127"/>
      <c r="H42" s="127"/>
      <c r="I42" s="127"/>
      <c r="J42" s="127"/>
      <c r="K42" s="127"/>
      <c r="L42" s="127"/>
      <c r="M42" s="127"/>
      <c r="N42" s="127"/>
      <c r="O42" s="127"/>
    </row>
    <row r="43" spans="1:15" s="129" customFormat="1" ht="20.399999999999999" x14ac:dyDescent="0.3">
      <c r="A43" s="127"/>
      <c r="B43" s="127"/>
      <c r="C43" s="128"/>
      <c r="D43" s="128"/>
      <c r="E43" s="127"/>
      <c r="F43" s="127"/>
      <c r="G43" s="127"/>
      <c r="H43" s="127"/>
      <c r="I43" s="127"/>
      <c r="J43" s="127"/>
      <c r="K43" s="127"/>
      <c r="L43" s="127"/>
      <c r="M43" s="127"/>
      <c r="N43" s="127"/>
      <c r="O43" s="127"/>
    </row>
    <row r="44" spans="1:15" s="129" customFormat="1" ht="20.399999999999999" x14ac:dyDescent="0.3">
      <c r="A44" s="127"/>
      <c r="B44" s="127"/>
      <c r="C44" s="128"/>
      <c r="D44" s="128"/>
      <c r="E44" s="127"/>
      <c r="F44" s="127"/>
      <c r="G44" s="127"/>
      <c r="H44" s="127"/>
      <c r="I44" s="127"/>
      <c r="J44" s="127"/>
      <c r="K44" s="127"/>
      <c r="L44" s="127"/>
      <c r="M44" s="127"/>
      <c r="N44" s="127"/>
      <c r="O44" s="127"/>
    </row>
    <row r="45" spans="1:15" s="129" customFormat="1" ht="20.399999999999999" x14ac:dyDescent="0.3">
      <c r="A45" s="127"/>
      <c r="B45" s="127"/>
      <c r="C45" s="128"/>
      <c r="D45" s="128"/>
      <c r="E45" s="127"/>
      <c r="F45" s="127"/>
      <c r="G45" s="127"/>
      <c r="H45" s="127"/>
      <c r="I45" s="127"/>
      <c r="J45" s="127"/>
      <c r="K45" s="127"/>
      <c r="L45" s="127"/>
      <c r="M45" s="127"/>
      <c r="N45" s="127"/>
      <c r="O45" s="127"/>
    </row>
    <row r="46" spans="1:15" s="129" customFormat="1" ht="20.399999999999999" x14ac:dyDescent="0.3">
      <c r="A46" s="127"/>
      <c r="B46" s="127"/>
      <c r="C46" s="128"/>
      <c r="D46" s="128"/>
      <c r="E46" s="127"/>
      <c r="F46" s="127"/>
      <c r="G46" s="127"/>
      <c r="H46" s="127"/>
      <c r="I46" s="127"/>
      <c r="J46" s="127"/>
      <c r="K46" s="127"/>
      <c r="L46" s="127"/>
      <c r="M46" s="127"/>
      <c r="N46" s="127"/>
      <c r="O46" s="127"/>
    </row>
    <row r="47" spans="1:15" s="129" customFormat="1" ht="20.399999999999999" x14ac:dyDescent="0.3">
      <c r="A47" s="127"/>
      <c r="B47" s="127"/>
      <c r="C47" s="128"/>
      <c r="D47" s="128"/>
      <c r="E47" s="127"/>
      <c r="F47" s="127"/>
      <c r="G47" s="127"/>
      <c r="H47" s="127"/>
      <c r="I47" s="127"/>
      <c r="J47" s="127"/>
      <c r="K47" s="127"/>
      <c r="L47" s="127"/>
      <c r="M47" s="127"/>
      <c r="N47" s="127"/>
      <c r="O47" s="127"/>
    </row>
    <row r="48" spans="1:15" s="129" customFormat="1" ht="20.399999999999999" x14ac:dyDescent="0.3">
      <c r="A48" s="127"/>
      <c r="B48" s="127"/>
      <c r="C48" s="128"/>
      <c r="D48" s="128"/>
      <c r="E48" s="127"/>
      <c r="F48" s="127"/>
      <c r="G48" s="127"/>
      <c r="H48" s="127"/>
      <c r="I48" s="127"/>
      <c r="J48" s="127"/>
      <c r="K48" s="127"/>
      <c r="L48" s="127"/>
      <c r="M48" s="127"/>
      <c r="N48" s="127"/>
      <c r="O48" s="127"/>
    </row>
    <row r="49" spans="1:15" s="129" customFormat="1" ht="20.399999999999999" x14ac:dyDescent="0.3">
      <c r="A49" s="127"/>
      <c r="B49" s="127"/>
      <c r="C49" s="128"/>
      <c r="D49" s="128"/>
      <c r="E49" s="127"/>
      <c r="F49" s="127"/>
      <c r="G49" s="127"/>
      <c r="H49" s="127"/>
      <c r="I49" s="127"/>
      <c r="J49" s="127"/>
      <c r="K49" s="127"/>
      <c r="L49" s="127"/>
      <c r="M49" s="127"/>
      <c r="N49" s="127"/>
      <c r="O49" s="127"/>
    </row>
    <row r="50" spans="1:15" s="129" customFormat="1" ht="20.399999999999999" x14ac:dyDescent="0.3">
      <c r="A50" s="127"/>
      <c r="B50" s="127"/>
      <c r="C50" s="128"/>
      <c r="D50" s="128"/>
      <c r="E50" s="127"/>
      <c r="F50" s="127"/>
      <c r="G50" s="127"/>
      <c r="H50" s="127"/>
      <c r="I50" s="127"/>
      <c r="J50" s="127"/>
      <c r="K50" s="127"/>
      <c r="L50" s="127"/>
      <c r="M50" s="127"/>
      <c r="N50" s="127"/>
      <c r="O50" s="127"/>
    </row>
    <row r="51" spans="1:15" s="129" customFormat="1" ht="20.399999999999999" x14ac:dyDescent="0.3">
      <c r="A51" s="127"/>
      <c r="B51" s="127"/>
      <c r="C51" s="128"/>
      <c r="D51" s="128"/>
      <c r="E51" s="127"/>
      <c r="F51" s="127"/>
      <c r="G51" s="127"/>
      <c r="H51" s="127"/>
      <c r="I51" s="127"/>
      <c r="J51" s="127"/>
      <c r="K51" s="127"/>
      <c r="L51" s="127"/>
      <c r="M51" s="127"/>
      <c r="N51" s="127"/>
      <c r="O51" s="127"/>
    </row>
    <row r="52" spans="1:15" s="129" customFormat="1" ht="20.399999999999999" x14ac:dyDescent="0.3">
      <c r="A52" s="127"/>
      <c r="C52" s="131"/>
      <c r="D52" s="131"/>
    </row>
    <row r="53" spans="1:15" s="129" customFormat="1" ht="20.399999999999999" x14ac:dyDescent="0.3">
      <c r="A53" s="127"/>
      <c r="C53" s="131"/>
      <c r="D53" s="131"/>
    </row>
    <row r="54" spans="1:15" s="129" customFormat="1" ht="20.399999999999999" x14ac:dyDescent="0.3">
      <c r="A54" s="127"/>
      <c r="C54" s="131"/>
      <c r="D54" s="131"/>
    </row>
    <row r="55" spans="1:15" s="129" customFormat="1" ht="20.399999999999999" x14ac:dyDescent="0.3">
      <c r="A55" s="127"/>
      <c r="C55" s="131"/>
      <c r="D55" s="131"/>
    </row>
    <row r="56" spans="1:15" s="129" customFormat="1" ht="20.399999999999999" x14ac:dyDescent="0.3">
      <c r="A56" s="127"/>
      <c r="C56" s="131"/>
      <c r="D56" s="131"/>
    </row>
    <row r="57" spans="1:15" s="129" customFormat="1" ht="20.399999999999999" x14ac:dyDescent="0.3">
      <c r="A57" s="127"/>
      <c r="C57" s="131"/>
      <c r="D57" s="131"/>
    </row>
    <row r="58" spans="1:15" s="129" customFormat="1" ht="20.399999999999999" x14ac:dyDescent="0.3">
      <c r="A58" s="127"/>
      <c r="C58" s="131"/>
      <c r="D58" s="131"/>
    </row>
    <row r="59" spans="1:15" s="129" customFormat="1" ht="20.399999999999999" x14ac:dyDescent="0.3">
      <c r="A59" s="127"/>
      <c r="C59" s="131"/>
      <c r="D59" s="131"/>
    </row>
    <row r="60" spans="1:15" s="129" customFormat="1" ht="20.399999999999999" x14ac:dyDescent="0.3">
      <c r="A60" s="127"/>
      <c r="C60" s="131"/>
      <c r="D60" s="131"/>
    </row>
    <row r="61" spans="1:15" s="129" customFormat="1" ht="20.399999999999999" x14ac:dyDescent="0.3">
      <c r="A61" s="127"/>
      <c r="C61" s="131"/>
      <c r="D61" s="131"/>
    </row>
    <row r="62" spans="1:15" s="129" customFormat="1" ht="20.399999999999999" x14ac:dyDescent="0.3">
      <c r="A62" s="127"/>
      <c r="C62" s="131"/>
      <c r="D62" s="131"/>
    </row>
    <row r="63" spans="1:15" s="129" customFormat="1" ht="20.399999999999999" x14ac:dyDescent="0.3">
      <c r="A63" s="127"/>
      <c r="C63" s="131"/>
      <c r="D63" s="131"/>
    </row>
    <row r="64" spans="1:15" s="129" customFormat="1" ht="20.399999999999999" x14ac:dyDescent="0.3">
      <c r="A64" s="127"/>
      <c r="C64" s="131"/>
      <c r="D64" s="131"/>
    </row>
    <row r="65" spans="1:4" s="129" customFormat="1" ht="20.399999999999999" x14ac:dyDescent="0.3">
      <c r="A65" s="127"/>
      <c r="C65" s="131"/>
      <c r="D65" s="131"/>
    </row>
    <row r="66" spans="1:4" s="129" customFormat="1" ht="20.399999999999999" x14ac:dyDescent="0.3">
      <c r="A66" s="127"/>
      <c r="C66" s="131"/>
      <c r="D66" s="131"/>
    </row>
    <row r="67" spans="1:4" s="129" customFormat="1" ht="20.399999999999999" x14ac:dyDescent="0.3">
      <c r="A67" s="127"/>
      <c r="C67" s="131"/>
      <c r="D67" s="131"/>
    </row>
    <row r="68" spans="1:4" s="129" customFormat="1" ht="20.399999999999999" x14ac:dyDescent="0.3">
      <c r="A68" s="127"/>
      <c r="C68" s="131"/>
      <c r="D68" s="131"/>
    </row>
    <row r="69" spans="1:4" s="129" customFormat="1" ht="20.399999999999999" x14ac:dyDescent="0.3">
      <c r="A69" s="127"/>
      <c r="C69" s="131"/>
      <c r="D69" s="131"/>
    </row>
    <row r="70" spans="1:4" s="129" customFormat="1" ht="20.399999999999999" x14ac:dyDescent="0.3">
      <c r="A70" s="127"/>
      <c r="C70" s="131"/>
      <c r="D70" s="131"/>
    </row>
    <row r="71" spans="1:4" s="129" customFormat="1" ht="20.399999999999999" x14ac:dyDescent="0.3">
      <c r="A71" s="127"/>
      <c r="C71" s="131"/>
      <c r="D71" s="131"/>
    </row>
    <row r="72" spans="1:4" s="129" customFormat="1" ht="20.399999999999999" x14ac:dyDescent="0.3">
      <c r="A72" s="127"/>
      <c r="C72" s="131"/>
      <c r="D72" s="131"/>
    </row>
    <row r="73" spans="1:4" s="129" customFormat="1" ht="20.399999999999999" x14ac:dyDescent="0.3">
      <c r="A73" s="127"/>
      <c r="C73" s="131"/>
      <c r="D73" s="131"/>
    </row>
    <row r="74" spans="1:4" s="129" customFormat="1" ht="20.399999999999999" x14ac:dyDescent="0.3">
      <c r="A74" s="127"/>
      <c r="C74" s="131"/>
      <c r="D74" s="131"/>
    </row>
    <row r="75" spans="1:4" s="129" customFormat="1" ht="20.399999999999999" x14ac:dyDescent="0.3">
      <c r="A75" s="127"/>
      <c r="C75" s="131"/>
      <c r="D75" s="131"/>
    </row>
    <row r="76" spans="1:4" s="129" customFormat="1" ht="20.399999999999999" x14ac:dyDescent="0.3">
      <c r="A76" s="127"/>
      <c r="C76" s="131"/>
      <c r="D76" s="131"/>
    </row>
    <row r="77" spans="1:4" s="129" customFormat="1" ht="20.399999999999999" x14ac:dyDescent="0.3">
      <c r="A77" s="127"/>
      <c r="C77" s="131"/>
      <c r="D77" s="131"/>
    </row>
    <row r="78" spans="1:4" s="129" customFormat="1" ht="20.399999999999999" x14ac:dyDescent="0.3">
      <c r="A78" s="127"/>
      <c r="C78" s="131"/>
      <c r="D78" s="131"/>
    </row>
    <row r="79" spans="1:4" s="129" customFormat="1" ht="20.399999999999999" x14ac:dyDescent="0.3">
      <c r="A79" s="127"/>
      <c r="C79" s="131"/>
      <c r="D79" s="131"/>
    </row>
    <row r="80" spans="1:4" s="129" customFormat="1" ht="20.399999999999999" x14ac:dyDescent="0.3">
      <c r="A80" s="127"/>
      <c r="C80" s="131"/>
      <c r="D80" s="131"/>
    </row>
    <row r="81" spans="1:4" s="129" customFormat="1" ht="20.399999999999999" x14ac:dyDescent="0.3">
      <c r="A81" s="127"/>
      <c r="C81" s="131"/>
      <c r="D81" s="131"/>
    </row>
    <row r="82" spans="1:4" s="129" customFormat="1" ht="20.399999999999999" x14ac:dyDescent="0.3">
      <c r="A82" s="127"/>
      <c r="C82" s="131"/>
      <c r="D82" s="131"/>
    </row>
    <row r="83" spans="1:4" s="129" customFormat="1" ht="20.399999999999999" x14ac:dyDescent="0.3">
      <c r="A83" s="127"/>
      <c r="C83" s="131"/>
      <c r="D83" s="131"/>
    </row>
    <row r="84" spans="1:4" s="129" customFormat="1" ht="20.399999999999999" x14ac:dyDescent="0.3">
      <c r="A84" s="127"/>
      <c r="C84" s="131"/>
      <c r="D84" s="131"/>
    </row>
    <row r="85" spans="1:4" s="129" customFormat="1" ht="20.399999999999999" x14ac:dyDescent="0.3">
      <c r="A85" s="127"/>
      <c r="C85" s="131"/>
      <c r="D85" s="131"/>
    </row>
    <row r="86" spans="1:4" s="129" customFormat="1" ht="20.399999999999999" x14ac:dyDescent="0.3">
      <c r="A86" s="127"/>
      <c r="C86" s="131"/>
      <c r="D86" s="131"/>
    </row>
    <row r="87" spans="1:4" s="129" customFormat="1" ht="20.399999999999999" x14ac:dyDescent="0.3">
      <c r="A87" s="127"/>
      <c r="C87" s="131"/>
      <c r="D87" s="131"/>
    </row>
    <row r="88" spans="1:4" s="129" customFormat="1" ht="20.399999999999999" x14ac:dyDescent="0.3">
      <c r="A88" s="127"/>
      <c r="C88" s="131"/>
      <c r="D88" s="131"/>
    </row>
    <row r="89" spans="1:4" s="129" customFormat="1" ht="20.399999999999999" x14ac:dyDescent="0.3">
      <c r="A89" s="127"/>
      <c r="C89" s="131"/>
      <c r="D89" s="131"/>
    </row>
    <row r="90" spans="1:4" s="129" customFormat="1" ht="20.399999999999999" x14ac:dyDescent="0.3">
      <c r="A90" s="127"/>
      <c r="C90" s="131"/>
      <c r="D90" s="131"/>
    </row>
    <row r="91" spans="1:4" s="129" customFormat="1" ht="20.399999999999999" x14ac:dyDescent="0.3">
      <c r="A91" s="127"/>
      <c r="C91" s="131"/>
      <c r="D91" s="131"/>
    </row>
    <row r="92" spans="1:4" s="129" customFormat="1" ht="20.399999999999999" x14ac:dyDescent="0.3">
      <c r="A92" s="127"/>
      <c r="C92" s="131"/>
      <c r="D92" s="131"/>
    </row>
    <row r="93" spans="1:4" s="129" customFormat="1" ht="20.399999999999999" x14ac:dyDescent="0.3">
      <c r="A93" s="127"/>
      <c r="C93" s="131"/>
      <c r="D93" s="131"/>
    </row>
    <row r="94" spans="1:4" s="129" customFormat="1" ht="20.399999999999999" x14ac:dyDescent="0.3">
      <c r="A94" s="127"/>
      <c r="C94" s="131"/>
      <c r="D94" s="131"/>
    </row>
    <row r="95" spans="1:4" s="129" customFormat="1" ht="20.399999999999999" x14ac:dyDescent="0.3">
      <c r="A95" s="127"/>
      <c r="C95" s="131"/>
      <c r="D95" s="131"/>
    </row>
    <row r="96" spans="1:4" s="129" customFormat="1" ht="20.399999999999999" x14ac:dyDescent="0.3">
      <c r="A96" s="127"/>
      <c r="C96" s="131"/>
      <c r="D96" s="131"/>
    </row>
    <row r="97" spans="1:4" s="129" customFormat="1" ht="20.399999999999999" x14ac:dyDescent="0.3">
      <c r="A97" s="127"/>
      <c r="C97" s="131"/>
      <c r="D97" s="131"/>
    </row>
    <row r="98" spans="1:4" s="129" customFormat="1" ht="20.399999999999999" x14ac:dyDescent="0.3">
      <c r="A98" s="127"/>
      <c r="C98" s="131"/>
      <c r="D98" s="131"/>
    </row>
    <row r="99" spans="1:4" s="129" customFormat="1" ht="20.399999999999999" x14ac:dyDescent="0.3">
      <c r="A99" s="127"/>
      <c r="C99" s="131"/>
      <c r="D99" s="131"/>
    </row>
    <row r="100" spans="1:4" s="129" customFormat="1" ht="20.399999999999999" x14ac:dyDescent="0.3">
      <c r="A100" s="127"/>
      <c r="C100" s="131"/>
      <c r="D100" s="131"/>
    </row>
    <row r="101" spans="1:4" s="129" customFormat="1" ht="20.399999999999999" x14ac:dyDescent="0.3">
      <c r="A101" s="127"/>
      <c r="C101" s="131"/>
      <c r="D101" s="131"/>
    </row>
    <row r="102" spans="1:4" s="129" customFormat="1" ht="20.399999999999999" x14ac:dyDescent="0.3">
      <c r="A102" s="127"/>
      <c r="C102" s="131"/>
      <c r="D102" s="131"/>
    </row>
    <row r="103" spans="1:4" s="129" customFormat="1" ht="20.399999999999999" x14ac:dyDescent="0.3">
      <c r="A103" s="127"/>
      <c r="C103" s="131"/>
      <c r="D103" s="131"/>
    </row>
    <row r="104" spans="1:4" s="129" customFormat="1" ht="20.399999999999999" x14ac:dyDescent="0.3">
      <c r="A104" s="127"/>
      <c r="C104" s="131"/>
      <c r="D104" s="131"/>
    </row>
    <row r="105" spans="1:4" s="129" customFormat="1" ht="20.399999999999999" x14ac:dyDescent="0.3">
      <c r="A105" s="127"/>
      <c r="C105" s="131"/>
      <c r="D105" s="131"/>
    </row>
    <row r="106" spans="1:4" s="129" customFormat="1" ht="20.399999999999999" x14ac:dyDescent="0.3">
      <c r="A106" s="127"/>
      <c r="C106" s="131"/>
      <c r="D106" s="131"/>
    </row>
    <row r="107" spans="1:4" s="129" customFormat="1" ht="20.399999999999999" x14ac:dyDescent="0.3">
      <c r="A107" s="127"/>
      <c r="C107" s="131"/>
      <c r="D107" s="131"/>
    </row>
    <row r="108" spans="1:4" s="129" customFormat="1" ht="20.399999999999999" x14ac:dyDescent="0.3">
      <c r="A108" s="127"/>
      <c r="C108" s="131"/>
      <c r="D108" s="131"/>
    </row>
    <row r="109" spans="1:4" s="129" customFormat="1" ht="20.399999999999999" x14ac:dyDescent="0.3">
      <c r="A109" s="127"/>
      <c r="C109" s="131"/>
      <c r="D109" s="131"/>
    </row>
    <row r="110" spans="1:4" s="129" customFormat="1" ht="20.399999999999999" x14ac:dyDescent="0.3">
      <c r="A110" s="127"/>
      <c r="C110" s="131"/>
      <c r="D110" s="131"/>
    </row>
    <row r="111" spans="1:4" s="129" customFormat="1" ht="20.399999999999999" x14ac:dyDescent="0.3">
      <c r="A111" s="127"/>
      <c r="C111" s="131"/>
      <c r="D111" s="131"/>
    </row>
    <row r="112" spans="1:4" s="129" customFormat="1" ht="20.399999999999999" x14ac:dyDescent="0.3">
      <c r="A112" s="127"/>
      <c r="C112" s="131"/>
      <c r="D112" s="131"/>
    </row>
    <row r="113" spans="1:4" s="129" customFormat="1" ht="20.399999999999999" x14ac:dyDescent="0.3">
      <c r="A113" s="127"/>
      <c r="C113" s="131"/>
      <c r="D113" s="131"/>
    </row>
    <row r="114" spans="1:4" s="129" customFormat="1" ht="20.399999999999999" x14ac:dyDescent="0.3">
      <c r="A114" s="127"/>
      <c r="C114" s="131"/>
      <c r="D114" s="131"/>
    </row>
    <row r="115" spans="1:4" s="129" customFormat="1" ht="20.399999999999999" x14ac:dyDescent="0.3">
      <c r="A115" s="127"/>
      <c r="C115" s="131"/>
      <c r="D115" s="131"/>
    </row>
    <row r="116" spans="1:4" s="129" customFormat="1" ht="20.399999999999999" x14ac:dyDescent="0.3">
      <c r="A116" s="127"/>
      <c r="C116" s="131"/>
      <c r="D116" s="131"/>
    </row>
    <row r="117" spans="1:4" s="129" customFormat="1" ht="20.399999999999999" x14ac:dyDescent="0.3">
      <c r="A117" s="127"/>
      <c r="C117" s="131"/>
      <c r="D117" s="131"/>
    </row>
    <row r="118" spans="1:4" s="129" customFormat="1" ht="20.399999999999999" x14ac:dyDescent="0.3">
      <c r="A118" s="127"/>
      <c r="C118" s="131"/>
      <c r="D118" s="131"/>
    </row>
    <row r="119" spans="1:4" s="129" customFormat="1" ht="20.399999999999999" x14ac:dyDescent="0.3">
      <c r="A119" s="127"/>
      <c r="C119" s="131"/>
      <c r="D119" s="131"/>
    </row>
    <row r="120" spans="1:4" s="129" customFormat="1" ht="20.399999999999999" x14ac:dyDescent="0.3">
      <c r="A120" s="127"/>
      <c r="C120" s="131"/>
      <c r="D120" s="131"/>
    </row>
    <row r="121" spans="1:4" s="129" customFormat="1" ht="20.399999999999999" x14ac:dyDescent="0.3">
      <c r="A121" s="127"/>
      <c r="C121" s="131"/>
      <c r="D121" s="131"/>
    </row>
    <row r="122" spans="1:4" s="129" customFormat="1" ht="20.399999999999999" x14ac:dyDescent="0.3">
      <c r="A122" s="127"/>
      <c r="C122" s="131"/>
      <c r="D122" s="131"/>
    </row>
    <row r="123" spans="1:4" s="129" customFormat="1" ht="20.399999999999999" x14ac:dyDescent="0.3">
      <c r="A123" s="127"/>
      <c r="C123" s="131"/>
      <c r="D123" s="131"/>
    </row>
    <row r="124" spans="1:4" s="129" customFormat="1" ht="20.399999999999999" x14ac:dyDescent="0.3">
      <c r="A124" s="127"/>
      <c r="C124" s="131"/>
      <c r="D124" s="131"/>
    </row>
    <row r="125" spans="1:4" s="129" customFormat="1" ht="20.399999999999999" x14ac:dyDescent="0.3">
      <c r="A125" s="127"/>
      <c r="C125" s="131"/>
      <c r="D125" s="131"/>
    </row>
    <row r="126" spans="1:4" s="129" customFormat="1" ht="20.399999999999999" x14ac:dyDescent="0.3">
      <c r="A126" s="127"/>
      <c r="C126" s="131"/>
      <c r="D126" s="131"/>
    </row>
    <row r="127" spans="1:4" s="129" customFormat="1" ht="20.399999999999999" x14ac:dyDescent="0.3">
      <c r="A127" s="127"/>
      <c r="C127" s="131"/>
      <c r="D127" s="131"/>
    </row>
    <row r="128" spans="1:4" s="129" customFormat="1" ht="20.399999999999999" x14ac:dyDescent="0.3">
      <c r="A128" s="127"/>
      <c r="C128" s="131"/>
      <c r="D128" s="131"/>
    </row>
    <row r="129" spans="1:4" s="129" customFormat="1" ht="20.399999999999999" x14ac:dyDescent="0.3">
      <c r="A129" s="127"/>
      <c r="C129" s="131"/>
      <c r="D129" s="131"/>
    </row>
    <row r="130" spans="1:4" s="129" customFormat="1" ht="20.399999999999999" x14ac:dyDescent="0.3">
      <c r="A130" s="127"/>
      <c r="C130" s="131"/>
      <c r="D130" s="131"/>
    </row>
    <row r="131" spans="1:4" s="129" customFormat="1" ht="20.399999999999999" x14ac:dyDescent="0.3">
      <c r="A131" s="127"/>
      <c r="C131" s="131"/>
      <c r="D131" s="131"/>
    </row>
    <row r="132" spans="1:4" s="129" customFormat="1" ht="20.399999999999999" x14ac:dyDescent="0.3">
      <c r="A132" s="127"/>
      <c r="C132" s="131"/>
      <c r="D132" s="131"/>
    </row>
    <row r="133" spans="1:4" s="129" customFormat="1" ht="20.399999999999999" x14ac:dyDescent="0.3">
      <c r="A133" s="127"/>
      <c r="C133" s="131"/>
      <c r="D133" s="131"/>
    </row>
    <row r="134" spans="1:4" s="129" customFormat="1" ht="20.399999999999999" x14ac:dyDescent="0.3">
      <c r="A134" s="127"/>
      <c r="C134" s="131"/>
      <c r="D134" s="131"/>
    </row>
    <row r="135" spans="1:4" s="129" customFormat="1" ht="20.399999999999999" x14ac:dyDescent="0.3">
      <c r="A135" s="127"/>
      <c r="C135" s="131"/>
      <c r="D135" s="131"/>
    </row>
    <row r="136" spans="1:4" s="129" customFormat="1" ht="20.399999999999999" x14ac:dyDescent="0.3">
      <c r="A136" s="127"/>
      <c r="C136" s="131"/>
      <c r="D136" s="131"/>
    </row>
    <row r="137" spans="1:4" s="129" customFormat="1" ht="20.399999999999999" x14ac:dyDescent="0.3">
      <c r="A137" s="127"/>
      <c r="C137" s="131"/>
      <c r="D137" s="131"/>
    </row>
    <row r="138" spans="1:4" s="129" customFormat="1" ht="20.399999999999999" x14ac:dyDescent="0.3">
      <c r="A138" s="127"/>
      <c r="C138" s="131"/>
      <c r="D138" s="131"/>
    </row>
    <row r="139" spans="1:4" s="129" customFormat="1" ht="20.399999999999999" x14ac:dyDescent="0.3">
      <c r="A139" s="127"/>
      <c r="C139" s="131"/>
      <c r="D139" s="131"/>
    </row>
    <row r="140" spans="1:4" s="129" customFormat="1" ht="20.399999999999999" x14ac:dyDescent="0.3">
      <c r="A140" s="127"/>
      <c r="C140" s="131"/>
      <c r="D140" s="131"/>
    </row>
    <row r="141" spans="1:4" s="129" customFormat="1" ht="20.399999999999999" x14ac:dyDescent="0.3">
      <c r="A141" s="127"/>
      <c r="C141" s="131"/>
      <c r="D141" s="131"/>
    </row>
    <row r="142" spans="1:4" s="129" customFormat="1" ht="20.399999999999999" x14ac:dyDescent="0.3">
      <c r="A142" s="127"/>
      <c r="C142" s="131"/>
      <c r="D142" s="131"/>
    </row>
    <row r="143" spans="1:4" s="129" customFormat="1" ht="20.399999999999999" x14ac:dyDescent="0.3">
      <c r="A143" s="127"/>
      <c r="C143" s="131"/>
      <c r="D143" s="131"/>
    </row>
    <row r="144" spans="1:4" s="129" customFormat="1" ht="20.399999999999999" x14ac:dyDescent="0.3">
      <c r="A144" s="127"/>
      <c r="C144" s="131"/>
      <c r="D144" s="131"/>
    </row>
    <row r="145" spans="1:4" s="129" customFormat="1" ht="20.399999999999999" x14ac:dyDescent="0.3">
      <c r="A145" s="127"/>
      <c r="C145" s="131"/>
      <c r="D145" s="131"/>
    </row>
    <row r="146" spans="1:4" s="129" customFormat="1" ht="20.399999999999999" x14ac:dyDescent="0.3">
      <c r="A146" s="127"/>
      <c r="C146" s="131"/>
      <c r="D146" s="131"/>
    </row>
    <row r="147" spans="1:4" s="129" customFormat="1" ht="20.399999999999999" x14ac:dyDescent="0.3">
      <c r="A147" s="127"/>
      <c r="C147" s="131"/>
      <c r="D147" s="131"/>
    </row>
    <row r="148" spans="1:4" s="129" customFormat="1" ht="20.399999999999999" x14ac:dyDescent="0.3">
      <c r="A148" s="127"/>
      <c r="C148" s="131"/>
      <c r="D148" s="131"/>
    </row>
    <row r="149" spans="1:4" s="129" customFormat="1" ht="20.399999999999999" x14ac:dyDescent="0.3">
      <c r="A149" s="127"/>
      <c r="C149" s="131"/>
      <c r="D149" s="131"/>
    </row>
    <row r="150" spans="1:4" s="129" customFormat="1" ht="20.399999999999999" x14ac:dyDescent="0.3">
      <c r="A150" s="127"/>
      <c r="C150" s="131"/>
      <c r="D150" s="131"/>
    </row>
    <row r="151" spans="1:4" s="129" customFormat="1" ht="20.399999999999999" x14ac:dyDescent="0.3">
      <c r="A151" s="127"/>
      <c r="C151" s="131"/>
      <c r="D151" s="131"/>
    </row>
    <row r="152" spans="1:4" s="129" customFormat="1" ht="20.399999999999999" x14ac:dyDescent="0.3">
      <c r="A152" s="127"/>
      <c r="C152" s="131"/>
      <c r="D152" s="131"/>
    </row>
    <row r="153" spans="1:4" s="129" customFormat="1" ht="20.399999999999999" x14ac:dyDescent="0.3">
      <c r="A153" s="127"/>
      <c r="C153" s="131"/>
      <c r="D153" s="131"/>
    </row>
    <row r="154" spans="1:4" s="129" customFormat="1" ht="20.399999999999999" x14ac:dyDescent="0.3">
      <c r="A154" s="127"/>
      <c r="C154" s="131"/>
      <c r="D154" s="131"/>
    </row>
    <row r="155" spans="1:4" s="129" customFormat="1" ht="20.399999999999999" x14ac:dyDescent="0.3">
      <c r="A155" s="127"/>
      <c r="C155" s="131"/>
      <c r="D155" s="131"/>
    </row>
    <row r="156" spans="1:4" s="129" customFormat="1" ht="20.399999999999999" x14ac:dyDescent="0.3">
      <c r="A156" s="127"/>
      <c r="C156" s="131"/>
      <c r="D156" s="131"/>
    </row>
    <row r="157" spans="1:4" s="129" customFormat="1" ht="20.399999999999999" x14ac:dyDescent="0.3">
      <c r="A157" s="127"/>
      <c r="C157" s="131"/>
      <c r="D157" s="131"/>
    </row>
    <row r="158" spans="1:4" s="129" customFormat="1" ht="20.399999999999999" x14ac:dyDescent="0.3">
      <c r="A158" s="127"/>
      <c r="C158" s="131"/>
      <c r="D158" s="131"/>
    </row>
    <row r="159" spans="1:4" s="129" customFormat="1" ht="20.399999999999999" x14ac:dyDescent="0.3">
      <c r="A159" s="127"/>
      <c r="C159" s="131"/>
      <c r="D159" s="131"/>
    </row>
    <row r="160" spans="1:4" s="129" customFormat="1" ht="20.399999999999999" x14ac:dyDescent="0.3">
      <c r="A160" s="127"/>
      <c r="C160" s="131"/>
      <c r="D160" s="131"/>
    </row>
    <row r="161" spans="1:4" s="129" customFormat="1" ht="20.399999999999999" x14ac:dyDescent="0.3">
      <c r="A161" s="127"/>
      <c r="C161" s="131"/>
      <c r="D161" s="131"/>
    </row>
    <row r="162" spans="1:4" s="129" customFormat="1" ht="20.399999999999999" x14ac:dyDescent="0.3">
      <c r="A162" s="127"/>
      <c r="C162" s="131"/>
      <c r="D162" s="131"/>
    </row>
    <row r="163" spans="1:4" s="129" customFormat="1" ht="20.399999999999999" x14ac:dyDescent="0.3">
      <c r="A163" s="127"/>
      <c r="C163" s="131"/>
      <c r="D163" s="131"/>
    </row>
    <row r="164" spans="1:4" s="129" customFormat="1" ht="20.399999999999999" x14ac:dyDescent="0.3">
      <c r="A164" s="127"/>
      <c r="C164" s="131"/>
      <c r="D164" s="131"/>
    </row>
    <row r="165" spans="1:4" s="129" customFormat="1" ht="20.399999999999999" x14ac:dyDescent="0.3">
      <c r="A165" s="127"/>
      <c r="C165" s="131"/>
      <c r="D165" s="131"/>
    </row>
    <row r="166" spans="1:4" s="129" customFormat="1" ht="20.399999999999999" x14ac:dyDescent="0.3">
      <c r="A166" s="127"/>
      <c r="C166" s="131"/>
      <c r="D166" s="131"/>
    </row>
    <row r="167" spans="1:4" s="129" customFormat="1" ht="20.399999999999999" x14ac:dyDescent="0.3">
      <c r="A167" s="127"/>
      <c r="C167" s="131"/>
      <c r="D167" s="131"/>
    </row>
    <row r="168" spans="1:4" s="129" customFormat="1" ht="20.399999999999999" x14ac:dyDescent="0.3">
      <c r="A168" s="127"/>
      <c r="C168" s="131"/>
      <c r="D168" s="131"/>
    </row>
    <row r="169" spans="1:4" s="129" customFormat="1" ht="20.399999999999999" x14ac:dyDescent="0.3">
      <c r="A169" s="127"/>
      <c r="C169" s="131"/>
      <c r="D169" s="131"/>
    </row>
    <row r="170" spans="1:4" s="129" customFormat="1" ht="20.399999999999999" x14ac:dyDescent="0.3">
      <c r="A170" s="127"/>
      <c r="C170" s="131"/>
      <c r="D170" s="131"/>
    </row>
    <row r="171" spans="1:4" s="129" customFormat="1" ht="20.399999999999999" x14ac:dyDescent="0.3">
      <c r="A171" s="127"/>
      <c r="C171" s="131"/>
      <c r="D171" s="131"/>
    </row>
    <row r="172" spans="1:4" s="129" customFormat="1" ht="20.399999999999999" x14ac:dyDescent="0.3">
      <c r="A172" s="127"/>
      <c r="C172" s="131"/>
      <c r="D172" s="131"/>
    </row>
    <row r="173" spans="1:4" s="129" customFormat="1" ht="20.399999999999999" x14ac:dyDescent="0.3">
      <c r="A173" s="127"/>
      <c r="C173" s="131"/>
      <c r="D173" s="131"/>
    </row>
    <row r="174" spans="1:4" s="129" customFormat="1" ht="20.399999999999999" x14ac:dyDescent="0.3">
      <c r="A174" s="127"/>
      <c r="C174" s="131"/>
      <c r="D174" s="131"/>
    </row>
    <row r="175" spans="1:4" s="129" customFormat="1" ht="20.399999999999999" x14ac:dyDescent="0.3">
      <c r="A175" s="127"/>
      <c r="C175" s="131"/>
      <c r="D175" s="131"/>
    </row>
    <row r="176" spans="1:4" s="129" customFormat="1" ht="20.399999999999999" x14ac:dyDescent="0.3">
      <c r="A176" s="127"/>
      <c r="C176" s="131"/>
      <c r="D176" s="131"/>
    </row>
    <row r="177" spans="1:4" s="129" customFormat="1" ht="20.399999999999999" x14ac:dyDescent="0.3">
      <c r="A177" s="127"/>
      <c r="C177" s="131"/>
      <c r="D177" s="131"/>
    </row>
    <row r="178" spans="1:4" s="129" customFormat="1" ht="20.399999999999999" x14ac:dyDescent="0.3">
      <c r="A178" s="127"/>
      <c r="C178" s="131"/>
      <c r="D178" s="131"/>
    </row>
    <row r="179" spans="1:4" s="129" customFormat="1" ht="20.399999999999999" x14ac:dyDescent="0.3">
      <c r="A179" s="127"/>
      <c r="C179" s="131"/>
      <c r="D179" s="131"/>
    </row>
    <row r="180" spans="1:4" s="129" customFormat="1" ht="20.399999999999999" x14ac:dyDescent="0.3">
      <c r="A180" s="127"/>
      <c r="C180" s="131"/>
      <c r="D180" s="131"/>
    </row>
    <row r="181" spans="1:4" s="129" customFormat="1" ht="20.399999999999999" x14ac:dyDescent="0.3">
      <c r="A181" s="127"/>
      <c r="C181" s="131"/>
      <c r="D181" s="131"/>
    </row>
    <row r="182" spans="1:4" s="129" customFormat="1" ht="20.399999999999999" x14ac:dyDescent="0.3">
      <c r="A182" s="127"/>
      <c r="C182" s="131"/>
      <c r="D182" s="131"/>
    </row>
    <row r="183" spans="1:4" s="129" customFormat="1" ht="20.399999999999999" x14ac:dyDescent="0.3">
      <c r="A183" s="127"/>
      <c r="C183" s="131"/>
      <c r="D183" s="131"/>
    </row>
    <row r="184" spans="1:4" s="129" customFormat="1" ht="20.399999999999999" x14ac:dyDescent="0.3">
      <c r="A184" s="127"/>
      <c r="C184" s="131"/>
      <c r="D184" s="131"/>
    </row>
    <row r="185" spans="1:4" s="129" customFormat="1" ht="20.399999999999999" x14ac:dyDescent="0.3">
      <c r="A185" s="127"/>
      <c r="C185" s="131"/>
      <c r="D185" s="131"/>
    </row>
    <row r="186" spans="1:4" s="129" customFormat="1" ht="20.399999999999999" x14ac:dyDescent="0.3">
      <c r="A186" s="127"/>
      <c r="C186" s="131"/>
      <c r="D186" s="131"/>
    </row>
    <row r="187" spans="1:4" s="129" customFormat="1" ht="20.399999999999999" x14ac:dyDescent="0.3">
      <c r="A187" s="127"/>
      <c r="C187" s="131"/>
      <c r="D187" s="131"/>
    </row>
    <row r="188" spans="1:4" s="129" customFormat="1" ht="20.399999999999999" x14ac:dyDescent="0.3">
      <c r="A188" s="127"/>
      <c r="C188" s="131"/>
      <c r="D188" s="131"/>
    </row>
    <row r="189" spans="1:4" s="129" customFormat="1" ht="20.399999999999999" x14ac:dyDescent="0.3">
      <c r="A189" s="127"/>
      <c r="C189" s="131"/>
      <c r="D189" s="131"/>
    </row>
    <row r="190" spans="1:4" s="129" customFormat="1" ht="20.399999999999999" x14ac:dyDescent="0.3">
      <c r="A190" s="127"/>
      <c r="C190" s="131"/>
      <c r="D190" s="131"/>
    </row>
    <row r="191" spans="1:4" s="129" customFormat="1" ht="20.399999999999999" x14ac:dyDescent="0.3">
      <c r="A191" s="127"/>
      <c r="C191" s="131"/>
      <c r="D191" s="131"/>
    </row>
    <row r="192" spans="1:4" s="129" customFormat="1" ht="20.399999999999999" x14ac:dyDescent="0.3">
      <c r="A192" s="127"/>
      <c r="C192" s="131"/>
      <c r="D192" s="131"/>
    </row>
    <row r="193" spans="1:4" s="129" customFormat="1" ht="20.399999999999999" x14ac:dyDescent="0.3">
      <c r="A193" s="127"/>
      <c r="C193" s="131"/>
      <c r="D193" s="131"/>
    </row>
    <row r="194" spans="1:4" s="129" customFormat="1" ht="20.399999999999999" x14ac:dyDescent="0.3">
      <c r="A194" s="127"/>
      <c r="C194" s="131"/>
      <c r="D194" s="131"/>
    </row>
    <row r="195" spans="1:4" s="129" customFormat="1" ht="20.399999999999999" x14ac:dyDescent="0.3">
      <c r="A195" s="127"/>
      <c r="C195" s="131"/>
      <c r="D195" s="131"/>
    </row>
    <row r="196" spans="1:4" s="129" customFormat="1" ht="20.399999999999999" x14ac:dyDescent="0.3">
      <c r="A196" s="127"/>
      <c r="C196" s="131"/>
      <c r="D196" s="131"/>
    </row>
    <row r="197" spans="1:4" s="129" customFormat="1" ht="20.399999999999999" x14ac:dyDescent="0.3">
      <c r="A197" s="127"/>
      <c r="C197" s="131"/>
      <c r="D197" s="131"/>
    </row>
    <row r="198" spans="1:4" s="129" customFormat="1" ht="20.399999999999999" x14ac:dyDescent="0.3">
      <c r="A198" s="127"/>
      <c r="C198" s="131"/>
      <c r="D198" s="131"/>
    </row>
    <row r="199" spans="1:4" s="129" customFormat="1" ht="20.399999999999999" x14ac:dyDescent="0.3">
      <c r="A199" s="127"/>
      <c r="C199" s="131"/>
      <c r="D199" s="131"/>
    </row>
    <row r="200" spans="1:4" s="129" customFormat="1" ht="20.399999999999999" x14ac:dyDescent="0.3">
      <c r="A200" s="127"/>
      <c r="C200" s="131"/>
      <c r="D200" s="131"/>
    </row>
    <row r="201" spans="1:4" s="129" customFormat="1" ht="20.399999999999999" x14ac:dyDescent="0.3">
      <c r="A201" s="127"/>
      <c r="C201" s="131"/>
      <c r="D201" s="131"/>
    </row>
    <row r="202" spans="1:4" s="129" customFormat="1" ht="20.399999999999999" x14ac:dyDescent="0.3">
      <c r="A202" s="127"/>
      <c r="C202" s="131"/>
      <c r="D202" s="131"/>
    </row>
    <row r="203" spans="1:4" s="129" customFormat="1" ht="20.399999999999999" x14ac:dyDescent="0.3">
      <c r="A203" s="127"/>
      <c r="C203" s="131"/>
      <c r="D203" s="131"/>
    </row>
    <row r="204" spans="1:4" s="129" customFormat="1" ht="20.399999999999999" x14ac:dyDescent="0.3">
      <c r="A204" s="127"/>
      <c r="C204" s="131"/>
      <c r="D204" s="131"/>
    </row>
    <row r="205" spans="1:4" s="129" customFormat="1" ht="20.399999999999999" x14ac:dyDescent="0.3">
      <c r="A205" s="127"/>
      <c r="C205" s="131"/>
      <c r="D205" s="131"/>
    </row>
    <row r="206" spans="1:4" s="129" customFormat="1" ht="20.399999999999999" x14ac:dyDescent="0.3">
      <c r="A206" s="127"/>
      <c r="C206" s="131"/>
      <c r="D206" s="131"/>
    </row>
    <row r="207" spans="1:4" s="129" customFormat="1" ht="20.399999999999999" x14ac:dyDescent="0.3">
      <c r="A207" s="127"/>
      <c r="C207" s="131"/>
      <c r="D207" s="131"/>
    </row>
    <row r="208" spans="1:4" s="129" customFormat="1" x14ac:dyDescent="0.3">
      <c r="A208" s="127"/>
    </row>
    <row r="209" spans="1:8" s="129" customFormat="1" ht="20.399999999999999" x14ac:dyDescent="0.3">
      <c r="A209" s="127"/>
      <c r="B209" s="132" t="s">
        <v>184</v>
      </c>
      <c r="C209" s="132" t="s">
        <v>185</v>
      </c>
      <c r="D209" s="133" t="s">
        <v>184</v>
      </c>
      <c r="E209" s="134" t="s">
        <v>185</v>
      </c>
      <c r="F209" s="135" t="s">
        <v>186</v>
      </c>
    </row>
    <row r="210" spans="1:8" s="129" customFormat="1" ht="42" x14ac:dyDescent="0.4">
      <c r="A210" s="127"/>
      <c r="B210" s="136" t="s">
        <v>187</v>
      </c>
      <c r="C210" s="136" t="s">
        <v>158</v>
      </c>
      <c r="D210" s="137" t="s">
        <v>187</v>
      </c>
      <c r="E210" s="138"/>
      <c r="F210" s="139"/>
      <c r="G210" s="129" t="s">
        <v>187</v>
      </c>
      <c r="H210" s="129" t="str">
        <f>IF(NOT(ISERROR(MATCH(G210,_xlfn.ANCHORARRAY(B221),0))),F223&amp;"Por favor no seleccionar los criterios de impacto",G210)</f>
        <v>❌Por favor no seleccionar los criterios de impacto</v>
      </c>
    </row>
    <row r="211" spans="1:8" s="129" customFormat="1" ht="42" x14ac:dyDescent="0.4">
      <c r="A211" s="127"/>
      <c r="B211" s="136" t="s">
        <v>187</v>
      </c>
      <c r="C211" s="136" t="s">
        <v>161</v>
      </c>
      <c r="D211" s="140"/>
      <c r="E211" s="141" t="s">
        <v>158</v>
      </c>
      <c r="F211" s="142"/>
    </row>
    <row r="212" spans="1:8" s="129" customFormat="1" ht="42" x14ac:dyDescent="0.4">
      <c r="A212" s="127"/>
      <c r="B212" s="136" t="s">
        <v>187</v>
      </c>
      <c r="C212" s="136" t="s">
        <v>164</v>
      </c>
      <c r="D212" s="140"/>
      <c r="E212" s="141" t="s">
        <v>161</v>
      </c>
      <c r="F212" s="142"/>
    </row>
    <row r="213" spans="1:8" s="129" customFormat="1" ht="42" x14ac:dyDescent="0.4">
      <c r="A213" s="127"/>
      <c r="B213" s="136" t="s">
        <v>187</v>
      </c>
      <c r="C213" s="136" t="s">
        <v>168</v>
      </c>
      <c r="D213" s="140"/>
      <c r="E213" s="141" t="s">
        <v>164</v>
      </c>
      <c r="F213" s="142"/>
    </row>
    <row r="214" spans="1:8" s="129" customFormat="1" ht="42" x14ac:dyDescent="0.4">
      <c r="A214" s="127"/>
      <c r="B214" s="136" t="s">
        <v>187</v>
      </c>
      <c r="C214" s="136" t="s">
        <v>172</v>
      </c>
      <c r="D214" s="140"/>
      <c r="E214" s="141" t="s">
        <v>168</v>
      </c>
      <c r="F214" s="142"/>
    </row>
    <row r="215" spans="1:8" s="129" customFormat="1" ht="21" x14ac:dyDescent="0.4">
      <c r="A215" s="127"/>
      <c r="B215" s="136" t="s">
        <v>118</v>
      </c>
      <c r="C215" s="136" t="s">
        <v>159</v>
      </c>
      <c r="D215" s="143"/>
      <c r="E215" s="144" t="s">
        <v>172</v>
      </c>
      <c r="F215" s="145"/>
    </row>
    <row r="216" spans="1:8" s="129" customFormat="1" ht="63" x14ac:dyDescent="0.4">
      <c r="A216" s="127"/>
      <c r="B216" s="136" t="s">
        <v>118</v>
      </c>
      <c r="C216" s="136" t="s">
        <v>162</v>
      </c>
      <c r="D216" s="137" t="s">
        <v>118</v>
      </c>
      <c r="E216" s="138"/>
      <c r="F216" s="139"/>
    </row>
    <row r="217" spans="1:8" s="129" customFormat="1" ht="42" x14ac:dyDescent="0.4">
      <c r="A217" s="127"/>
      <c r="B217" s="136" t="s">
        <v>118</v>
      </c>
      <c r="C217" s="136" t="s">
        <v>165</v>
      </c>
      <c r="D217" s="140"/>
      <c r="E217" s="141" t="s">
        <v>159</v>
      </c>
      <c r="F217" s="142"/>
    </row>
    <row r="218" spans="1:8" s="129" customFormat="1" ht="63" x14ac:dyDescent="0.4">
      <c r="A218" s="127"/>
      <c r="B218" s="136" t="s">
        <v>118</v>
      </c>
      <c r="C218" s="136" t="s">
        <v>169</v>
      </c>
      <c r="D218" s="140"/>
      <c r="E218" s="141" t="s">
        <v>162</v>
      </c>
      <c r="F218" s="142"/>
    </row>
    <row r="219" spans="1:8" s="129" customFormat="1" ht="42" x14ac:dyDescent="0.4">
      <c r="A219" s="127"/>
      <c r="B219" s="136" t="s">
        <v>118</v>
      </c>
      <c r="C219" s="136" t="s">
        <v>173</v>
      </c>
      <c r="D219" s="140"/>
      <c r="E219" s="141" t="s">
        <v>165</v>
      </c>
      <c r="F219" s="142"/>
    </row>
    <row r="220" spans="1:8" s="129" customFormat="1" x14ac:dyDescent="0.3">
      <c r="A220" s="127"/>
      <c r="D220" s="140"/>
      <c r="E220" s="141" t="s">
        <v>169</v>
      </c>
      <c r="F220" s="142"/>
    </row>
    <row r="221" spans="1:8" s="129" customFormat="1" x14ac:dyDescent="0.3">
      <c r="A221" s="127"/>
      <c r="B221" s="129" t="str">
        <f t="array" ref="B221:B223">_xlfn.UNIQUE(Tabla1[[#All],[Criterios]])</f>
        <v>Criterios</v>
      </c>
      <c r="D221" s="146"/>
      <c r="E221" s="147" t="s">
        <v>173</v>
      </c>
      <c r="F221" s="148"/>
    </row>
    <row r="222" spans="1:8" s="129" customFormat="1" x14ac:dyDescent="0.3">
      <c r="A222" s="127"/>
      <c r="B222" s="129" t="str">
        <v>Afectación Económica o presupuestal</v>
      </c>
    </row>
    <row r="223" spans="1:8" s="129" customFormat="1" x14ac:dyDescent="0.3">
      <c r="B223" s="129" t="str">
        <v>Pérdida Reputacional</v>
      </c>
      <c r="F223" s="149" t="s">
        <v>188</v>
      </c>
    </row>
    <row r="224" spans="1:8" s="129" customFormat="1" x14ac:dyDescent="0.3">
      <c r="F224" s="149" t="s">
        <v>189</v>
      </c>
    </row>
  </sheetData>
  <mergeCells count="1">
    <mergeCell ref="B1:D1"/>
  </mergeCells>
  <dataValidations count="1">
    <dataValidation type="list" allowBlank="1" showInputMessage="1" showErrorMessage="1" sqref="G210" xr:uid="{00000000-0002-0000-0500-000000000000}">
      <formula1>$F$210:$F$221</formula1>
      <formula2>0</formula2>
    </dataValidation>
  </dataValidations>
  <pageMargins left="0.7" right="0.7" top="0.75" bottom="0.75" header="0.511811023622047" footer="0.511811023622047"/>
  <pageSetup orientation="portrait" horizontalDpi="300" verticalDpi="300"/>
  <tableParts count="1">
    <tablePart r:id="rId2"/>
  </tableParts>
</worksheet>
</file>

<file path=docProps/app.xml><?xml version="1.0" encoding="utf-8"?>
<Properties xmlns="http://schemas.openxmlformats.org/officeDocument/2006/extended-properties" xmlns:vt="http://schemas.openxmlformats.org/officeDocument/2006/docPropsVTypes">
  <Template/>
  <TotalTime>80</TotalTime>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PRIORIZACIÓN DE CAUSA</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dc:description/>
  <cp:lastModifiedBy>Eduardo Hernandez Huepa</cp:lastModifiedBy>
  <cp:revision>1</cp:revision>
  <cp:lastPrinted>2020-05-13T01:12:22Z</cp:lastPrinted>
  <dcterms:created xsi:type="dcterms:W3CDTF">2020-03-24T23:12:47Z</dcterms:created>
  <dcterms:modified xsi:type="dcterms:W3CDTF">2025-04-09T15:02:44Z</dcterms:modified>
  <dc:language>es-CO</dc:language>
</cp:coreProperties>
</file>