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4\INFORME DE ACTIVIDADES\REVISION DEPENDENCIAS\MATRIZ\1. MONITOREO\10-8-24 REV SIGAMI RIESGOS GEST-CORRUPCION\6. BIM (NOV-DIC24)\16. DES ECON Y COMPET\"/>
    </mc:Choice>
  </mc:AlternateContent>
  <xr:revisionPtr revIDLastSave="0" documentId="13_ncr:1_{6B56A701-A2AA-4778-9A07-344A2599774D}" xr6:coauthVersionLast="47" xr6:coauthVersionMax="47" xr10:uidLastSave="{00000000-0000-0000-0000-000000000000}"/>
  <bookViews>
    <workbookView xWindow="-108" yWindow="-108" windowWidth="23256" windowHeight="12456" tabRatio="865" activeTab="4" xr2:uid="{00000000-000D-0000-FFFF-FFFF00000000}"/>
  </bookViews>
  <sheets>
    <sheet name="Instructivo" sheetId="20" r:id="rId1"/>
    <sheet name="Contexto" sheetId="21" r:id="rId2"/>
    <sheet name="Priorizacion de Causas" sheetId="22"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s>
  <calcPr calcId="191029"/>
  <pivotCaches>
    <pivotCache cacheId="10"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1" l="1"/>
  <c r="L16" i="1" s="1"/>
  <c r="T16" i="1"/>
  <c r="AA16" i="1" s="1"/>
  <c r="W16" i="1"/>
  <c r="N17" i="1"/>
  <c r="T17" i="1"/>
  <c r="W17" i="1"/>
  <c r="N18" i="1"/>
  <c r="T18" i="1"/>
  <c r="W18" i="1"/>
  <c r="N19" i="1"/>
  <c r="T19" i="1"/>
  <c r="W19" i="1"/>
  <c r="N20" i="1"/>
  <c r="T20" i="1"/>
  <c r="W20" i="1"/>
  <c r="N21" i="1"/>
  <c r="T21" i="1"/>
  <c r="W21" i="1"/>
  <c r="K22" i="1"/>
  <c r="T22" i="1"/>
  <c r="AE22" i="1" s="1"/>
  <c r="AD22" i="1" s="1"/>
  <c r="W22" i="1"/>
  <c r="N23" i="1"/>
  <c r="T23" i="1"/>
  <c r="W23" i="1"/>
  <c r="N24" i="1"/>
  <c r="T24" i="1"/>
  <c r="W24" i="1"/>
  <c r="N25" i="1"/>
  <c r="T25" i="1"/>
  <c r="W25" i="1"/>
  <c r="N26" i="1"/>
  <c r="T26" i="1"/>
  <c r="W26" i="1"/>
  <c r="N27" i="1"/>
  <c r="T27" i="1"/>
  <c r="W27" i="1"/>
  <c r="K28" i="1"/>
  <c r="L28" i="1" s="1"/>
  <c r="T28" i="1"/>
  <c r="AE28" i="1" s="1"/>
  <c r="AD28" i="1" s="1"/>
  <c r="W28" i="1"/>
  <c r="N29" i="1"/>
  <c r="T29" i="1"/>
  <c r="W29" i="1"/>
  <c r="N30" i="1"/>
  <c r="T30" i="1"/>
  <c r="W30" i="1"/>
  <c r="N31" i="1"/>
  <c r="T31" i="1"/>
  <c r="W31" i="1"/>
  <c r="N32" i="1"/>
  <c r="T32" i="1"/>
  <c r="W32" i="1"/>
  <c r="N33" i="1"/>
  <c r="T33" i="1"/>
  <c r="W33" i="1"/>
  <c r="K34" i="1"/>
  <c r="L34" i="1" s="1"/>
  <c r="T34" i="1"/>
  <c r="AA34" i="1" s="1"/>
  <c r="AB34" i="1" s="1"/>
  <c r="W34" i="1"/>
  <c r="N35" i="1"/>
  <c r="T35" i="1"/>
  <c r="W35" i="1"/>
  <c r="N36" i="1"/>
  <c r="T36" i="1"/>
  <c r="W36" i="1"/>
  <c r="N37" i="1"/>
  <c r="T37" i="1"/>
  <c r="W37" i="1"/>
  <c r="N38" i="1"/>
  <c r="T38" i="1"/>
  <c r="W38" i="1"/>
  <c r="N39" i="1"/>
  <c r="T39" i="1"/>
  <c r="W39" i="1"/>
  <c r="K40" i="1"/>
  <c r="L40" i="1" s="1"/>
  <c r="T40" i="1"/>
  <c r="AA40" i="1" s="1"/>
  <c r="W40" i="1"/>
  <c r="N41" i="1"/>
  <c r="T41" i="1"/>
  <c r="W41" i="1"/>
  <c r="N42" i="1"/>
  <c r="T42" i="1"/>
  <c r="W42" i="1"/>
  <c r="N43" i="1"/>
  <c r="T43" i="1"/>
  <c r="W43" i="1"/>
  <c r="N44" i="1"/>
  <c r="T44" i="1"/>
  <c r="W44" i="1"/>
  <c r="N45" i="1"/>
  <c r="T45" i="1"/>
  <c r="W45" i="1"/>
  <c r="K46" i="1"/>
  <c r="L46" i="1" s="1"/>
  <c r="T46" i="1"/>
  <c r="W46" i="1"/>
  <c r="N47" i="1"/>
  <c r="T47" i="1"/>
  <c r="W47" i="1"/>
  <c r="N48" i="1"/>
  <c r="T48" i="1"/>
  <c r="W48" i="1"/>
  <c r="N49" i="1"/>
  <c r="T49" i="1"/>
  <c r="AE49" i="1" s="1"/>
  <c r="AD49" i="1" s="1"/>
  <c r="W49" i="1"/>
  <c r="N50" i="1"/>
  <c r="T50" i="1"/>
  <c r="AA51" i="1" s="1"/>
  <c r="W50" i="1"/>
  <c r="N51" i="1"/>
  <c r="T51" i="1"/>
  <c r="W51" i="1"/>
  <c r="K52" i="1"/>
  <c r="L52" i="1"/>
  <c r="T52" i="1"/>
  <c r="AA52" i="1" s="1"/>
  <c r="W52" i="1"/>
  <c r="N53" i="1"/>
  <c r="T53" i="1"/>
  <c r="W53" i="1"/>
  <c r="N54" i="1"/>
  <c r="T54" i="1"/>
  <c r="AE54" i="1" s="1"/>
  <c r="AD54" i="1" s="1"/>
  <c r="W54" i="1"/>
  <c r="N55" i="1"/>
  <c r="T55" i="1"/>
  <c r="W55" i="1"/>
  <c r="N56" i="1"/>
  <c r="T56" i="1"/>
  <c r="W56" i="1"/>
  <c r="N57" i="1"/>
  <c r="T57" i="1"/>
  <c r="W57" i="1"/>
  <c r="K58" i="1"/>
  <c r="L58" i="1" s="1"/>
  <c r="T58" i="1"/>
  <c r="AE58" i="1" s="1"/>
  <c r="AD58" i="1" s="1"/>
  <c r="W58" i="1"/>
  <c r="N59" i="1"/>
  <c r="T59" i="1"/>
  <c r="W59" i="1"/>
  <c r="N60" i="1"/>
  <c r="T60" i="1"/>
  <c r="W60" i="1"/>
  <c r="N61" i="1"/>
  <c r="T61" i="1"/>
  <c r="W61" i="1"/>
  <c r="N62" i="1"/>
  <c r="T62" i="1"/>
  <c r="W62" i="1"/>
  <c r="N63" i="1"/>
  <c r="T63" i="1"/>
  <c r="W63" i="1"/>
  <c r="K64" i="1"/>
  <c r="L64" i="1" s="1"/>
  <c r="T64" i="1"/>
  <c r="AA64" i="1" s="1"/>
  <c r="W64" i="1"/>
  <c r="N65" i="1"/>
  <c r="T65" i="1"/>
  <c r="W65" i="1"/>
  <c r="N66" i="1"/>
  <c r="T66" i="1"/>
  <c r="W66" i="1"/>
  <c r="N67" i="1"/>
  <c r="T67" i="1"/>
  <c r="W67" i="1"/>
  <c r="N68" i="1"/>
  <c r="T68" i="1"/>
  <c r="W68" i="1"/>
  <c r="N69" i="1"/>
  <c r="T69" i="1"/>
  <c r="W69" i="1"/>
  <c r="S10" i="22"/>
  <c r="R10" i="22"/>
  <c r="A7" i="22"/>
  <c r="A6" i="22"/>
  <c r="W12" i="1"/>
  <c r="T12" i="1"/>
  <c r="W11" i="1"/>
  <c r="T11" i="1"/>
  <c r="C5" i="1"/>
  <c r="C4" i="1"/>
  <c r="A6" i="23"/>
  <c r="S26" i="22"/>
  <c r="R26" i="22"/>
  <c r="S25" i="22"/>
  <c r="R25" i="22"/>
  <c r="S24" i="22"/>
  <c r="R24" i="22"/>
  <c r="S23" i="22"/>
  <c r="R23" i="22"/>
  <c r="S22" i="22"/>
  <c r="R22" i="22"/>
  <c r="S21" i="22"/>
  <c r="R21" i="22"/>
  <c r="S20" i="22"/>
  <c r="R20" i="22"/>
  <c r="S19" i="22"/>
  <c r="R19" i="22"/>
  <c r="S18" i="22"/>
  <c r="R18" i="22"/>
  <c r="S17" i="22"/>
  <c r="R17" i="22"/>
  <c r="S16" i="22"/>
  <c r="R16" i="22"/>
  <c r="S15" i="22"/>
  <c r="R15" i="22"/>
  <c r="S14" i="22"/>
  <c r="R14" i="22"/>
  <c r="S13" i="22"/>
  <c r="R13" i="22"/>
  <c r="S12" i="22"/>
  <c r="R12" i="22"/>
  <c r="S11" i="22"/>
  <c r="R11" i="22"/>
  <c r="S27" i="22" l="1"/>
  <c r="S28" i="22" s="1"/>
  <c r="AA18" i="1"/>
  <c r="AE57" i="1"/>
  <c r="AD57" i="1" s="1"/>
  <c r="AE61" i="1"/>
  <c r="AD61" i="1" s="1"/>
  <c r="AE52" i="1"/>
  <c r="AD52" i="1" s="1"/>
  <c r="AE34" i="1"/>
  <c r="AD34" i="1" s="1"/>
  <c r="AF34" i="1" s="1"/>
  <c r="AE32" i="1"/>
  <c r="AD32" i="1" s="1"/>
  <c r="AA32" i="1"/>
  <c r="AC32" i="1" s="1"/>
  <c r="AE24" i="1"/>
  <c r="AD24" i="1" s="1"/>
  <c r="AA68" i="1"/>
  <c r="AB68" i="1" s="1"/>
  <c r="AA33" i="1"/>
  <c r="AB33" i="1" s="1"/>
  <c r="AA20" i="1"/>
  <c r="AB20" i="1" s="1"/>
  <c r="AF20" i="1" s="1"/>
  <c r="AE35" i="1"/>
  <c r="AD35" i="1" s="1"/>
  <c r="AA17" i="1"/>
  <c r="AA50" i="1"/>
  <c r="AB50" i="1" s="1"/>
  <c r="AE20" i="1"/>
  <c r="AD20" i="1" s="1"/>
  <c r="AA63" i="1"/>
  <c r="AC63" i="1" s="1"/>
  <c r="AA22" i="1"/>
  <c r="AB22" i="1" s="1"/>
  <c r="AF22" i="1" s="1"/>
  <c r="AA43" i="1"/>
  <c r="AB43" i="1" s="1"/>
  <c r="AE69" i="1"/>
  <c r="AD69" i="1" s="1"/>
  <c r="AE51" i="1"/>
  <c r="AD51" i="1" s="1"/>
  <c r="AA47" i="1"/>
  <c r="AC47" i="1" s="1"/>
  <c r="AE25" i="1"/>
  <c r="AD25" i="1" s="1"/>
  <c r="AA54" i="1"/>
  <c r="AC54" i="1" s="1"/>
  <c r="AA37" i="1"/>
  <c r="AC37" i="1" s="1"/>
  <c r="AA30" i="1"/>
  <c r="AB30" i="1" s="1"/>
  <c r="AE55" i="1"/>
  <c r="AD55" i="1" s="1"/>
  <c r="AA27" i="1"/>
  <c r="AA21" i="1"/>
  <c r="AC21" i="1" s="1"/>
  <c r="AE38" i="1"/>
  <c r="AD38" i="1" s="1"/>
  <c r="AB40" i="1"/>
  <c r="AC40" i="1"/>
  <c r="AB16" i="1"/>
  <c r="AC16" i="1"/>
  <c r="AA60" i="1"/>
  <c r="AC60" i="1" s="1"/>
  <c r="AA45" i="1"/>
  <c r="AC45" i="1" s="1"/>
  <c r="AE67" i="1"/>
  <c r="AD67" i="1" s="1"/>
  <c r="AE47" i="1"/>
  <c r="AD47" i="1" s="1"/>
  <c r="AA31" i="1"/>
  <c r="AB31" i="1" s="1"/>
  <c r="AA49" i="1"/>
  <c r="AC49" i="1" s="1"/>
  <c r="AE43" i="1"/>
  <c r="AD43" i="1" s="1"/>
  <c r="AE41" i="1"/>
  <c r="AD41" i="1" s="1"/>
  <c r="AE37" i="1"/>
  <c r="AD37" i="1" s="1"/>
  <c r="AA35" i="1"/>
  <c r="AC35" i="1" s="1"/>
  <c r="AE33" i="1"/>
  <c r="AD33" i="1" s="1"/>
  <c r="AE63" i="1"/>
  <c r="AD63" i="1" s="1"/>
  <c r="AA67" i="1"/>
  <c r="AB67" i="1" s="1"/>
  <c r="AE29" i="1"/>
  <c r="AD29" i="1" s="1"/>
  <c r="AA26" i="1"/>
  <c r="AB26" i="1" s="1"/>
  <c r="AA23" i="1"/>
  <c r="AE16" i="1"/>
  <c r="AD16" i="1" s="1"/>
  <c r="AA61" i="1"/>
  <c r="AB61" i="1" s="1"/>
  <c r="AF61" i="1" s="1"/>
  <c r="AE60" i="1"/>
  <c r="AD60" i="1" s="1"/>
  <c r="AA57" i="1"/>
  <c r="AC57" i="1" s="1"/>
  <c r="AA66" i="1"/>
  <c r="AB66" i="1" s="1"/>
  <c r="AA53" i="1"/>
  <c r="AB53" i="1" s="1"/>
  <c r="AA44" i="1"/>
  <c r="AC44" i="1" s="1"/>
  <c r="AE40" i="1"/>
  <c r="AD40" i="1" s="1"/>
  <c r="AF40" i="1" s="1"/>
  <c r="AE36" i="1"/>
  <c r="AD36" i="1" s="1"/>
  <c r="AE31" i="1"/>
  <c r="AD31" i="1" s="1"/>
  <c r="AE21" i="1"/>
  <c r="AD21" i="1" s="1"/>
  <c r="AA36" i="1"/>
  <c r="AB36" i="1" s="1"/>
  <c r="AE26" i="1"/>
  <c r="AD26" i="1" s="1"/>
  <c r="AE19" i="1"/>
  <c r="AD19" i="1" s="1"/>
  <c r="AE68" i="1"/>
  <c r="AD68" i="1" s="1"/>
  <c r="AE66" i="1"/>
  <c r="AD66" i="1" s="1"/>
  <c r="AE50" i="1"/>
  <c r="AD50" i="1" s="1"/>
  <c r="AF50" i="1" s="1"/>
  <c r="AE46" i="1"/>
  <c r="AD46" i="1" s="1"/>
  <c r="AC34" i="1"/>
  <c r="AA28" i="1"/>
  <c r="AC28" i="1" s="1"/>
  <c r="AE17" i="1"/>
  <c r="AD17" i="1" s="1"/>
  <c r="AE23" i="1"/>
  <c r="AD23" i="1" s="1"/>
  <c r="AA19" i="1"/>
  <c r="AB17" i="1"/>
  <c r="AC17" i="1"/>
  <c r="AB52" i="1"/>
  <c r="AC52" i="1"/>
  <c r="AB57" i="1"/>
  <c r="AF57" i="1" s="1"/>
  <c r="AB18" i="1"/>
  <c r="AC18" i="1"/>
  <c r="AB64" i="1"/>
  <c r="AC64" i="1"/>
  <c r="AC51" i="1"/>
  <c r="AB51" i="1"/>
  <c r="AB32" i="1"/>
  <c r="AF32" i="1" s="1"/>
  <c r="AB27" i="1"/>
  <c r="AC27" i="1"/>
  <c r="AE53" i="1"/>
  <c r="AD53" i="1" s="1"/>
  <c r="AF53" i="1" s="1"/>
  <c r="AA46" i="1"/>
  <c r="AA29" i="1"/>
  <c r="AA42" i="1"/>
  <c r="AA39" i="1"/>
  <c r="AA25" i="1"/>
  <c r="AE18" i="1"/>
  <c r="AD18" i="1" s="1"/>
  <c r="AA59" i="1"/>
  <c r="AE62" i="1"/>
  <c r="AD62" i="1" s="1"/>
  <c r="AA55" i="1"/>
  <c r="AC50" i="1"/>
  <c r="AE48" i="1"/>
  <c r="AD48" i="1" s="1"/>
  <c r="AE45" i="1"/>
  <c r="AD45" i="1" s="1"/>
  <c r="AA41" i="1"/>
  <c r="AA38" i="1"/>
  <c r="AA24" i="1"/>
  <c r="AA56" i="1"/>
  <c r="AA69" i="1"/>
  <c r="AE65" i="1"/>
  <c r="AD65" i="1" s="1"/>
  <c r="AA58" i="1"/>
  <c r="AE64" i="1"/>
  <c r="AD64" i="1" s="1"/>
  <c r="AE44" i="1"/>
  <c r="AD44" i="1" s="1"/>
  <c r="AE30" i="1"/>
  <c r="AD30" i="1" s="1"/>
  <c r="AE27" i="1"/>
  <c r="AD27" i="1" s="1"/>
  <c r="L22" i="1"/>
  <c r="AE59" i="1"/>
  <c r="AD59" i="1" s="1"/>
  <c r="AE56" i="1"/>
  <c r="AD56" i="1" s="1"/>
  <c r="AE42" i="1"/>
  <c r="AD42" i="1" s="1"/>
  <c r="AE39" i="1"/>
  <c r="AD39" i="1" s="1"/>
  <c r="AA65" i="1"/>
  <c r="AA62" i="1"/>
  <c r="AA48" i="1"/>
  <c r="K10" i="1"/>
  <c r="W13" i="1"/>
  <c r="W14" i="1"/>
  <c r="W15" i="1"/>
  <c r="AB54" i="1" l="1"/>
  <c r="AF54" i="1" s="1"/>
  <c r="AF36" i="1"/>
  <c r="AC68" i="1"/>
  <c r="AF52" i="1"/>
  <c r="AC20" i="1"/>
  <c r="AB21" i="1"/>
  <c r="AF21" i="1" s="1"/>
  <c r="AB49" i="1"/>
  <c r="AF49" i="1" s="1"/>
  <c r="AB63" i="1"/>
  <c r="AF63" i="1" s="1"/>
  <c r="AF26" i="1"/>
  <c r="AF33" i="1"/>
  <c r="AF68" i="1"/>
  <c r="AF67" i="1"/>
  <c r="AF31" i="1"/>
  <c r="AB37" i="1"/>
  <c r="AF37" i="1" s="1"/>
  <c r="AC26" i="1"/>
  <c r="AB44" i="1"/>
  <c r="AF44" i="1" s="1"/>
  <c r="AC43" i="1"/>
  <c r="AC33" i="1"/>
  <c r="AC53" i="1"/>
  <c r="AB35" i="1"/>
  <c r="AF35" i="1" s="1"/>
  <c r="AF16" i="1"/>
  <c r="AC61" i="1"/>
  <c r="AC66" i="1"/>
  <c r="AC67" i="1"/>
  <c r="AC30" i="1"/>
  <c r="AF17" i="1"/>
  <c r="AC22" i="1"/>
  <c r="AB47" i="1"/>
  <c r="AF47" i="1" s="1"/>
  <c r="AF51" i="1"/>
  <c r="AB45" i="1"/>
  <c r="AF45" i="1" s="1"/>
  <c r="AB28" i="1"/>
  <c r="AF28" i="1" s="1"/>
  <c r="AC36" i="1"/>
  <c r="AB60" i="1"/>
  <c r="AF60" i="1" s="1"/>
  <c r="AF66" i="1"/>
  <c r="AF43" i="1"/>
  <c r="AC31" i="1"/>
  <c r="AB23" i="1"/>
  <c r="AF23" i="1" s="1"/>
  <c r="AC23" i="1"/>
  <c r="AB19" i="1"/>
  <c r="AF19" i="1" s="1"/>
  <c r="AC19" i="1"/>
  <c r="AF18" i="1"/>
  <c r="AF30" i="1"/>
  <c r="AB38" i="1"/>
  <c r="AF38" i="1" s="1"/>
  <c r="AC38" i="1"/>
  <c r="AB41" i="1"/>
  <c r="AF41" i="1" s="1"/>
  <c r="AC41" i="1"/>
  <c r="AB56" i="1"/>
  <c r="AF56" i="1" s="1"/>
  <c r="AC56" i="1"/>
  <c r="AB58" i="1"/>
  <c r="AF58" i="1" s="1"/>
  <c r="AC58" i="1"/>
  <c r="AB55" i="1"/>
  <c r="AF55" i="1" s="1"/>
  <c r="AC55" i="1"/>
  <c r="AB46" i="1"/>
  <c r="AF46" i="1" s="1"/>
  <c r="AC46" i="1"/>
  <c r="AB69" i="1"/>
  <c r="AF69" i="1" s="1"/>
  <c r="AC69" i="1"/>
  <c r="AB62" i="1"/>
  <c r="AF62" i="1" s="1"/>
  <c r="AC62" i="1"/>
  <c r="AB29" i="1"/>
  <c r="AF29" i="1" s="1"/>
  <c r="AC29" i="1"/>
  <c r="AB59" i="1"/>
  <c r="AF59" i="1" s="1"/>
  <c r="AC59" i="1"/>
  <c r="AC48" i="1"/>
  <c r="AB48" i="1"/>
  <c r="AF48" i="1" s="1"/>
  <c r="AC25" i="1"/>
  <c r="AB25" i="1"/>
  <c r="AF25" i="1" s="1"/>
  <c r="AF27" i="1"/>
  <c r="AC65" i="1"/>
  <c r="AB65" i="1"/>
  <c r="AF65" i="1" s="1"/>
  <c r="AC39" i="1"/>
  <c r="AB39" i="1"/>
  <c r="AF39" i="1" s="1"/>
  <c r="AB24" i="1"/>
  <c r="AF24" i="1" s="1"/>
  <c r="AC24" i="1"/>
  <c r="AC42" i="1"/>
  <c r="AB42" i="1"/>
  <c r="AF42" i="1" s="1"/>
  <c r="AF64" i="1"/>
  <c r="F217" i="13"/>
  <c r="T13" i="1"/>
  <c r="T14" i="1"/>
  <c r="T15" i="1"/>
  <c r="W10" i="1" l="1"/>
  <c r="T10" i="1"/>
  <c r="L10" i="1" l="1"/>
  <c r="F221" i="13" l="1"/>
  <c r="F211" i="13"/>
  <c r="F212" i="13"/>
  <c r="F213" i="13"/>
  <c r="F214" i="13"/>
  <c r="F215" i="13"/>
  <c r="F216" i="13"/>
  <c r="F218" i="13"/>
  <c r="F219" i="13"/>
  <c r="F220" i="13"/>
  <c r="F210" i="13"/>
  <c r="N14" i="1"/>
  <c r="N13" i="1"/>
  <c r="N15" i="1"/>
  <c r="N12" i="1"/>
  <c r="N11" i="1"/>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0" i="1" l="1"/>
  <c r="AB10" i="1" s="1"/>
  <c r="AC10" i="1" l="1"/>
  <c r="AA11" i="1" s="1"/>
  <c r="AC11" i="1" l="1"/>
  <c r="AA12" i="1" s="1"/>
  <c r="AB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12" i="1" l="1"/>
  <c r="AA13" i="1" s="1"/>
  <c r="AB12"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B13" i="1" l="1"/>
  <c r="AC13" i="1"/>
  <c r="AA14"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C14" i="1" l="1"/>
  <c r="AA15" i="1" s="1"/>
  <c r="AB14" i="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B15" i="1" l="1"/>
  <c r="AC15" i="1"/>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28" i="1" l="1"/>
  <c r="O28" i="1" s="1"/>
  <c r="N58" i="1"/>
  <c r="O58" i="1" s="1"/>
  <c r="N40" i="1"/>
  <c r="O40" i="1" s="1"/>
  <c r="N46" i="1"/>
  <c r="O46" i="1" s="1"/>
  <c r="N16" i="1"/>
  <c r="O16" i="1" s="1"/>
  <c r="N64" i="1"/>
  <c r="O64" i="1" s="1"/>
  <c r="N22" i="1"/>
  <c r="O22" i="1" s="1"/>
  <c r="N34" i="1"/>
  <c r="O34" i="1" s="1"/>
  <c r="N52" i="1"/>
  <c r="O52" i="1" s="1"/>
  <c r="N10" i="1"/>
  <c r="O10" i="1" s="1"/>
  <c r="P22" i="1" l="1"/>
  <c r="Q22" i="1"/>
  <c r="P16" i="1"/>
  <c r="Q16" i="1"/>
  <c r="P64" i="1"/>
  <c r="Q64" i="1"/>
  <c r="P46" i="1"/>
  <c r="Q46" i="1"/>
  <c r="P34" i="1"/>
  <c r="Q34" i="1"/>
  <c r="P40" i="1"/>
  <c r="Q40" i="1"/>
  <c r="P58" i="1"/>
  <c r="Q58" i="1"/>
  <c r="P52" i="1"/>
  <c r="Q52" i="1"/>
  <c r="P28" i="1"/>
  <c r="Q28" i="1"/>
  <c r="P38" i="18"/>
  <c r="J6" i="18"/>
  <c r="V6" i="18"/>
  <c r="J22" i="18"/>
  <c r="V22" i="18"/>
  <c r="AH6" i="18"/>
  <c r="P22" i="18"/>
  <c r="AH22" i="18"/>
  <c r="P6" i="18"/>
  <c r="P10" i="1"/>
  <c r="AE10" i="1" s="1"/>
  <c r="AE11"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R30" i="18"/>
  <c r="AD38" i="18"/>
  <c r="AD22" i="18"/>
  <c r="L30" i="18"/>
  <c r="AJ14" i="18"/>
  <c r="L14" i="18"/>
  <c r="X38" i="18"/>
  <c r="L22" i="18"/>
  <c r="AD30" i="18"/>
  <c r="AJ22" i="18"/>
  <c r="X14" i="18"/>
  <c r="X6" i="18"/>
  <c r="R22" i="18"/>
  <c r="L6" i="18"/>
  <c r="X22" i="18"/>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10" i="1" l="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J26" i="19" l="1"/>
  <c r="AB26" i="19"/>
  <c r="J36" i="19"/>
  <c r="V46" i="19"/>
  <c r="AH26" i="19"/>
  <c r="V16" i="19"/>
  <c r="P16" i="19"/>
  <c r="AH46" i="19"/>
  <c r="P26" i="19"/>
  <c r="AB16" i="19"/>
  <c r="P46" i="19"/>
  <c r="AB6" i="19"/>
  <c r="V26" i="19"/>
  <c r="J6" i="19"/>
  <c r="P6" i="19"/>
  <c r="J46" i="19"/>
  <c r="AF10" i="1"/>
  <c r="J16" i="19"/>
  <c r="AB46" i="19"/>
  <c r="V36" i="19"/>
  <c r="AH6" i="19"/>
  <c r="AH36" i="19"/>
  <c r="AH16" i="19"/>
  <c r="AB36" i="19"/>
  <c r="V6" i="19"/>
  <c r="AD11" i="1"/>
  <c r="AE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D12" i="1"/>
  <c r="AE13" i="1"/>
  <c r="AF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D13" i="1"/>
  <c r="AE14" i="1"/>
  <c r="AF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D14" i="1"/>
  <c r="AE15" i="1"/>
  <c r="AD15" i="1" s="1"/>
  <c r="AF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AF15" i="1"/>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F14" i="1"/>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<sst xmlns="http://schemas.openxmlformats.org/spreadsheetml/2006/main" count="556" uniqueCount="377">
  <si>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</si>
  <si>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</si>
  <si>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</si>
  <si>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</si>
  <si>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</si>
  <si>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</si>
  <si>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</si>
  <si>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</si>
  <si>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</si>
  <si>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</si>
  <si>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</si>
  <si>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</si>
  <si>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</si>
  <si>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</si>
  <si>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</si>
  <si>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</si>
  <si>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</si>
  <si>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</si>
  <si>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</si>
  <si>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</si>
  <si>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</si>
  <si>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</si>
  <si>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</si>
  <si>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</si>
  <si>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</si>
  <si>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</si>
  <si>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</si>
  <si>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</si>
  <si>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</si>
  <si>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</si>
  <si>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</si>
  <si>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</si>
  <si>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</si>
  <si>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</si>
  <si>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</si>
  <si>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</si>
  <si>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</si>
  <si>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</si>
  <si>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</si>
  <si>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</si>
  <si>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</si>
  <si>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</si>
  <si>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</si>
  <si>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</si>
  <si>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</si>
  <si>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</si>
  <si>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</si>
  <si>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</si>
  <si>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</si>
  <si>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</si>
  <si>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</si>
  <si>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</si>
  <si>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</si>
  <si>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</si>
  <si>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</si>
  <si>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</si>
  <si>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</si>
  <si>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</si>
  <si>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</si>
  <si>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</si>
  <si>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</si>
  <si>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</si>
  <si>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</si>
  <si>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</si>
  <si>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</si>
  <si>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</si>
  <si>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</si>
  <si>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</si>
  <si>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</si>
  <si>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</si>
  <si>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</si>
  <si>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</si>
  <si>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</si>
  <si>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</si>
  <si>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</si>
  <si>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</si>
  <si>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</si>
  <si>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</si>
  <si>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</si>
  <si>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</si>
  <si>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</si>
  <si>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</si>
  <si>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</si>
  <si>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</si>
  <si>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</si>
  <si>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</si>
  <si>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</si>
  <si>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</si>
  <si>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</si>
  <si>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</si>
  <si>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</si>
  <si>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</si>
  <si>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</si>
  <si>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</si>
  <si>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</si>
  <si>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</si>
  <si>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</si>
  <si>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</si>
  <si>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</si>
  <si>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</si>
  <si>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</si>
  <si>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</si>
  <si>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</si>
  <si>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</si>
  <si>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</si>
  <si>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</si>
  <si>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</si>
  <si>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</si>
  <si>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</si>
  <si>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</si>
  <si>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</si>
  <si>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</si>
  <si>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</si>
  <si>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</si>
  <si>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</si>
  <si>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</si>
  <si>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</si>
  <si>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</si>
  <si>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</si>
  <si>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</si>
  <si>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</si>
  <si>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</si>
  <si>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</si>
  <si>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</si>
  <si>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</si>
  <si>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</si>
  <si>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</si>
  <si>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</si>
  <si>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</si>
  <si>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</si>
  <si>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</si>
  <si>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</si>
  <si>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</si>
  <si>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</si>
  <si>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</si>
  <si>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</si>
  <si>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</si>
  <si>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</si>
  <si>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</si>
  <si>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</si>
  <si>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</si>
  <si>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</si>
  <si>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</si>
  <si>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</si>
  <si>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</si>
  <si>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</si>
  <si>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</si>
  <si>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</si>
  <si>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</si>
  <si>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</si>
  <si>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</si>
  <si>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</si>
  <si>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</si>
  <si>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</si>
  <si>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</si>
  <si>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</si>
  <si>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</si>
  <si>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</si>
  <si>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</si>
  <si>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</si>
  <si>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</si>
  <si>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</si>
  <si>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</si>
  <si>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</si>
  <si>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</si>
  <si>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</si>
  <si>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</si>
  <si>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</si>
  <si>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</si>
  <si>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</si>
  <si>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</si>
  <si>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</si>
  <si>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</si>
  <si>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</si>
  <si>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</si>
  <si>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</si>
  <si>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</si>
  <si>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</si>
  <si>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</si>
  <si>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</si>
  <si>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</si>
  <si>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</si>
  <si>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</si>
  <si>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</si>
  <si>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</si>
  <si>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</si>
  <si>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</si>
  <si>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</si>
  <si>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</si>
  <si>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</si>
  <si>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</si>
  <si>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</si>
  <si>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</si>
  <si>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</si>
  <si>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</si>
  <si>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</si>
  <si>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</si>
  <si>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</si>
  <si>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</si>
  <si>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</si>
  <si>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</si>
  <si>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</si>
  <si>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</si>
  <si>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</si>
  <si>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</si>
  <si>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</si>
  <si>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</si>
  <si>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</si>
  <si>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</si>
  <si>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</si>
  <si>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</si>
  <si>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</si>
  <si>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</si>
  <si>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</si>
  <si>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</si>
  <si>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</si>
  <si>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</si>
  <si>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</si>
  <si>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</si>
  <si>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</si>
  <si>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SOCIALES Y CULTURALES</t>
  </si>
  <si>
    <t>POLÍTICOS</t>
  </si>
  <si>
    <t>AMBIENTALES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</si>
  <si>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</si>
  <si>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</si>
  <si>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</si>
  <si>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</si>
  <si>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</si>
  <si>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</si>
  <si>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</si>
  <si>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</si>
  <si>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</si>
  <si>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</si>
  <si>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</si>
  <si>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</si>
  <si>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</si>
  <si>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</si>
  <si>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</si>
  <si>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</si>
  <si>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</si>
  <si>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</si>
  <si>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</si>
  <si>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</si>
  <si>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</si>
  <si>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</si>
  <si>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</si>
  <si>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</si>
  <si>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</si>
  <si>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</si>
  <si>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</si>
  <si>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</si>
  <si>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</si>
  <si>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</si>
  <si>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</si>
  <si>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</si>
  <si>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</si>
  <si>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</si>
  <si>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Tipo de Riesgos</t>
  </si>
  <si>
    <t xml:space="preserve">PROCESO: SISTEMA INTEGRADO DE GESTIÓN </t>
  </si>
  <si>
    <t>Codigo:FOR-029-PRO-SIG-01</t>
  </si>
  <si>
    <t>Versión: 01</t>
  </si>
  <si>
    <t>Fecha: 21/02/2024</t>
  </si>
  <si>
    <t>Pagina:  1 de 1</t>
  </si>
  <si>
    <t>Fecha:21/02/2024</t>
  </si>
  <si>
    <t>PROCESO:  GESTIÓN DEL DESARROLLO ECONÓMICO Y LA COMPETITIVIDAD</t>
  </si>
  <si>
    <t>Cambio de gobierno</t>
  </si>
  <si>
    <t>FINANCIERO</t>
  </si>
  <si>
    <t>Falta de recursos para funcionamiento e inversión</t>
  </si>
  <si>
    <t>RESPONSABLES DEL PROCESO</t>
  </si>
  <si>
    <t>Falta de autoridad, responsabilidad y compromiso respecto al manual del funciones de los funcionarios del proceso</t>
  </si>
  <si>
    <t>Falta de conocimiento y resistencia al cambio del personal</t>
  </si>
  <si>
    <t>PERSONAL DE LA ENTIDAD (Capacidad del personal, políticas de manejo del talento humano, idoneidad)</t>
  </si>
  <si>
    <t>FALTA DE ETICA PROFESIONAL, AMIGUISMO Y/O CLIENTELISMO</t>
  </si>
  <si>
    <t>Falta de socialización con el personal adscrito a las Secretarías involucradas en el proceso, en cuanto  a los procedimientos que deben ser implementados.</t>
  </si>
  <si>
    <t>ECONÓMICOS Y FINANCIEROS</t>
  </si>
  <si>
    <t>Baja asignación de recursos de capital necesarios</t>
  </si>
  <si>
    <t>PROCESOS OPERATIVOS</t>
  </si>
  <si>
    <t>Desconocimiento del personal acerca de  la utilizacion formatos y/o documentos  del  procesos preestablecidos oficialmente</t>
  </si>
  <si>
    <t>Falta de socializaciòn de la informaciòn del proceso</t>
  </si>
  <si>
    <t>Desconocimiento del usuario sobre los requisitos técnicos para el buen desarrollo de los programas</t>
  </si>
  <si>
    <t>TECNOLOGÍA (integridad de datos, disponibilidad de datos y sistemas, desarrollo, producción, mantenimiento de sistemas de información)</t>
  </si>
  <si>
    <t>Difuciòn inapropiada de la oferta de servicios  de los diferentes procesos</t>
  </si>
  <si>
    <t>COMUNICACIÓN ENTRE LOS PROCESOS</t>
  </si>
  <si>
    <t>Deficiente efectividad en los flujos de información determinados en la interación de los procesos</t>
  </si>
  <si>
    <t>LEGALES Y REGLAMENTARIOS</t>
  </si>
  <si>
    <t>Cambio en la normatividad externa (leyes, decretos, ordenanzas y acuerdos) que conlleven a la desactualización del proceso.</t>
  </si>
  <si>
    <t>ESTRATÉGICOS</t>
  </si>
  <si>
    <t>Falta de planeación en cuanto a la ejecución física y presupuestal en las metas producto</t>
  </si>
  <si>
    <t>TRANSVERSALIDAD</t>
  </si>
  <si>
    <t>Desconocimiento por falta de socializaciòn de los requisitos establecidos por la entidad para acceder a los beneficios de cada Secretaría</t>
  </si>
  <si>
    <t>Suceso de catastrofes naturales que con lleven a la perdida de información</t>
  </si>
  <si>
    <t>COMMUNICACIÓN INTERNA</t>
  </si>
  <si>
    <t>Escasa articulación entre las Secretarías que tienen acciones similares en el plan de desarrollo o comparten procesos</t>
  </si>
  <si>
    <t>OBJETIVO:  PROMOVER EL DESARROLLO ECONÓMICO Y LA COMPETITIVIDAD DEL MUNICIPIO DE IBAGUÉ MEDIANTE LA FORMULACIÓN E IMPLEMENTACIÓN DE PLANES, PROGRAMAS Y PROYECTOS QUE FORTALEZCAN EL TEJIDO EMPRESARIAL, EL EMPRENDIMIENTO, LA EMPLEABILIDAD, EL TURISMO Y EL SECTOR RURAL</t>
  </si>
  <si>
    <t>Falta de conocimiento y resistencia al cambio por parte de los funcionarios.</t>
  </si>
  <si>
    <t xml:space="preserve">1 Falta de recursos de  inversión para la ejecución de los programas </t>
  </si>
  <si>
    <t>1 Buena actitud de la dirección ante el cambio</t>
  </si>
  <si>
    <t>2 Disponibilidad de medios de comunicación y logisticos de la administración propios para la difusión de los diferentes programas</t>
  </si>
  <si>
    <t>3 Deficiencia en los canales de comunicación entre la alta dirección, parte operativa y viceversa</t>
  </si>
  <si>
    <t xml:space="preserve">3 Programas de formación y capacitación para el personal en actividades propias del proceso </t>
  </si>
  <si>
    <t>4 Falta de planeación en cuanto a la ejecución física y presupuestal en las metas producto</t>
  </si>
  <si>
    <t>4 Recursos por alianzas y convenios con otras entidades que aportan y contribuyen con el cumplimiento de las metas</t>
  </si>
  <si>
    <t>5  Escasa articulación entre las Secretarías que tienen acciones similares en el plan de desarrollo o comparten procesos</t>
  </si>
  <si>
    <t xml:space="preserve">5 Fortalecimiento a la estructura organizacional </t>
  </si>
  <si>
    <t>6 Escasa socialización con el personal adscrito a las Secretarías involucradas en el proceso, en cuanto  a los procedimientos que deben ser implementados.</t>
  </si>
  <si>
    <t>6 Certificación en normas ISO 9001:2015, 14001:2015 y oshas 18001:2007 - Norma tècnica de sostenibilidad NTS - TS 001 -1 TURISMO SOSTENIBLE</t>
  </si>
  <si>
    <t>7 Deficiencia en los flujos de información determinados en la interación de los procesos</t>
  </si>
  <si>
    <t>BUENA ACTITUD DE LA DIRECCION ANTE EL CAMBIO</t>
  </si>
  <si>
    <t>1. Aumento de los ingresos del municipio</t>
  </si>
  <si>
    <t>F4O 2,3 Y 4 Gestión de recursos mediante alianzas y convenios con otras entidades que aportan y contribuyen con el cumplimiento de las metas gracias a las ventajas competitivas de Ibagué, los indicadores de seguridad de la ciudad y la alta demanda de productos y servicios que se ofrecen en el municipio a nivel nacional e internacional logrando posicionar a Ibagué como una ciudad económica y productiva.</t>
  </si>
  <si>
    <t>2.Posicionar a Ibagué  como una ciudad económica y productividad</t>
  </si>
  <si>
    <t>D1 O3, 4 Gestionar recursos de inversión propios, nacionales y extranjeros haciendo uso de las ventajas competitivas y de la alta demanda de productos y/o servicios que se ofrecen en el municipio de Ibagué</t>
  </si>
  <si>
    <t xml:space="preserve">F3 O6,7 y 10  Promover la formación y capacitación de los funcionarios involucrados en el proceso para la implementación de las normas, potencialización de los programas y de esta manera lograr la aceptación de la comunidad. </t>
  </si>
  <si>
    <t>3. Ventajas competitivas (conectividad, variedad de pisos térmicos, parque nacional natural de los nevados)</t>
  </si>
  <si>
    <t>D2 O10 De manera cuatrimestral se realizará verificación aleatoria al interior de cada secretaría, de los recursos entregrados, con el fin de validar el cumplimiento de requisitos en la asignación</t>
  </si>
  <si>
    <t>4. Alta demanda nacional e internacional de productos y/o servicios que se ofrecen en el municipio de Ibagué</t>
  </si>
  <si>
    <t xml:space="preserve">D3 O2 La correcta dinamización de la comunicación interna entre la alta dirección y la parte operativa permitira posicionar a Ibagué como una ciudad económica y productiva. </t>
  </si>
  <si>
    <t>5.Avances tecnológicos que permiten aprovechar redes sociales y otros canales de comunicación con el fin de informar a la población objetivo de las Secretarías</t>
  </si>
  <si>
    <t>D7 O5  las secretarias de desarrollo economico y agricultura y desarrollo rural, de manera semestra realizarán a los funcionarios de planta y contratistas la socialización sobre el autocontrol, dejando evidencia acta y planillas de asistencias</t>
  </si>
  <si>
    <t>6. Implementación de la norma tecnica sectorial NTS 001-1 turismo sostenible en el cañon del combeima</t>
  </si>
  <si>
    <t>D2 O10 Socializar las políticas internas  del proceso y el Sistema Integrado de Gestión con el fin de generar un mayor compromiso por parte de la alta direccion  y la parte operativa a la de asignar los beneficiarios acorde a los requiitos establecidos.</t>
  </si>
  <si>
    <t>7. Potencializar el ecoturismo - Avistamiento de aves</t>
  </si>
  <si>
    <t>D2, D3-O10: EL PERSONAL ADSCRITO AL PROCESO DE GESTION DEL DESARROLLO ECONOMICO Y LA COMPETITIVIDAD DEBE RECIBIR CAPACITACION DE SOCIALIZACION DEL CODIGO DE INTEGRIDAD Y BUEN GOBIERNO CON LA RESPECTIVA INFORMACIÓN DOCUMENTADA DEL PROCESO</t>
  </si>
  <si>
    <t>8. Mejoramiento de la seguridad en la zona rural del municipio</t>
  </si>
  <si>
    <t>9. Disposición de entidades del orden nacional e internacional interesadas en realizar alianzas,Y convenios o , entre otros.</t>
  </si>
  <si>
    <t>10. Confianza y aceptación de la comunidad hacia la oferta de servicios</t>
  </si>
  <si>
    <t>11 DISPOSICIÓN DE ENTIDADES DEL ORDEN NACIONAL E INTERNACIONAL INTERESADAS EN REALIZAR ALIANZAS, CONVENIOS O HERMANAMIENTO ENTRE OTROS</t>
  </si>
  <si>
    <t>CAMBIO DE GOBIERNO</t>
  </si>
  <si>
    <t>D2,D3-A2: DENUNCIAR ACTOS DE CORRUPCION FRENTE A LOS ENTES COMPETENTES Y TOMAR LAS MEDIDAS LEGALES CORRESPONDIENTES A LA SITUACION QUE SE EVIDENCIE.</t>
  </si>
  <si>
    <t>F4,7-A4: MANTENER LAS DIRECTRICES ESTABLECIDAS DURANTE EL CAMBIO DE GOBIERNO EN LA ESTRUCTURA ORGANIZACIONAL CON EL FIN DE MANTENER EL BUEN FUNCIONAMIENTO DE LA ADMINISTRACION MUNCIPAL</t>
  </si>
  <si>
    <t>DESCONOCIMIENTO DEL USUARIO SOBRE LOS REQUISITOS TÉCNCIOS PARA EL BUEN DESARROLLO DE LOS PROGRAMAS</t>
  </si>
  <si>
    <t>D2,D3-A1 GESTIONAR LA CONSERVACION DE LA GESTIÓN DOCUMENTADA Y ACTIVIDADES DE LOS PROCESOS CUANDO SE GENERAN CAMBIOS DE GOBIERNO</t>
  </si>
  <si>
    <t>F3,A1,3: UTILIZACION DE PROGRAMAS DE FORMACION QUE PROMUEVAN LA ÉTICA PROFESIONAL Y SENTIDO DE PERTENENCIA EN LA ADMINISTRACIÓN MUNICIPAL PARA QUE NO SE SIGA PRESENTANDO INFLUENCIA DE FACTORES EXTERNOS QUE AFECTEN LA TOMA DE DECISIONES EN CUALQUIERA DE LAS ACTIVIDADES DEL PROCESO</t>
  </si>
  <si>
    <t>DESCONOCIMIENTO POR FALTA DE SOCIALIZACION DE LOS REQUISITOS ESTABLECIDOS POR LA ENTIDAD PARA ACCEDER A LOS BENEFICIOS DE CADA SECRETARIA</t>
  </si>
  <si>
    <t>D4,A2: REPROGRAMAR LAS ACTIVIDADES Y METAS PRODUCTO QUE CONTIENEN LOS PLANTES Y DILIGENCIAR LAS RESPECTIVAS OBSERVACIONES</t>
  </si>
  <si>
    <t>F6,A2: GENERAR ESTRATEGIAS PARA EL MEJORAMIENTO DE VIAS TERCIARIAS Y CENTROS POBLADOS CON EL FIN DE MEJORAR EL COMERCIO, TURISMO Y CALIDAD DE VIDA EN LA ZONA RURAL DE LA CIUDAD DE IBAGUE</t>
  </si>
  <si>
    <t>DEFICIENCIA EN LA INFRAESTRUCTURA</t>
  </si>
  <si>
    <t>D5,A3: REALIZAR SEGUIMIENTO PARA VERIFICAR QUE EL PERSONAL DE PLANTA ASIGNADO SEA ACORDE A LAS NECESIDADES DEL FUNCIONAMIENTO DEL PROCESO</t>
  </si>
  <si>
    <t>INICIA CON LA PLANEACIÓN DEL PROCESO, SE REALIZA UN DIAGNÓSTICO DEL SECTOR ECONÓMICO DE LA CIUDAD; SE PROMUEVE LA FORMALIZACIÓN EMPRESARIAL; SE PROMOCIONA LA OFERTA TURÍSTICA DE LA CIUDAD; SE FORTALECE EL TEJIDO EMPRESARIAL; SE IMPLEMENTAN ESTRATEGIAS PARA FACILITAR EL ACCESO DE LOS CIUDADANOS A LA RUTA DE EMPLEABILIDAD, HASTA REALIZAR EL SEGUIMIENTO, EVALUACIÓN Y CONTROL DE LOS PLANES, PROGRAMAS Y PROYECTOS DEL PROCESO.</t>
  </si>
  <si>
    <t>Sanciones de entes de control</t>
  </si>
  <si>
    <t>Deficiencia en la planeación y seguimiento de las actividades del proceso</t>
  </si>
  <si>
    <t>Gestión</t>
  </si>
  <si>
    <t>Secretarios, Directores y enlaces SIGAMI</t>
  </si>
  <si>
    <t xml:space="preserve">Se analiza todo lo correspondiente al riesgo de gestión. Se decide, realizar reunión de capacitación frente al tema de riesgos tanto de gestión como administrativos en una reunión vía meet, la cual se realizará el próximo 23 de febrero. (Acta No. 01) </t>
  </si>
  <si>
    <t>El 30 de abril, se hace seguimiento de las metas, llegando a la conclusión que como a la fecha no hay plan de desarrollo no se ha ejecutado metas que comprometan el presupuesto. (ACTA No. 04)</t>
  </si>
  <si>
    <t>Seguimiento (Enero-Feb)</t>
  </si>
  <si>
    <t>Seguimiento (Mar-Abr)</t>
  </si>
  <si>
    <t xml:space="preserve">El 23 de febrero, se realiza capacitación en riesgos de gestión, riesgos de corrupción y SIGAMI, </t>
  </si>
  <si>
    <t xml:space="preserve">El 1o de abril se realiza reunión para monitoreo de riesgo de gestión y de corrupción, se revisan los  dos mapas, se comprometen a realizar reunión de socialización de los riesgos y SIGAMI, a su vez, seguimiento a las actividades para mitigar los riesgos. </t>
  </si>
  <si>
    <t>Esta actividad se debe reportar cuatrimestralmente.</t>
  </si>
  <si>
    <t>Seguimiento (May-Jun)</t>
  </si>
  <si>
    <t>Se realiza socialización el 08 de mayo, haciendo referencia a todo lo correspondiente a las actividades del SIGAMI. A su vez, el 28 de junio, se recibió una capacitación por parte del equipo de fortalecimiento insitucional frente a este tema.</t>
  </si>
  <si>
    <t>Semestralmente la Secretaría Desarrollo Económico y la Secretaría de Agricultura y Desarrollo Rural, se reunirán dos veces por vigencia con los asesores, profesionales universitarios y contratistas , con el fin de revisar el avance físico de las metas producto del plan indicativo y generar estrategias para cumplir las mismas.  Las respectivas evidencias de las reuniones son las planillas de asistencia internas y actas.</t>
  </si>
  <si>
    <t xml:space="preserve">Cuatrimestralmente la Secretaría Desarrollo económico y la Secretaría de Agricultura y Desarrollo Rural realizarán una socialización sobre SIGAMI y sobre el Código de Integridad y Buen Gobierno, dirigdo a todo el personal de planta y/o contratistas que conforman el talento humano de las Secretarías (recordar que en el contrato de prestación de servicios queda estipulado que se acogen a este código); dejando como evidencias actas y/o planillas de asistencia interna de la socializaciòn. </t>
  </si>
  <si>
    <t>Dos (2) reuniones semestrales para la revisión del Plan Indicativo - Actualización documentación SIGAMI correspondiente</t>
  </si>
  <si>
    <t>Una (1) reunión cuatrimestral para la revisión del Plan de Acción - Actualización documentación SIGAMI correspondiente</t>
  </si>
  <si>
    <t>Una (1) socialización cuatrimestral  sobre SIGAMI y sobre el Código de Integridad y Buen Gobierno - Actualización documentación SIGAMI correspondiente</t>
  </si>
  <si>
    <t>Seguimiento (Julio-Agosto)</t>
  </si>
  <si>
    <t>El equipo de enlaces SIGAMI del Proceso Desarrollo Económico y la Competitividad se reunió el día viernes 30 de agosto del 2024 para actualizar la Matriz de Riesgos de Gestión del Proceso.</t>
  </si>
  <si>
    <t>El equipo de enlaces SIGAMI del Proceso Desarrollo Económico y la Competitividad se reunió el día viernes 30 de agosto del 2024 para actualizar la Matriz de Riesgos de Gestión del Proceso. Para el cumplimiento de la Actividad #1 del Plan de Acción, se aportan las evidencias correspondientes. El día 03 de julio se realizó la reunión del Plan de Acción de la Secretaría de Desarrollo Económico,  correspondiente al segundo Cuatrimestre del 2024.</t>
  </si>
  <si>
    <t>El equipo de enlaces SIGAMI del Proceso Desarrollo Económico y la Competitividad se reunió el día viernes 30 de agosto del 2024 para actualizar la Matriz de Riesgos de Gestión del Proceso. Para el cumplimiento de la Actividad #2 del Plan de Acción, se aportan las evidencias correspondientes. Para el segundo semestre del año 2024, no se reportan las dos reuniones programadas sobre Plan Indicativo, que se tienes previstas para el mes de Septiembre y Noviembre del 2024.</t>
  </si>
  <si>
    <t>Posibilidad de pérdida económica y reputacional, debido a sanciones de entes de control por deficiencia en  la formulación e implementación de planes, programas y proyectos que fortalezcan el tejido empresarial, el emprendimiento, la empleabilidad, el turismo y el sector rural</t>
  </si>
  <si>
    <t>Deficiencia en  la formulación e implementación de planes, programas y proyectos que fortalezcan el tejido empresarial, el emprendimiento, la empleabilidad, el turismo y el sector rural</t>
  </si>
  <si>
    <t>Deficiencia en la capacitación del talento humano de las secretarías sobre el conocimientos y las actividades del proceso Gestión del Desarrollo Económico y la Competitividad</t>
  </si>
  <si>
    <t xml:space="preserve">La baja cobertura para la promoción del desarrollo económico y la competividad para los actores involucrados
</t>
  </si>
  <si>
    <t>Ejecución de los diferentes planes, programas y proyectos de las secretarías intervinientes en el proceso</t>
  </si>
  <si>
    <r>
      <t xml:space="preserve">Se realizará cuatrimestral comité técnico para revisar los planes de acción y la ejecución de los mismos, dejando como evidencia un acta y planilla de asistencia, en cada una en las Secretaría del Proceso del Desarrollo Económico y la Competitividad (Secretaría de Desarrollo Económico y Secretaría de Agricultura y desarrollo rural) 
</t>
    </r>
    <r>
      <rPr>
        <sz val="10"/>
        <color rgb="FFFF0000"/>
        <rFont val="Arial Narrow"/>
        <family val="2"/>
      </rPr>
      <t xml:space="preserve">*RESPONSABLE (Una persona que ejecute ese control - El Secretario ...)
*PERIODICIDAD
*PROPÓSITO DEL CONTROL -VERBO DE CONTROL
*METODOLOGÍA
*ESTABLECER QUÉ PASA CON LAS DESVIACIONES U OBSERVACIONES AL EJERCER EL CONTROL
*EVIDENCIA (ES LO MÁS IMPORTANTE)
</t>
    </r>
  </si>
  <si>
    <t>Seguimiento (Septiembre-Octubre)</t>
  </si>
  <si>
    <t>El equipo de enlaces SIGAMI del Proceso Desarrollo Económico y la Competitividad se reunió el día 29 de octubre de 2024, para actualizar la Matriz de Riesgos de Gestión del Proceso y programar las acciones del último cuatrimestre del año.</t>
  </si>
  <si>
    <t>El equipo de enlaces SIGAMI del Proceso Desarrollo Económico y la Competitividad se reunió el día 29 de octubre de 2024, para actualizar la Matriz de Riesgos de Gestión del Proceso y programar las acciones del último semestre del año.</t>
  </si>
  <si>
    <t>CONTEXTO:</t>
  </si>
  <si>
    <t>PROCESO:</t>
  </si>
  <si>
    <t xml:space="preserve"> D1, O1 Por medio del aumento de los ingresos (inversion extranjera, alianzas estrategicas, formulación de proyectos de inversión, entre otros) para la asignación de recursos buscando mejorar la inversión y funcionamiento del proceso, garantizando mayor cobertura y generando confianza debido a que se fortalece la institucionalidad  en la alcaldía municipal de Ibagué.</t>
  </si>
  <si>
    <t>Seguimiento (Noviembre - Diciembre)</t>
  </si>
  <si>
    <t>El equipo de enlaces SIGAMI del Proceso Desarrollo Económico y la Competitividad se reunió el día 29 de Noviembre de 2024, para actualizar el plan de Acción.</t>
  </si>
  <si>
    <t>El equipo de enlaces SIGAMI del Proceso Desarrollo Económico y la Competitividad se reunió el día 29 de Noviembre de 2024, para actualizar el plan indicativo.</t>
  </si>
  <si>
    <t>El equipo de enlaces SIGAMI del Proceso Desarrollo Económico y la Competitividad se reunió el día 17 de diciembre de 2024 para otorrgar capacitación a personal de planta y contratistas sobre Autocontrol, Mapa de riesgos, código de integridad y buen gobierno y Generalidades SIGAMI.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</si>
</sst>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sz val="12"/>
      <color theme="1"/>
      <name val="Arial"/>
      <family val="2"/>
    </font>
    <font>
      <sz val="12"/>
      <name val="Arial"/>
      <family val="2"/>
    </font>
    <font>
      <sz val="12"/>
      <color rgb="FFFF0000"/>
      <name val="Arial"/>
      <family val="2"/>
    </font>
    <font>
      <sz val="10"/>
      <color rgb="FFFF0000"/>
      <name val="Arial Narrow"/>
      <family val="2"/>
    </font>
    <font>
      <sz val="10"/>
      <color theme="0"/>
      <name val="Arial"/>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rgb="FF00B0F0"/>
        <bgColor indexed="64"/>
      </patternFill>
    </fill>
  </fills>
  <borders count="12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4659260841701"/>
      </left>
      <right style="thin">
        <color theme="9" tint="0.39997558519241921"/>
      </right>
      <top/>
      <bottom style="thin">
        <color theme="9" tint="0.39997558519241921"/>
      </bottom>
      <diagonal/>
    </border>
    <border>
      <left style="thin">
        <color theme="9" tint="0.39997558519241921"/>
      </left>
      <right/>
      <top/>
      <bottom/>
      <diagonal/>
    </border>
    <border>
      <left/>
      <right/>
      <top/>
      <bottom style="thin">
        <color theme="9" tint="0.39997558519241921"/>
      </bottom>
      <diagonal/>
    </border>
    <border>
      <left style="dashed">
        <color theme="9" tint="-0.24994659260841701"/>
      </left>
      <right/>
      <top/>
      <bottom style="thin">
        <color theme="9" tint="0.39997558519241921"/>
      </bottom>
      <diagonal/>
    </border>
    <border>
      <left style="dashed">
        <color theme="9" tint="-0.249977111117893"/>
      </left>
      <right style="thin">
        <color theme="9" tint="0.39997558519241921"/>
      </right>
      <top style="thin">
        <color theme="9" tint="0.39997558519241921"/>
      </top>
      <bottom/>
      <diagonal/>
    </border>
    <border>
      <left style="dashed">
        <color theme="9" tint="-0.24994659260841701"/>
      </left>
      <right style="dashed">
        <color theme="9" tint="-0.24994659260841701"/>
      </right>
      <top style="dashed">
        <color theme="9" tint="-0.24994659260841701"/>
      </top>
      <bottom style="thin">
        <color theme="9" tint="0.39997558519241921"/>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dashed">
        <color theme="9" tint="-0.24994659260841701"/>
      </left>
      <right style="thin">
        <color theme="9" tint="0.39997558519241921"/>
      </right>
      <top style="dashed">
        <color theme="9" tint="-0.24994659260841701"/>
      </top>
      <bottom/>
      <diagonal/>
    </border>
    <border>
      <left style="dashed">
        <color theme="9" tint="-0.249977111117893"/>
      </left>
      <right style="dashed">
        <color theme="9" tint="-0.24994659260841701"/>
      </right>
      <top style="dashed">
        <color theme="9" tint="-0.24994659260841701"/>
      </top>
      <bottom/>
      <diagonal/>
    </border>
    <border>
      <left style="dashed">
        <color theme="9" tint="-0.249977111117893"/>
      </left>
      <right style="dashed">
        <color theme="9" tint="-0.24994659260841701"/>
      </right>
      <top/>
      <bottom/>
      <diagonal/>
    </border>
    <border>
      <left style="dashed">
        <color theme="9" tint="-0.249977111117893"/>
      </left>
      <right style="dashed">
        <color theme="9" tint="-0.24994659260841701"/>
      </right>
      <top/>
      <bottom style="dashed">
        <color theme="9" tint="-0.24994659260841701"/>
      </bottom>
      <diagonal/>
    </border>
    <border>
      <left style="dashed">
        <color theme="9" tint="-0.24994659260841701"/>
      </left>
      <right style="dashed">
        <color theme="9" tint="-0.24994659260841701"/>
      </right>
      <top style="dashed">
        <color theme="9" tint="-0.249977111117893"/>
      </top>
      <bottom/>
      <diagonal/>
    </border>
    <border>
      <left style="dashed">
        <color theme="9" tint="-0.24994659260841701"/>
      </left>
      <right style="dashed">
        <color theme="9" tint="-0.24994659260841701"/>
      </right>
      <top/>
      <bottom style="dashed">
        <color theme="9" tint="-0.249977111117893"/>
      </bottom>
      <diagonal/>
    </border>
    <border>
      <left style="dashed">
        <color theme="9" tint="-0.24994659260841701"/>
      </left>
      <right style="dashed">
        <color theme="9" tint="-0.249977111117893"/>
      </right>
      <top style="dashed">
        <color theme="9" tint="-0.24994659260841701"/>
      </top>
      <bottom/>
      <diagonal/>
    </border>
    <border>
      <left style="dashed">
        <color theme="9" tint="-0.24994659260841701"/>
      </left>
      <right style="dashed">
        <color theme="9" tint="-0.249977111117893"/>
      </right>
      <top/>
      <bottom/>
      <diagonal/>
    </border>
    <border>
      <left style="dashed">
        <color theme="9" tint="-0.24994659260841701"/>
      </left>
      <right style="dashed">
        <color theme="9" tint="-0.249977111117893"/>
      </right>
      <top/>
      <bottom style="dashed">
        <color theme="9" tint="-0.24994659260841701"/>
      </bottom>
      <diagonal/>
    </border>
    <border>
      <left style="dashed">
        <color theme="9" tint="-0.249977111117893"/>
      </left>
      <right/>
      <top/>
      <bottom/>
      <diagonal/>
    </border>
    <border>
      <left style="dashed">
        <color theme="9" tint="-0.24994659260841701"/>
      </left>
      <right style="thin">
        <color indexed="64"/>
      </right>
      <top style="dashed">
        <color theme="9" tint="-0.24994659260841701"/>
      </top>
      <bottom/>
      <diagonal/>
    </border>
    <border>
      <left style="dashed">
        <color theme="9" tint="-0.24994659260841701"/>
      </left>
      <right style="thin">
        <color indexed="64"/>
      </right>
      <top/>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ashed">
        <color theme="9" tint="-0.24994659260841701"/>
      </left>
      <right style="dashed">
        <color theme="9" tint="-0.24994659260841701"/>
      </right>
      <top/>
      <bottom style="thin">
        <color theme="9" tint="0.39997558519241921"/>
      </bottom>
      <diagonal/>
    </border>
    <border>
      <left style="dashed">
        <color theme="9" tint="-0.24994659260841701"/>
      </left>
      <right style="thin">
        <color theme="9" tint="0.39997558519241921"/>
      </right>
      <top/>
      <bottom/>
      <diagonal/>
    </border>
    <border>
      <left style="thin">
        <color theme="9" tint="0.39997558519241921"/>
      </left>
      <right style="thin">
        <color theme="9" tint="0.39997558519241921"/>
      </right>
      <top/>
      <bottom style="thin">
        <color theme="9" tint="0.39997558519241921"/>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8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77" xfId="0" applyFont="1" applyFill="1" applyBorder="1" applyAlignment="1">
      <alignment vertical="center" wrapText="1"/>
    </xf>
    <xf numFmtId="0" fontId="61" fillId="18" borderId="78" xfId="0" applyFont="1" applyFill="1" applyBorder="1" applyAlignment="1">
      <alignment vertical="center" wrapText="1"/>
    </xf>
    <xf numFmtId="0" fontId="61" fillId="18" borderId="37" xfId="0" applyFont="1" applyFill="1" applyBorder="1" applyAlignment="1">
      <alignment vertical="center" wrapText="1"/>
    </xf>
    <xf numFmtId="0" fontId="61" fillId="18" borderId="33" xfId="0" applyFont="1" applyFill="1" applyBorder="1" applyAlignment="1">
      <alignmen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89" xfId="0" applyNumberFormat="1" applyFont="1" applyFill="1" applyBorder="1" applyAlignment="1">
      <alignment horizontal="center" vertical="center" wrapText="1"/>
    </xf>
    <xf numFmtId="0" fontId="70" fillId="19" borderId="90"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pplyProtection="1">
      <alignment horizontal="center" vertical="center"/>
      <protection locked="0"/>
    </xf>
    <xf numFmtId="0" fontId="0" fillId="0" borderId="92" xfId="0" applyBorder="1" applyAlignment="1" applyProtection="1">
      <alignment horizontal="center" vertical="top"/>
      <protection locked="0"/>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8" fillId="3" borderId="0" xfId="0" applyFont="1" applyFill="1" applyAlignment="1">
      <alignment horizontal="left"/>
    </xf>
    <xf numFmtId="0" fontId="0" fillId="0" borderId="33" xfId="0" applyBorder="1" applyAlignment="1" applyProtection="1">
      <alignment horizontal="center" vertical="center"/>
      <protection locked="0"/>
    </xf>
    <xf numFmtId="0" fontId="38" fillId="3" borderId="91" xfId="0" applyFont="1" applyFill="1" applyBorder="1" applyAlignment="1" applyProtection="1">
      <alignment vertical="center"/>
      <protection locked="0"/>
    </xf>
    <xf numFmtId="0" fontId="38" fillId="3" borderId="95" xfId="0" applyFont="1" applyFill="1" applyBorder="1" applyAlignment="1" applyProtection="1">
      <alignment vertical="center"/>
      <protection locked="0"/>
    </xf>
    <xf numFmtId="0" fontId="1" fillId="0" borderId="4"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3" borderId="99" xfId="0" applyFont="1" applyFill="1" applyBorder="1" applyAlignment="1">
      <alignment vertical="center" wrapText="1"/>
    </xf>
    <xf numFmtId="0" fontId="1" fillId="3" borderId="100" xfId="0" applyFont="1" applyFill="1" applyBorder="1"/>
    <xf numFmtId="0" fontId="1" fillId="3" borderId="101" xfId="0" applyFont="1" applyFill="1" applyBorder="1"/>
    <xf numFmtId="0" fontId="1" fillId="3" borderId="102" xfId="0" applyFont="1" applyFill="1" applyBorder="1"/>
    <xf numFmtId="0" fontId="1" fillId="3" borderId="103" xfId="0" applyFont="1" applyFill="1" applyBorder="1"/>
    <xf numFmtId="14" fontId="1" fillId="0" borderId="5" xfId="0" applyNumberFormat="1" applyFont="1" applyBorder="1" applyAlignment="1" applyProtection="1">
      <alignment horizontal="center" vertical="top"/>
      <protection locked="0"/>
    </xf>
    <xf numFmtId="0" fontId="1" fillId="0" borderId="0" xfId="0" applyFont="1" applyAlignment="1">
      <alignment vertical="center" wrapText="1"/>
    </xf>
    <xf numFmtId="0" fontId="27" fillId="0" borderId="2"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0" fillId="14" borderId="33" xfId="0" applyFill="1" applyBorder="1" applyAlignment="1" applyProtection="1">
      <alignment horizontal="center" vertical="center"/>
      <protection locked="0"/>
    </xf>
    <xf numFmtId="166" fontId="0" fillId="14" borderId="33" xfId="0" applyNumberFormat="1" applyFill="1" applyBorder="1" applyAlignment="1">
      <alignment horizontal="center" vertical="center"/>
    </xf>
    <xf numFmtId="165" fontId="61" fillId="20" borderId="79" xfId="0" applyNumberFormat="1" applyFont="1" applyFill="1" applyBorder="1" applyAlignment="1">
      <alignment horizontal="center" vertical="center"/>
    </xf>
    <xf numFmtId="165" fontId="61" fillId="8" borderId="41" xfId="0" applyNumberFormat="1" applyFont="1" applyFill="1" applyBorder="1" applyAlignment="1">
      <alignment horizontal="center" vertical="center"/>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center" vertical="center"/>
      <protection hidden="1"/>
    </xf>
    <xf numFmtId="0" fontId="27" fillId="0" borderId="2" xfId="0" applyFont="1" applyBorder="1" applyAlignment="1" applyProtection="1">
      <alignment horizontal="center" vertical="center" textRotation="90"/>
      <protection locked="0"/>
    </xf>
    <xf numFmtId="9" fontId="27"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49" fillId="0" borderId="2" xfId="0" applyFont="1" applyBorder="1" applyAlignment="1" applyProtection="1">
      <alignment horizontal="center" vertical="center" textRotation="90" wrapText="1"/>
      <protection hidden="1"/>
    </xf>
    <xf numFmtId="9" fontId="27" fillId="0" borderId="4" xfId="0" applyNumberFormat="1" applyFont="1" applyBorder="1" applyAlignment="1" applyProtection="1">
      <alignment horizontal="center" vertical="center"/>
      <protection hidden="1"/>
    </xf>
    <xf numFmtId="0" fontId="49" fillId="0" borderId="2" xfId="0" applyFont="1" applyBorder="1" applyAlignment="1" applyProtection="1">
      <alignment horizontal="center" vertical="center" textRotation="90"/>
      <protection hidden="1"/>
    </xf>
    <xf numFmtId="0" fontId="27" fillId="0" borderId="104" xfId="0" applyFont="1" applyBorder="1" applyAlignment="1" applyProtection="1">
      <alignment vertical="center" wrapText="1"/>
      <protection locked="0"/>
    </xf>
    <xf numFmtId="0" fontId="27" fillId="0" borderId="4" xfId="0" applyFont="1" applyBorder="1" applyAlignment="1" applyProtection="1">
      <alignment vertical="center" wrapText="1"/>
      <protection locked="0"/>
    </xf>
    <xf numFmtId="0" fontId="1" fillId="0" borderId="7" xfId="0" applyFont="1" applyBorder="1" applyAlignment="1" applyProtection="1">
      <alignment horizontal="center" vertical="center" wrapText="1"/>
      <protection locked="0"/>
    </xf>
    <xf numFmtId="14" fontId="27" fillId="0" borderId="105" xfId="0" applyNumberFormat="1" applyFont="1" applyBorder="1" applyAlignment="1" applyProtection="1">
      <alignment horizontal="center" vertical="center" wrapText="1"/>
      <protection locked="0"/>
    </xf>
    <xf numFmtId="14" fontId="27" fillId="0" borderId="106" xfId="0" applyNumberFormat="1" applyFont="1" applyBorder="1" applyAlignment="1" applyProtection="1">
      <alignment horizontal="center" vertical="center" wrapText="1"/>
      <protection locked="0"/>
    </xf>
    <xf numFmtId="0" fontId="24" fillId="2" borderId="0" xfId="0" applyFont="1" applyFill="1" applyAlignment="1">
      <alignment horizontal="center" vertical="center"/>
    </xf>
    <xf numFmtId="0" fontId="27" fillId="3" borderId="0" xfId="0" applyFont="1" applyFill="1" applyAlignment="1" applyProtection="1">
      <alignment horizontal="left" vertical="center"/>
      <protection locked="0"/>
    </xf>
    <xf numFmtId="0" fontId="27" fillId="3" borderId="115" xfId="0" applyFont="1" applyFill="1" applyBorder="1" applyAlignment="1" applyProtection="1">
      <alignment horizontal="left" vertical="center" wrapText="1"/>
      <protection locked="0"/>
    </xf>
    <xf numFmtId="0" fontId="1" fillId="0" borderId="0" xfId="0" applyFont="1" applyAlignment="1">
      <alignment horizontal="left" vertical="center" wrapText="1"/>
    </xf>
    <xf numFmtId="0" fontId="1" fillId="0" borderId="8" xfId="0" applyFont="1" applyBorder="1" applyAlignment="1" applyProtection="1">
      <alignment vertical="top" wrapText="1"/>
      <protection locked="0"/>
    </xf>
    <xf numFmtId="0" fontId="1" fillId="0" borderId="8" xfId="0" applyFont="1" applyBorder="1" applyAlignment="1" applyProtection="1">
      <alignment horizontal="center" vertical="center" wrapText="1"/>
      <protection locked="0"/>
    </xf>
    <xf numFmtId="0" fontId="1" fillId="0" borderId="33" xfId="0" applyFont="1" applyBorder="1" applyAlignment="1" applyProtection="1">
      <alignment horizontal="center" vertical="center" wrapText="1"/>
      <protection locked="0"/>
    </xf>
    <xf numFmtId="0" fontId="50" fillId="0" borderId="75" xfId="0" applyFont="1" applyBorder="1" applyAlignment="1" applyProtection="1">
      <alignment vertical="center" wrapText="1"/>
      <protection locked="0"/>
    </xf>
    <xf numFmtId="0" fontId="27" fillId="0" borderId="8" xfId="0" applyFont="1" applyBorder="1" applyAlignment="1" applyProtection="1">
      <alignment vertical="center" wrapText="1"/>
      <protection locked="0"/>
    </xf>
    <xf numFmtId="0" fontId="27" fillId="0" borderId="5" xfId="0" applyFont="1" applyBorder="1" applyAlignment="1" applyProtection="1">
      <alignment vertical="center" wrapText="1"/>
      <protection locked="0"/>
    </xf>
    <xf numFmtId="0" fontId="27" fillId="0" borderId="76" xfId="0" applyFont="1" applyBorder="1" applyAlignment="1" applyProtection="1">
      <alignment vertical="center" wrapText="1"/>
      <protection locked="0"/>
    </xf>
    <xf numFmtId="0" fontId="27" fillId="0" borderId="32" xfId="0" applyFont="1" applyBorder="1" applyAlignment="1" applyProtection="1">
      <alignment vertical="center" wrapText="1"/>
      <protection locked="0"/>
    </xf>
    <xf numFmtId="0" fontId="50" fillId="0" borderId="97" xfId="0" applyFont="1" applyBorder="1" applyAlignment="1" applyProtection="1">
      <alignment vertical="center" wrapText="1"/>
      <protection locked="0"/>
    </xf>
    <xf numFmtId="0" fontId="50" fillId="0" borderId="98" xfId="0" applyFont="1" applyBorder="1" applyAlignment="1" applyProtection="1">
      <alignment vertical="center" wrapText="1"/>
      <protection locked="0"/>
    </xf>
    <xf numFmtId="0" fontId="27" fillId="0" borderId="8" xfId="0" applyFont="1" applyBorder="1" applyAlignment="1" applyProtection="1">
      <alignment vertical="top"/>
      <protection locked="0"/>
    </xf>
    <xf numFmtId="0" fontId="27" fillId="0" borderId="5" xfId="0" applyFont="1" applyBorder="1" applyAlignment="1" applyProtection="1">
      <alignment vertical="top"/>
      <protection locked="0"/>
    </xf>
    <xf numFmtId="0" fontId="49" fillId="0" borderId="8" xfId="0" applyFont="1" applyBorder="1" applyAlignment="1" applyProtection="1">
      <alignment vertical="top" wrapText="1"/>
      <protection hidden="1"/>
    </xf>
    <xf numFmtId="0" fontId="49" fillId="0" borderId="5" xfId="0" applyFont="1" applyBorder="1" applyAlignment="1" applyProtection="1">
      <alignment vertical="top" wrapText="1"/>
      <protection hidden="1"/>
    </xf>
    <xf numFmtId="9" fontId="27" fillId="0" borderId="8" xfId="0" applyNumberFormat="1" applyFont="1" applyBorder="1" applyAlignment="1" applyProtection="1">
      <alignment vertical="top" wrapText="1"/>
      <protection hidden="1"/>
    </xf>
    <xf numFmtId="9" fontId="27" fillId="0" borderId="5" xfId="0" applyNumberFormat="1" applyFont="1" applyBorder="1" applyAlignment="1" applyProtection="1">
      <alignment vertical="top" wrapText="1"/>
      <protection hidden="1"/>
    </xf>
    <xf numFmtId="9" fontId="27" fillId="0" borderId="8" xfId="0" applyNumberFormat="1" applyFont="1" applyBorder="1" applyAlignment="1" applyProtection="1">
      <alignment vertical="top" wrapText="1"/>
      <protection locked="0"/>
    </xf>
    <xf numFmtId="9" fontId="27" fillId="0" borderId="5" xfId="0" applyNumberFormat="1" applyFont="1" applyBorder="1" applyAlignment="1" applyProtection="1">
      <alignment vertical="top" wrapText="1"/>
      <protection locked="0"/>
    </xf>
    <xf numFmtId="0" fontId="49" fillId="0" borderId="8" xfId="0" applyFont="1" applyBorder="1" applyAlignment="1" applyProtection="1">
      <alignment vertical="top"/>
      <protection hidden="1"/>
    </xf>
    <xf numFmtId="0" fontId="49" fillId="0" borderId="5" xfId="0" applyFont="1" applyBorder="1" applyAlignment="1" applyProtection="1">
      <alignment vertical="top"/>
      <protection hidden="1"/>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5" xfId="0" applyFont="1" applyBorder="1" applyAlignment="1">
      <alignment vertical="center"/>
    </xf>
    <xf numFmtId="0" fontId="61" fillId="13" borderId="33" xfId="0" applyFont="1" applyFill="1" applyBorder="1" applyAlignment="1">
      <alignment horizontal="center" vertical="center"/>
    </xf>
    <xf numFmtId="0" fontId="61" fillId="13" borderId="78" xfId="0" applyFont="1" applyFill="1" applyBorder="1" applyAlignment="1">
      <alignment horizontal="left" vertical="center" wrapText="1"/>
    </xf>
    <xf numFmtId="0" fontId="61" fillId="13" borderId="33" xfId="0" applyFont="1" applyFill="1" applyBorder="1" applyAlignment="1">
      <alignment horizontal="left" vertical="center" wrapText="1"/>
    </xf>
    <xf numFmtId="0" fontId="61" fillId="13" borderId="33" xfId="0" applyFont="1" applyFill="1" applyBorder="1" applyAlignment="1">
      <alignment horizontal="center" vertical="center" wrapText="1"/>
    </xf>
    <xf numFmtId="0" fontId="61" fillId="21" borderId="78" xfId="0" applyFont="1" applyFill="1" applyBorder="1" applyAlignment="1">
      <alignment horizontal="left" vertical="center" wrapText="1"/>
    </xf>
    <xf numFmtId="0" fontId="61" fillId="21" borderId="33" xfId="0" applyFont="1" applyFill="1" applyBorder="1" applyAlignment="1">
      <alignment horizontal="center" vertical="center"/>
    </xf>
    <xf numFmtId="0" fontId="61" fillId="21" borderId="33" xfId="0" applyFont="1" applyFill="1" applyBorder="1" applyAlignment="1">
      <alignment horizontal="left" vertical="center" wrapText="1"/>
    </xf>
    <xf numFmtId="0" fontId="61" fillId="5" borderId="79" xfId="0" applyFont="1" applyFill="1" applyBorder="1" applyAlignment="1">
      <alignment horizontal="left" vertical="center" wrapText="1"/>
    </xf>
    <xf numFmtId="0" fontId="61" fillId="5" borderId="33" xfId="0" applyFont="1" applyFill="1" applyBorder="1" applyAlignment="1">
      <alignment horizontal="center" vertical="center"/>
    </xf>
    <xf numFmtId="0" fontId="61" fillId="5" borderId="38" xfId="0" applyFont="1" applyFill="1" applyBorder="1" applyAlignment="1">
      <alignment horizontal="left" vertical="center" wrapText="1"/>
    </xf>
    <xf numFmtId="166" fontId="0" fillId="0" borderId="0" xfId="0" applyNumberFormat="1"/>
    <xf numFmtId="0" fontId="27" fillId="0" borderId="124" xfId="0" applyFont="1" applyBorder="1" applyAlignment="1" applyProtection="1">
      <alignment vertical="center" wrapText="1"/>
      <protection locked="0"/>
    </xf>
    <xf numFmtId="14" fontId="27" fillId="0" borderId="125" xfId="0" applyNumberFormat="1" applyFont="1" applyBorder="1" applyAlignment="1" applyProtection="1">
      <alignment horizontal="center" vertical="center" wrapText="1"/>
      <protection locked="0"/>
    </xf>
    <xf numFmtId="14" fontId="27" fillId="0" borderId="126" xfId="0" applyNumberFormat="1" applyFont="1" applyBorder="1" applyAlignment="1" applyProtection="1">
      <alignment horizontal="center" vertical="center" wrapText="1"/>
      <protection locked="0"/>
    </xf>
    <xf numFmtId="0" fontId="1" fillId="0" borderId="76"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protection locked="0"/>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59" fillId="0" borderId="0" xfId="0" applyFont="1" applyAlignment="1">
      <alignment horizontal="center" vertical="center" wrapText="1"/>
    </xf>
    <xf numFmtId="0" fontId="60" fillId="0" borderId="33" xfId="0" applyFont="1" applyBorder="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64" fillId="16" borderId="39" xfId="0" applyFont="1" applyFill="1" applyBorder="1" applyAlignment="1">
      <alignment horizontal="left" vertical="top" wrapText="1"/>
    </xf>
    <xf numFmtId="0" fontId="64" fillId="16" borderId="40" xfId="0" applyFont="1" applyFill="1" applyBorder="1" applyAlignment="1">
      <alignment horizontal="left" vertical="top"/>
    </xf>
    <xf numFmtId="0" fontId="64" fillId="16" borderId="41" xfId="0" applyFont="1" applyFill="1" applyBorder="1" applyAlignment="1">
      <alignment horizontal="left" vertical="top"/>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60" fillId="0" borderId="118" xfId="0" applyFont="1" applyBorder="1" applyAlignment="1">
      <alignment horizontal="center" vertical="center" wrapText="1"/>
    </xf>
    <xf numFmtId="0" fontId="60" fillId="0" borderId="19"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89" xfId="0" applyFont="1" applyBorder="1" applyAlignment="1">
      <alignment horizontal="center"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60" fillId="0" borderId="119" xfId="0" applyFont="1" applyBorder="1" applyAlignment="1">
      <alignment horizontal="center" vertical="center" wrapText="1"/>
    </xf>
    <xf numFmtId="0" fontId="60" fillId="0" borderId="52" xfId="0" applyFont="1" applyBorder="1" applyAlignment="1">
      <alignment horizontal="center" vertical="center" wrapText="1"/>
    </xf>
    <xf numFmtId="0" fontId="60" fillId="0" borderId="120" xfId="0" applyFont="1" applyBorder="1" applyAlignment="1">
      <alignment horizontal="center" vertical="center" wrapText="1"/>
    </xf>
    <xf numFmtId="0" fontId="60" fillId="0" borderId="121" xfId="0" applyFont="1" applyBorder="1" applyAlignment="1">
      <alignment horizontal="center" vertical="center" wrapText="1"/>
    </xf>
    <xf numFmtId="0" fontId="60" fillId="0" borderId="87" xfId="0" applyFont="1" applyBorder="1" applyAlignment="1">
      <alignment horizontal="center" vertical="center" wrapText="1"/>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61" fillId="0" borderId="78" xfId="0" applyFont="1" applyBorder="1" applyAlignment="1">
      <alignment horizontal="left" vertical="center" wrapText="1"/>
    </xf>
    <xf numFmtId="0" fontId="61" fillId="0" borderId="79" xfId="0" applyFont="1" applyBorder="1" applyAlignment="1">
      <alignment horizontal="lef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0" fillId="0" borderId="69" xfId="0" applyBorder="1" applyAlignment="1">
      <alignment horizontal="center"/>
    </xf>
    <xf numFmtId="0" fontId="0" fillId="0" borderId="88" xfId="0" applyBorder="1" applyAlignment="1">
      <alignment horizontal="center"/>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61" fillId="0" borderId="122" xfId="0" applyFont="1" applyBorder="1" applyAlignment="1">
      <alignment horizontal="left" vertical="center" wrapText="1"/>
    </xf>
    <xf numFmtId="0" fontId="61" fillId="0" borderId="123" xfId="0" applyFont="1" applyBorder="1" applyAlignment="1">
      <alignment horizontal="left" vertical="center" wrapText="1"/>
    </xf>
    <xf numFmtId="0" fontId="61" fillId="0" borderId="85" xfId="0" applyFont="1" applyBorder="1" applyAlignment="1">
      <alignment horizontal="center" vertical="center" wrapText="1"/>
    </xf>
    <xf numFmtId="0" fontId="61" fillId="0" borderId="94" xfId="0" applyFont="1" applyBorder="1" applyAlignment="1">
      <alignment horizontal="center" vertical="center" wrapText="1"/>
    </xf>
    <xf numFmtId="0" fontId="61" fillId="0" borderId="43" xfId="0" applyFont="1" applyBorder="1" applyAlignment="1">
      <alignment horizontal="center" vertical="center" wrapText="1"/>
    </xf>
    <xf numFmtId="0" fontId="61" fillId="0" borderId="91" xfId="0" applyFont="1" applyBorder="1" applyAlignment="1">
      <alignment horizontal="left" vertical="center" wrapText="1"/>
    </xf>
    <xf numFmtId="0" fontId="61" fillId="0" borderId="95" xfId="0" applyFont="1" applyBorder="1" applyAlignment="1">
      <alignment horizontal="left" vertical="center" wrapText="1"/>
    </xf>
    <xf numFmtId="0" fontId="60" fillId="0" borderId="80" xfId="0" applyFont="1" applyBorder="1" applyAlignment="1">
      <alignment horizontal="center" vertical="center" wrapText="1"/>
    </xf>
    <xf numFmtId="0" fontId="60" fillId="0" borderId="81" xfId="0" applyFont="1" applyBorder="1" applyAlignment="1">
      <alignment horizontal="center" vertical="center" wrapText="1"/>
    </xf>
    <xf numFmtId="0" fontId="60" fillId="0" borderId="82" xfId="0" applyFont="1" applyBorder="1" applyAlignment="1">
      <alignment horizontal="center" vertical="center" wrapText="1"/>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71" fillId="19" borderId="33" xfId="0" applyFont="1" applyFill="1" applyBorder="1" applyAlignment="1">
      <alignment horizontal="center" vertical="center" wrapText="1"/>
    </xf>
    <xf numFmtId="0" fontId="72" fillId="19" borderId="91" xfId="0" applyFont="1" applyFill="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5" xfId="0" applyFont="1" applyFill="1" applyBorder="1" applyAlignment="1">
      <alignment horizontal="center" vertical="center" wrapText="1"/>
    </xf>
    <xf numFmtId="0" fontId="72" fillId="19" borderId="33" xfId="0" applyFont="1" applyFill="1" applyBorder="1" applyAlignment="1">
      <alignment horizontal="center" vertical="center" wrapText="1"/>
    </xf>
    <xf numFmtId="0" fontId="72" fillId="19" borderId="33" xfId="0" applyFont="1" applyFill="1" applyBorder="1" applyAlignment="1">
      <alignment horizontal="center" vertical="center"/>
    </xf>
    <xf numFmtId="0" fontId="72" fillId="19" borderId="91" xfId="0" applyFont="1" applyFill="1" applyBorder="1" applyAlignment="1">
      <alignment horizontal="center"/>
    </xf>
    <xf numFmtId="0" fontId="72" fillId="19" borderId="81" xfId="0" applyFont="1" applyFill="1" applyBorder="1" applyAlignment="1">
      <alignment horizontal="center"/>
    </xf>
    <xf numFmtId="0" fontId="72" fillId="19" borderId="95" xfId="0" applyFont="1" applyFill="1" applyBorder="1" applyAlignment="1">
      <alignment horizontal="center"/>
    </xf>
    <xf numFmtId="0" fontId="65" fillId="21" borderId="91" xfId="0" applyFont="1" applyFill="1" applyBorder="1" applyAlignment="1" applyProtection="1">
      <alignment horizontal="left" vertical="center" wrapText="1"/>
      <protection locked="0"/>
    </xf>
    <xf numFmtId="0" fontId="65" fillId="21" borderId="95" xfId="0" applyFont="1" applyFill="1" applyBorder="1" applyAlignment="1" applyProtection="1">
      <alignment horizontal="left" vertical="center" wrapText="1"/>
      <protection locked="0"/>
    </xf>
    <xf numFmtId="0" fontId="73" fillId="3" borderId="33" xfId="0" applyFont="1" applyFill="1" applyBorder="1" applyAlignment="1" applyProtection="1">
      <alignment horizontal="left" vertical="center" wrapText="1"/>
      <protection locked="0"/>
    </xf>
    <xf numFmtId="0" fontId="74" fillId="3" borderId="33" xfId="0" applyFont="1" applyFill="1" applyBorder="1" applyAlignment="1" applyProtection="1">
      <alignment horizontal="left" vertical="center" wrapText="1"/>
      <protection locked="0"/>
    </xf>
    <xf numFmtId="0" fontId="75" fillId="3" borderId="33" xfId="0" applyFont="1" applyFill="1" applyBorder="1" applyAlignment="1" applyProtection="1">
      <alignment horizontal="left" vertical="center" wrapText="1"/>
      <protection locked="0"/>
    </xf>
    <xf numFmtId="0" fontId="65" fillId="0" borderId="91" xfId="0" applyFont="1" applyBorder="1" applyAlignment="1" applyProtection="1">
      <alignment horizontal="left" vertical="center" wrapText="1"/>
      <protection locked="0"/>
    </xf>
    <xf numFmtId="0" fontId="65" fillId="0" borderId="95" xfId="0" applyFont="1" applyBorder="1" applyAlignment="1" applyProtection="1">
      <alignment horizontal="left" vertical="center" wrapText="1"/>
      <protection locked="0"/>
    </xf>
    <xf numFmtId="0" fontId="74" fillId="0" borderId="91" xfId="0" applyFont="1" applyBorder="1" applyAlignment="1" applyProtection="1">
      <alignment horizontal="left" vertical="center"/>
      <protection locked="0"/>
    </xf>
    <xf numFmtId="0" fontId="74" fillId="0" borderId="81" xfId="0" applyFont="1" applyBorder="1" applyAlignment="1" applyProtection="1">
      <alignment horizontal="left" vertical="center"/>
      <protection locked="0"/>
    </xf>
    <xf numFmtId="0" fontId="74" fillId="0" borderId="95" xfId="0" applyFont="1" applyBorder="1" applyAlignment="1" applyProtection="1">
      <alignment horizontal="left" vertical="center"/>
      <protection locked="0"/>
    </xf>
    <xf numFmtId="0" fontId="73" fillId="3" borderId="91" xfId="0" applyFont="1" applyFill="1" applyBorder="1" applyAlignment="1" applyProtection="1">
      <alignment horizontal="left" vertical="center" wrapText="1"/>
      <protection locked="0"/>
    </xf>
    <xf numFmtId="0" fontId="73" fillId="3" borderId="81" xfId="0" applyFont="1" applyFill="1" applyBorder="1" applyAlignment="1" applyProtection="1">
      <alignment horizontal="left" vertical="center" wrapText="1"/>
      <protection locked="0"/>
    </xf>
    <xf numFmtId="0" fontId="73" fillId="3" borderId="95" xfId="0" applyFont="1" applyFill="1" applyBorder="1" applyAlignment="1" applyProtection="1">
      <alignment horizontal="left" vertical="center" wrapText="1"/>
      <protection locked="0"/>
    </xf>
    <xf numFmtId="0" fontId="38" fillId="0" borderId="91" xfId="0" applyFont="1" applyBorder="1" applyAlignment="1" applyProtection="1">
      <alignment horizontal="left" vertical="center" wrapText="1"/>
      <protection locked="0"/>
    </xf>
    <xf numFmtId="0" fontId="38" fillId="0" borderId="95" xfId="0" applyFont="1" applyBorder="1" applyAlignment="1" applyProtection="1">
      <alignment horizontal="left" vertical="center" wrapText="1"/>
      <protection locked="0"/>
    </xf>
    <xf numFmtId="0" fontId="38" fillId="0" borderId="91" xfId="0" applyFont="1" applyBorder="1" applyAlignment="1" applyProtection="1">
      <alignment horizontal="center" vertical="center"/>
      <protection locked="0"/>
    </xf>
    <xf numFmtId="0" fontId="38" fillId="0" borderId="81" xfId="0" applyFont="1" applyBorder="1" applyAlignment="1" applyProtection="1">
      <alignment horizontal="center" vertical="center"/>
      <protection locked="0"/>
    </xf>
    <xf numFmtId="0" fontId="38" fillId="0" borderId="95" xfId="0" applyFont="1" applyBorder="1" applyAlignment="1" applyProtection="1">
      <alignment horizontal="center" vertical="center"/>
      <protection locked="0"/>
    </xf>
    <xf numFmtId="0" fontId="38" fillId="0" borderId="91" xfId="0" applyFont="1" applyBorder="1" applyAlignment="1" applyProtection="1">
      <alignment horizontal="left" vertical="center"/>
      <protection locked="0"/>
    </xf>
    <xf numFmtId="0" fontId="38" fillId="0" borderId="81" xfId="0" applyFont="1" applyBorder="1" applyAlignment="1" applyProtection="1">
      <alignment horizontal="left" vertical="center"/>
      <protection locked="0"/>
    </xf>
    <xf numFmtId="0" fontId="38" fillId="0" borderId="95" xfId="0" applyFont="1" applyBorder="1" applyAlignment="1" applyProtection="1">
      <alignment horizontal="left" vertical="center"/>
      <protection locked="0"/>
    </xf>
    <xf numFmtId="0" fontId="38" fillId="0" borderId="33" xfId="0" applyFont="1" applyBorder="1" applyAlignment="1" applyProtection="1">
      <alignment horizontal="left" vertical="center"/>
      <protection locked="0"/>
    </xf>
    <xf numFmtId="0" fontId="72" fillId="19" borderId="33" xfId="0" applyFont="1" applyFill="1" applyBorder="1" applyAlignment="1">
      <alignment horizontal="center" vertical="center" textRotation="255"/>
    </xf>
    <xf numFmtId="0" fontId="72" fillId="19" borderId="81" xfId="0" applyFont="1" applyFill="1" applyBorder="1" applyAlignment="1">
      <alignment horizontal="center" vertical="center"/>
    </xf>
    <xf numFmtId="0" fontId="72" fillId="19" borderId="95" xfId="0" applyFont="1" applyFill="1" applyBorder="1" applyAlignment="1">
      <alignment horizontal="center" vertical="center"/>
    </xf>
    <xf numFmtId="0" fontId="74" fillId="0" borderId="91" xfId="0" applyFont="1" applyBorder="1" applyAlignment="1" applyProtection="1">
      <alignment horizontal="left" vertical="center" wrapText="1"/>
      <protection locked="0"/>
    </xf>
    <xf numFmtId="0" fontId="73" fillId="0" borderId="95" xfId="0" applyFont="1" applyBorder="1" applyAlignment="1" applyProtection="1">
      <alignment horizontal="left" vertical="center" wrapText="1"/>
      <protection locked="0"/>
    </xf>
    <xf numFmtId="0" fontId="73" fillId="0" borderId="91" xfId="0" applyFont="1" applyBorder="1" applyAlignment="1" applyProtection="1">
      <alignment horizontal="left" vertical="center" wrapText="1"/>
      <protection locked="0"/>
    </xf>
    <xf numFmtId="0" fontId="73" fillId="0" borderId="95" xfId="0" applyFont="1" applyBorder="1" applyAlignment="1" applyProtection="1">
      <alignment horizontal="left" vertical="center"/>
      <protection locked="0"/>
    </xf>
    <xf numFmtId="0" fontId="74" fillId="3" borderId="91" xfId="0" applyFont="1" applyFill="1" applyBorder="1" applyAlignment="1" applyProtection="1">
      <alignment horizontal="left" vertical="center" wrapText="1"/>
      <protection locked="0"/>
    </xf>
    <xf numFmtId="0" fontId="74" fillId="3" borderId="95" xfId="0" applyFont="1" applyFill="1" applyBorder="1" applyAlignment="1" applyProtection="1">
      <alignment horizontal="left" vertical="center" wrapText="1"/>
      <protection locked="0"/>
    </xf>
    <xf numFmtId="0" fontId="38" fillId="3" borderId="91" xfId="0" applyFont="1" applyFill="1" applyBorder="1" applyAlignment="1" applyProtection="1">
      <alignment horizontal="left" vertical="center" wrapText="1"/>
      <protection locked="0"/>
    </xf>
    <xf numFmtId="0" fontId="38" fillId="3" borderId="81" xfId="0" applyFont="1" applyFill="1" applyBorder="1" applyAlignment="1" applyProtection="1">
      <alignment horizontal="left" vertical="center" wrapText="1"/>
      <protection locked="0"/>
    </xf>
    <xf numFmtId="0" fontId="38" fillId="3" borderId="95" xfId="0" applyFont="1" applyFill="1" applyBorder="1" applyAlignment="1" applyProtection="1">
      <alignment horizontal="left" vertical="center" wrapText="1"/>
      <protection locked="0"/>
    </xf>
    <xf numFmtId="0" fontId="38" fillId="3" borderId="33" xfId="0" applyFont="1" applyFill="1" applyBorder="1" applyAlignment="1" applyProtection="1">
      <alignment horizontal="left" vertical="center"/>
      <protection locked="0"/>
    </xf>
    <xf numFmtId="0" fontId="38" fillId="3" borderId="81" xfId="0" applyFont="1" applyFill="1" applyBorder="1" applyAlignment="1" applyProtection="1">
      <alignment horizontal="left" vertical="center"/>
      <protection locked="0"/>
    </xf>
    <xf numFmtId="0" fontId="38" fillId="3" borderId="95" xfId="0" applyFont="1" applyFill="1" applyBorder="1" applyAlignment="1" applyProtection="1">
      <alignment horizontal="left" vertical="center"/>
      <protection locked="0"/>
    </xf>
    <xf numFmtId="0" fontId="74" fillId="3" borderId="81" xfId="0" applyFont="1" applyFill="1" applyBorder="1" applyAlignment="1" applyProtection="1">
      <alignment horizontal="left" vertical="center" wrapText="1"/>
      <protection locked="0"/>
    </xf>
    <xf numFmtId="0" fontId="61" fillId="0" borderId="91" xfId="0" applyFont="1" applyBorder="1" applyAlignment="1">
      <alignment horizontal="center" vertical="center" wrapText="1"/>
    </xf>
    <xf numFmtId="0" fontId="61" fillId="0" borderId="95" xfId="0" applyFont="1" applyBorder="1" applyAlignment="1">
      <alignment horizontal="center" vertical="center" wrapText="1"/>
    </xf>
    <xf numFmtId="0" fontId="73" fillId="0" borderId="91" xfId="0" applyFont="1" applyBorder="1" applyAlignment="1">
      <alignment horizontal="left" vertical="center" wrapText="1"/>
    </xf>
    <xf numFmtId="0" fontId="73" fillId="0" borderId="95" xfId="0" applyFont="1" applyBorder="1" applyAlignment="1">
      <alignment horizontal="left" vertical="center" wrapText="1"/>
    </xf>
    <xf numFmtId="0" fontId="38" fillId="3" borderId="91" xfId="0" applyFont="1" applyFill="1" applyBorder="1" applyAlignment="1" applyProtection="1">
      <alignment horizontal="left" vertical="center"/>
      <protection locked="0"/>
    </xf>
    <xf numFmtId="0" fontId="72" fillId="19" borderId="33" xfId="0" applyFont="1" applyFill="1" applyBorder="1" applyAlignment="1">
      <alignment horizontal="center" wrapText="1"/>
    </xf>
    <xf numFmtId="0" fontId="72" fillId="19" borderId="33" xfId="0" applyFont="1" applyFill="1" applyBorder="1" applyAlignment="1">
      <alignment horizontal="center"/>
    </xf>
    <xf numFmtId="0" fontId="72" fillId="19" borderId="91" xfId="0" applyFont="1" applyFill="1" applyBorder="1" applyAlignment="1">
      <alignment horizontal="center" vertical="top" wrapText="1"/>
    </xf>
    <xf numFmtId="0" fontId="72" fillId="19" borderId="81" xfId="0" applyFont="1" applyFill="1" applyBorder="1" applyAlignment="1">
      <alignment horizontal="center" vertical="top"/>
    </xf>
    <xf numFmtId="0" fontId="72" fillId="19" borderId="95" xfId="0" applyFont="1" applyFill="1" applyBorder="1" applyAlignment="1">
      <alignment horizontal="center" vertical="top"/>
    </xf>
    <xf numFmtId="0" fontId="61" fillId="13" borderId="91" xfId="0" applyFont="1" applyFill="1" applyBorder="1" applyAlignment="1">
      <alignment horizontal="left" vertical="center"/>
    </xf>
    <xf numFmtId="0" fontId="61" fillId="13" borderId="95" xfId="0" applyFont="1" applyFill="1" applyBorder="1" applyAlignment="1">
      <alignment horizontal="left" vertical="center"/>
    </xf>
    <xf numFmtId="0" fontId="65" fillId="0" borderId="91" xfId="0" applyFont="1" applyBorder="1" applyAlignment="1">
      <alignment horizontal="center" vertical="center"/>
    </xf>
    <xf numFmtId="0" fontId="65" fillId="0" borderId="95" xfId="0" applyFont="1" applyBorder="1" applyAlignment="1">
      <alignment horizontal="center" vertical="center"/>
    </xf>
    <xf numFmtId="0" fontId="65" fillId="0" borderId="91" xfId="0" applyFont="1" applyBorder="1" applyAlignment="1">
      <alignment horizontal="center" vertical="center" wrapText="1"/>
    </xf>
    <xf numFmtId="0" fontId="65" fillId="0" borderId="95" xfId="0" applyFont="1" applyBorder="1" applyAlignment="1">
      <alignment horizontal="center" vertical="center" wrapText="1"/>
    </xf>
    <xf numFmtId="0" fontId="38" fillId="13" borderId="91" xfId="0" applyFont="1" applyFill="1" applyBorder="1" applyAlignment="1" applyProtection="1">
      <alignment horizontal="left" vertical="center" wrapText="1"/>
      <protection locked="0"/>
    </xf>
    <xf numFmtId="0" fontId="38" fillId="13" borderId="95" xfId="0" applyFont="1" applyFill="1" applyBorder="1" applyAlignment="1" applyProtection="1">
      <alignment horizontal="left" vertical="center" wrapText="1"/>
      <protection locked="0"/>
    </xf>
    <xf numFmtId="0" fontId="77" fillId="9" borderId="91" xfId="0" applyFont="1" applyFill="1" applyBorder="1" applyAlignment="1" applyProtection="1">
      <alignment horizontal="left" vertical="center" wrapText="1"/>
      <protection locked="0"/>
    </xf>
    <xf numFmtId="0" fontId="77" fillId="9" borderId="95" xfId="0" applyFont="1" applyFill="1" applyBorder="1" applyAlignment="1" applyProtection="1">
      <alignment horizontal="left" vertical="center" wrapText="1"/>
      <protection locked="0"/>
    </xf>
    <xf numFmtId="0" fontId="38" fillId="3" borderId="91" xfId="0" applyFont="1" applyFill="1" applyBorder="1" applyAlignment="1" applyProtection="1">
      <alignment horizontal="center" vertical="center" wrapText="1"/>
      <protection locked="0"/>
    </xf>
    <xf numFmtId="0" fontId="38" fillId="3" borderId="95" xfId="0" applyFont="1" applyFill="1" applyBorder="1" applyAlignment="1" applyProtection="1">
      <alignment horizontal="center" vertical="center" wrapText="1"/>
      <protection locked="0"/>
    </xf>
    <xf numFmtId="0" fontId="38" fillId="3" borderId="93" xfId="0" applyFont="1" applyFill="1" applyBorder="1" applyAlignment="1" applyProtection="1">
      <alignment horizontal="left" vertical="center"/>
      <protection locked="0"/>
    </xf>
    <xf numFmtId="0" fontId="38" fillId="3" borderId="91" xfId="0" applyFont="1" applyFill="1" applyBorder="1" applyAlignment="1" applyProtection="1">
      <alignment horizontal="center" vertical="center"/>
      <protection locked="0"/>
    </xf>
    <xf numFmtId="0" fontId="38" fillId="3" borderId="95" xfId="0" applyFont="1" applyFill="1" applyBorder="1" applyAlignment="1" applyProtection="1">
      <alignment horizontal="center" vertical="center"/>
      <protection locked="0"/>
    </xf>
    <xf numFmtId="0" fontId="38" fillId="3" borderId="81" xfId="0" applyFont="1" applyFill="1" applyBorder="1" applyAlignment="1" applyProtection="1">
      <alignment horizontal="center" vertical="center"/>
      <protection locked="0"/>
    </xf>
    <xf numFmtId="0" fontId="61" fillId="0" borderId="0" xfId="0" applyFont="1" applyAlignment="1">
      <alignment horizontal="center"/>
    </xf>
    <xf numFmtId="0" fontId="38" fillId="3" borderId="0" xfId="0" applyFont="1" applyFill="1" applyAlignment="1">
      <alignment horizontal="left"/>
    </xf>
    <xf numFmtId="0" fontId="4" fillId="2" borderId="33" xfId="0" applyFont="1" applyFill="1" applyBorder="1" applyAlignment="1">
      <alignment horizontal="center" vertical="center" wrapText="1"/>
    </xf>
    <xf numFmtId="0" fontId="4" fillId="13" borderId="33" xfId="0" applyFont="1" applyFill="1" applyBorder="1" applyAlignment="1">
      <alignment horizontal="center" vertical="center"/>
    </xf>
    <xf numFmtId="0" fontId="4" fillId="5" borderId="93"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2" borderId="93" xfId="0" applyFont="1" applyFill="1" applyBorder="1" applyAlignment="1">
      <alignment horizontal="center" vertical="center"/>
    </xf>
    <xf numFmtId="0" fontId="4" fillId="2" borderId="34" xfId="0" applyFont="1" applyFill="1" applyBorder="1" applyAlignment="1">
      <alignment horizontal="center" vertical="center"/>
    </xf>
    <xf numFmtId="0" fontId="4" fillId="5" borderId="93" xfId="0" applyFont="1" applyFill="1" applyBorder="1" applyAlignment="1">
      <alignment horizontal="center" vertical="center"/>
    </xf>
    <xf numFmtId="0" fontId="4" fillId="5" borderId="34" xfId="0" applyFont="1" applyFill="1" applyBorder="1" applyAlignment="1">
      <alignment horizontal="center" vertical="center"/>
    </xf>
    <xf numFmtId="0" fontId="4" fillId="5" borderId="33" xfId="0" applyFont="1" applyFill="1" applyBorder="1" applyAlignment="1">
      <alignment horizontal="center" vertical="center" wrapText="1"/>
    </xf>
    <xf numFmtId="0" fontId="1" fillId="0" borderId="33" xfId="0" applyFont="1" applyBorder="1" applyAlignment="1" applyProtection="1">
      <alignment horizontal="center" vertical="center" wrapText="1"/>
      <protection locked="0"/>
    </xf>
    <xf numFmtId="0" fontId="50" fillId="0" borderId="33" xfId="0" applyFont="1" applyBorder="1" applyAlignment="1" applyProtection="1">
      <alignment horizontal="center" vertical="center" wrapText="1"/>
      <protection locked="0"/>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9" fillId="0" borderId="28" xfId="0" applyFont="1" applyBorder="1" applyAlignment="1" applyProtection="1">
      <alignment horizontal="center" vertical="center" wrapText="1"/>
      <protection hidden="1"/>
    </xf>
    <xf numFmtId="0" fontId="49" fillId="0" borderId="9" xfId="0" applyFont="1" applyBorder="1" applyAlignment="1" applyProtection="1">
      <alignment horizontal="center" vertical="center" wrapText="1"/>
      <protection hidden="1"/>
    </xf>
    <xf numFmtId="9" fontId="27" fillId="0" borderId="33" xfId="0" applyNumberFormat="1" applyFont="1" applyBorder="1" applyAlignment="1" applyProtection="1">
      <alignment horizontal="center" vertical="center" wrapText="1"/>
      <protection hidden="1"/>
    </xf>
    <xf numFmtId="0" fontId="27" fillId="0" borderId="33" xfId="0" applyFont="1" applyBorder="1" applyAlignment="1" applyProtection="1">
      <alignment horizontal="center" vertical="center" wrapText="1"/>
      <protection locked="0"/>
    </xf>
    <xf numFmtId="0" fontId="27" fillId="0" borderId="33" xfId="0" applyFont="1" applyBorder="1" applyAlignment="1" applyProtection="1">
      <alignment horizontal="center" vertical="center"/>
      <protection locked="0"/>
    </xf>
    <xf numFmtId="0" fontId="49" fillId="0" borderId="33" xfId="0" applyFont="1" applyBorder="1" applyAlignment="1" applyProtection="1">
      <alignment horizontal="center" vertical="center" wrapText="1"/>
      <protection hidden="1"/>
    </xf>
    <xf numFmtId="0" fontId="50" fillId="0" borderId="110" xfId="0" applyFont="1" applyBorder="1" applyAlignment="1" applyProtection="1">
      <alignment horizontal="center" vertical="top" wrapText="1"/>
      <protection locked="0"/>
    </xf>
    <xf numFmtId="0" fontId="50" fillId="0" borderId="8" xfId="0" applyFont="1" applyBorder="1" applyAlignment="1" applyProtection="1">
      <alignment horizontal="center" vertical="top" wrapText="1"/>
      <protection locked="0"/>
    </xf>
    <xf numFmtId="0" fontId="50" fillId="0" borderId="5" xfId="0" applyFont="1" applyBorder="1" applyAlignment="1" applyProtection="1">
      <alignment horizontal="center" vertical="top" wrapText="1"/>
      <protection locked="0"/>
    </xf>
    <xf numFmtId="0" fontId="1" fillId="0" borderId="107" xfId="0" applyFont="1" applyBorder="1" applyAlignment="1" applyProtection="1">
      <alignment horizontal="center" vertical="top" wrapText="1"/>
      <protection locked="0"/>
    </xf>
    <xf numFmtId="0" fontId="1" fillId="0" borderId="108" xfId="0" applyFont="1" applyBorder="1" applyAlignment="1" applyProtection="1">
      <alignment horizontal="center" vertical="top" wrapText="1"/>
      <protection locked="0"/>
    </xf>
    <xf numFmtId="0" fontId="1" fillId="0" borderId="109"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2" fillId="0" borderId="96" xfId="0" applyFont="1" applyBorder="1" applyAlignment="1" applyProtection="1">
      <alignment horizontal="center" vertical="top" wrapText="1"/>
      <protection locked="0"/>
    </xf>
    <xf numFmtId="0" fontId="2" fillId="0" borderId="97" xfId="0" applyFont="1" applyBorder="1" applyAlignment="1" applyProtection="1">
      <alignment horizontal="center" vertical="top" wrapText="1"/>
      <protection locked="0"/>
    </xf>
    <xf numFmtId="0" fontId="2" fillId="0" borderId="98"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50" fillId="0" borderId="111" xfId="0" applyFont="1" applyBorder="1" applyAlignment="1" applyProtection="1">
      <alignment horizontal="center" vertical="top" wrapText="1"/>
      <protection locked="0"/>
    </xf>
    <xf numFmtId="0" fontId="50" fillId="0" borderId="96" xfId="0" applyFont="1" applyBorder="1" applyAlignment="1" applyProtection="1">
      <alignment horizontal="center" vertical="top" wrapText="1"/>
      <protection locked="0"/>
    </xf>
    <xf numFmtId="0" fontId="50" fillId="0" borderId="97" xfId="0" applyFont="1" applyBorder="1" applyAlignment="1" applyProtection="1">
      <alignment horizontal="center" vertical="top" wrapText="1"/>
      <protection locked="0"/>
    </xf>
    <xf numFmtId="0" fontId="50" fillId="0" borderId="98" xfId="0"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112" xfId="0" applyFont="1" applyBorder="1" applyAlignment="1" applyProtection="1">
      <alignment horizontal="center" vertical="top" wrapText="1"/>
      <protection locked="0"/>
    </xf>
    <xf numFmtId="0" fontId="1" fillId="0" borderId="113" xfId="0" applyFont="1" applyBorder="1" applyAlignment="1" applyProtection="1">
      <alignment horizontal="center" vertical="top" wrapText="1"/>
      <protection locked="0"/>
    </xf>
    <xf numFmtId="0" fontId="1" fillId="0" borderId="114"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110" xfId="0"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7" fillId="3" borderId="96" xfId="0" applyFont="1" applyFill="1" applyBorder="1" applyAlignment="1" applyProtection="1">
      <alignment horizontal="left" vertical="center" wrapText="1"/>
      <protection locked="0"/>
    </xf>
    <xf numFmtId="9" fontId="27" fillId="0" borderId="33" xfId="0" applyNumberFormat="1" applyFont="1" applyBorder="1" applyAlignment="1" applyProtection="1">
      <alignment horizontal="center" vertical="center" wrapText="1"/>
      <protection locked="0"/>
    </xf>
    <xf numFmtId="0" fontId="49" fillId="0" borderId="33" xfId="0" applyFont="1" applyBorder="1" applyAlignment="1" applyProtection="1">
      <alignment horizontal="center" vertical="center"/>
      <protection hidden="1"/>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8"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1" fillId="0" borderId="116" xfId="0" applyFont="1" applyBorder="1" applyAlignment="1">
      <alignment horizontal="center" vertical="center"/>
    </xf>
    <xf numFmtId="0" fontId="1" fillId="0" borderId="117" xfId="0" applyFont="1" applyBorder="1" applyAlignment="1">
      <alignment horizontal="center" vertical="center"/>
    </xf>
    <xf numFmtId="0" fontId="4" fillId="2" borderId="2" xfId="0" applyFont="1" applyFill="1" applyBorder="1" applyAlignment="1">
      <alignment horizontal="center" vertical="center"/>
    </xf>
    <xf numFmtId="0" fontId="27" fillId="0" borderId="4" xfId="0" applyFont="1" applyBorder="1" applyAlignment="1" applyProtection="1">
      <alignment horizontal="center" vertical="center" textRotation="90"/>
      <protection locked="0"/>
    </xf>
    <xf numFmtId="0" fontId="27" fillId="0" borderId="8" xfId="0" applyFont="1" applyBorder="1" applyAlignment="1" applyProtection="1">
      <alignment horizontal="center" vertical="center" textRotation="90"/>
      <protection locked="0"/>
    </xf>
    <xf numFmtId="0" fontId="27" fillId="0" borderId="5" xfId="0" applyFont="1" applyBorder="1" applyAlignment="1" applyProtection="1">
      <alignment horizontal="center" vertical="center" textRotation="90"/>
      <protection locked="0"/>
    </xf>
    <xf numFmtId="9" fontId="27" fillId="0" borderId="30" xfId="0" applyNumberFormat="1" applyFont="1" applyBorder="1" applyAlignment="1" applyProtection="1">
      <alignment horizontal="center" vertical="top" wrapText="1"/>
      <protection hidden="1"/>
    </xf>
    <xf numFmtId="9" fontId="27" fillId="0" borderId="76"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1">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1249680</xdr:colOff>
      <xdr:row>3</xdr:row>
      <xdr:rowOff>146685</xdr:rowOff>
    </xdr:to>
    <xdr:pic>
      <xdr:nvPicPr>
        <xdr:cNvPr id="2" name="1 Imagen" descr="logocapitalmusic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90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346363</xdr:colOff>
      <xdr:row>0</xdr:row>
      <xdr:rowOff>121226</xdr:rowOff>
    </xdr:from>
    <xdr:to>
      <xdr:col>0</xdr:col>
      <xdr:colOff>1634143</xdr:colOff>
      <xdr:row>3</xdr:row>
      <xdr:rowOff>61536</xdr:rowOff>
    </xdr:to>
    <xdr:pic>
      <xdr:nvPicPr>
        <xdr:cNvPr id="3" name="Imagen 1">
          <a:extLst>
            <a:ext uri="{FF2B5EF4-FFF2-40B4-BE49-F238E27FC236}">
              <a16:creationId xmlns:a16="http://schemas.microsoft.com/office/drawing/2014/main" id="{63E69CAE-DAC9-43CC-D539-EFF1560D07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6363" y="121226"/>
          <a:ext cx="1287780" cy="51181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24</xdr:row>
      <xdr:rowOff>288633</xdr:rowOff>
    </xdr:from>
    <xdr:to>
      <xdr:col>0</xdr:col>
      <xdr:colOff>1</xdr:colOff>
      <xdr:row>26</xdr:row>
      <xdr:rowOff>0</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96065</xdr:colOff>
      <xdr:row>0</xdr:row>
      <xdr:rowOff>78257</xdr:rowOff>
    </xdr:from>
    <xdr:to>
      <xdr:col>18</xdr:col>
      <xdr:colOff>783773</xdr:colOff>
      <xdr:row>3</xdr:row>
      <xdr:rowOff>136959</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415722" y="78257"/>
          <a:ext cx="687708" cy="962216"/>
        </a:xfrm>
        <a:prstGeom prst="rect">
          <a:avLst/>
        </a:prstGeom>
      </xdr:spPr>
    </xdr:pic>
    <xdr:clientData/>
  </xdr:twoCellAnchor>
  <xdr:twoCellAnchor>
    <xdr:from>
      <xdr:col>0</xdr:col>
      <xdr:colOff>0</xdr:colOff>
      <xdr:row>26</xdr:row>
      <xdr:rowOff>0</xdr:rowOff>
    </xdr:from>
    <xdr:to>
      <xdr:col>0</xdr:col>
      <xdr:colOff>2</xdr:colOff>
      <xdr:row>26</xdr:row>
      <xdr:rowOff>0</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xdr:from>
      <xdr:col>0</xdr:col>
      <xdr:colOff>0</xdr:colOff>
      <xdr:row>24</xdr:row>
      <xdr:rowOff>288633</xdr:rowOff>
    </xdr:from>
    <xdr:to>
      <xdr:col>0</xdr:col>
      <xdr:colOff>1</xdr:colOff>
      <xdr:row>26</xdr:row>
      <xdr:rowOff>0</xdr:rowOff>
    </xdr:to>
    <xdr:sp macro="" textlink="">
      <xdr:nvSpPr>
        <xdr:cNvPr id="2" name="CuadroTexto 1">
          <a:extLst>
            <a:ext uri="{FF2B5EF4-FFF2-40B4-BE49-F238E27FC236}">
              <a16:creationId xmlns:a16="http://schemas.microsoft.com/office/drawing/2014/main" id="{F2200CA4-BE26-4520-9C27-936FC663C9E0}"/>
            </a:ext>
          </a:extLst>
        </xdr:cNvPr>
        <xdr:cNvSpPr txBox="1"/>
      </xdr:nvSpPr>
      <xdr:spPr>
        <a:xfrm rot="16200000">
          <a:off x="-3943350" y="16509708"/>
          <a:ext cx="788670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0</xdr:col>
      <xdr:colOff>0</xdr:colOff>
      <xdr:row>26</xdr:row>
      <xdr:rowOff>0</xdr:rowOff>
    </xdr:from>
    <xdr:to>
      <xdr:col>0</xdr:col>
      <xdr:colOff>2</xdr:colOff>
      <xdr:row>26</xdr:row>
      <xdr:rowOff>0</xdr:rowOff>
    </xdr:to>
    <xdr:sp macro="" textlink="">
      <xdr:nvSpPr>
        <xdr:cNvPr id="8" name="CuadroTexto 7">
          <a:extLst>
            <a:ext uri="{FF2B5EF4-FFF2-40B4-BE49-F238E27FC236}">
              <a16:creationId xmlns:a16="http://schemas.microsoft.com/office/drawing/2014/main" id="{DE88AFD4-3270-448A-92FE-749A8F2DA12F}"/>
            </a:ext>
          </a:extLst>
        </xdr:cNvPr>
        <xdr:cNvSpPr txBox="1"/>
      </xdr:nvSpPr>
      <xdr:spPr>
        <a:xfrm rot="16200000">
          <a:off x="1" y="2080259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xdr:from>
      <xdr:col>0</xdr:col>
      <xdr:colOff>0</xdr:colOff>
      <xdr:row>24</xdr:row>
      <xdr:rowOff>288633</xdr:rowOff>
    </xdr:from>
    <xdr:to>
      <xdr:col>0</xdr:col>
      <xdr:colOff>1</xdr:colOff>
      <xdr:row>26</xdr:row>
      <xdr:rowOff>0</xdr:rowOff>
    </xdr:to>
    <xdr:sp macro="" textlink="">
      <xdr:nvSpPr>
        <xdr:cNvPr id="9" name="CuadroTexto 8">
          <a:extLst>
            <a:ext uri="{FF2B5EF4-FFF2-40B4-BE49-F238E27FC236}">
              <a16:creationId xmlns:a16="http://schemas.microsoft.com/office/drawing/2014/main" id="{5F598FB3-B669-47CE-949E-A57D1E2101AB}"/>
            </a:ext>
          </a:extLst>
        </xdr:cNvPr>
        <xdr:cNvSpPr txBox="1"/>
      </xdr:nvSpPr>
      <xdr:spPr>
        <a:xfrm rot="16200000">
          <a:off x="-670070" y="13236428"/>
          <a:ext cx="1340142"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mc:AlternateContent xmlns:mc="http://schemas.openxmlformats.org/markup-compatibility/2006">
    <mc:Choice xmlns:a14="http://schemas.microsoft.com/office/drawing/2010/main" Requires="a14">
      <xdr:twoCellAnchor editAs="oneCell">
        <xdr:from>
          <xdr:col>19</xdr:col>
          <xdr:colOff>525780</xdr:colOff>
          <xdr:row>9</xdr:row>
          <xdr:rowOff>60960</xdr:rowOff>
        </xdr:from>
        <xdr:to>
          <xdr:col>19</xdr:col>
          <xdr:colOff>1165860</xdr:colOff>
          <xdr:row>9</xdr:row>
          <xdr:rowOff>426720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525780</xdr:colOff>
          <xdr:row>10</xdr:row>
          <xdr:rowOff>60960</xdr:rowOff>
        </xdr:from>
        <xdr:to>
          <xdr:col>19</xdr:col>
          <xdr:colOff>1165860</xdr:colOff>
          <xdr:row>10</xdr:row>
          <xdr:rowOff>426720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525780</xdr:colOff>
          <xdr:row>11</xdr:row>
          <xdr:rowOff>60960</xdr:rowOff>
        </xdr:from>
        <xdr:to>
          <xdr:col>19</xdr:col>
          <xdr:colOff>1165860</xdr:colOff>
          <xdr:row>11</xdr:row>
          <xdr:rowOff>426720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525780</xdr:colOff>
          <xdr:row>12</xdr:row>
          <xdr:rowOff>60960</xdr:rowOff>
        </xdr:from>
        <xdr:to>
          <xdr:col>19</xdr:col>
          <xdr:colOff>1165860</xdr:colOff>
          <xdr:row>12</xdr:row>
          <xdr:rowOff>426720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525780</xdr:colOff>
          <xdr:row>13</xdr:row>
          <xdr:rowOff>60960</xdr:rowOff>
        </xdr:from>
        <xdr:to>
          <xdr:col>19</xdr:col>
          <xdr:colOff>1165860</xdr:colOff>
          <xdr:row>13</xdr:row>
          <xdr:rowOff>426720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525780</xdr:colOff>
          <xdr:row>14</xdr:row>
          <xdr:rowOff>60960</xdr:rowOff>
        </xdr:from>
        <xdr:to>
          <xdr:col>19</xdr:col>
          <xdr:colOff>1165860</xdr:colOff>
          <xdr:row>14</xdr:row>
          <xdr:rowOff>426720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525780</xdr:colOff>
          <xdr:row>15</xdr:row>
          <xdr:rowOff>60960</xdr:rowOff>
        </xdr:from>
        <xdr:to>
          <xdr:col>19</xdr:col>
          <xdr:colOff>1165860</xdr:colOff>
          <xdr:row>15</xdr:row>
          <xdr:rowOff>426720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525780</xdr:colOff>
          <xdr:row>16</xdr:row>
          <xdr:rowOff>60960</xdr:rowOff>
        </xdr:from>
        <xdr:to>
          <xdr:col>19</xdr:col>
          <xdr:colOff>1165860</xdr:colOff>
          <xdr:row>16</xdr:row>
          <xdr:rowOff>426720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525780</xdr:colOff>
          <xdr:row>17</xdr:row>
          <xdr:rowOff>60960</xdr:rowOff>
        </xdr:from>
        <xdr:to>
          <xdr:col>19</xdr:col>
          <xdr:colOff>1165860</xdr:colOff>
          <xdr:row>17</xdr:row>
          <xdr:rowOff>426720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525780</xdr:colOff>
          <xdr:row>18</xdr:row>
          <xdr:rowOff>60960</xdr:rowOff>
        </xdr:from>
        <xdr:to>
          <xdr:col>19</xdr:col>
          <xdr:colOff>1165860</xdr:colOff>
          <xdr:row>18</xdr:row>
          <xdr:rowOff>426720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525780</xdr:colOff>
          <xdr:row>19</xdr:row>
          <xdr:rowOff>60960</xdr:rowOff>
        </xdr:from>
        <xdr:to>
          <xdr:col>19</xdr:col>
          <xdr:colOff>1165860</xdr:colOff>
          <xdr:row>19</xdr:row>
          <xdr:rowOff>426720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525780</xdr:colOff>
          <xdr:row>20</xdr:row>
          <xdr:rowOff>60960</xdr:rowOff>
        </xdr:from>
        <xdr:to>
          <xdr:col>19</xdr:col>
          <xdr:colOff>1165860</xdr:colOff>
          <xdr:row>20</xdr:row>
          <xdr:rowOff>426720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525780</xdr:colOff>
          <xdr:row>21</xdr:row>
          <xdr:rowOff>60960</xdr:rowOff>
        </xdr:from>
        <xdr:to>
          <xdr:col>19</xdr:col>
          <xdr:colOff>1165860</xdr:colOff>
          <xdr:row>21</xdr:row>
          <xdr:rowOff>426720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525780</xdr:colOff>
          <xdr:row>22</xdr:row>
          <xdr:rowOff>60960</xdr:rowOff>
        </xdr:from>
        <xdr:to>
          <xdr:col>19</xdr:col>
          <xdr:colOff>1165860</xdr:colOff>
          <xdr:row>22</xdr:row>
          <xdr:rowOff>426720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525780</xdr:colOff>
          <xdr:row>23</xdr:row>
          <xdr:rowOff>60960</xdr:rowOff>
        </xdr:from>
        <xdr:to>
          <xdr:col>19</xdr:col>
          <xdr:colOff>1165860</xdr:colOff>
          <xdr:row>23</xdr:row>
          <xdr:rowOff>426720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525780</xdr:colOff>
          <xdr:row>24</xdr:row>
          <xdr:rowOff>60960</xdr:rowOff>
        </xdr:from>
        <xdr:to>
          <xdr:col>19</xdr:col>
          <xdr:colOff>1165860</xdr:colOff>
          <xdr:row>24</xdr:row>
          <xdr:rowOff>426720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525780</xdr:colOff>
          <xdr:row>25</xdr:row>
          <xdr:rowOff>60960</xdr:rowOff>
        </xdr:from>
        <xdr:to>
          <xdr:col>19</xdr:col>
          <xdr:colOff>1165860</xdr:colOff>
          <xdr:row>25</xdr:row>
          <xdr:rowOff>426720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79465</xdr:colOff>
      <xdr:row>0</xdr:row>
      <xdr:rowOff>171803</xdr:rowOff>
    </xdr:from>
    <xdr:to>
      <xdr:col>1</xdr:col>
      <xdr:colOff>2122713</xdr:colOff>
      <xdr:row>3</xdr:row>
      <xdr:rowOff>76033</xdr:rowOff>
    </xdr:to>
    <xdr:pic>
      <xdr:nvPicPr>
        <xdr:cNvPr id="10" name="Imagen 1">
          <a:extLst>
            <a:ext uri="{FF2B5EF4-FFF2-40B4-BE49-F238E27FC236}">
              <a16:creationId xmlns:a16="http://schemas.microsoft.com/office/drawing/2014/main" id="{6E4D5B55-72F9-4839-8BDC-FC492224FF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7808" y="171803"/>
          <a:ext cx="2043248" cy="8077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219574</xdr:colOff>
      <xdr:row>0</xdr:row>
      <xdr:rowOff>56976</xdr:rowOff>
    </xdr:from>
    <xdr:to>
      <xdr:col>9</xdr:col>
      <xdr:colOff>743449</xdr:colOff>
      <xdr:row>3</xdr:row>
      <xdr:rowOff>165561</xdr:rowOff>
    </xdr:to>
    <xdr:pic>
      <xdr:nvPicPr>
        <xdr:cNvPr id="2" name="1 Imagen" descr="logocapitalmusic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87231" y="56976"/>
          <a:ext cx="523875" cy="6964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153587</xdr:colOff>
      <xdr:row>0</xdr:row>
      <xdr:rowOff>29685</xdr:rowOff>
    </xdr:from>
    <xdr:to>
      <xdr:col>2</xdr:col>
      <xdr:colOff>1524006</xdr:colOff>
      <xdr:row>3</xdr:row>
      <xdr:rowOff>170220</xdr:rowOff>
    </xdr:to>
    <xdr:pic>
      <xdr:nvPicPr>
        <xdr:cNvPr id="3" name="Imagen 1">
          <a:extLst>
            <a:ext uri="{FF2B5EF4-FFF2-40B4-BE49-F238E27FC236}">
              <a16:creationId xmlns:a16="http://schemas.microsoft.com/office/drawing/2014/main" id="{84A24147-E196-44E4-A641-18AC2D98EC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901" y="29685"/>
          <a:ext cx="1816734" cy="72836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1079962</xdr:colOff>
      <xdr:row>2</xdr:row>
      <xdr:rowOff>2903</xdr:rowOff>
    </xdr:to>
    <xdr:pic>
      <xdr:nvPicPr>
        <xdr:cNvPr id="2" name="Imagen 1">
          <a:extLst>
            <a:ext uri="{FF2B5EF4-FFF2-40B4-BE49-F238E27FC236}">
              <a16:creationId xmlns:a16="http://schemas.microsoft.com/office/drawing/2014/main" id="{8486247D-3F02-465D-AD55-C0A85CB593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0"/>
          <a:ext cx="1287780" cy="51181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oscar\Escritorio\2024%20MAPA%20DE%20RIESGOS%20DE%20CORRUPCI&#211;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8">
          <cell r="A8" t="str">
            <v>PROCESO:  GESTIÓN DEL DESARROLLO ECONÓMICO Y LA COMPETITIVIDAD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TablaDinámica1" cacheId="1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30">
      <pivotArea type="all" dataOnly="0" outline="0" fieldPosition="0"/>
    </format>
    <format dxfId="29">
      <pivotArea field="0" type="button" dataOnly="0" labelOnly="1" outline="0" axis="axisRow" fieldPosition="0"/>
    </format>
    <format dxfId="28">
      <pivotArea field="1" type="button" dataOnly="0" labelOnly="1" outline="0" axis="axisRow" fieldPosition="1"/>
    </format>
    <format dxfId="27">
      <pivotArea dataOnly="0" labelOnly="1" outline="0" fieldPosition="0">
        <references count="1">
          <reference field="0" count="0"/>
        </references>
      </pivotArea>
    </format>
    <format dxfId="26">
      <pivotArea dataOnly="0" labelOnly="1" outline="0" fieldPosition="0">
        <references count="2">
          <reference field="0" count="1" selected="0">
            <x v="0"/>
          </reference>
          <reference field="1" count="5">
            <x v="0"/>
            <x v="6"/>
            <x v="7"/>
            <x v="8"/>
            <x v="9"/>
          </reference>
        </references>
      </pivotArea>
    </format>
    <format dxfId="25">
      <pivotArea dataOnly="0" labelOnly="1" outline="0" fieldPosition="0">
        <references count="2">
          <reference field="0" count="1" selected="0">
            <x v="1"/>
          </reference>
          <reference field="1" count="5">
            <x v="1"/>
            <x v="2"/>
            <x v="3"/>
            <x v="4"/>
            <x v="5"/>
          </reference>
        </references>
      </pivotArea>
    </format>
    <format dxfId="24">
      <pivotArea type="all" dataOnly="0" outline="0" fieldPosition="0"/>
    </format>
    <format dxfId="23">
      <pivotArea field="0" type="button" dataOnly="0" labelOnly="1" outline="0" axis="axisRow" fieldPosition="0"/>
    </format>
    <format dxfId="22">
      <pivotArea field="1" type="button" dataOnly="0" labelOnly="1" outline="0" axis="axisRow" fieldPosition="1"/>
    </format>
    <format dxfId="21">
      <pivotArea dataOnly="0" labelOnly="1" outline="0" fieldPosition="0">
        <references count="1">
          <reference field="0" count="0"/>
        </references>
      </pivotArea>
    </format>
    <format dxfId="20">
      <pivotArea dataOnly="0" labelOnly="1" outline="0" fieldPosition="0">
        <references count="2">
          <reference field="0" count="1" selected="0">
            <x v="0"/>
          </reference>
          <reference field="1" count="5">
            <x v="10"/>
            <x v="11"/>
            <x v="12"/>
            <x v="13"/>
            <x v="14"/>
          </reference>
        </references>
      </pivotArea>
    </format>
    <format dxfId="19">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8" dataDxfId="17">
  <autoFilter ref="B209:C219" xr:uid="{00000000-0009-0000-0100-000001000000}"/>
  <tableColumns count="2">
    <tableColumn id="1" xr3:uid="{00000000-0010-0000-0000-000001000000}" name="Criterios" dataDxfId="16"/>
    <tableColumn id="2" xr3:uid="{00000000-0010-0000-0000-000002000000}" name="Subcriterios" dataDxfId="1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1.vml"/><Relationship Id="rId16" Type="http://schemas.openxmlformats.org/officeDocument/2006/relationships/ctrlProp" Target="../ctrlProps/ctrlProp14.xml"/><Relationship Id="rId1" Type="http://schemas.openxmlformats.org/officeDocument/2006/relationships/drawing" Target="../drawings/drawing2.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85" zoomScaleNormal="85" workbookViewId="0">
      <selection activeCell="L7" sqref="L7"/>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258" t="s">
        <v>154</v>
      </c>
      <c r="C2" s="259"/>
      <c r="D2" s="259"/>
      <c r="E2" s="259"/>
      <c r="F2" s="259"/>
      <c r="G2" s="259"/>
      <c r="H2" s="260"/>
    </row>
    <row r="3" spans="2:8" x14ac:dyDescent="0.3">
      <c r="B3" s="68"/>
      <c r="C3" s="69"/>
      <c r="D3" s="69"/>
      <c r="E3" s="69"/>
      <c r="F3" s="69"/>
      <c r="G3" s="69"/>
      <c r="H3" s="70"/>
    </row>
    <row r="4" spans="2:8" ht="63" customHeight="1" x14ac:dyDescent="0.3">
      <c r="B4" s="261" t="s">
        <v>197</v>
      </c>
      <c r="C4" s="262"/>
      <c r="D4" s="262"/>
      <c r="E4" s="262"/>
      <c r="F4" s="262"/>
      <c r="G4" s="262"/>
      <c r="H4" s="263"/>
    </row>
    <row r="5" spans="2:8" ht="63" customHeight="1" x14ac:dyDescent="0.3">
      <c r="B5" s="264"/>
      <c r="C5" s="265"/>
      <c r="D5" s="265"/>
      <c r="E5" s="265"/>
      <c r="F5" s="265"/>
      <c r="G5" s="265"/>
      <c r="H5" s="266"/>
    </row>
    <row r="6" spans="2:8" x14ac:dyDescent="0.3">
      <c r="B6" s="267" t="s">
        <v>152</v>
      </c>
      <c r="C6" s="268"/>
      <c r="D6" s="268"/>
      <c r="E6" s="268"/>
      <c r="F6" s="268"/>
      <c r="G6" s="268"/>
      <c r="H6" s="269"/>
    </row>
    <row r="7" spans="2:8" ht="95.25" customHeight="1" x14ac:dyDescent="0.3">
      <c r="B7" s="277" t="s">
        <v>157</v>
      </c>
      <c r="C7" s="278"/>
      <c r="D7" s="278"/>
      <c r="E7" s="278"/>
      <c r="F7" s="278"/>
      <c r="G7" s="278"/>
      <c r="H7" s="279"/>
    </row>
    <row r="8" spans="2:8" x14ac:dyDescent="0.3">
      <c r="B8" s="102"/>
      <c r="C8" s="103"/>
      <c r="D8" s="103"/>
      <c r="E8" s="103"/>
      <c r="F8" s="103"/>
      <c r="G8" s="103"/>
      <c r="H8" s="104"/>
    </row>
    <row r="9" spans="2:8" ht="16.5" customHeight="1" x14ac:dyDescent="0.3">
      <c r="B9" s="270" t="s">
        <v>190</v>
      </c>
      <c r="C9" s="271"/>
      <c r="D9" s="271"/>
      <c r="E9" s="271"/>
      <c r="F9" s="271"/>
      <c r="G9" s="271"/>
      <c r="H9" s="272"/>
    </row>
    <row r="10" spans="2:8" ht="44.25" customHeight="1" x14ac:dyDescent="0.3">
      <c r="B10" s="270"/>
      <c r="C10" s="271"/>
      <c r="D10" s="271"/>
      <c r="E10" s="271"/>
      <c r="F10" s="271"/>
      <c r="G10" s="271"/>
      <c r="H10" s="272"/>
    </row>
    <row r="11" spans="2:8" ht="15" thickBot="1" x14ac:dyDescent="0.35">
      <c r="B11" s="91"/>
      <c r="C11" s="94"/>
      <c r="D11" s="99"/>
      <c r="E11" s="100"/>
      <c r="F11" s="100"/>
      <c r="G11" s="101"/>
      <c r="H11" s="95"/>
    </row>
    <row r="12" spans="2:8" ht="15" thickTop="1" x14ac:dyDescent="0.3">
      <c r="B12" s="91"/>
      <c r="C12" s="273" t="s">
        <v>153</v>
      </c>
      <c r="D12" s="274"/>
      <c r="E12" s="275" t="s">
        <v>191</v>
      </c>
      <c r="F12" s="276"/>
      <c r="G12" s="94"/>
      <c r="H12" s="95"/>
    </row>
    <row r="13" spans="2:8" ht="35.25" customHeight="1" x14ac:dyDescent="0.3">
      <c r="B13" s="91"/>
      <c r="C13" s="280" t="s">
        <v>184</v>
      </c>
      <c r="D13" s="281"/>
      <c r="E13" s="282" t="s">
        <v>189</v>
      </c>
      <c r="F13" s="283"/>
      <c r="G13" s="94"/>
      <c r="H13" s="95"/>
    </row>
    <row r="14" spans="2:8" ht="17.25" customHeight="1" x14ac:dyDescent="0.3">
      <c r="B14" s="91"/>
      <c r="C14" s="280" t="s">
        <v>185</v>
      </c>
      <c r="D14" s="281"/>
      <c r="E14" s="282" t="s">
        <v>187</v>
      </c>
      <c r="F14" s="283"/>
      <c r="G14" s="94"/>
      <c r="H14" s="95"/>
    </row>
    <row r="15" spans="2:8" ht="19.5" customHeight="1" x14ac:dyDescent="0.3">
      <c r="B15" s="91"/>
      <c r="C15" s="280" t="s">
        <v>186</v>
      </c>
      <c r="D15" s="281"/>
      <c r="E15" s="282" t="s">
        <v>188</v>
      </c>
      <c r="F15" s="283"/>
      <c r="G15" s="94"/>
      <c r="H15" s="95"/>
    </row>
    <row r="16" spans="2:8" ht="69.75" customHeight="1" x14ac:dyDescent="0.3">
      <c r="B16" s="91"/>
      <c r="C16" s="280" t="s">
        <v>155</v>
      </c>
      <c r="D16" s="281"/>
      <c r="E16" s="282" t="s">
        <v>156</v>
      </c>
      <c r="F16" s="283"/>
      <c r="G16" s="94"/>
      <c r="H16" s="95"/>
    </row>
    <row r="17" spans="2:8" ht="34.5" customHeight="1" x14ac:dyDescent="0.3">
      <c r="B17" s="91"/>
      <c r="C17" s="284" t="s">
        <v>2</v>
      </c>
      <c r="D17" s="285"/>
      <c r="E17" s="286" t="s">
        <v>198</v>
      </c>
      <c r="F17" s="287"/>
      <c r="G17" s="94"/>
      <c r="H17" s="95"/>
    </row>
    <row r="18" spans="2:8" ht="27.75" customHeight="1" x14ac:dyDescent="0.3">
      <c r="B18" s="91"/>
      <c r="C18" s="284" t="s">
        <v>3</v>
      </c>
      <c r="D18" s="285"/>
      <c r="E18" s="286" t="s">
        <v>199</v>
      </c>
      <c r="F18" s="287"/>
      <c r="G18" s="94"/>
      <c r="H18" s="95"/>
    </row>
    <row r="19" spans="2:8" ht="28.5" customHeight="1" x14ac:dyDescent="0.3">
      <c r="B19" s="91"/>
      <c r="C19" s="284" t="s">
        <v>41</v>
      </c>
      <c r="D19" s="285"/>
      <c r="E19" s="286" t="s">
        <v>200</v>
      </c>
      <c r="F19" s="287"/>
      <c r="G19" s="94"/>
      <c r="H19" s="95"/>
    </row>
    <row r="20" spans="2:8" ht="72.75" customHeight="1" x14ac:dyDescent="0.3">
      <c r="B20" s="91"/>
      <c r="C20" s="284" t="s">
        <v>1</v>
      </c>
      <c r="D20" s="285"/>
      <c r="E20" s="286" t="s">
        <v>201</v>
      </c>
      <c r="F20" s="287"/>
      <c r="G20" s="94"/>
      <c r="H20" s="95"/>
    </row>
    <row r="21" spans="2:8" ht="64.5" customHeight="1" x14ac:dyDescent="0.3">
      <c r="B21" s="91"/>
      <c r="C21" s="284" t="s">
        <v>49</v>
      </c>
      <c r="D21" s="285"/>
      <c r="E21" s="286" t="s">
        <v>159</v>
      </c>
      <c r="F21" s="287"/>
      <c r="G21" s="94"/>
      <c r="H21" s="95"/>
    </row>
    <row r="22" spans="2:8" ht="71.25" customHeight="1" x14ac:dyDescent="0.3">
      <c r="B22" s="91"/>
      <c r="C22" s="284" t="s">
        <v>158</v>
      </c>
      <c r="D22" s="285"/>
      <c r="E22" s="286" t="s">
        <v>160</v>
      </c>
      <c r="F22" s="287"/>
      <c r="G22" s="94"/>
      <c r="H22" s="95"/>
    </row>
    <row r="23" spans="2:8" ht="55.5" customHeight="1" x14ac:dyDescent="0.3">
      <c r="B23" s="91"/>
      <c r="C23" s="291" t="s">
        <v>161</v>
      </c>
      <c r="D23" s="292"/>
      <c r="E23" s="286" t="s">
        <v>162</v>
      </c>
      <c r="F23" s="287"/>
      <c r="G23" s="94"/>
      <c r="H23" s="95"/>
    </row>
    <row r="24" spans="2:8" ht="42" customHeight="1" x14ac:dyDescent="0.3">
      <c r="B24" s="91"/>
      <c r="C24" s="291" t="s">
        <v>47</v>
      </c>
      <c r="D24" s="292"/>
      <c r="E24" s="286" t="s">
        <v>163</v>
      </c>
      <c r="F24" s="287"/>
      <c r="G24" s="94"/>
      <c r="H24" s="95"/>
    </row>
    <row r="25" spans="2:8" ht="59.25" customHeight="1" x14ac:dyDescent="0.3">
      <c r="B25" s="91"/>
      <c r="C25" s="291" t="s">
        <v>151</v>
      </c>
      <c r="D25" s="292"/>
      <c r="E25" s="286" t="s">
        <v>164</v>
      </c>
      <c r="F25" s="287"/>
      <c r="G25" s="94"/>
      <c r="H25" s="95"/>
    </row>
    <row r="26" spans="2:8" ht="23.25" customHeight="1" x14ac:dyDescent="0.3">
      <c r="B26" s="91"/>
      <c r="C26" s="291" t="s">
        <v>12</v>
      </c>
      <c r="D26" s="292"/>
      <c r="E26" s="286" t="s">
        <v>165</v>
      </c>
      <c r="F26" s="287"/>
      <c r="G26" s="94"/>
      <c r="H26" s="95"/>
    </row>
    <row r="27" spans="2:8" ht="30.75" customHeight="1" x14ac:dyDescent="0.3">
      <c r="B27" s="91"/>
      <c r="C27" s="291" t="s">
        <v>169</v>
      </c>
      <c r="D27" s="292"/>
      <c r="E27" s="286" t="s">
        <v>166</v>
      </c>
      <c r="F27" s="287"/>
      <c r="G27" s="94"/>
      <c r="H27" s="95"/>
    </row>
    <row r="28" spans="2:8" ht="35.25" customHeight="1" x14ac:dyDescent="0.3">
      <c r="B28" s="91"/>
      <c r="C28" s="291" t="s">
        <v>170</v>
      </c>
      <c r="D28" s="292"/>
      <c r="E28" s="286" t="s">
        <v>167</v>
      </c>
      <c r="F28" s="287"/>
      <c r="G28" s="94"/>
      <c r="H28" s="95"/>
    </row>
    <row r="29" spans="2:8" ht="33" customHeight="1" x14ac:dyDescent="0.3">
      <c r="B29" s="91"/>
      <c r="C29" s="291" t="s">
        <v>170</v>
      </c>
      <c r="D29" s="292"/>
      <c r="E29" s="286" t="s">
        <v>167</v>
      </c>
      <c r="F29" s="287"/>
      <c r="G29" s="94"/>
      <c r="H29" s="95"/>
    </row>
    <row r="30" spans="2:8" ht="30" customHeight="1" x14ac:dyDescent="0.3">
      <c r="B30" s="91"/>
      <c r="C30" s="291" t="s">
        <v>171</v>
      </c>
      <c r="D30" s="292"/>
      <c r="E30" s="286" t="s">
        <v>168</v>
      </c>
      <c r="F30" s="287"/>
      <c r="G30" s="94"/>
      <c r="H30" s="95"/>
    </row>
    <row r="31" spans="2:8" ht="35.25" customHeight="1" x14ac:dyDescent="0.3">
      <c r="B31" s="91"/>
      <c r="C31" s="291" t="s">
        <v>172</v>
      </c>
      <c r="D31" s="292"/>
      <c r="E31" s="286" t="s">
        <v>173</v>
      </c>
      <c r="F31" s="287"/>
      <c r="G31" s="94"/>
      <c r="H31" s="95"/>
    </row>
    <row r="32" spans="2:8" ht="31.5" customHeight="1" x14ac:dyDescent="0.3">
      <c r="B32" s="91"/>
      <c r="C32" s="291" t="s">
        <v>174</v>
      </c>
      <c r="D32" s="292"/>
      <c r="E32" s="286" t="s">
        <v>175</v>
      </c>
      <c r="F32" s="287"/>
      <c r="G32" s="94"/>
      <c r="H32" s="95"/>
    </row>
    <row r="33" spans="2:8" ht="35.25" customHeight="1" x14ac:dyDescent="0.3">
      <c r="B33" s="91"/>
      <c r="C33" s="291" t="s">
        <v>176</v>
      </c>
      <c r="D33" s="292"/>
      <c r="E33" s="286" t="s">
        <v>177</v>
      </c>
      <c r="F33" s="287"/>
      <c r="G33" s="94"/>
      <c r="H33" s="95"/>
    </row>
    <row r="34" spans="2:8" ht="59.25" customHeight="1" x14ac:dyDescent="0.3">
      <c r="B34" s="91"/>
      <c r="C34" s="291" t="s">
        <v>178</v>
      </c>
      <c r="D34" s="292"/>
      <c r="E34" s="286" t="s">
        <v>179</v>
      </c>
      <c r="F34" s="287"/>
      <c r="G34" s="94"/>
      <c r="H34" s="95"/>
    </row>
    <row r="35" spans="2:8" ht="29.25" customHeight="1" x14ac:dyDescent="0.3">
      <c r="B35" s="91"/>
      <c r="C35" s="291" t="s">
        <v>29</v>
      </c>
      <c r="D35" s="292"/>
      <c r="E35" s="286" t="s">
        <v>180</v>
      </c>
      <c r="F35" s="287"/>
      <c r="G35" s="94"/>
      <c r="H35" s="95"/>
    </row>
    <row r="36" spans="2:8" ht="82.5" customHeight="1" x14ac:dyDescent="0.3">
      <c r="B36" s="91"/>
      <c r="C36" s="291" t="s">
        <v>182</v>
      </c>
      <c r="D36" s="292"/>
      <c r="E36" s="286" t="s">
        <v>181</v>
      </c>
      <c r="F36" s="287"/>
      <c r="G36" s="94"/>
      <c r="H36" s="95"/>
    </row>
    <row r="37" spans="2:8" ht="46.5" customHeight="1" x14ac:dyDescent="0.3">
      <c r="B37" s="91"/>
      <c r="C37" s="291" t="s">
        <v>38</v>
      </c>
      <c r="D37" s="292"/>
      <c r="E37" s="286" t="s">
        <v>183</v>
      </c>
      <c r="F37" s="287"/>
      <c r="G37" s="94"/>
      <c r="H37" s="95"/>
    </row>
    <row r="38" spans="2:8" ht="6.75" customHeight="1" thickBot="1" x14ac:dyDescent="0.35">
      <c r="B38" s="91"/>
      <c r="C38" s="293"/>
      <c r="D38" s="294"/>
      <c r="E38" s="295"/>
      <c r="F38" s="296"/>
      <c r="G38" s="94"/>
      <c r="H38" s="95"/>
    </row>
    <row r="39" spans="2:8" ht="15" thickTop="1" x14ac:dyDescent="0.3">
      <c r="B39" s="91"/>
      <c r="C39" s="92"/>
      <c r="D39" s="92"/>
      <c r="E39" s="93"/>
      <c r="F39" s="93"/>
      <c r="G39" s="94"/>
      <c r="H39" s="95"/>
    </row>
    <row r="40" spans="2:8" ht="21" customHeight="1" x14ac:dyDescent="0.3">
      <c r="B40" s="288" t="s">
        <v>192</v>
      </c>
      <c r="C40" s="289"/>
      <c r="D40" s="289"/>
      <c r="E40" s="289"/>
      <c r="F40" s="289"/>
      <c r="G40" s="289"/>
      <c r="H40" s="290"/>
    </row>
    <row r="41" spans="2:8" ht="20.25" customHeight="1" x14ac:dyDescent="0.3">
      <c r="B41" s="288" t="s">
        <v>193</v>
      </c>
      <c r="C41" s="289"/>
      <c r="D41" s="289"/>
      <c r="E41" s="289"/>
      <c r="F41" s="289"/>
      <c r="G41" s="289"/>
      <c r="H41" s="290"/>
    </row>
    <row r="42" spans="2:8" ht="20.25" customHeight="1" x14ac:dyDescent="0.3">
      <c r="B42" s="288" t="s">
        <v>194</v>
      </c>
      <c r="C42" s="289"/>
      <c r="D42" s="289"/>
      <c r="E42" s="289"/>
      <c r="F42" s="289"/>
      <c r="G42" s="289"/>
      <c r="H42" s="290"/>
    </row>
    <row r="43" spans="2:8" ht="20.25" customHeight="1" x14ac:dyDescent="0.3">
      <c r="B43" s="288" t="s">
        <v>195</v>
      </c>
      <c r="C43" s="289"/>
      <c r="D43" s="289"/>
      <c r="E43" s="289"/>
      <c r="F43" s="289"/>
      <c r="G43" s="289"/>
      <c r="H43" s="290"/>
    </row>
    <row r="44" spans="2:8" x14ac:dyDescent="0.3">
      <c r="B44" s="288" t="s">
        <v>196</v>
      </c>
      <c r="C44" s="289"/>
      <c r="D44" s="289"/>
      <c r="E44" s="289"/>
      <c r="F44" s="289"/>
      <c r="G44" s="289"/>
      <c r="H44" s="290"/>
    </row>
    <row r="45" spans="2:8" ht="15" thickBot="1" x14ac:dyDescent="0.35">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zoomScale="85" zoomScaleNormal="85" workbookViewId="0">
      <selection activeCell="L4" sqref="L4"/>
    </sheetView>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675" t="s">
        <v>76</v>
      </c>
      <c r="C1" s="676"/>
      <c r="D1" s="676"/>
      <c r="E1" s="676"/>
      <c r="F1" s="677"/>
    </row>
    <row r="2" spans="2:6" ht="16.2" thickBot="1" x14ac:dyDescent="0.35">
      <c r="B2" s="73"/>
      <c r="C2" s="73"/>
      <c r="D2" s="73"/>
      <c r="E2" s="73"/>
      <c r="F2" s="73"/>
    </row>
    <row r="3" spans="2:6" ht="16.2" thickBot="1" x14ac:dyDescent="0.35">
      <c r="B3" s="679" t="s">
        <v>62</v>
      </c>
      <c r="C3" s="680"/>
      <c r="D3" s="680"/>
      <c r="E3" s="85" t="s">
        <v>63</v>
      </c>
      <c r="F3" s="86" t="s">
        <v>64</v>
      </c>
    </row>
    <row r="4" spans="2:6" ht="31.2" x14ac:dyDescent="0.3">
      <c r="B4" s="681" t="s">
        <v>65</v>
      </c>
      <c r="C4" s="683" t="s">
        <v>13</v>
      </c>
      <c r="D4" s="74" t="s">
        <v>14</v>
      </c>
      <c r="E4" s="75" t="s">
        <v>66</v>
      </c>
      <c r="F4" s="76">
        <v>0.25</v>
      </c>
    </row>
    <row r="5" spans="2:6" ht="46.8" x14ac:dyDescent="0.3">
      <c r="B5" s="682"/>
      <c r="C5" s="684"/>
      <c r="D5" s="77" t="s">
        <v>15</v>
      </c>
      <c r="E5" s="78" t="s">
        <v>67</v>
      </c>
      <c r="F5" s="79">
        <v>0.15</v>
      </c>
    </row>
    <row r="6" spans="2:6" ht="46.8" x14ac:dyDescent="0.3">
      <c r="B6" s="682"/>
      <c r="C6" s="684"/>
      <c r="D6" s="77" t="s">
        <v>16</v>
      </c>
      <c r="E6" s="78" t="s">
        <v>68</v>
      </c>
      <c r="F6" s="79">
        <v>0.1</v>
      </c>
    </row>
    <row r="7" spans="2:6" ht="62.4" x14ac:dyDescent="0.3">
      <c r="B7" s="682"/>
      <c r="C7" s="684" t="s">
        <v>17</v>
      </c>
      <c r="D7" s="77" t="s">
        <v>10</v>
      </c>
      <c r="E7" s="78" t="s">
        <v>69</v>
      </c>
      <c r="F7" s="79">
        <v>0.25</v>
      </c>
    </row>
    <row r="8" spans="2:6" ht="31.2" x14ac:dyDescent="0.3">
      <c r="B8" s="682"/>
      <c r="C8" s="684"/>
      <c r="D8" s="77" t="s">
        <v>9</v>
      </c>
      <c r="E8" s="78" t="s">
        <v>70</v>
      </c>
      <c r="F8" s="79">
        <v>0.15</v>
      </c>
    </row>
    <row r="9" spans="2:6" ht="46.8" x14ac:dyDescent="0.3">
      <c r="B9" s="682" t="s">
        <v>150</v>
      </c>
      <c r="C9" s="684" t="s">
        <v>18</v>
      </c>
      <c r="D9" s="77" t="s">
        <v>19</v>
      </c>
      <c r="E9" s="78" t="s">
        <v>71</v>
      </c>
      <c r="F9" s="80" t="s">
        <v>72</v>
      </c>
    </row>
    <row r="10" spans="2:6" ht="46.8" x14ac:dyDescent="0.3">
      <c r="B10" s="682"/>
      <c r="C10" s="684"/>
      <c r="D10" s="77" t="s">
        <v>20</v>
      </c>
      <c r="E10" s="78" t="s">
        <v>73</v>
      </c>
      <c r="F10" s="80" t="s">
        <v>72</v>
      </c>
    </row>
    <row r="11" spans="2:6" ht="46.8" x14ac:dyDescent="0.3">
      <c r="B11" s="682"/>
      <c r="C11" s="684" t="s">
        <v>21</v>
      </c>
      <c r="D11" s="77" t="s">
        <v>22</v>
      </c>
      <c r="E11" s="78" t="s">
        <v>74</v>
      </c>
      <c r="F11" s="80" t="s">
        <v>72</v>
      </c>
    </row>
    <row r="12" spans="2:6" ht="46.8" x14ac:dyDescent="0.3">
      <c r="B12" s="682"/>
      <c r="C12" s="684"/>
      <c r="D12" s="77" t="s">
        <v>23</v>
      </c>
      <c r="E12" s="78" t="s">
        <v>75</v>
      </c>
      <c r="F12" s="80" t="s">
        <v>72</v>
      </c>
    </row>
    <row r="13" spans="2:6" ht="31.2" x14ac:dyDescent="0.3">
      <c r="B13" s="682"/>
      <c r="C13" s="684" t="s">
        <v>24</v>
      </c>
      <c r="D13" s="77" t="s">
        <v>113</v>
      </c>
      <c r="E13" s="78" t="s">
        <v>116</v>
      </c>
      <c r="F13" s="80" t="s">
        <v>72</v>
      </c>
    </row>
    <row r="14" spans="2:6" ht="16.2" thickBot="1" x14ac:dyDescent="0.35">
      <c r="B14" s="685"/>
      <c r="C14" s="686"/>
      <c r="D14" s="81" t="s">
        <v>114</v>
      </c>
      <c r="E14" s="82" t="s">
        <v>115</v>
      </c>
      <c r="F14" s="83" t="s">
        <v>72</v>
      </c>
    </row>
    <row r="15" spans="2:6" ht="49.5" customHeight="1" x14ac:dyDescent="0.3">
      <c r="B15" s="678" t="s">
        <v>147</v>
      </c>
      <c r="C15" s="678"/>
      <c r="D15" s="678"/>
      <c r="E15" s="678"/>
      <c r="F15" s="678"/>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ColWidth="11.44140625" defaultRowHeight="14.4" x14ac:dyDescent="0.3"/>
  <sheetData>
    <row r="2" spans="2:5" x14ac:dyDescent="0.3">
      <c r="B2" t="s">
        <v>31</v>
      </c>
      <c r="E2" t="s">
        <v>127</v>
      </c>
    </row>
    <row r="3" spans="2:5" x14ac:dyDescent="0.3">
      <c r="B3" t="s">
        <v>32</v>
      </c>
      <c r="E3" t="s">
        <v>126</v>
      </c>
    </row>
    <row r="4" spans="2:5" x14ac:dyDescent="0.3">
      <c r="B4" t="s">
        <v>131</v>
      </c>
      <c r="E4" t="s">
        <v>128</v>
      </c>
    </row>
    <row r="5" spans="2:5" x14ac:dyDescent="0.3">
      <c r="B5" t="s">
        <v>130</v>
      </c>
    </row>
    <row r="8" spans="2:5" x14ac:dyDescent="0.3">
      <c r="B8" t="s">
        <v>84</v>
      </c>
    </row>
    <row r="9" spans="2:5" x14ac:dyDescent="0.3">
      <c r="B9" t="s">
        <v>39</v>
      </c>
    </row>
    <row r="10" spans="2:5" x14ac:dyDescent="0.3">
      <c r="B10" t="s">
        <v>40</v>
      </c>
    </row>
    <row r="13" spans="2:5" x14ac:dyDescent="0.3">
      <c r="B13" t="s">
        <v>123</v>
      </c>
    </row>
    <row r="14" spans="2:5" x14ac:dyDescent="0.3">
      <c r="B14" t="s">
        <v>117</v>
      </c>
    </row>
    <row r="15" spans="2:5" x14ac:dyDescent="0.3">
      <c r="B15" t="s">
        <v>120</v>
      </c>
    </row>
    <row r="16" spans="2:5" x14ac:dyDescent="0.3">
      <c r="B16" t="s">
        <v>118</v>
      </c>
    </row>
    <row r="17" spans="2:2" x14ac:dyDescent="0.3">
      <c r="B17" t="s">
        <v>119</v>
      </c>
    </row>
    <row r="18" spans="2:2" x14ac:dyDescent="0.3">
      <c r="B18" t="s">
        <v>121</v>
      </c>
    </row>
    <row r="19" spans="2:2" x14ac:dyDescent="0.3">
      <c r="B19" t="s">
        <v>122</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39</v>
      </c>
    </row>
    <row r="21" spans="1:1" x14ac:dyDescent="0.3">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4"/>
  <sheetViews>
    <sheetView zoomScale="85" zoomScaleNormal="85" workbookViewId="0">
      <selection activeCell="A16" sqref="A16"/>
    </sheetView>
  </sheetViews>
  <sheetFormatPr baseColWidth="10" defaultColWidth="11.44140625" defaultRowHeight="13.8" x14ac:dyDescent="0.25"/>
  <cols>
    <col min="1" max="1" width="29.44140625" style="147" customWidth="1"/>
    <col min="2" max="2" width="29.109375" style="147" customWidth="1"/>
    <col min="3" max="3" width="30.33203125" style="147" customWidth="1"/>
    <col min="4" max="4" width="31.88671875" style="147" customWidth="1"/>
    <col min="5" max="5" width="32.5546875" style="147" customWidth="1"/>
    <col min="6" max="6" width="32" style="147" customWidth="1"/>
    <col min="7" max="16384" width="11.44140625" style="147"/>
  </cols>
  <sheetData>
    <row r="1" spans="1:10" ht="15" customHeight="1" x14ac:dyDescent="0.25">
      <c r="A1" s="312"/>
      <c r="B1" s="314" t="s">
        <v>258</v>
      </c>
      <c r="C1" s="314"/>
      <c r="D1" s="314"/>
      <c r="E1" s="145" t="s">
        <v>259</v>
      </c>
      <c r="F1" s="315"/>
      <c r="G1" s="146"/>
      <c r="J1" s="297"/>
    </row>
    <row r="2" spans="1:10" ht="15" customHeight="1" x14ac:dyDescent="0.25">
      <c r="A2" s="313"/>
      <c r="B2" s="298"/>
      <c r="C2" s="298"/>
      <c r="D2" s="298"/>
      <c r="E2" s="149" t="s">
        <v>260</v>
      </c>
      <c r="F2" s="316"/>
      <c r="G2" s="146"/>
      <c r="J2" s="297"/>
    </row>
    <row r="3" spans="1:10" ht="15" customHeight="1" x14ac:dyDescent="0.25">
      <c r="A3" s="313"/>
      <c r="B3" s="298" t="s">
        <v>214</v>
      </c>
      <c r="C3" s="298"/>
      <c r="D3" s="298"/>
      <c r="E3" s="149" t="s">
        <v>261</v>
      </c>
      <c r="F3" s="316"/>
      <c r="G3" s="146"/>
      <c r="J3" s="297"/>
    </row>
    <row r="4" spans="1:10" ht="15.75" customHeight="1" x14ac:dyDescent="0.25">
      <c r="A4" s="313"/>
      <c r="B4" s="298"/>
      <c r="C4" s="298"/>
      <c r="D4" s="298"/>
      <c r="E4" s="149" t="s">
        <v>262</v>
      </c>
      <c r="F4" s="316"/>
      <c r="G4" s="146"/>
      <c r="J4" s="297"/>
    </row>
    <row r="5" spans="1:10" ht="15.75" customHeight="1" x14ac:dyDescent="0.25">
      <c r="A5" s="299"/>
      <c r="B5" s="300"/>
      <c r="C5" s="300"/>
      <c r="D5" s="300"/>
      <c r="E5" s="300"/>
      <c r="F5" s="301"/>
      <c r="G5" s="146"/>
      <c r="J5" s="148"/>
    </row>
    <row r="6" spans="1:10" ht="15" customHeight="1" x14ac:dyDescent="0.25">
      <c r="A6" s="302" t="s">
        <v>215</v>
      </c>
      <c r="B6" s="303"/>
      <c r="C6" s="303"/>
      <c r="D6" s="303"/>
      <c r="E6" s="303"/>
      <c r="F6" s="304"/>
    </row>
    <row r="7" spans="1:10" ht="15.75" customHeight="1" x14ac:dyDescent="0.25">
      <c r="A7" s="302"/>
      <c r="B7" s="303"/>
      <c r="C7" s="303"/>
      <c r="D7" s="303"/>
      <c r="E7" s="303"/>
      <c r="F7" s="304"/>
    </row>
    <row r="8" spans="1:10" ht="27" customHeight="1" x14ac:dyDescent="0.25">
      <c r="A8" s="305" t="s">
        <v>264</v>
      </c>
      <c r="B8" s="306"/>
      <c r="C8" s="306"/>
      <c r="D8" s="306"/>
      <c r="E8" s="306"/>
      <c r="F8" s="307"/>
    </row>
    <row r="9" spans="1:10" ht="42" customHeight="1" thickBot="1" x14ac:dyDescent="0.3">
      <c r="A9" s="308" t="s">
        <v>293</v>
      </c>
      <c r="B9" s="309"/>
      <c r="C9" s="309"/>
      <c r="D9" s="309"/>
      <c r="E9" s="309"/>
      <c r="F9" s="310"/>
    </row>
    <row r="10" spans="1:10" ht="18.75" customHeight="1" thickBot="1" x14ac:dyDescent="0.3">
      <c r="A10" s="311"/>
      <c r="B10" s="311"/>
      <c r="C10" s="311"/>
      <c r="D10" s="311"/>
      <c r="E10" s="311"/>
      <c r="F10" s="311"/>
    </row>
    <row r="11" spans="1:10" ht="22.5" customHeight="1" thickBot="1" x14ac:dyDescent="0.3">
      <c r="A11" s="150" t="s">
        <v>216</v>
      </c>
      <c r="B11" s="151" t="s">
        <v>217</v>
      </c>
      <c r="C11" s="151" t="s">
        <v>218</v>
      </c>
      <c r="D11" s="151" t="s">
        <v>217</v>
      </c>
      <c r="E11" s="151" t="s">
        <v>219</v>
      </c>
      <c r="F11" s="152" t="s">
        <v>217</v>
      </c>
    </row>
    <row r="12" spans="1:10" ht="75" customHeight="1" x14ac:dyDescent="0.25">
      <c r="A12" s="153" t="s">
        <v>221</v>
      </c>
      <c r="B12" s="243" t="s">
        <v>265</v>
      </c>
      <c r="C12" s="154" t="s">
        <v>266</v>
      </c>
      <c r="D12" s="246" t="s">
        <v>267</v>
      </c>
      <c r="E12" s="154" t="s">
        <v>268</v>
      </c>
      <c r="F12" s="249" t="s">
        <v>269</v>
      </c>
    </row>
    <row r="13" spans="1:10" ht="91.95" customHeight="1" x14ac:dyDescent="0.25">
      <c r="A13" s="155" t="s">
        <v>220</v>
      </c>
      <c r="B13" s="244" t="s">
        <v>270</v>
      </c>
      <c r="C13" s="156" t="s">
        <v>271</v>
      </c>
      <c r="D13" s="248" t="s">
        <v>272</v>
      </c>
      <c r="E13" s="156" t="s">
        <v>268</v>
      </c>
      <c r="F13" s="251" t="s">
        <v>273</v>
      </c>
    </row>
    <row r="14" spans="1:10" ht="82.5" customHeight="1" x14ac:dyDescent="0.25">
      <c r="A14" s="155" t="s">
        <v>274</v>
      </c>
      <c r="B14" s="244" t="s">
        <v>275</v>
      </c>
      <c r="C14" s="156" t="s">
        <v>276</v>
      </c>
      <c r="D14" s="248" t="s">
        <v>277</v>
      </c>
      <c r="E14" s="156" t="s">
        <v>268</v>
      </c>
      <c r="F14" s="251" t="s">
        <v>278</v>
      </c>
    </row>
    <row r="15" spans="1:10" ht="73.5" customHeight="1" x14ac:dyDescent="0.25">
      <c r="A15" s="155" t="s">
        <v>220</v>
      </c>
      <c r="B15" s="245" t="s">
        <v>279</v>
      </c>
      <c r="C15" s="156" t="s">
        <v>280</v>
      </c>
      <c r="D15" s="248" t="s">
        <v>281</v>
      </c>
      <c r="E15" s="156" t="s">
        <v>282</v>
      </c>
      <c r="F15" s="251" t="s">
        <v>283</v>
      </c>
    </row>
    <row r="16" spans="1:10" ht="86.4" customHeight="1" x14ac:dyDescent="0.25">
      <c r="A16" s="155" t="s">
        <v>284</v>
      </c>
      <c r="B16" s="244" t="s">
        <v>285</v>
      </c>
      <c r="C16" s="156" t="s">
        <v>286</v>
      </c>
      <c r="D16" s="248" t="s">
        <v>287</v>
      </c>
      <c r="E16" s="156" t="s">
        <v>288</v>
      </c>
      <c r="F16" s="251" t="s">
        <v>289</v>
      </c>
    </row>
    <row r="17" spans="1:6" ht="69.75" customHeight="1" x14ac:dyDescent="0.25">
      <c r="A17" s="155" t="s">
        <v>222</v>
      </c>
      <c r="B17" s="244" t="s">
        <v>290</v>
      </c>
      <c r="C17" s="156" t="s">
        <v>291</v>
      </c>
      <c r="D17" s="248" t="s">
        <v>292</v>
      </c>
      <c r="E17" s="156"/>
      <c r="F17" s="158"/>
    </row>
    <row r="18" spans="1:6" ht="65.25" customHeight="1" x14ac:dyDescent="0.25">
      <c r="A18" s="159"/>
      <c r="B18" s="160"/>
      <c r="C18" s="159"/>
      <c r="D18" s="161"/>
      <c r="E18" s="159"/>
      <c r="F18" s="161"/>
    </row>
    <row r="19" spans="1:6" ht="62.25" customHeight="1" x14ac:dyDescent="0.25">
      <c r="A19" s="159"/>
      <c r="B19" s="160"/>
      <c r="C19" s="159"/>
      <c r="D19" s="161"/>
      <c r="E19" s="159"/>
      <c r="F19" s="161"/>
    </row>
    <row r="20" spans="1:6" ht="63" customHeight="1" x14ac:dyDescent="0.25">
      <c r="A20" s="159"/>
      <c r="B20" s="160"/>
      <c r="C20" s="159"/>
      <c r="D20" s="161"/>
      <c r="E20" s="159"/>
      <c r="F20" s="160"/>
    </row>
    <row r="21" spans="1:6" ht="51.75" customHeight="1" x14ac:dyDescent="0.25">
      <c r="A21" s="159"/>
      <c r="B21" s="160"/>
      <c r="C21" s="159"/>
      <c r="D21" s="161"/>
      <c r="E21" s="159"/>
      <c r="F21" s="160"/>
    </row>
    <row r="22" spans="1:6" ht="52.5" customHeight="1" x14ac:dyDescent="0.25">
      <c r="A22" s="159"/>
      <c r="B22" s="161"/>
      <c r="C22" s="159"/>
      <c r="D22" s="161"/>
      <c r="E22" s="159"/>
      <c r="F22" s="161"/>
    </row>
    <row r="23" spans="1:6" ht="63.75" customHeight="1" x14ac:dyDescent="0.25">
      <c r="A23" s="159"/>
      <c r="B23" s="161"/>
      <c r="C23" s="159"/>
      <c r="D23" s="161"/>
      <c r="E23" s="159"/>
      <c r="F23" s="161"/>
    </row>
    <row r="24" spans="1:6" ht="66" customHeight="1" x14ac:dyDescent="0.25">
      <c r="A24" s="159"/>
      <c r="B24" s="162"/>
      <c r="C24" s="159"/>
      <c r="D24" s="163"/>
      <c r="E24" s="159"/>
      <c r="F24" s="162"/>
    </row>
    <row r="25" spans="1:6" ht="55.5" customHeight="1" x14ac:dyDescent="0.25">
      <c r="A25" s="159"/>
      <c r="B25" s="162"/>
      <c r="C25" s="159"/>
      <c r="D25" s="163"/>
      <c r="E25" s="159"/>
      <c r="F25" s="164"/>
    </row>
    <row r="26" spans="1:6" ht="51.75" customHeight="1" x14ac:dyDescent="0.25">
      <c r="A26" s="159"/>
      <c r="B26" s="164"/>
      <c r="C26" s="159"/>
      <c r="D26" s="165"/>
      <c r="E26" s="159"/>
      <c r="F26" s="164"/>
    </row>
    <row r="27" spans="1:6" ht="55.5" customHeight="1" x14ac:dyDescent="0.25">
      <c r="A27" s="159"/>
      <c r="B27" s="164"/>
      <c r="C27" s="159"/>
      <c r="D27" s="164"/>
      <c r="E27" s="159"/>
      <c r="F27" s="164"/>
    </row>
    <row r="28" spans="1:6" ht="55.5" customHeight="1" x14ac:dyDescent="0.25">
      <c r="A28" s="159"/>
      <c r="B28" s="164"/>
      <c r="C28" s="159"/>
      <c r="D28" s="164"/>
      <c r="E28" s="159"/>
      <c r="F28" s="164"/>
    </row>
    <row r="29" spans="1:6" ht="54.75" customHeight="1" x14ac:dyDescent="0.25">
      <c r="A29" s="159"/>
      <c r="B29" s="164"/>
      <c r="C29" s="159"/>
      <c r="D29" s="164"/>
      <c r="E29" s="159"/>
      <c r="F29" s="164"/>
    </row>
    <row r="30" spans="1:6" ht="56.25" customHeight="1" x14ac:dyDescent="0.25">
      <c r="A30" s="159"/>
      <c r="B30" s="164"/>
      <c r="C30" s="159"/>
      <c r="D30" s="164"/>
      <c r="E30" s="159"/>
      <c r="F30" s="164"/>
    </row>
    <row r="31" spans="1:6" ht="54.75" customHeight="1" x14ac:dyDescent="0.25">
      <c r="A31" s="159"/>
      <c r="B31" s="162"/>
      <c r="C31" s="159"/>
      <c r="D31" s="163"/>
      <c r="E31" s="159"/>
      <c r="F31" s="162"/>
    </row>
    <row r="32" spans="1:6" ht="55.5" customHeight="1" x14ac:dyDescent="0.25">
      <c r="A32" s="159"/>
      <c r="B32" s="162"/>
      <c r="C32" s="159"/>
      <c r="D32" s="163"/>
      <c r="E32" s="159"/>
      <c r="F32" s="164"/>
    </row>
    <row r="33" spans="1:6" ht="54.75" customHeight="1" x14ac:dyDescent="0.25">
      <c r="A33" s="159"/>
      <c r="B33" s="164"/>
      <c r="C33" s="159"/>
      <c r="D33" s="165"/>
      <c r="E33" s="159"/>
      <c r="F33" s="164"/>
    </row>
    <row r="34" spans="1:6" ht="55.5" customHeight="1" x14ac:dyDescent="0.25">
      <c r="A34" s="159"/>
      <c r="B34" s="164"/>
      <c r="C34" s="159"/>
      <c r="D34" s="164"/>
      <c r="E34" s="159"/>
      <c r="F34" s="164"/>
    </row>
    <row r="35" spans="1:6" ht="56.25" customHeight="1" x14ac:dyDescent="0.25">
      <c r="A35" s="159"/>
      <c r="B35" s="164"/>
      <c r="C35" s="159"/>
      <c r="D35" s="164"/>
      <c r="E35" s="159"/>
      <c r="F35" s="164"/>
    </row>
    <row r="36" spans="1:6" ht="59.25" customHeight="1" x14ac:dyDescent="0.25">
      <c r="A36" s="159"/>
      <c r="B36" s="164"/>
      <c r="C36" s="159"/>
      <c r="D36" s="164"/>
      <c r="E36" s="159"/>
      <c r="F36" s="164"/>
    </row>
    <row r="37" spans="1:6" ht="55.5" customHeight="1" x14ac:dyDescent="0.25">
      <c r="A37" s="159"/>
      <c r="B37" s="164"/>
      <c r="C37" s="159"/>
      <c r="D37" s="164"/>
      <c r="E37" s="159"/>
      <c r="F37" s="164"/>
    </row>
    <row r="38" spans="1:6" ht="55.5" customHeight="1" x14ac:dyDescent="0.25">
      <c r="A38" s="159"/>
      <c r="B38" s="162"/>
      <c r="C38" s="159"/>
      <c r="D38" s="163"/>
      <c r="E38" s="159"/>
      <c r="F38" s="162"/>
    </row>
    <row r="39" spans="1:6" ht="56.25" customHeight="1" x14ac:dyDescent="0.25">
      <c r="A39" s="159"/>
      <c r="B39" s="162"/>
      <c r="C39" s="159"/>
      <c r="D39" s="163"/>
      <c r="E39" s="159"/>
      <c r="F39" s="164"/>
    </row>
    <row r="40" spans="1:6" ht="54" customHeight="1" x14ac:dyDescent="0.25">
      <c r="A40" s="159"/>
      <c r="B40" s="164"/>
      <c r="C40" s="159"/>
      <c r="D40" s="165"/>
      <c r="E40" s="159"/>
      <c r="F40" s="164"/>
    </row>
    <row r="41" spans="1:6" ht="56.25" customHeight="1" x14ac:dyDescent="0.25">
      <c r="A41" s="159"/>
      <c r="B41" s="164"/>
      <c r="C41" s="159"/>
      <c r="D41" s="164"/>
      <c r="E41" s="159"/>
      <c r="F41" s="164"/>
    </row>
    <row r="42" spans="1:6" ht="59.25" customHeight="1" x14ac:dyDescent="0.25">
      <c r="A42" s="159"/>
      <c r="B42" s="164"/>
      <c r="C42" s="159"/>
      <c r="D42" s="164"/>
      <c r="E42" s="159"/>
      <c r="F42" s="164"/>
    </row>
    <row r="43" spans="1:6" ht="54.75" customHeight="1" x14ac:dyDescent="0.25">
      <c r="A43" s="159"/>
      <c r="B43" s="164"/>
      <c r="C43" s="159"/>
      <c r="D43" s="164"/>
      <c r="E43" s="159"/>
      <c r="F43" s="164"/>
    </row>
    <row r="44" spans="1:6" ht="55.5" customHeight="1" x14ac:dyDescent="0.25">
      <c r="A44" s="159"/>
      <c r="B44" s="164"/>
      <c r="C44" s="159"/>
      <c r="D44" s="164"/>
      <c r="E44" s="159"/>
      <c r="F44" s="164"/>
    </row>
  </sheetData>
  <mergeCells count="10">
    <mergeCell ref="A9:F9"/>
    <mergeCell ref="A10:F10"/>
    <mergeCell ref="A1:A4"/>
    <mergeCell ref="B1:D2"/>
    <mergeCell ref="F1:F4"/>
    <mergeCell ref="J1:J4"/>
    <mergeCell ref="B3:D4"/>
    <mergeCell ref="A5:F5"/>
    <mergeCell ref="A6:F7"/>
    <mergeCell ref="A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8"/>
  <sheetViews>
    <sheetView zoomScale="70" zoomScaleNormal="70" workbookViewId="0">
      <selection activeCell="S28" sqref="S28"/>
    </sheetView>
  </sheetViews>
  <sheetFormatPr baseColWidth="10" defaultColWidth="11.44140625" defaultRowHeight="14.4" x14ac:dyDescent="0.3"/>
  <cols>
    <col min="1" max="1" width="5.109375" style="178" customWidth="1"/>
    <col min="2" max="2" width="39.6640625" style="179" customWidth="1"/>
    <col min="3" max="17" width="6.44140625" style="179" customWidth="1"/>
    <col min="18" max="18" width="8.109375" style="179" customWidth="1"/>
    <col min="19" max="19" width="13" style="180" customWidth="1"/>
    <col min="20" max="20" width="19.6640625" customWidth="1"/>
    <col min="21" max="23" width="11.44140625" hidden="1" customWidth="1"/>
  </cols>
  <sheetData>
    <row r="1" spans="1:23" ht="30.75" customHeight="1" x14ac:dyDescent="0.3">
      <c r="A1" s="323"/>
      <c r="B1" s="325"/>
      <c r="C1" s="317" t="s">
        <v>370</v>
      </c>
      <c r="D1" s="318"/>
      <c r="E1" s="318"/>
      <c r="F1" s="318"/>
      <c r="G1" s="318"/>
      <c r="H1" s="318"/>
      <c r="I1" s="318"/>
      <c r="J1" s="318"/>
      <c r="K1" s="318"/>
      <c r="L1" s="318"/>
      <c r="M1" s="318"/>
      <c r="N1" s="318"/>
      <c r="O1" s="318"/>
      <c r="P1" s="318"/>
      <c r="Q1" s="318"/>
      <c r="R1" s="319"/>
      <c r="S1" s="298"/>
      <c r="T1" s="330" t="s">
        <v>259</v>
      </c>
      <c r="U1" s="330"/>
      <c r="V1" s="330"/>
      <c r="W1" s="331"/>
    </row>
    <row r="2" spans="1:23" ht="25.5" customHeight="1" x14ac:dyDescent="0.3">
      <c r="A2" s="326"/>
      <c r="B2" s="327"/>
      <c r="C2" s="320"/>
      <c r="D2" s="321"/>
      <c r="E2" s="321"/>
      <c r="F2" s="321"/>
      <c r="G2" s="321"/>
      <c r="H2" s="321"/>
      <c r="I2" s="321"/>
      <c r="J2" s="321"/>
      <c r="K2" s="321"/>
      <c r="L2" s="321"/>
      <c r="M2" s="321"/>
      <c r="N2" s="321"/>
      <c r="O2" s="321"/>
      <c r="P2" s="321"/>
      <c r="Q2" s="321"/>
      <c r="R2" s="322"/>
      <c r="S2" s="298"/>
      <c r="T2" s="332" t="s">
        <v>260</v>
      </c>
      <c r="U2" s="332"/>
      <c r="V2" s="332"/>
      <c r="W2" s="333"/>
    </row>
    <row r="3" spans="1:23" ht="15" customHeight="1" x14ac:dyDescent="0.3">
      <c r="A3" s="326"/>
      <c r="B3" s="327"/>
      <c r="C3" s="323" t="s">
        <v>223</v>
      </c>
      <c r="D3" s="324"/>
      <c r="E3" s="324"/>
      <c r="F3" s="324"/>
      <c r="G3" s="324"/>
      <c r="H3" s="324"/>
      <c r="I3" s="324"/>
      <c r="J3" s="324"/>
      <c r="K3" s="324"/>
      <c r="L3" s="324"/>
      <c r="M3" s="324"/>
      <c r="N3" s="324"/>
      <c r="O3" s="324"/>
      <c r="P3" s="324"/>
      <c r="Q3" s="324"/>
      <c r="R3" s="325"/>
      <c r="S3" s="298"/>
      <c r="T3" s="332" t="s">
        <v>263</v>
      </c>
      <c r="U3" s="332"/>
      <c r="V3" s="332"/>
      <c r="W3" s="333"/>
    </row>
    <row r="4" spans="1:23" ht="15.75" customHeight="1" x14ac:dyDescent="0.3">
      <c r="A4" s="320"/>
      <c r="B4" s="322"/>
      <c r="C4" s="320"/>
      <c r="D4" s="321"/>
      <c r="E4" s="321"/>
      <c r="F4" s="321"/>
      <c r="G4" s="321"/>
      <c r="H4" s="321"/>
      <c r="I4" s="321"/>
      <c r="J4" s="321"/>
      <c r="K4" s="321"/>
      <c r="L4" s="321"/>
      <c r="M4" s="321"/>
      <c r="N4" s="321"/>
      <c r="O4" s="321"/>
      <c r="P4" s="321"/>
      <c r="Q4" s="321"/>
      <c r="R4" s="322"/>
      <c r="S4" s="298"/>
      <c r="T4" s="332" t="s">
        <v>262</v>
      </c>
      <c r="U4" s="332"/>
      <c r="V4" s="332"/>
      <c r="W4" s="333"/>
    </row>
    <row r="5" spans="1:23" ht="15.75" customHeight="1" x14ac:dyDescent="0.3">
      <c r="A5" s="334"/>
      <c r="B5" s="334"/>
      <c r="C5" s="334"/>
      <c r="D5" s="334"/>
      <c r="E5" s="334"/>
      <c r="F5" s="334"/>
      <c r="G5" s="334"/>
      <c r="H5" s="334"/>
      <c r="I5" s="334"/>
      <c r="J5" s="334"/>
      <c r="K5" s="334"/>
      <c r="L5" s="334"/>
      <c r="M5" s="334"/>
      <c r="N5" s="334"/>
      <c r="O5" s="334"/>
      <c r="P5" s="334"/>
      <c r="Q5" s="334"/>
      <c r="R5" s="334"/>
      <c r="S5" s="334"/>
      <c r="T5" s="335"/>
      <c r="U5" s="160"/>
      <c r="V5" s="160"/>
      <c r="W5" s="166"/>
    </row>
    <row r="6" spans="1:23" s="147" customFormat="1" ht="27" customHeight="1" x14ac:dyDescent="0.25">
      <c r="A6" s="336" t="str">
        <f>+Contexto!A8</f>
        <v>PROCESO:  GESTIÓN DEL DESARROLLO ECONÓMICO Y LA COMPETITIVIDAD</v>
      </c>
      <c r="B6" s="336"/>
      <c r="C6" s="336"/>
      <c r="D6" s="336"/>
      <c r="E6" s="336"/>
      <c r="F6" s="336"/>
      <c r="G6" s="336"/>
      <c r="H6" s="336"/>
      <c r="I6" s="336"/>
      <c r="J6" s="336"/>
      <c r="K6" s="336"/>
      <c r="L6" s="336"/>
      <c r="M6" s="336"/>
      <c r="N6" s="336"/>
      <c r="O6" s="336"/>
      <c r="P6" s="336"/>
      <c r="Q6" s="336"/>
      <c r="R6" s="336"/>
      <c r="S6" s="336"/>
      <c r="T6" s="336"/>
      <c r="W6" s="167"/>
    </row>
    <row r="7" spans="1:23" s="147" customFormat="1" ht="81" customHeight="1" thickBot="1" x14ac:dyDescent="0.3">
      <c r="A7" s="337" t="str">
        <f>+Contexto!A9</f>
        <v>OBJETIVO:  PROMOVER EL DESARROLLO ECONÓMICO Y LA COMPETITIVIDAD DEL MUNICIPIO DE IBAGUÉ MEDIANTE LA FORMULACIÓN E IMPLEMENTACIÓN DE PLANES, PROGRAMAS Y PROYECTOS QUE FORTALEZCAN EL TEJIDO EMPRESARIAL, EL EMPRENDIMIENTO, LA EMPLEABILIDAD, EL TURISMO Y EL SECTOR RURAL</v>
      </c>
      <c r="B7" s="337"/>
      <c r="C7" s="337"/>
      <c r="D7" s="337"/>
      <c r="E7" s="337"/>
      <c r="F7" s="337"/>
      <c r="G7" s="337"/>
      <c r="H7" s="337"/>
      <c r="I7" s="337"/>
      <c r="J7" s="337"/>
      <c r="K7" s="337"/>
      <c r="L7" s="337"/>
      <c r="M7" s="337"/>
      <c r="N7" s="337"/>
      <c r="O7" s="337"/>
      <c r="P7" s="337"/>
      <c r="Q7" s="337"/>
      <c r="R7" s="337"/>
      <c r="S7" s="337"/>
      <c r="T7" s="337"/>
      <c r="U7" s="168"/>
      <c r="V7" s="168"/>
      <c r="W7" s="169"/>
    </row>
    <row r="8" spans="1:23" s="147" customFormat="1" ht="16.5" customHeight="1" thickBot="1" x14ac:dyDescent="0.3">
      <c r="A8" s="338"/>
      <c r="B8" s="338"/>
      <c r="C8" s="338" t="b">
        <v>0</v>
      </c>
      <c r="D8" s="338"/>
      <c r="E8" s="338"/>
      <c r="F8" s="338"/>
      <c r="G8" s="338"/>
      <c r="H8" s="338"/>
      <c r="I8" s="338"/>
      <c r="J8" s="338"/>
      <c r="K8" s="338"/>
      <c r="L8" s="338"/>
      <c r="M8" s="338"/>
      <c r="N8" s="338"/>
      <c r="O8" s="338"/>
      <c r="P8" s="338"/>
      <c r="Q8" s="338"/>
      <c r="R8" s="338"/>
      <c r="S8" s="338"/>
      <c r="T8" s="339"/>
    </row>
    <row r="9" spans="1:23" s="175" customFormat="1" ht="54.75" customHeight="1" thickBot="1" x14ac:dyDescent="0.35">
      <c r="A9" s="170" t="s">
        <v>224</v>
      </c>
      <c r="B9" s="171" t="s">
        <v>225</v>
      </c>
      <c r="C9" s="171" t="s">
        <v>226</v>
      </c>
      <c r="D9" s="171" t="s">
        <v>227</v>
      </c>
      <c r="E9" s="171" t="s">
        <v>228</v>
      </c>
      <c r="F9" s="171" t="s">
        <v>229</v>
      </c>
      <c r="G9" s="171" t="s">
        <v>230</v>
      </c>
      <c r="H9" s="171" t="s">
        <v>231</v>
      </c>
      <c r="I9" s="171" t="s">
        <v>232</v>
      </c>
      <c r="J9" s="171" t="s">
        <v>233</v>
      </c>
      <c r="K9" s="171" t="s">
        <v>234</v>
      </c>
      <c r="L9" s="171" t="s">
        <v>235</v>
      </c>
      <c r="M9" s="171" t="s">
        <v>236</v>
      </c>
      <c r="N9" s="171" t="s">
        <v>237</v>
      </c>
      <c r="O9" s="171" t="s">
        <v>238</v>
      </c>
      <c r="P9" s="171" t="s">
        <v>239</v>
      </c>
      <c r="Q9" s="171" t="s">
        <v>240</v>
      </c>
      <c r="R9" s="172" t="s">
        <v>241</v>
      </c>
      <c r="S9" s="173" t="s">
        <v>242</v>
      </c>
      <c r="T9" s="174" t="s">
        <v>243</v>
      </c>
    </row>
    <row r="10" spans="1:23" ht="39.75" customHeight="1" thickBot="1" x14ac:dyDescent="0.35">
      <c r="A10" s="242">
        <v>1</v>
      </c>
      <c r="B10" s="157" t="s">
        <v>265</v>
      </c>
      <c r="C10" s="182">
        <v>4</v>
      </c>
      <c r="D10" s="182">
        <v>4</v>
      </c>
      <c r="E10" s="182">
        <v>3</v>
      </c>
      <c r="F10" s="182">
        <v>3</v>
      </c>
      <c r="G10" s="176"/>
      <c r="H10" s="176"/>
      <c r="I10" s="176"/>
      <c r="J10" s="176"/>
      <c r="K10" s="176"/>
      <c r="L10" s="176"/>
      <c r="M10" s="176"/>
      <c r="N10" s="176"/>
      <c r="O10" s="176"/>
      <c r="P10" s="176"/>
      <c r="Q10" s="176"/>
      <c r="R10" s="198">
        <f>SUM(C10:Q10)</f>
        <v>14</v>
      </c>
      <c r="S10" s="199">
        <f>IF(ISERROR(AVERAGE(C10:Q10)),0,AVERAGE(C10:Q10))</f>
        <v>3.5</v>
      </c>
      <c r="T10" s="177"/>
    </row>
    <row r="11" spans="1:23" ht="45.75" customHeight="1" thickBot="1" x14ac:dyDescent="0.35">
      <c r="A11" s="242">
        <v>2</v>
      </c>
      <c r="B11" s="157" t="s">
        <v>294</v>
      </c>
      <c r="C11" s="182">
        <v>5</v>
      </c>
      <c r="D11" s="182">
        <v>5</v>
      </c>
      <c r="E11" s="182">
        <v>4</v>
      </c>
      <c r="F11" s="182">
        <v>4</v>
      </c>
      <c r="G11" s="176"/>
      <c r="H11" s="176"/>
      <c r="I11" s="176"/>
      <c r="J11" s="176"/>
      <c r="K11" s="176"/>
      <c r="L11" s="176"/>
      <c r="M11" s="176"/>
      <c r="N11" s="176"/>
      <c r="O11" s="176"/>
      <c r="P11" s="176"/>
      <c r="Q11" s="176"/>
      <c r="R11" s="198">
        <f t="shared" ref="R11:R26" si="0">SUM(C11:Q11)</f>
        <v>18</v>
      </c>
      <c r="S11" s="199">
        <f t="shared" ref="S11:S26" si="1">IF(ISERROR(AVERAGE(C11:Q11)),0,AVERAGE(C11:Q11))</f>
        <v>4.5</v>
      </c>
      <c r="T11" s="177"/>
    </row>
    <row r="12" spans="1:23" ht="65.25" customHeight="1" thickBot="1" x14ac:dyDescent="0.35">
      <c r="A12" s="242">
        <v>3</v>
      </c>
      <c r="B12" s="157" t="s">
        <v>275</v>
      </c>
      <c r="C12" s="182">
        <v>4</v>
      </c>
      <c r="D12" s="182">
        <v>4</v>
      </c>
      <c r="E12" s="182">
        <v>3</v>
      </c>
      <c r="F12" s="182">
        <v>3</v>
      </c>
      <c r="G12" s="176"/>
      <c r="H12" s="176"/>
      <c r="I12" s="176"/>
      <c r="J12" s="176"/>
      <c r="K12" s="176"/>
      <c r="L12" s="176"/>
      <c r="M12" s="176"/>
      <c r="N12" s="176"/>
      <c r="O12" s="176"/>
      <c r="P12" s="176"/>
      <c r="Q12" s="176"/>
      <c r="R12" s="198">
        <f t="shared" si="0"/>
        <v>14</v>
      </c>
      <c r="S12" s="199">
        <f t="shared" si="1"/>
        <v>3.5</v>
      </c>
      <c r="T12" s="177"/>
    </row>
    <row r="13" spans="1:23" ht="49.95" customHeight="1" thickBot="1" x14ac:dyDescent="0.35">
      <c r="A13" s="242">
        <v>4</v>
      </c>
      <c r="B13" s="157" t="s">
        <v>279</v>
      </c>
      <c r="C13" s="182">
        <v>4</v>
      </c>
      <c r="D13" s="182">
        <v>4</v>
      </c>
      <c r="E13" s="182">
        <v>4</v>
      </c>
      <c r="F13" s="182">
        <v>4</v>
      </c>
      <c r="G13" s="176"/>
      <c r="H13" s="176"/>
      <c r="I13" s="176"/>
      <c r="J13" s="176"/>
      <c r="K13" s="176"/>
      <c r="L13" s="176"/>
      <c r="M13" s="176"/>
      <c r="N13" s="176"/>
      <c r="O13" s="176"/>
      <c r="P13" s="176"/>
      <c r="Q13" s="176"/>
      <c r="R13" s="198">
        <f t="shared" si="0"/>
        <v>16</v>
      </c>
      <c r="S13" s="199">
        <f t="shared" si="1"/>
        <v>4</v>
      </c>
      <c r="T13" s="177"/>
    </row>
    <row r="14" spans="1:23" ht="59.4" customHeight="1" thickBot="1" x14ac:dyDescent="0.35">
      <c r="A14" s="242">
        <v>5</v>
      </c>
      <c r="B14" s="157" t="s">
        <v>285</v>
      </c>
      <c r="C14" s="182">
        <v>4</v>
      </c>
      <c r="D14" s="182">
        <v>3</v>
      </c>
      <c r="E14" s="182">
        <v>4</v>
      </c>
      <c r="F14" s="182">
        <v>3</v>
      </c>
      <c r="G14" s="176"/>
      <c r="H14" s="176"/>
      <c r="I14" s="176"/>
      <c r="J14" s="176"/>
      <c r="K14" s="176"/>
      <c r="L14" s="176"/>
      <c r="M14" s="176"/>
      <c r="N14" s="176"/>
      <c r="O14" s="176"/>
      <c r="P14" s="176"/>
      <c r="Q14" s="176"/>
      <c r="R14" s="198">
        <f t="shared" si="0"/>
        <v>14</v>
      </c>
      <c r="S14" s="199">
        <f t="shared" si="1"/>
        <v>3.5</v>
      </c>
      <c r="T14" s="177"/>
    </row>
    <row r="15" spans="1:23" ht="39.75" customHeight="1" thickBot="1" x14ac:dyDescent="0.35">
      <c r="A15" s="242">
        <v>6</v>
      </c>
      <c r="B15" s="157" t="s">
        <v>290</v>
      </c>
      <c r="C15" s="182">
        <v>2</v>
      </c>
      <c r="D15" s="182">
        <v>2</v>
      </c>
      <c r="E15" s="182">
        <v>2</v>
      </c>
      <c r="F15" s="182">
        <v>2</v>
      </c>
      <c r="G15" s="176"/>
      <c r="H15" s="176"/>
      <c r="I15" s="176"/>
      <c r="J15" s="176"/>
      <c r="K15" s="176"/>
      <c r="L15" s="176"/>
      <c r="M15" s="176"/>
      <c r="N15" s="176"/>
      <c r="O15" s="176"/>
      <c r="P15" s="176"/>
      <c r="Q15" s="176"/>
      <c r="R15" s="198">
        <f t="shared" si="0"/>
        <v>8</v>
      </c>
      <c r="S15" s="199">
        <f t="shared" si="1"/>
        <v>2</v>
      </c>
      <c r="T15" s="177"/>
    </row>
    <row r="16" spans="1:23" ht="39.75" customHeight="1" thickBot="1" x14ac:dyDescent="0.35">
      <c r="A16" s="247">
        <v>7</v>
      </c>
      <c r="B16" s="157" t="s">
        <v>267</v>
      </c>
      <c r="C16" s="182">
        <v>4</v>
      </c>
      <c r="D16" s="182">
        <v>4</v>
      </c>
      <c r="E16" s="182">
        <v>4</v>
      </c>
      <c r="F16" s="182">
        <v>5</v>
      </c>
      <c r="G16" s="176"/>
      <c r="H16" s="176"/>
      <c r="I16" s="176"/>
      <c r="J16" s="176"/>
      <c r="K16" s="176"/>
      <c r="L16" s="176"/>
      <c r="M16" s="176"/>
      <c r="N16" s="176"/>
      <c r="O16" s="176"/>
      <c r="P16" s="176"/>
      <c r="Q16" s="176"/>
      <c r="R16" s="198">
        <f t="shared" si="0"/>
        <v>17</v>
      </c>
      <c r="S16" s="199">
        <f t="shared" si="1"/>
        <v>4.25</v>
      </c>
      <c r="T16" s="177"/>
    </row>
    <row r="17" spans="1:27" ht="46.5" customHeight="1" thickBot="1" x14ac:dyDescent="0.35">
      <c r="A17" s="247">
        <v>8</v>
      </c>
      <c r="B17" s="157" t="s">
        <v>272</v>
      </c>
      <c r="C17" s="182">
        <v>4</v>
      </c>
      <c r="D17" s="182">
        <v>4</v>
      </c>
      <c r="E17" s="182">
        <v>4</v>
      </c>
      <c r="F17" s="182">
        <v>3</v>
      </c>
      <c r="G17" s="176"/>
      <c r="H17" s="176"/>
      <c r="I17" s="176"/>
      <c r="J17" s="176"/>
      <c r="K17" s="176"/>
      <c r="L17" s="176"/>
      <c r="M17" s="176"/>
      <c r="N17" s="176"/>
      <c r="O17" s="176"/>
      <c r="P17" s="176"/>
      <c r="Q17" s="176"/>
      <c r="R17" s="198">
        <f t="shared" si="0"/>
        <v>15</v>
      </c>
      <c r="S17" s="199">
        <f t="shared" si="1"/>
        <v>3.75</v>
      </c>
      <c r="T17" s="177"/>
    </row>
    <row r="18" spans="1:27" ht="61.95" customHeight="1" thickBot="1" x14ac:dyDescent="0.35">
      <c r="A18" s="247">
        <v>9</v>
      </c>
      <c r="B18" s="157" t="s">
        <v>277</v>
      </c>
      <c r="C18" s="182">
        <v>4</v>
      </c>
      <c r="D18" s="182">
        <v>4</v>
      </c>
      <c r="E18" s="182">
        <v>3</v>
      </c>
      <c r="F18" s="182">
        <v>4</v>
      </c>
      <c r="G18" s="176"/>
      <c r="H18" s="176"/>
      <c r="I18" s="176"/>
      <c r="J18" s="176"/>
      <c r="K18" s="176"/>
      <c r="L18" s="176"/>
      <c r="M18" s="176"/>
      <c r="N18" s="176"/>
      <c r="O18" s="176"/>
      <c r="P18" s="176"/>
      <c r="Q18" s="176"/>
      <c r="R18" s="198">
        <f t="shared" si="0"/>
        <v>15</v>
      </c>
      <c r="S18" s="199">
        <f t="shared" si="1"/>
        <v>3.75</v>
      </c>
      <c r="T18" s="177"/>
    </row>
    <row r="19" spans="1:27" ht="39.75" customHeight="1" thickBot="1" x14ac:dyDescent="0.35">
      <c r="A19" s="247">
        <v>10</v>
      </c>
      <c r="B19" s="157" t="s">
        <v>281</v>
      </c>
      <c r="C19" s="182">
        <v>3</v>
      </c>
      <c r="D19" s="182">
        <v>3</v>
      </c>
      <c r="E19" s="182">
        <v>4</v>
      </c>
      <c r="F19" s="182">
        <v>3</v>
      </c>
      <c r="G19" s="176"/>
      <c r="H19" s="176"/>
      <c r="I19" s="176"/>
      <c r="J19" s="176"/>
      <c r="K19" s="176"/>
      <c r="L19" s="176"/>
      <c r="M19" s="176"/>
      <c r="N19" s="176"/>
      <c r="O19" s="176"/>
      <c r="P19" s="176"/>
      <c r="Q19" s="176"/>
      <c r="R19" s="198">
        <f t="shared" si="0"/>
        <v>13</v>
      </c>
      <c r="S19" s="199">
        <f t="shared" si="1"/>
        <v>3.25</v>
      </c>
      <c r="T19" s="177"/>
    </row>
    <row r="20" spans="1:27" ht="54" customHeight="1" thickBot="1" x14ac:dyDescent="0.35">
      <c r="A20" s="247">
        <v>11</v>
      </c>
      <c r="B20" s="157" t="s">
        <v>287</v>
      </c>
      <c r="C20" s="182">
        <v>4</v>
      </c>
      <c r="D20" s="182">
        <v>4</v>
      </c>
      <c r="E20" s="182">
        <v>5</v>
      </c>
      <c r="F20" s="182">
        <v>4</v>
      </c>
      <c r="G20" s="176"/>
      <c r="H20" s="176"/>
      <c r="I20" s="176"/>
      <c r="J20" s="176"/>
      <c r="K20" s="176"/>
      <c r="L20" s="176"/>
      <c r="M20" s="176"/>
      <c r="N20" s="176"/>
      <c r="O20" s="176"/>
      <c r="P20" s="176"/>
      <c r="Q20" s="176"/>
      <c r="R20" s="198">
        <f t="shared" si="0"/>
        <v>17</v>
      </c>
      <c r="S20" s="199">
        <f t="shared" si="1"/>
        <v>4.25</v>
      </c>
      <c r="T20" s="177"/>
    </row>
    <row r="21" spans="1:27" ht="48" customHeight="1" thickBot="1" x14ac:dyDescent="0.35">
      <c r="A21" s="247">
        <v>12</v>
      </c>
      <c r="B21" s="157" t="s">
        <v>292</v>
      </c>
      <c r="C21" s="182">
        <v>3</v>
      </c>
      <c r="D21" s="182">
        <v>3</v>
      </c>
      <c r="E21" s="182">
        <v>3</v>
      </c>
      <c r="F21" s="182">
        <v>3</v>
      </c>
      <c r="G21" s="176"/>
      <c r="H21" s="176"/>
      <c r="I21" s="176"/>
      <c r="J21" s="176"/>
      <c r="K21" s="176"/>
      <c r="L21" s="176"/>
      <c r="M21" s="176"/>
      <c r="N21" s="176"/>
      <c r="O21" s="176"/>
      <c r="P21" s="176"/>
      <c r="Q21" s="176"/>
      <c r="R21" s="198">
        <f t="shared" si="0"/>
        <v>12</v>
      </c>
      <c r="S21" s="199">
        <f t="shared" si="1"/>
        <v>3</v>
      </c>
      <c r="T21" s="177"/>
    </row>
    <row r="22" spans="1:27" ht="51.6" customHeight="1" thickBot="1" x14ac:dyDescent="0.35">
      <c r="A22" s="250">
        <v>13</v>
      </c>
      <c r="B22" s="157" t="s">
        <v>269</v>
      </c>
      <c r="C22" s="182">
        <v>3</v>
      </c>
      <c r="D22" s="182">
        <v>3</v>
      </c>
      <c r="E22" s="182">
        <v>3</v>
      </c>
      <c r="F22" s="182">
        <v>3</v>
      </c>
      <c r="G22" s="176"/>
      <c r="H22" s="176"/>
      <c r="I22" s="176"/>
      <c r="J22" s="176"/>
      <c r="K22" s="176"/>
      <c r="L22" s="176"/>
      <c r="M22" s="176"/>
      <c r="N22" s="176"/>
      <c r="O22" s="176"/>
      <c r="P22" s="176"/>
      <c r="Q22" s="176"/>
      <c r="R22" s="198">
        <f t="shared" si="0"/>
        <v>12</v>
      </c>
      <c r="S22" s="199">
        <f t="shared" si="1"/>
        <v>3</v>
      </c>
      <c r="T22" s="177"/>
    </row>
    <row r="23" spans="1:27" ht="80.400000000000006" customHeight="1" thickBot="1" x14ac:dyDescent="0.35">
      <c r="A23" s="250">
        <v>14</v>
      </c>
      <c r="B23" s="157" t="s">
        <v>273</v>
      </c>
      <c r="C23" s="182">
        <v>4</v>
      </c>
      <c r="D23" s="182">
        <v>4</v>
      </c>
      <c r="E23" s="182">
        <v>4</v>
      </c>
      <c r="F23" s="182">
        <v>4</v>
      </c>
      <c r="G23" s="176"/>
      <c r="H23" s="176"/>
      <c r="I23" s="176"/>
      <c r="J23" s="176"/>
      <c r="K23" s="176"/>
      <c r="L23" s="176"/>
      <c r="M23" s="176"/>
      <c r="N23" s="176"/>
      <c r="O23" s="176"/>
      <c r="P23" s="176"/>
      <c r="Q23" s="176"/>
      <c r="R23" s="198">
        <f t="shared" si="0"/>
        <v>16</v>
      </c>
      <c r="S23" s="199">
        <f t="shared" si="1"/>
        <v>4</v>
      </c>
      <c r="T23" s="177"/>
    </row>
    <row r="24" spans="1:27" ht="39.75" customHeight="1" thickBot="1" x14ac:dyDescent="0.35">
      <c r="A24" s="250">
        <v>15</v>
      </c>
      <c r="B24" s="157" t="s">
        <v>278</v>
      </c>
      <c r="C24" s="182">
        <v>4</v>
      </c>
      <c r="D24" s="182">
        <v>4</v>
      </c>
      <c r="E24" s="182">
        <v>3</v>
      </c>
      <c r="F24" s="182">
        <v>3</v>
      </c>
      <c r="G24" s="176"/>
      <c r="H24" s="176"/>
      <c r="I24" s="176"/>
      <c r="J24" s="176"/>
      <c r="K24" s="176"/>
      <c r="L24" s="176"/>
      <c r="M24" s="176"/>
      <c r="N24" s="176"/>
      <c r="O24" s="176"/>
      <c r="P24" s="176"/>
      <c r="Q24" s="176"/>
      <c r="R24" s="198">
        <f t="shared" si="0"/>
        <v>14</v>
      </c>
      <c r="S24" s="199">
        <f t="shared" si="1"/>
        <v>3.5</v>
      </c>
      <c r="T24" s="177"/>
    </row>
    <row r="25" spans="1:27" ht="55.2" customHeight="1" thickBot="1" x14ac:dyDescent="0.35">
      <c r="A25" s="250">
        <v>16</v>
      </c>
      <c r="B25" s="157" t="s">
        <v>283</v>
      </c>
      <c r="C25" s="182">
        <v>4</v>
      </c>
      <c r="D25" s="182">
        <v>3</v>
      </c>
      <c r="E25" s="182">
        <v>3</v>
      </c>
      <c r="F25" s="182">
        <v>3</v>
      </c>
      <c r="G25" s="176"/>
      <c r="H25" s="176"/>
      <c r="I25" s="176"/>
      <c r="J25" s="176"/>
      <c r="K25" s="176"/>
      <c r="L25" s="176"/>
      <c r="M25" s="176"/>
      <c r="N25" s="176"/>
      <c r="O25" s="176"/>
      <c r="P25" s="176"/>
      <c r="Q25" s="176"/>
      <c r="R25" s="198">
        <f t="shared" si="0"/>
        <v>13</v>
      </c>
      <c r="S25" s="199">
        <f t="shared" si="1"/>
        <v>3.25</v>
      </c>
      <c r="T25" s="177"/>
    </row>
    <row r="26" spans="1:27" ht="66" customHeight="1" thickBot="1" x14ac:dyDescent="0.35">
      <c r="A26" s="250">
        <v>17</v>
      </c>
      <c r="B26" s="157" t="s">
        <v>289</v>
      </c>
      <c r="C26" s="182">
        <v>4</v>
      </c>
      <c r="D26" s="182">
        <v>4</v>
      </c>
      <c r="E26" s="182">
        <v>4</v>
      </c>
      <c r="F26" s="182">
        <v>4</v>
      </c>
      <c r="G26" s="176"/>
      <c r="H26" s="176"/>
      <c r="I26" s="176"/>
      <c r="J26" s="176"/>
      <c r="K26" s="176"/>
      <c r="L26" s="176"/>
      <c r="M26" s="176"/>
      <c r="N26" s="176"/>
      <c r="O26" s="176"/>
      <c r="P26" s="176"/>
      <c r="Q26" s="176"/>
      <c r="R26" s="198">
        <f t="shared" si="0"/>
        <v>16</v>
      </c>
      <c r="S26" s="199">
        <f t="shared" si="1"/>
        <v>4</v>
      </c>
      <c r="T26" s="177"/>
    </row>
    <row r="27" spans="1:27" ht="24" customHeight="1" x14ac:dyDescent="0.3">
      <c r="A27" s="340" t="s">
        <v>244</v>
      </c>
      <c r="B27" s="341"/>
      <c r="C27" s="341"/>
      <c r="D27" s="341"/>
      <c r="E27" s="341"/>
      <c r="F27" s="341"/>
      <c r="G27" s="341"/>
      <c r="H27" s="341"/>
      <c r="I27" s="341"/>
      <c r="J27" s="341"/>
      <c r="K27" s="341"/>
      <c r="L27" s="341"/>
      <c r="M27" s="341"/>
      <c r="N27" s="341"/>
      <c r="O27" s="341"/>
      <c r="P27" s="341"/>
      <c r="Q27" s="341"/>
      <c r="R27" s="342"/>
      <c r="S27" s="200">
        <f>SUM(S10:S26)</f>
        <v>61</v>
      </c>
      <c r="AA27" s="252"/>
    </row>
    <row r="28" spans="1:27" ht="28.5" customHeight="1" thickBot="1" x14ac:dyDescent="0.35">
      <c r="A28" s="328" t="s">
        <v>242</v>
      </c>
      <c r="B28" s="329"/>
      <c r="C28" s="329"/>
      <c r="D28" s="329"/>
      <c r="E28" s="329"/>
      <c r="F28" s="329"/>
      <c r="G28" s="329"/>
      <c r="H28" s="329"/>
      <c r="I28" s="329"/>
      <c r="J28" s="329"/>
      <c r="K28" s="329"/>
      <c r="L28" s="329"/>
      <c r="M28" s="329"/>
      <c r="N28" s="329"/>
      <c r="O28" s="329"/>
      <c r="P28" s="329"/>
      <c r="Q28" s="329"/>
      <c r="R28" s="329"/>
      <c r="S28" s="201">
        <f>S27/A26</f>
        <v>3.5882352941176472</v>
      </c>
    </row>
  </sheetData>
  <mergeCells count="14">
    <mergeCell ref="C1:R2"/>
    <mergeCell ref="C3:R4"/>
    <mergeCell ref="A1:B4"/>
    <mergeCell ref="A28:R28"/>
    <mergeCell ref="T1:W1"/>
    <mergeCell ref="T2:W2"/>
    <mergeCell ref="T3:W3"/>
    <mergeCell ref="T4:W4"/>
    <mergeCell ref="A5:T5"/>
    <mergeCell ref="A6:T6"/>
    <mergeCell ref="A7:T7"/>
    <mergeCell ref="A8:T8"/>
    <mergeCell ref="A27:R27"/>
    <mergeCell ref="S1:S4"/>
  </mergeCells>
  <conditionalFormatting sqref="Z13">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2">
    <dataValidation type="whole" showErrorMessage="1" error="DATO INVÁLIDO_x000a_Tenga en cuenta que la escala de calificación va de 1 a 5" sqref="G10:Q26" xr:uid="{00000000-0002-0000-0200-000000000000}">
      <formula1>1</formula1>
      <formula2>5</formula2>
    </dataValidation>
    <dataValidation type="whole" allowBlank="1" showInputMessage="1" showErrorMessage="1" sqref="C10:F26" xr:uid="{00000000-0002-0000-0200-000001000000}">
      <formula1>1</formula1>
      <formula2>10</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19</xdr:col>
                    <xdr:colOff>525780</xdr:colOff>
                    <xdr:row>9</xdr:row>
                    <xdr:rowOff>60960</xdr:rowOff>
                  </from>
                  <to>
                    <xdr:col>19</xdr:col>
                    <xdr:colOff>1165860</xdr:colOff>
                    <xdr:row>9</xdr:row>
                    <xdr:rowOff>426720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19</xdr:col>
                    <xdr:colOff>525780</xdr:colOff>
                    <xdr:row>10</xdr:row>
                    <xdr:rowOff>60960</xdr:rowOff>
                  </from>
                  <to>
                    <xdr:col>19</xdr:col>
                    <xdr:colOff>1165860</xdr:colOff>
                    <xdr:row>10</xdr:row>
                    <xdr:rowOff>426720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19</xdr:col>
                    <xdr:colOff>525780</xdr:colOff>
                    <xdr:row>11</xdr:row>
                    <xdr:rowOff>60960</xdr:rowOff>
                  </from>
                  <to>
                    <xdr:col>19</xdr:col>
                    <xdr:colOff>1165860</xdr:colOff>
                    <xdr:row>11</xdr:row>
                    <xdr:rowOff>426720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19</xdr:col>
                    <xdr:colOff>525780</xdr:colOff>
                    <xdr:row>12</xdr:row>
                    <xdr:rowOff>60960</xdr:rowOff>
                  </from>
                  <to>
                    <xdr:col>19</xdr:col>
                    <xdr:colOff>1165860</xdr:colOff>
                    <xdr:row>12</xdr:row>
                    <xdr:rowOff>426720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19</xdr:col>
                    <xdr:colOff>525780</xdr:colOff>
                    <xdr:row>13</xdr:row>
                    <xdr:rowOff>60960</xdr:rowOff>
                  </from>
                  <to>
                    <xdr:col>19</xdr:col>
                    <xdr:colOff>1165860</xdr:colOff>
                    <xdr:row>13</xdr:row>
                    <xdr:rowOff>426720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19</xdr:col>
                    <xdr:colOff>525780</xdr:colOff>
                    <xdr:row>14</xdr:row>
                    <xdr:rowOff>60960</xdr:rowOff>
                  </from>
                  <to>
                    <xdr:col>19</xdr:col>
                    <xdr:colOff>1165860</xdr:colOff>
                    <xdr:row>14</xdr:row>
                    <xdr:rowOff>426720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19</xdr:col>
                    <xdr:colOff>525780</xdr:colOff>
                    <xdr:row>15</xdr:row>
                    <xdr:rowOff>60960</xdr:rowOff>
                  </from>
                  <to>
                    <xdr:col>19</xdr:col>
                    <xdr:colOff>1165860</xdr:colOff>
                    <xdr:row>15</xdr:row>
                    <xdr:rowOff>426720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19</xdr:col>
                    <xdr:colOff>525780</xdr:colOff>
                    <xdr:row>16</xdr:row>
                    <xdr:rowOff>60960</xdr:rowOff>
                  </from>
                  <to>
                    <xdr:col>19</xdr:col>
                    <xdr:colOff>1165860</xdr:colOff>
                    <xdr:row>16</xdr:row>
                    <xdr:rowOff>426720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19</xdr:col>
                    <xdr:colOff>525780</xdr:colOff>
                    <xdr:row>17</xdr:row>
                    <xdr:rowOff>60960</xdr:rowOff>
                  </from>
                  <to>
                    <xdr:col>19</xdr:col>
                    <xdr:colOff>1165860</xdr:colOff>
                    <xdr:row>17</xdr:row>
                    <xdr:rowOff>426720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19</xdr:col>
                    <xdr:colOff>525780</xdr:colOff>
                    <xdr:row>18</xdr:row>
                    <xdr:rowOff>60960</xdr:rowOff>
                  </from>
                  <to>
                    <xdr:col>19</xdr:col>
                    <xdr:colOff>1165860</xdr:colOff>
                    <xdr:row>18</xdr:row>
                    <xdr:rowOff>426720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19</xdr:col>
                    <xdr:colOff>525780</xdr:colOff>
                    <xdr:row>19</xdr:row>
                    <xdr:rowOff>60960</xdr:rowOff>
                  </from>
                  <to>
                    <xdr:col>19</xdr:col>
                    <xdr:colOff>1165860</xdr:colOff>
                    <xdr:row>19</xdr:row>
                    <xdr:rowOff>426720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19</xdr:col>
                    <xdr:colOff>525780</xdr:colOff>
                    <xdr:row>20</xdr:row>
                    <xdr:rowOff>60960</xdr:rowOff>
                  </from>
                  <to>
                    <xdr:col>19</xdr:col>
                    <xdr:colOff>1165860</xdr:colOff>
                    <xdr:row>20</xdr:row>
                    <xdr:rowOff>426720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19</xdr:col>
                    <xdr:colOff>525780</xdr:colOff>
                    <xdr:row>21</xdr:row>
                    <xdr:rowOff>60960</xdr:rowOff>
                  </from>
                  <to>
                    <xdr:col>19</xdr:col>
                    <xdr:colOff>1165860</xdr:colOff>
                    <xdr:row>21</xdr:row>
                    <xdr:rowOff>426720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19</xdr:col>
                    <xdr:colOff>525780</xdr:colOff>
                    <xdr:row>22</xdr:row>
                    <xdr:rowOff>60960</xdr:rowOff>
                  </from>
                  <to>
                    <xdr:col>19</xdr:col>
                    <xdr:colOff>1165860</xdr:colOff>
                    <xdr:row>22</xdr:row>
                    <xdr:rowOff>426720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19</xdr:col>
                    <xdr:colOff>525780</xdr:colOff>
                    <xdr:row>23</xdr:row>
                    <xdr:rowOff>60960</xdr:rowOff>
                  </from>
                  <to>
                    <xdr:col>19</xdr:col>
                    <xdr:colOff>1165860</xdr:colOff>
                    <xdr:row>23</xdr:row>
                    <xdr:rowOff>426720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19</xdr:col>
                    <xdr:colOff>525780</xdr:colOff>
                    <xdr:row>24</xdr:row>
                    <xdr:rowOff>60960</xdr:rowOff>
                  </from>
                  <to>
                    <xdr:col>19</xdr:col>
                    <xdr:colOff>1165860</xdr:colOff>
                    <xdr:row>24</xdr:row>
                    <xdr:rowOff>426720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19</xdr:col>
                    <xdr:colOff>525780</xdr:colOff>
                    <xdr:row>25</xdr:row>
                    <xdr:rowOff>60960</xdr:rowOff>
                  </from>
                  <to>
                    <xdr:col>19</xdr:col>
                    <xdr:colOff>1165860</xdr:colOff>
                    <xdr:row>25</xdr:row>
                    <xdr:rowOff>426720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2"/>
  <sheetViews>
    <sheetView zoomScale="70" zoomScaleNormal="70" workbookViewId="0">
      <selection activeCell="M9" sqref="M9"/>
    </sheetView>
  </sheetViews>
  <sheetFormatPr baseColWidth="10" defaultColWidth="11.44140625" defaultRowHeight="13.8" x14ac:dyDescent="0.25"/>
  <cols>
    <col min="1" max="2" width="6.5546875" style="147" customWidth="1"/>
    <col min="3" max="3" width="32.6640625" style="147" customWidth="1"/>
    <col min="4" max="4" width="27.5546875" style="147" customWidth="1"/>
    <col min="5" max="5" width="38" style="147" customWidth="1"/>
    <col min="6" max="6" width="30.33203125" style="147" customWidth="1"/>
    <col min="7" max="7" width="18.33203125" style="147" customWidth="1"/>
    <col min="8" max="8" width="15.5546875" style="147" customWidth="1"/>
    <col min="9" max="9" width="19.33203125" style="147" customWidth="1"/>
    <col min="10" max="10" width="23.44140625" style="147" customWidth="1"/>
    <col min="11" max="16384" width="11.44140625" style="147"/>
  </cols>
  <sheetData>
    <row r="1" spans="1:14" ht="15" customHeight="1" x14ac:dyDescent="0.25">
      <c r="A1" s="298"/>
      <c r="B1" s="298"/>
      <c r="C1" s="298"/>
      <c r="D1" s="318" t="s">
        <v>371</v>
      </c>
      <c r="E1" s="318"/>
      <c r="F1" s="318"/>
      <c r="G1" s="319"/>
      <c r="H1" s="343" t="s">
        <v>259</v>
      </c>
      <c r="I1" s="344"/>
      <c r="J1" s="345"/>
      <c r="K1" s="146"/>
      <c r="N1" s="297"/>
    </row>
    <row r="2" spans="1:14" ht="15" customHeight="1" x14ac:dyDescent="0.25">
      <c r="A2" s="298"/>
      <c r="B2" s="298"/>
      <c r="C2" s="298"/>
      <c r="D2" s="321"/>
      <c r="E2" s="321"/>
      <c r="F2" s="321"/>
      <c r="G2" s="322"/>
      <c r="H2" s="348" t="s">
        <v>260</v>
      </c>
      <c r="I2" s="349"/>
      <c r="J2" s="346"/>
      <c r="K2" s="146"/>
      <c r="N2" s="297"/>
    </row>
    <row r="3" spans="1:14" ht="15" customHeight="1" x14ac:dyDescent="0.25">
      <c r="A3" s="298"/>
      <c r="B3" s="298"/>
      <c r="C3" s="298"/>
      <c r="D3" s="324" t="s">
        <v>245</v>
      </c>
      <c r="E3" s="324"/>
      <c r="F3" s="324"/>
      <c r="G3" s="325"/>
      <c r="H3" s="348" t="s">
        <v>263</v>
      </c>
      <c r="I3" s="349"/>
      <c r="J3" s="346"/>
      <c r="K3" s="146"/>
      <c r="N3" s="297"/>
    </row>
    <row r="4" spans="1:14" ht="15.75" customHeight="1" x14ac:dyDescent="0.25">
      <c r="A4" s="298"/>
      <c r="B4" s="298"/>
      <c r="C4" s="298"/>
      <c r="D4" s="321"/>
      <c r="E4" s="321"/>
      <c r="F4" s="321"/>
      <c r="G4" s="322"/>
      <c r="H4" s="348" t="s">
        <v>262</v>
      </c>
      <c r="I4" s="349"/>
      <c r="J4" s="347"/>
      <c r="K4" s="146"/>
      <c r="N4" s="297"/>
    </row>
    <row r="5" spans="1:14" ht="15.75" customHeight="1" x14ac:dyDescent="0.25">
      <c r="A5" s="350"/>
      <c r="B5" s="351"/>
      <c r="C5" s="351"/>
      <c r="D5" s="351"/>
      <c r="E5" s="351"/>
      <c r="F5" s="351"/>
      <c r="G5" s="351"/>
      <c r="H5" s="351"/>
      <c r="I5" s="351"/>
      <c r="J5" s="352"/>
      <c r="K5" s="146"/>
      <c r="N5" s="148"/>
    </row>
    <row r="6" spans="1:14" ht="15" customHeight="1" x14ac:dyDescent="0.25">
      <c r="A6" s="353" t="str">
        <f>[1]CONTEXTO!A8</f>
        <v>PROCESO:  GESTIÓN DEL DESARROLLO ECONÓMICO Y LA COMPETITIVIDAD</v>
      </c>
      <c r="B6" s="354"/>
      <c r="C6" s="354"/>
      <c r="D6" s="354"/>
      <c r="E6" s="354"/>
      <c r="F6" s="354"/>
      <c r="G6" s="354"/>
      <c r="H6" s="354"/>
      <c r="I6" s="354"/>
      <c r="J6" s="355"/>
    </row>
    <row r="7" spans="1:14" ht="32.25" customHeight="1" thickBot="1" x14ac:dyDescent="0.3">
      <c r="A7" s="356"/>
      <c r="B7" s="357"/>
      <c r="C7" s="357"/>
      <c r="D7" s="357"/>
      <c r="E7" s="357"/>
      <c r="F7" s="357"/>
      <c r="G7" s="357"/>
      <c r="H7" s="357"/>
      <c r="I7" s="357"/>
      <c r="J7" s="358"/>
    </row>
    <row r="8" spans="1:14" ht="23.25" customHeight="1" x14ac:dyDescent="0.25">
      <c r="A8" s="359" t="s">
        <v>246</v>
      </c>
      <c r="B8" s="359"/>
      <c r="C8" s="359"/>
      <c r="D8" s="359"/>
      <c r="E8" s="360" t="s">
        <v>218</v>
      </c>
      <c r="F8" s="361"/>
      <c r="G8" s="361"/>
      <c r="H8" s="361"/>
      <c r="I8" s="361"/>
      <c r="J8" s="362"/>
    </row>
    <row r="9" spans="1:14" ht="23.25" customHeight="1" x14ac:dyDescent="0.25">
      <c r="A9" s="359"/>
      <c r="B9" s="359"/>
      <c r="C9" s="359"/>
      <c r="D9" s="359"/>
      <c r="E9" s="363" t="s">
        <v>247</v>
      </c>
      <c r="F9" s="363"/>
      <c r="G9" s="363" t="s">
        <v>248</v>
      </c>
      <c r="H9" s="363"/>
      <c r="I9" s="363"/>
      <c r="J9" s="363"/>
    </row>
    <row r="10" spans="1:14" ht="23.25" customHeight="1" x14ac:dyDescent="0.3">
      <c r="A10" s="359"/>
      <c r="B10" s="359"/>
      <c r="C10" s="359"/>
      <c r="D10" s="359"/>
      <c r="E10" s="364" t="s">
        <v>249</v>
      </c>
      <c r="F10" s="364"/>
      <c r="G10" s="365" t="s">
        <v>250</v>
      </c>
      <c r="H10" s="366"/>
      <c r="I10" s="366"/>
      <c r="J10" s="367"/>
    </row>
    <row r="11" spans="1:14" ht="43.5" customHeight="1" x14ac:dyDescent="0.25">
      <c r="A11" s="359"/>
      <c r="B11" s="359"/>
      <c r="C11" s="359"/>
      <c r="D11" s="359"/>
      <c r="E11" s="368" t="s">
        <v>295</v>
      </c>
      <c r="F11" s="369"/>
      <c r="G11" s="370" t="s">
        <v>296</v>
      </c>
      <c r="H11" s="370"/>
      <c r="I11" s="370"/>
      <c r="J11" s="370"/>
    </row>
    <row r="12" spans="1:14" ht="43.5" customHeight="1" x14ac:dyDescent="0.25">
      <c r="A12" s="359"/>
      <c r="B12" s="359"/>
      <c r="C12" s="359"/>
      <c r="D12" s="359"/>
      <c r="E12" s="368" t="s">
        <v>272</v>
      </c>
      <c r="F12" s="369"/>
      <c r="G12" s="370" t="s">
        <v>297</v>
      </c>
      <c r="H12" s="370"/>
      <c r="I12" s="370"/>
      <c r="J12" s="370"/>
    </row>
    <row r="13" spans="1:14" ht="43.5" customHeight="1" x14ac:dyDescent="0.25">
      <c r="A13" s="359"/>
      <c r="B13" s="359"/>
      <c r="C13" s="359"/>
      <c r="D13" s="359"/>
      <c r="E13" s="373" t="s">
        <v>298</v>
      </c>
      <c r="F13" s="374"/>
      <c r="G13" s="378" t="s">
        <v>299</v>
      </c>
      <c r="H13" s="379"/>
      <c r="I13" s="379"/>
      <c r="J13" s="380"/>
    </row>
    <row r="14" spans="1:14" ht="43.5" customHeight="1" x14ac:dyDescent="0.25">
      <c r="A14" s="359"/>
      <c r="B14" s="359"/>
      <c r="C14" s="359"/>
      <c r="D14" s="359"/>
      <c r="E14" s="368" t="s">
        <v>300</v>
      </c>
      <c r="F14" s="369"/>
      <c r="G14" s="370" t="s">
        <v>301</v>
      </c>
      <c r="H14" s="370"/>
      <c r="I14" s="370"/>
      <c r="J14" s="370"/>
    </row>
    <row r="15" spans="1:14" ht="49.5" customHeight="1" x14ac:dyDescent="0.25">
      <c r="A15" s="359"/>
      <c r="B15" s="359"/>
      <c r="C15" s="359"/>
      <c r="D15" s="359"/>
      <c r="E15" s="368" t="s">
        <v>302</v>
      </c>
      <c r="F15" s="369"/>
      <c r="G15" s="371" t="s">
        <v>303</v>
      </c>
      <c r="H15" s="372"/>
      <c r="I15" s="372"/>
      <c r="J15" s="372"/>
    </row>
    <row r="16" spans="1:14" ht="49.5" customHeight="1" x14ac:dyDescent="0.25">
      <c r="A16" s="359"/>
      <c r="B16" s="359"/>
      <c r="C16" s="359"/>
      <c r="D16" s="359"/>
      <c r="E16" s="373" t="s">
        <v>304</v>
      </c>
      <c r="F16" s="374"/>
      <c r="G16" s="371" t="s">
        <v>305</v>
      </c>
      <c r="H16" s="371"/>
      <c r="I16" s="371"/>
      <c r="J16" s="371"/>
    </row>
    <row r="17" spans="1:10" ht="54.75" customHeight="1" x14ac:dyDescent="0.25">
      <c r="A17" s="359"/>
      <c r="B17" s="359"/>
      <c r="C17" s="359"/>
      <c r="D17" s="359"/>
      <c r="E17" s="368" t="s">
        <v>306</v>
      </c>
      <c r="F17" s="369"/>
      <c r="G17" s="375" t="s">
        <v>307</v>
      </c>
      <c r="H17" s="376"/>
      <c r="I17" s="376"/>
      <c r="J17" s="377"/>
    </row>
    <row r="18" spans="1:10" ht="48.75" customHeight="1" x14ac:dyDescent="0.25">
      <c r="A18" s="359"/>
      <c r="B18" s="359"/>
      <c r="C18" s="359"/>
      <c r="D18" s="359"/>
      <c r="E18" s="381"/>
      <c r="F18" s="382"/>
      <c r="G18" s="389"/>
      <c r="H18" s="389"/>
      <c r="I18" s="389"/>
      <c r="J18" s="389"/>
    </row>
    <row r="19" spans="1:10" ht="54.75" customHeight="1" x14ac:dyDescent="0.25">
      <c r="A19" s="359"/>
      <c r="B19" s="359"/>
      <c r="C19" s="359"/>
      <c r="D19" s="359"/>
      <c r="E19" s="381"/>
      <c r="F19" s="382"/>
      <c r="G19" s="389"/>
      <c r="H19" s="389"/>
      <c r="I19" s="389"/>
      <c r="J19" s="389"/>
    </row>
    <row r="20" spans="1:10" ht="59.25" customHeight="1" x14ac:dyDescent="0.25">
      <c r="A20" s="359"/>
      <c r="B20" s="359"/>
      <c r="C20" s="359"/>
      <c r="D20" s="359"/>
      <c r="E20" s="381"/>
      <c r="F20" s="382"/>
      <c r="G20" s="389"/>
      <c r="H20" s="389"/>
      <c r="I20" s="389"/>
      <c r="J20" s="389"/>
    </row>
    <row r="21" spans="1:10" ht="49.5" customHeight="1" x14ac:dyDescent="0.25">
      <c r="A21" s="359"/>
      <c r="B21" s="359"/>
      <c r="C21" s="359"/>
      <c r="D21" s="359"/>
      <c r="E21" s="381"/>
      <c r="F21" s="382"/>
      <c r="G21" s="383"/>
      <c r="H21" s="384"/>
      <c r="I21" s="384"/>
      <c r="J21" s="385"/>
    </row>
    <row r="22" spans="1:10" ht="49.5" customHeight="1" x14ac:dyDescent="0.25">
      <c r="A22" s="359"/>
      <c r="B22" s="359"/>
      <c r="C22" s="359"/>
      <c r="D22" s="359"/>
      <c r="E22" s="381"/>
      <c r="F22" s="382"/>
      <c r="G22" s="386"/>
      <c r="H22" s="387"/>
      <c r="I22" s="387"/>
      <c r="J22" s="388"/>
    </row>
    <row r="23" spans="1:10" ht="49.5" customHeight="1" x14ac:dyDescent="0.25">
      <c r="A23" s="359"/>
      <c r="B23" s="359"/>
      <c r="C23" s="359"/>
      <c r="D23" s="359"/>
      <c r="E23" s="381"/>
      <c r="F23" s="382"/>
      <c r="G23" s="386"/>
      <c r="H23" s="387"/>
      <c r="I23" s="387"/>
      <c r="J23" s="388"/>
    </row>
    <row r="24" spans="1:10" ht="49.5" customHeight="1" x14ac:dyDescent="0.25">
      <c r="A24" s="359"/>
      <c r="B24" s="359"/>
      <c r="C24" s="359"/>
      <c r="D24" s="359"/>
      <c r="E24" s="381"/>
      <c r="F24" s="382"/>
      <c r="G24" s="386"/>
      <c r="H24" s="387"/>
      <c r="I24" s="387"/>
      <c r="J24" s="388"/>
    </row>
    <row r="25" spans="1:10" ht="49.5" customHeight="1" x14ac:dyDescent="0.25">
      <c r="A25" s="359"/>
      <c r="B25" s="359"/>
      <c r="C25" s="359"/>
      <c r="D25" s="359"/>
      <c r="E25" s="381"/>
      <c r="F25" s="382"/>
      <c r="G25" s="383"/>
      <c r="H25" s="384"/>
      <c r="I25" s="384"/>
      <c r="J25" s="385"/>
    </row>
    <row r="26" spans="1:10" ht="51.75" customHeight="1" x14ac:dyDescent="0.25">
      <c r="A26" s="390" t="s">
        <v>216</v>
      </c>
      <c r="B26" s="390" t="s">
        <v>248</v>
      </c>
      <c r="C26" s="364" t="s">
        <v>251</v>
      </c>
      <c r="D26" s="364"/>
      <c r="E26" s="363" t="s">
        <v>252</v>
      </c>
      <c r="F26" s="364"/>
      <c r="G26" s="360" t="s">
        <v>253</v>
      </c>
      <c r="H26" s="391"/>
      <c r="I26" s="391"/>
      <c r="J26" s="392"/>
    </row>
    <row r="27" spans="1:10" ht="107.4" customHeight="1" x14ac:dyDescent="0.25">
      <c r="A27" s="390"/>
      <c r="B27" s="390"/>
      <c r="C27" s="393" t="s">
        <v>308</v>
      </c>
      <c r="D27" s="394"/>
      <c r="E27" s="397" t="s">
        <v>372</v>
      </c>
      <c r="F27" s="398"/>
      <c r="G27" s="397" t="s">
        <v>309</v>
      </c>
      <c r="H27" s="405"/>
      <c r="I27" s="405"/>
      <c r="J27" s="398"/>
    </row>
    <row r="28" spans="1:10" ht="102.6" customHeight="1" x14ac:dyDescent="0.25">
      <c r="A28" s="390"/>
      <c r="B28" s="390"/>
      <c r="C28" s="395" t="s">
        <v>310</v>
      </c>
      <c r="D28" s="394"/>
      <c r="E28" s="397" t="s">
        <v>311</v>
      </c>
      <c r="F28" s="398"/>
      <c r="G28" s="397" t="s">
        <v>312</v>
      </c>
      <c r="H28" s="405"/>
      <c r="I28" s="405"/>
      <c r="J28" s="398"/>
    </row>
    <row r="29" spans="1:10" ht="70.2" customHeight="1" x14ac:dyDescent="0.25">
      <c r="A29" s="390"/>
      <c r="B29" s="390"/>
      <c r="C29" s="395" t="s">
        <v>313</v>
      </c>
      <c r="D29" s="394"/>
      <c r="E29" s="397" t="s">
        <v>314</v>
      </c>
      <c r="F29" s="398"/>
      <c r="G29" s="399"/>
      <c r="H29" s="400"/>
      <c r="I29" s="400"/>
      <c r="J29" s="401"/>
    </row>
    <row r="30" spans="1:10" ht="64.95" customHeight="1" x14ac:dyDescent="0.25">
      <c r="A30" s="390"/>
      <c r="B30" s="390"/>
      <c r="C30" s="395" t="s">
        <v>315</v>
      </c>
      <c r="D30" s="396"/>
      <c r="E30" s="397" t="s">
        <v>316</v>
      </c>
      <c r="F30" s="398"/>
      <c r="G30" s="399"/>
      <c r="H30" s="400"/>
      <c r="I30" s="400"/>
      <c r="J30" s="401"/>
    </row>
    <row r="31" spans="1:10" ht="85.2" customHeight="1" x14ac:dyDescent="0.25">
      <c r="A31" s="390"/>
      <c r="B31" s="390"/>
      <c r="C31" s="395" t="s">
        <v>317</v>
      </c>
      <c r="D31" s="394"/>
      <c r="E31" s="397" t="s">
        <v>318</v>
      </c>
      <c r="F31" s="398"/>
      <c r="G31" s="402"/>
      <c r="H31" s="403"/>
      <c r="I31" s="403"/>
      <c r="J31" s="404"/>
    </row>
    <row r="32" spans="1:10" ht="94.2" customHeight="1" x14ac:dyDescent="0.25">
      <c r="A32" s="390"/>
      <c r="B32" s="390"/>
      <c r="C32" s="395" t="s">
        <v>319</v>
      </c>
      <c r="D32" s="394"/>
      <c r="E32" s="397" t="s">
        <v>320</v>
      </c>
      <c r="F32" s="398"/>
      <c r="G32" s="402"/>
      <c r="H32" s="402"/>
      <c r="I32" s="402"/>
      <c r="J32" s="402"/>
    </row>
    <row r="33" spans="1:10" ht="94.2" customHeight="1" x14ac:dyDescent="0.25">
      <c r="A33" s="390"/>
      <c r="B33" s="390"/>
      <c r="C33" s="395" t="s">
        <v>321</v>
      </c>
      <c r="D33" s="394"/>
      <c r="E33" s="408" t="s">
        <v>322</v>
      </c>
      <c r="F33" s="409"/>
      <c r="G33" s="410"/>
      <c r="H33" s="403"/>
      <c r="I33" s="403"/>
      <c r="J33" s="404"/>
    </row>
    <row r="34" spans="1:10" ht="51" customHeight="1" x14ac:dyDescent="0.25">
      <c r="A34" s="390"/>
      <c r="B34" s="390"/>
      <c r="C34" s="395" t="s">
        <v>323</v>
      </c>
      <c r="D34" s="394"/>
      <c r="E34" s="406"/>
      <c r="F34" s="407"/>
      <c r="G34" s="402"/>
      <c r="H34" s="402"/>
      <c r="I34" s="402"/>
      <c r="J34" s="402"/>
    </row>
    <row r="35" spans="1:10" ht="51" customHeight="1" x14ac:dyDescent="0.25">
      <c r="A35" s="390"/>
      <c r="B35" s="390"/>
      <c r="C35" s="395" t="s">
        <v>324</v>
      </c>
      <c r="D35" s="394"/>
      <c r="E35" s="406"/>
      <c r="F35" s="407"/>
      <c r="G35" s="402"/>
      <c r="H35" s="402"/>
      <c r="I35" s="402"/>
      <c r="J35" s="402"/>
    </row>
    <row r="36" spans="1:10" ht="51" customHeight="1" x14ac:dyDescent="0.25">
      <c r="A36" s="390"/>
      <c r="B36" s="390"/>
      <c r="C36" s="375" t="s">
        <v>325</v>
      </c>
      <c r="D36" s="377"/>
      <c r="E36" s="418"/>
      <c r="F36" s="419"/>
      <c r="G36" s="410"/>
      <c r="H36" s="403"/>
      <c r="I36" s="403"/>
      <c r="J36" s="404"/>
    </row>
    <row r="37" spans="1:10" ht="65.400000000000006" customHeight="1" x14ac:dyDescent="0.25">
      <c r="A37" s="390"/>
      <c r="B37" s="390"/>
      <c r="C37" s="397" t="s">
        <v>326</v>
      </c>
      <c r="D37" s="398"/>
      <c r="E37" s="420"/>
      <c r="F37" s="421"/>
      <c r="G37" s="410"/>
      <c r="H37" s="403"/>
      <c r="I37" s="403"/>
      <c r="J37" s="404"/>
    </row>
    <row r="38" spans="1:10" ht="41.25" customHeight="1" x14ac:dyDescent="0.25">
      <c r="A38" s="390"/>
      <c r="B38" s="390"/>
      <c r="C38" s="426"/>
      <c r="D38" s="427"/>
      <c r="E38" s="428"/>
      <c r="F38" s="428"/>
      <c r="G38" s="428"/>
      <c r="H38" s="428"/>
      <c r="I38" s="428"/>
      <c r="J38" s="428"/>
    </row>
    <row r="39" spans="1:10" ht="66" customHeight="1" x14ac:dyDescent="0.3">
      <c r="A39" s="390"/>
      <c r="B39" s="390" t="s">
        <v>247</v>
      </c>
      <c r="C39" s="364" t="s">
        <v>254</v>
      </c>
      <c r="D39" s="364"/>
      <c r="E39" s="411" t="s">
        <v>255</v>
      </c>
      <c r="F39" s="412"/>
      <c r="G39" s="413" t="s">
        <v>256</v>
      </c>
      <c r="H39" s="414"/>
      <c r="I39" s="414"/>
      <c r="J39" s="415"/>
    </row>
    <row r="40" spans="1:10" ht="51.75" customHeight="1" x14ac:dyDescent="0.25">
      <c r="A40" s="390"/>
      <c r="B40" s="390"/>
      <c r="C40" s="416" t="s">
        <v>327</v>
      </c>
      <c r="D40" s="417"/>
      <c r="E40" s="348" t="s">
        <v>328</v>
      </c>
      <c r="F40" s="349"/>
      <c r="G40" s="399" t="s">
        <v>329</v>
      </c>
      <c r="H40" s="400"/>
      <c r="I40" s="400"/>
      <c r="J40" s="401"/>
    </row>
    <row r="41" spans="1:10" ht="47.25" customHeight="1" x14ac:dyDescent="0.25">
      <c r="A41" s="390"/>
      <c r="B41" s="390"/>
      <c r="C41" s="422" t="s">
        <v>330</v>
      </c>
      <c r="D41" s="423"/>
      <c r="E41" s="348" t="s">
        <v>331</v>
      </c>
      <c r="F41" s="349"/>
      <c r="G41" s="399" t="s">
        <v>332</v>
      </c>
      <c r="H41" s="400"/>
      <c r="I41" s="400"/>
      <c r="J41" s="401"/>
    </row>
    <row r="42" spans="1:10" ht="49.5" customHeight="1" x14ac:dyDescent="0.25">
      <c r="A42" s="390"/>
      <c r="B42" s="390"/>
      <c r="C42" s="424" t="s">
        <v>333</v>
      </c>
      <c r="D42" s="425"/>
      <c r="E42" s="348" t="s">
        <v>334</v>
      </c>
      <c r="F42" s="349"/>
      <c r="G42" s="399" t="s">
        <v>335</v>
      </c>
      <c r="H42" s="400"/>
      <c r="I42" s="400"/>
      <c r="J42" s="401"/>
    </row>
    <row r="43" spans="1:10" ht="48" customHeight="1" x14ac:dyDescent="0.25">
      <c r="A43" s="390"/>
      <c r="B43" s="390"/>
      <c r="C43" s="424" t="s">
        <v>336</v>
      </c>
      <c r="D43" s="425"/>
      <c r="E43" s="348" t="s">
        <v>337</v>
      </c>
      <c r="F43" s="349"/>
      <c r="G43" s="402"/>
      <c r="H43" s="402"/>
      <c r="I43" s="402"/>
      <c r="J43" s="402"/>
    </row>
    <row r="44" spans="1:10" ht="45.75" customHeight="1" x14ac:dyDescent="0.25">
      <c r="A44" s="390"/>
      <c r="B44" s="390"/>
      <c r="C44" s="402"/>
      <c r="D44" s="402"/>
      <c r="E44" s="183"/>
      <c r="F44" s="184"/>
      <c r="G44" s="402"/>
      <c r="H44" s="402"/>
      <c r="I44" s="402"/>
      <c r="J44" s="402"/>
    </row>
    <row r="45" spans="1:10" ht="45.75" customHeight="1" x14ac:dyDescent="0.25">
      <c r="A45" s="390"/>
      <c r="B45" s="390"/>
      <c r="C45" s="402"/>
      <c r="D45" s="402"/>
      <c r="E45" s="402"/>
      <c r="F45" s="402"/>
      <c r="G45" s="402"/>
      <c r="H45" s="402"/>
      <c r="I45" s="402"/>
      <c r="J45" s="402"/>
    </row>
    <row r="46" spans="1:10" ht="45" customHeight="1" x14ac:dyDescent="0.25">
      <c r="A46" s="390"/>
      <c r="B46" s="390"/>
      <c r="C46" s="410"/>
      <c r="D46" s="404"/>
      <c r="E46" s="410"/>
      <c r="F46" s="404"/>
      <c r="G46" s="410"/>
      <c r="H46" s="403"/>
      <c r="I46" s="403"/>
      <c r="J46" s="404"/>
    </row>
    <row r="47" spans="1:10" ht="50.25" customHeight="1" x14ac:dyDescent="0.25">
      <c r="A47" s="390"/>
      <c r="B47" s="390"/>
      <c r="C47" s="410"/>
      <c r="D47" s="404"/>
      <c r="E47" s="410"/>
      <c r="F47" s="404"/>
      <c r="G47" s="410"/>
      <c r="H47" s="403"/>
      <c r="I47" s="403"/>
      <c r="J47" s="404"/>
    </row>
    <row r="48" spans="1:10" ht="52.5" customHeight="1" x14ac:dyDescent="0.25">
      <c r="A48" s="390"/>
      <c r="B48" s="390"/>
      <c r="C48" s="410"/>
      <c r="D48" s="404"/>
      <c r="E48" s="429"/>
      <c r="F48" s="430"/>
      <c r="G48" s="429"/>
      <c r="H48" s="431"/>
      <c r="I48" s="431"/>
      <c r="J48" s="430"/>
    </row>
    <row r="49" spans="1:10" ht="48" customHeight="1" x14ac:dyDescent="0.25">
      <c r="A49" s="390"/>
      <c r="B49" s="390"/>
      <c r="C49" s="410"/>
      <c r="D49" s="404"/>
      <c r="E49" s="410"/>
      <c r="F49" s="404"/>
      <c r="G49" s="410"/>
      <c r="H49" s="403"/>
      <c r="I49" s="403"/>
      <c r="J49" s="404"/>
    </row>
    <row r="50" spans="1:10" ht="46.5" customHeight="1" x14ac:dyDescent="0.25">
      <c r="A50" s="390"/>
      <c r="B50" s="390"/>
      <c r="C50" s="410"/>
      <c r="D50" s="404"/>
      <c r="E50" s="429"/>
      <c r="F50" s="430"/>
      <c r="G50" s="429"/>
      <c r="H50" s="431"/>
      <c r="I50" s="431"/>
      <c r="J50" s="430"/>
    </row>
    <row r="51" spans="1:10" ht="48" customHeight="1" x14ac:dyDescent="0.25">
      <c r="A51" s="390"/>
      <c r="B51" s="390"/>
      <c r="C51" s="410"/>
      <c r="D51" s="404"/>
      <c r="E51" s="410"/>
      <c r="F51" s="404"/>
      <c r="G51" s="410"/>
      <c r="H51" s="403"/>
      <c r="I51" s="403"/>
      <c r="J51" s="404"/>
    </row>
    <row r="52" spans="1:10" ht="53.25" customHeight="1" x14ac:dyDescent="0.25">
      <c r="A52" s="390"/>
      <c r="B52" s="390"/>
      <c r="C52" s="410"/>
      <c r="D52" s="404"/>
      <c r="E52" s="410"/>
      <c r="F52" s="404"/>
      <c r="G52" s="410"/>
      <c r="H52" s="403"/>
      <c r="I52" s="403"/>
      <c r="J52" s="404"/>
    </row>
    <row r="53" spans="1:10" ht="43.5" customHeight="1" x14ac:dyDescent="0.25">
      <c r="A53" s="390"/>
      <c r="B53" s="390"/>
      <c r="C53" s="402"/>
      <c r="D53" s="402"/>
      <c r="E53" s="402"/>
      <c r="F53" s="402"/>
      <c r="G53" s="402"/>
      <c r="H53" s="402"/>
      <c r="I53" s="402"/>
      <c r="J53" s="402"/>
    </row>
    <row r="54" spans="1:10" ht="48.75" customHeight="1" x14ac:dyDescent="0.25">
      <c r="A54" s="390"/>
      <c r="B54" s="390"/>
      <c r="C54" s="402"/>
      <c r="D54" s="402"/>
      <c r="E54" s="402"/>
      <c r="F54" s="402"/>
      <c r="G54" s="402"/>
      <c r="H54" s="402"/>
      <c r="I54" s="402"/>
      <c r="J54" s="402"/>
    </row>
    <row r="55" spans="1:10" x14ac:dyDescent="0.25">
      <c r="C55" s="181"/>
      <c r="D55" s="181"/>
      <c r="E55" s="433"/>
      <c r="F55" s="433"/>
      <c r="G55" s="433"/>
      <c r="H55" s="433"/>
      <c r="I55" s="433"/>
      <c r="J55" s="433"/>
    </row>
    <row r="56" spans="1:10" x14ac:dyDescent="0.25">
      <c r="C56" s="181"/>
      <c r="D56" s="181"/>
      <c r="E56" s="433"/>
      <c r="F56" s="433"/>
      <c r="G56" s="433"/>
      <c r="H56" s="433"/>
      <c r="I56" s="433"/>
      <c r="J56" s="433"/>
    </row>
    <row r="57" spans="1:10" x14ac:dyDescent="0.25">
      <c r="E57" s="432"/>
      <c r="F57" s="432"/>
      <c r="G57" s="432"/>
      <c r="H57" s="432"/>
      <c r="I57" s="432"/>
      <c r="J57" s="432"/>
    </row>
    <row r="58" spans="1:10" x14ac:dyDescent="0.25">
      <c r="E58" s="432"/>
      <c r="F58" s="432"/>
      <c r="G58" s="432"/>
      <c r="H58" s="432"/>
      <c r="I58" s="432"/>
      <c r="J58" s="432"/>
    </row>
    <row r="59" spans="1:10" x14ac:dyDescent="0.25">
      <c r="E59" s="432"/>
      <c r="F59" s="432"/>
      <c r="G59" s="432"/>
      <c r="H59" s="432"/>
      <c r="I59" s="432"/>
      <c r="J59" s="432"/>
    </row>
    <row r="60" spans="1:10" x14ac:dyDescent="0.25">
      <c r="E60" s="432"/>
      <c r="F60" s="432"/>
      <c r="G60" s="432"/>
      <c r="H60" s="432"/>
      <c r="I60" s="432"/>
      <c r="J60" s="432"/>
    </row>
    <row r="61" spans="1:10" x14ac:dyDescent="0.25">
      <c r="E61" s="432"/>
      <c r="F61" s="432"/>
      <c r="G61" s="432"/>
      <c r="H61" s="432"/>
      <c r="I61" s="432"/>
      <c r="J61" s="432"/>
    </row>
    <row r="62" spans="1:10" x14ac:dyDescent="0.25">
      <c r="E62" s="432"/>
      <c r="F62" s="432"/>
      <c r="G62" s="432"/>
      <c r="H62" s="432"/>
      <c r="I62" s="432"/>
      <c r="J62" s="432"/>
    </row>
    <row r="63" spans="1:10" x14ac:dyDescent="0.25">
      <c r="E63" s="432"/>
      <c r="F63" s="432"/>
      <c r="G63" s="432"/>
      <c r="H63" s="432"/>
      <c r="I63" s="432"/>
      <c r="J63" s="432"/>
    </row>
    <row r="64" spans="1:10" x14ac:dyDescent="0.25">
      <c r="E64" s="432"/>
      <c r="F64" s="432"/>
      <c r="G64" s="432"/>
      <c r="H64" s="432"/>
      <c r="I64" s="432"/>
      <c r="J64" s="432"/>
    </row>
    <row r="65" spans="5:10" x14ac:dyDescent="0.25">
      <c r="E65" s="432"/>
      <c r="F65" s="432"/>
      <c r="G65" s="432"/>
      <c r="H65" s="432"/>
      <c r="I65" s="432"/>
      <c r="J65" s="432"/>
    </row>
    <row r="66" spans="5:10" x14ac:dyDescent="0.25">
      <c r="E66" s="432"/>
      <c r="F66" s="432"/>
      <c r="G66" s="432"/>
      <c r="H66" s="432"/>
      <c r="I66" s="432"/>
      <c r="J66" s="432"/>
    </row>
    <row r="67" spans="5:10" x14ac:dyDescent="0.25">
      <c r="E67" s="432"/>
      <c r="F67" s="432"/>
      <c r="G67" s="432"/>
      <c r="H67" s="432"/>
      <c r="I67" s="432"/>
      <c r="J67" s="432"/>
    </row>
    <row r="68" spans="5:10" x14ac:dyDescent="0.25">
      <c r="E68" s="432"/>
      <c r="F68" s="432"/>
      <c r="G68" s="432"/>
      <c r="H68" s="432"/>
      <c r="I68" s="432"/>
      <c r="J68" s="432"/>
    </row>
    <row r="69" spans="5:10" x14ac:dyDescent="0.25">
      <c r="E69" s="432"/>
      <c r="F69" s="432"/>
      <c r="G69" s="432"/>
      <c r="H69" s="432"/>
      <c r="I69" s="432"/>
      <c r="J69" s="432"/>
    </row>
    <row r="70" spans="5:10" x14ac:dyDescent="0.25">
      <c r="E70" s="432"/>
      <c r="F70" s="432"/>
      <c r="G70" s="432"/>
      <c r="H70" s="432"/>
      <c r="I70" s="432"/>
      <c r="J70" s="432"/>
    </row>
    <row r="71" spans="5:10" x14ac:dyDescent="0.25">
      <c r="E71" s="432"/>
      <c r="F71" s="432"/>
      <c r="G71" s="432"/>
      <c r="H71" s="432"/>
      <c r="I71" s="432"/>
      <c r="J71" s="432"/>
    </row>
    <row r="72" spans="5:10" x14ac:dyDescent="0.25">
      <c r="E72" s="432"/>
      <c r="F72" s="432"/>
      <c r="G72" s="432"/>
      <c r="H72" s="432"/>
      <c r="I72" s="432"/>
      <c r="J72" s="432"/>
    </row>
    <row r="73" spans="5:10" x14ac:dyDescent="0.25">
      <c r="E73" s="432"/>
      <c r="F73" s="432"/>
      <c r="G73" s="432"/>
      <c r="H73" s="432"/>
      <c r="I73" s="432"/>
      <c r="J73" s="432"/>
    </row>
    <row r="74" spans="5:10" x14ac:dyDescent="0.25">
      <c r="E74" s="432"/>
      <c r="F74" s="432"/>
      <c r="G74" s="432"/>
      <c r="H74" s="432"/>
      <c r="I74" s="432"/>
      <c r="J74" s="432"/>
    </row>
    <row r="75" spans="5:10" x14ac:dyDescent="0.25">
      <c r="E75" s="432"/>
      <c r="F75" s="432"/>
      <c r="G75" s="432"/>
      <c r="H75" s="432"/>
      <c r="I75" s="432"/>
      <c r="J75" s="432"/>
    </row>
    <row r="76" spans="5:10" x14ac:dyDescent="0.25">
      <c r="E76" s="432"/>
      <c r="F76" s="432"/>
      <c r="G76" s="432"/>
      <c r="H76" s="432"/>
      <c r="I76" s="432"/>
      <c r="J76" s="432"/>
    </row>
    <row r="77" spans="5:10" x14ac:dyDescent="0.25">
      <c r="E77" s="432"/>
      <c r="F77" s="432"/>
      <c r="G77" s="432"/>
      <c r="H77" s="432"/>
      <c r="I77" s="432"/>
      <c r="J77" s="432"/>
    </row>
    <row r="78" spans="5:10" x14ac:dyDescent="0.25">
      <c r="E78" s="432"/>
      <c r="F78" s="432"/>
      <c r="G78" s="432"/>
      <c r="H78" s="432"/>
      <c r="I78" s="432"/>
      <c r="J78" s="432"/>
    </row>
    <row r="79" spans="5:10" x14ac:dyDescent="0.25">
      <c r="E79" s="432"/>
      <c r="F79" s="432"/>
      <c r="G79" s="432"/>
      <c r="H79" s="432"/>
      <c r="I79" s="432"/>
      <c r="J79" s="432"/>
    </row>
    <row r="80" spans="5:10" x14ac:dyDescent="0.25">
      <c r="E80" s="432"/>
      <c r="F80" s="432"/>
      <c r="G80" s="432"/>
      <c r="H80" s="432"/>
      <c r="I80" s="432"/>
      <c r="J80" s="432"/>
    </row>
    <row r="81" spans="5:10" x14ac:dyDescent="0.25">
      <c r="E81" s="432"/>
      <c r="F81" s="432"/>
      <c r="G81" s="432"/>
      <c r="H81" s="432"/>
      <c r="I81" s="432"/>
      <c r="J81" s="432"/>
    </row>
    <row r="82" spans="5:10" x14ac:dyDescent="0.25">
      <c r="E82" s="432"/>
      <c r="F82" s="432"/>
      <c r="G82" s="432"/>
      <c r="H82" s="432"/>
      <c r="I82" s="432"/>
      <c r="J82" s="432"/>
    </row>
    <row r="83" spans="5:10" x14ac:dyDescent="0.25">
      <c r="E83" s="432"/>
      <c r="F83" s="432"/>
      <c r="G83" s="432"/>
      <c r="H83" s="432"/>
      <c r="I83" s="432"/>
      <c r="J83" s="432"/>
    </row>
    <row r="84" spans="5:10" x14ac:dyDescent="0.25">
      <c r="E84" s="432"/>
      <c r="F84" s="432"/>
      <c r="G84" s="432"/>
      <c r="H84" s="432"/>
      <c r="I84" s="432"/>
      <c r="J84" s="432"/>
    </row>
    <row r="85" spans="5:10" x14ac:dyDescent="0.25">
      <c r="E85" s="432"/>
      <c r="F85" s="432"/>
      <c r="G85" s="432"/>
      <c r="H85" s="432"/>
      <c r="I85" s="432"/>
      <c r="J85" s="432"/>
    </row>
    <row r="86" spans="5:10" x14ac:dyDescent="0.25">
      <c r="E86" s="432"/>
      <c r="F86" s="432"/>
      <c r="G86" s="432"/>
      <c r="H86" s="432"/>
      <c r="I86" s="432"/>
      <c r="J86" s="432"/>
    </row>
    <row r="87" spans="5:10" x14ac:dyDescent="0.25">
      <c r="E87" s="432"/>
      <c r="F87" s="432"/>
      <c r="G87" s="432"/>
      <c r="H87" s="432"/>
      <c r="I87" s="432"/>
      <c r="J87" s="432"/>
    </row>
    <row r="88" spans="5:10" x14ac:dyDescent="0.25">
      <c r="E88" s="432"/>
      <c r="F88" s="432"/>
      <c r="G88" s="432"/>
      <c r="H88" s="432"/>
      <c r="I88" s="432"/>
      <c r="J88" s="432"/>
    </row>
    <row r="89" spans="5:10" x14ac:dyDescent="0.25">
      <c r="E89" s="432"/>
      <c r="F89" s="432"/>
      <c r="G89" s="432"/>
      <c r="H89" s="432"/>
      <c r="I89" s="432"/>
      <c r="J89" s="432"/>
    </row>
    <row r="90" spans="5:10" x14ac:dyDescent="0.25">
      <c r="E90" s="432"/>
      <c r="F90" s="432"/>
      <c r="G90" s="432"/>
      <c r="H90" s="432"/>
      <c r="I90" s="432"/>
      <c r="J90" s="432"/>
    </row>
    <row r="91" spans="5:10" x14ac:dyDescent="0.25">
      <c r="E91" s="432"/>
      <c r="F91" s="432"/>
      <c r="G91" s="432"/>
      <c r="H91" s="432"/>
      <c r="I91" s="432"/>
      <c r="J91" s="432"/>
    </row>
    <row r="92" spans="5:10" x14ac:dyDescent="0.25">
      <c r="E92" s="432"/>
      <c r="F92" s="432"/>
      <c r="G92" s="432"/>
      <c r="H92" s="432"/>
      <c r="I92" s="432"/>
      <c r="J92" s="432"/>
    </row>
    <row r="93" spans="5:10" x14ac:dyDescent="0.25">
      <c r="E93" s="432"/>
      <c r="F93" s="432"/>
      <c r="G93" s="432"/>
      <c r="H93" s="432"/>
      <c r="I93" s="432"/>
      <c r="J93" s="432"/>
    </row>
    <row r="94" spans="5:10" x14ac:dyDescent="0.25">
      <c r="E94" s="432"/>
      <c r="F94" s="432"/>
      <c r="G94" s="432"/>
      <c r="H94" s="432"/>
      <c r="I94" s="432"/>
      <c r="J94" s="432"/>
    </row>
    <row r="95" spans="5:10" x14ac:dyDescent="0.25">
      <c r="E95" s="432"/>
      <c r="F95" s="432"/>
      <c r="G95" s="432"/>
      <c r="H95" s="432"/>
      <c r="I95" s="432"/>
      <c r="J95" s="432"/>
    </row>
    <row r="96" spans="5:10" x14ac:dyDescent="0.25">
      <c r="E96" s="432"/>
      <c r="F96" s="432"/>
      <c r="G96" s="432"/>
      <c r="H96" s="432"/>
      <c r="I96" s="432"/>
      <c r="J96" s="432"/>
    </row>
    <row r="97" spans="5:10" x14ac:dyDescent="0.25">
      <c r="E97" s="432"/>
      <c r="F97" s="432"/>
      <c r="G97" s="432"/>
      <c r="H97" s="432"/>
      <c r="I97" s="432"/>
      <c r="J97" s="432"/>
    </row>
    <row r="98" spans="5:10" x14ac:dyDescent="0.25">
      <c r="E98" s="432"/>
      <c r="F98" s="432"/>
      <c r="G98" s="432"/>
      <c r="H98" s="432"/>
      <c r="I98" s="432"/>
      <c r="J98" s="432"/>
    </row>
    <row r="99" spans="5:10" x14ac:dyDescent="0.25">
      <c r="E99" s="432"/>
      <c r="F99" s="432"/>
      <c r="G99" s="432"/>
      <c r="H99" s="432"/>
      <c r="I99" s="432"/>
      <c r="J99" s="432"/>
    </row>
    <row r="100" spans="5:10" x14ac:dyDescent="0.25">
      <c r="E100" s="432"/>
      <c r="F100" s="432"/>
      <c r="G100" s="432"/>
      <c r="H100" s="432"/>
      <c r="I100" s="432"/>
      <c r="J100" s="432"/>
    </row>
    <row r="101" spans="5:10" x14ac:dyDescent="0.25">
      <c r="E101" s="432"/>
      <c r="F101" s="432"/>
      <c r="G101" s="432"/>
      <c r="H101" s="432"/>
      <c r="I101" s="432"/>
      <c r="J101" s="432"/>
    </row>
    <row r="102" spans="5:10" x14ac:dyDescent="0.25">
      <c r="E102" s="432"/>
      <c r="F102" s="432"/>
      <c r="G102" s="432"/>
      <c r="H102" s="432"/>
      <c r="I102" s="432"/>
      <c r="J102" s="432"/>
    </row>
    <row r="103" spans="5:10" x14ac:dyDescent="0.25">
      <c r="E103" s="432"/>
      <c r="F103" s="432"/>
      <c r="G103" s="432"/>
      <c r="H103" s="432"/>
      <c r="I103" s="432"/>
      <c r="J103" s="432"/>
    </row>
    <row r="104" spans="5:10" x14ac:dyDescent="0.25">
      <c r="E104" s="432"/>
      <c r="F104" s="432"/>
      <c r="G104" s="432"/>
      <c r="H104" s="432"/>
      <c r="I104" s="432"/>
      <c r="J104" s="432"/>
    </row>
    <row r="105" spans="5:10" x14ac:dyDescent="0.25">
      <c r="E105" s="432"/>
      <c r="F105" s="432"/>
      <c r="G105" s="432"/>
      <c r="H105" s="432"/>
      <c r="I105" s="432"/>
      <c r="J105" s="432"/>
    </row>
    <row r="106" spans="5:10" x14ac:dyDescent="0.25">
      <c r="E106" s="432"/>
      <c r="F106" s="432"/>
      <c r="G106" s="432"/>
      <c r="H106" s="432"/>
      <c r="I106" s="432"/>
      <c r="J106" s="432"/>
    </row>
    <row r="107" spans="5:10" x14ac:dyDescent="0.25">
      <c r="E107" s="432"/>
      <c r="F107" s="432"/>
      <c r="G107" s="432"/>
      <c r="H107" s="432"/>
      <c r="I107" s="432"/>
      <c r="J107" s="432"/>
    </row>
    <row r="108" spans="5:10" x14ac:dyDescent="0.25">
      <c r="E108" s="432"/>
      <c r="F108" s="432"/>
      <c r="G108" s="432"/>
      <c r="H108" s="432"/>
      <c r="I108" s="432"/>
      <c r="J108" s="432"/>
    </row>
    <row r="109" spans="5:10" x14ac:dyDescent="0.25">
      <c r="E109" s="432"/>
      <c r="F109" s="432"/>
      <c r="G109" s="432"/>
      <c r="H109" s="432"/>
      <c r="I109" s="432"/>
      <c r="J109" s="432"/>
    </row>
    <row r="110" spans="5:10" x14ac:dyDescent="0.25">
      <c r="E110" s="432"/>
      <c r="F110" s="432"/>
      <c r="G110" s="432"/>
      <c r="H110" s="432"/>
      <c r="I110" s="432"/>
      <c r="J110" s="432"/>
    </row>
    <row r="111" spans="5:10" x14ac:dyDescent="0.25">
      <c r="E111" s="432"/>
      <c r="F111" s="432"/>
      <c r="G111" s="432"/>
      <c r="H111" s="432"/>
      <c r="I111" s="432"/>
      <c r="J111" s="432"/>
    </row>
    <row r="112" spans="5:10" x14ac:dyDescent="0.25">
      <c r="E112" s="432"/>
      <c r="F112" s="432"/>
      <c r="G112" s="432"/>
      <c r="H112" s="432"/>
      <c r="I112" s="432"/>
      <c r="J112" s="432"/>
    </row>
    <row r="113" spans="5:10" x14ac:dyDescent="0.25">
      <c r="E113" s="432"/>
      <c r="F113" s="432"/>
      <c r="G113" s="432"/>
      <c r="H113" s="432"/>
      <c r="I113" s="432"/>
      <c r="J113" s="432"/>
    </row>
    <row r="114" spans="5:10" x14ac:dyDescent="0.25">
      <c r="E114" s="432"/>
      <c r="F114" s="432"/>
      <c r="G114" s="432"/>
      <c r="H114" s="432"/>
      <c r="I114" s="432"/>
      <c r="J114" s="432"/>
    </row>
    <row r="115" spans="5:10" x14ac:dyDescent="0.25">
      <c r="E115" s="432"/>
      <c r="F115" s="432"/>
      <c r="G115" s="432"/>
      <c r="H115" s="432"/>
      <c r="I115" s="432"/>
      <c r="J115" s="432"/>
    </row>
    <row r="116" spans="5:10" x14ac:dyDescent="0.25">
      <c r="E116" s="432"/>
      <c r="F116" s="432"/>
      <c r="G116" s="432"/>
      <c r="H116" s="432"/>
      <c r="I116" s="432"/>
      <c r="J116" s="432"/>
    </row>
    <row r="117" spans="5:10" x14ac:dyDescent="0.25">
      <c r="E117" s="432"/>
      <c r="F117" s="432"/>
      <c r="G117" s="432"/>
      <c r="H117" s="432"/>
      <c r="I117" s="432"/>
      <c r="J117" s="432"/>
    </row>
    <row r="118" spans="5:10" x14ac:dyDescent="0.25">
      <c r="E118" s="432"/>
      <c r="F118" s="432"/>
      <c r="G118" s="432"/>
      <c r="H118" s="432"/>
      <c r="I118" s="432"/>
      <c r="J118" s="432"/>
    </row>
    <row r="119" spans="5:10" x14ac:dyDescent="0.25">
      <c r="E119" s="432"/>
      <c r="F119" s="432"/>
      <c r="G119" s="432"/>
      <c r="H119" s="432"/>
      <c r="I119" s="432"/>
      <c r="J119" s="432"/>
    </row>
    <row r="120" spans="5:10" x14ac:dyDescent="0.25">
      <c r="E120" s="432"/>
      <c r="F120" s="432"/>
      <c r="G120" s="432"/>
      <c r="H120" s="432"/>
      <c r="I120" s="432"/>
      <c r="J120" s="432"/>
    </row>
    <row r="121" spans="5:10" x14ac:dyDescent="0.25">
      <c r="E121" s="432"/>
      <c r="F121" s="432"/>
      <c r="G121" s="432"/>
      <c r="H121" s="432"/>
      <c r="I121" s="432"/>
      <c r="J121" s="432"/>
    </row>
    <row r="122" spans="5:10" x14ac:dyDescent="0.25">
      <c r="E122" s="432"/>
      <c r="F122" s="432"/>
      <c r="G122" s="432"/>
      <c r="H122" s="432"/>
      <c r="I122" s="432"/>
      <c r="J122" s="432"/>
    </row>
    <row r="123" spans="5:10" x14ac:dyDescent="0.25">
      <c r="E123" s="432"/>
      <c r="F123" s="432"/>
      <c r="G123" s="432"/>
      <c r="H123" s="432"/>
      <c r="I123" s="432"/>
      <c r="J123" s="432"/>
    </row>
    <row r="124" spans="5:10" x14ac:dyDescent="0.25">
      <c r="E124" s="432"/>
      <c r="F124" s="432"/>
      <c r="G124" s="432"/>
      <c r="H124" s="432"/>
      <c r="I124" s="432"/>
      <c r="J124" s="432"/>
    </row>
    <row r="125" spans="5:10" x14ac:dyDescent="0.25">
      <c r="E125" s="432"/>
      <c r="F125" s="432"/>
      <c r="G125" s="432"/>
      <c r="H125" s="432"/>
      <c r="I125" s="432"/>
      <c r="J125" s="432"/>
    </row>
    <row r="126" spans="5:10" x14ac:dyDescent="0.25">
      <c r="E126" s="432"/>
      <c r="F126" s="432"/>
      <c r="G126" s="432"/>
      <c r="H126" s="432"/>
      <c r="I126" s="432"/>
      <c r="J126" s="432"/>
    </row>
    <row r="127" spans="5:10" x14ac:dyDescent="0.25">
      <c r="E127" s="432"/>
      <c r="F127" s="432"/>
      <c r="G127" s="432"/>
      <c r="H127" s="432"/>
      <c r="I127" s="432"/>
      <c r="J127" s="432"/>
    </row>
    <row r="128" spans="5:10" x14ac:dyDescent="0.25">
      <c r="E128" s="432"/>
      <c r="F128" s="432"/>
      <c r="G128" s="432"/>
      <c r="H128" s="432"/>
      <c r="I128" s="432"/>
      <c r="J128" s="432"/>
    </row>
    <row r="129" spans="5:10" x14ac:dyDescent="0.25">
      <c r="E129" s="432"/>
      <c r="F129" s="432"/>
      <c r="G129" s="432"/>
      <c r="H129" s="432"/>
      <c r="I129" s="432"/>
      <c r="J129" s="432"/>
    </row>
    <row r="130" spans="5:10" x14ac:dyDescent="0.25">
      <c r="E130" s="432"/>
      <c r="F130" s="432"/>
      <c r="G130" s="432"/>
      <c r="H130" s="432"/>
      <c r="I130" s="432"/>
      <c r="J130" s="432"/>
    </row>
    <row r="131" spans="5:10" x14ac:dyDescent="0.25">
      <c r="E131" s="432"/>
      <c r="F131" s="432"/>
      <c r="G131" s="432"/>
      <c r="H131" s="432"/>
      <c r="I131" s="432"/>
      <c r="J131" s="432"/>
    </row>
    <row r="132" spans="5:10" x14ac:dyDescent="0.25">
      <c r="E132" s="432"/>
      <c r="F132" s="432"/>
      <c r="G132" s="432"/>
      <c r="H132" s="432"/>
      <c r="I132" s="432"/>
      <c r="J132" s="432"/>
    </row>
  </sheetData>
  <mergeCells count="292">
    <mergeCell ref="E130:F130"/>
    <mergeCell ref="G130:J130"/>
    <mergeCell ref="E131:F131"/>
    <mergeCell ref="G131:J131"/>
    <mergeCell ref="E132:F132"/>
    <mergeCell ref="G132:J132"/>
    <mergeCell ref="E127:F127"/>
    <mergeCell ref="G127:J127"/>
    <mergeCell ref="E128:F128"/>
    <mergeCell ref="G128:J128"/>
    <mergeCell ref="E129:F129"/>
    <mergeCell ref="G129:J129"/>
    <mergeCell ref="E124:F124"/>
    <mergeCell ref="G124:J124"/>
    <mergeCell ref="E125:F125"/>
    <mergeCell ref="G125:J125"/>
    <mergeCell ref="E126:F126"/>
    <mergeCell ref="G126:J126"/>
    <mergeCell ref="E121:F121"/>
    <mergeCell ref="G121:J121"/>
    <mergeCell ref="E122:F122"/>
    <mergeCell ref="G122:J122"/>
    <mergeCell ref="E123:F123"/>
    <mergeCell ref="G123:J123"/>
    <mergeCell ref="E118:F118"/>
    <mergeCell ref="G118:J118"/>
    <mergeCell ref="E119:F119"/>
    <mergeCell ref="G119:J119"/>
    <mergeCell ref="E120:F120"/>
    <mergeCell ref="G120:J120"/>
    <mergeCell ref="E115:F115"/>
    <mergeCell ref="G115:J115"/>
    <mergeCell ref="E116:F116"/>
    <mergeCell ref="G116:J116"/>
    <mergeCell ref="E117:F117"/>
    <mergeCell ref="G117:J117"/>
    <mergeCell ref="E112:F112"/>
    <mergeCell ref="G112:J112"/>
    <mergeCell ref="E113:F113"/>
    <mergeCell ref="G113:J113"/>
    <mergeCell ref="E114:F114"/>
    <mergeCell ref="G114:J114"/>
    <mergeCell ref="E109:F109"/>
    <mergeCell ref="G109:J109"/>
    <mergeCell ref="E110:F110"/>
    <mergeCell ref="G110:J110"/>
    <mergeCell ref="E111:F111"/>
    <mergeCell ref="G111:J111"/>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00:F100"/>
    <mergeCell ref="G100:J100"/>
    <mergeCell ref="E101:F101"/>
    <mergeCell ref="G101:J101"/>
    <mergeCell ref="E102:F102"/>
    <mergeCell ref="G102:J102"/>
    <mergeCell ref="E97:F97"/>
    <mergeCell ref="G97:J97"/>
    <mergeCell ref="E98:F98"/>
    <mergeCell ref="G98:J98"/>
    <mergeCell ref="E99:F99"/>
    <mergeCell ref="G99:J99"/>
    <mergeCell ref="E94:F94"/>
    <mergeCell ref="G94:J94"/>
    <mergeCell ref="E95:F95"/>
    <mergeCell ref="G95:J95"/>
    <mergeCell ref="E96:F96"/>
    <mergeCell ref="G96:J96"/>
    <mergeCell ref="E91:F91"/>
    <mergeCell ref="G91:J91"/>
    <mergeCell ref="E92:F92"/>
    <mergeCell ref="G92:J92"/>
    <mergeCell ref="E93:F93"/>
    <mergeCell ref="G93:J93"/>
    <mergeCell ref="E88:F88"/>
    <mergeCell ref="G88:J88"/>
    <mergeCell ref="E89:F89"/>
    <mergeCell ref="G89:J89"/>
    <mergeCell ref="E90:F90"/>
    <mergeCell ref="G90:J90"/>
    <mergeCell ref="E85:F85"/>
    <mergeCell ref="G85:J85"/>
    <mergeCell ref="E86:F86"/>
    <mergeCell ref="G86:J86"/>
    <mergeCell ref="E87:F87"/>
    <mergeCell ref="G87:J87"/>
    <mergeCell ref="E82:F82"/>
    <mergeCell ref="G82:J82"/>
    <mergeCell ref="E83:F83"/>
    <mergeCell ref="G83:J83"/>
    <mergeCell ref="E84:F84"/>
    <mergeCell ref="G84:J84"/>
    <mergeCell ref="E79:F79"/>
    <mergeCell ref="G79:J79"/>
    <mergeCell ref="E80:F80"/>
    <mergeCell ref="G80:J80"/>
    <mergeCell ref="E81:F81"/>
    <mergeCell ref="G81:J81"/>
    <mergeCell ref="E76:F76"/>
    <mergeCell ref="G76:J76"/>
    <mergeCell ref="E77:F77"/>
    <mergeCell ref="G77:J77"/>
    <mergeCell ref="E78:F78"/>
    <mergeCell ref="G78:J78"/>
    <mergeCell ref="E73:F73"/>
    <mergeCell ref="G73:J73"/>
    <mergeCell ref="E74:F74"/>
    <mergeCell ref="G74:J74"/>
    <mergeCell ref="E75:F75"/>
    <mergeCell ref="G75:J75"/>
    <mergeCell ref="E70:F70"/>
    <mergeCell ref="G70:J70"/>
    <mergeCell ref="E71:F71"/>
    <mergeCell ref="G71:J71"/>
    <mergeCell ref="E72:F72"/>
    <mergeCell ref="G72:J72"/>
    <mergeCell ref="E67:F67"/>
    <mergeCell ref="G67:J67"/>
    <mergeCell ref="E68:F68"/>
    <mergeCell ref="G68:J68"/>
    <mergeCell ref="E69:F69"/>
    <mergeCell ref="G69:J69"/>
    <mergeCell ref="E64:F64"/>
    <mergeCell ref="G64:J64"/>
    <mergeCell ref="E65:F65"/>
    <mergeCell ref="G65:J65"/>
    <mergeCell ref="E66:F66"/>
    <mergeCell ref="G66:J66"/>
    <mergeCell ref="E61:F61"/>
    <mergeCell ref="G61:J61"/>
    <mergeCell ref="E62:F62"/>
    <mergeCell ref="G62:J62"/>
    <mergeCell ref="E63:F63"/>
    <mergeCell ref="G63:J63"/>
    <mergeCell ref="E58:F58"/>
    <mergeCell ref="G58:J58"/>
    <mergeCell ref="E59:F59"/>
    <mergeCell ref="G59:J59"/>
    <mergeCell ref="E60:F60"/>
    <mergeCell ref="G60:J60"/>
    <mergeCell ref="E55:F55"/>
    <mergeCell ref="G55:J55"/>
    <mergeCell ref="E56:F56"/>
    <mergeCell ref="G56:J56"/>
    <mergeCell ref="E57:F57"/>
    <mergeCell ref="G57:J57"/>
    <mergeCell ref="C53:D53"/>
    <mergeCell ref="E53:F53"/>
    <mergeCell ref="G53:J53"/>
    <mergeCell ref="C54:D54"/>
    <mergeCell ref="E54:F54"/>
    <mergeCell ref="G54:J54"/>
    <mergeCell ref="C51:D51"/>
    <mergeCell ref="E51:F51"/>
    <mergeCell ref="G51:J51"/>
    <mergeCell ref="C52:D52"/>
    <mergeCell ref="E52:F52"/>
    <mergeCell ref="G52:J52"/>
    <mergeCell ref="C49:D49"/>
    <mergeCell ref="E49:F49"/>
    <mergeCell ref="G49:J49"/>
    <mergeCell ref="C50:D50"/>
    <mergeCell ref="E50:F50"/>
    <mergeCell ref="G50:J50"/>
    <mergeCell ref="C47:D47"/>
    <mergeCell ref="E47:F47"/>
    <mergeCell ref="G47:J47"/>
    <mergeCell ref="C48:D48"/>
    <mergeCell ref="E48:F48"/>
    <mergeCell ref="G48:J48"/>
    <mergeCell ref="G45:J45"/>
    <mergeCell ref="C46:D46"/>
    <mergeCell ref="E46:F46"/>
    <mergeCell ref="G46:J46"/>
    <mergeCell ref="C43:D43"/>
    <mergeCell ref="E43:F43"/>
    <mergeCell ref="G43:J43"/>
    <mergeCell ref="C44:D44"/>
    <mergeCell ref="G44:J44"/>
    <mergeCell ref="B39:B54"/>
    <mergeCell ref="C39:D39"/>
    <mergeCell ref="E39:F39"/>
    <mergeCell ref="G39:J39"/>
    <mergeCell ref="C40:D40"/>
    <mergeCell ref="E40:F40"/>
    <mergeCell ref="G40:J40"/>
    <mergeCell ref="C36:D36"/>
    <mergeCell ref="E36:F36"/>
    <mergeCell ref="G36:J36"/>
    <mergeCell ref="C37:D37"/>
    <mergeCell ref="E37:F37"/>
    <mergeCell ref="G37:J37"/>
    <mergeCell ref="C41:D41"/>
    <mergeCell ref="E41:F41"/>
    <mergeCell ref="G41:J41"/>
    <mergeCell ref="C42:D42"/>
    <mergeCell ref="E42:F42"/>
    <mergeCell ref="G42:J42"/>
    <mergeCell ref="C38:D38"/>
    <mergeCell ref="E38:F38"/>
    <mergeCell ref="G38:J38"/>
    <mergeCell ref="C45:D45"/>
    <mergeCell ref="E45:F45"/>
    <mergeCell ref="C34:D34"/>
    <mergeCell ref="E34:F34"/>
    <mergeCell ref="G34:J34"/>
    <mergeCell ref="C35:D35"/>
    <mergeCell ref="E35:F35"/>
    <mergeCell ref="G35:J35"/>
    <mergeCell ref="C32:D32"/>
    <mergeCell ref="E32:F32"/>
    <mergeCell ref="G32:J32"/>
    <mergeCell ref="C33:D33"/>
    <mergeCell ref="E33:F33"/>
    <mergeCell ref="G33:J33"/>
    <mergeCell ref="E24:F24"/>
    <mergeCell ref="G24:J24"/>
    <mergeCell ref="E25:F25"/>
    <mergeCell ref="G25:J25"/>
    <mergeCell ref="A26:A54"/>
    <mergeCell ref="B26:B38"/>
    <mergeCell ref="C26:D26"/>
    <mergeCell ref="E26:F26"/>
    <mergeCell ref="G26:J26"/>
    <mergeCell ref="C27:D27"/>
    <mergeCell ref="C30:D30"/>
    <mergeCell ref="E30:F30"/>
    <mergeCell ref="G30:J30"/>
    <mergeCell ref="C31:D31"/>
    <mergeCell ref="E31:F31"/>
    <mergeCell ref="G31:J31"/>
    <mergeCell ref="E27:F27"/>
    <mergeCell ref="G27:J27"/>
    <mergeCell ref="C28:D28"/>
    <mergeCell ref="E28:F28"/>
    <mergeCell ref="G28:J28"/>
    <mergeCell ref="C29:D29"/>
    <mergeCell ref="E29:F29"/>
    <mergeCell ref="G29:J29"/>
    <mergeCell ref="G22:J22"/>
    <mergeCell ref="E23:F23"/>
    <mergeCell ref="G23:J23"/>
    <mergeCell ref="E18:F18"/>
    <mergeCell ref="G18:J18"/>
    <mergeCell ref="E19:F19"/>
    <mergeCell ref="G19:J19"/>
    <mergeCell ref="E20:F20"/>
    <mergeCell ref="G20:J20"/>
    <mergeCell ref="A6:J7"/>
    <mergeCell ref="A8:D25"/>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G14:J14"/>
    <mergeCell ref="E21:F21"/>
    <mergeCell ref="G21:J21"/>
    <mergeCell ref="E22:F22"/>
    <mergeCell ref="H1:I1"/>
    <mergeCell ref="J1:J4"/>
    <mergeCell ref="N1:N4"/>
    <mergeCell ref="H2:I2"/>
    <mergeCell ref="H3:I3"/>
    <mergeCell ref="H4:I4"/>
    <mergeCell ref="A5:J5"/>
    <mergeCell ref="D1:G2"/>
    <mergeCell ref="D3:G4"/>
    <mergeCell ref="A1:C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W72"/>
  <sheetViews>
    <sheetView tabSelected="1" zoomScale="55" zoomScaleNormal="55" workbookViewId="0">
      <selection activeCell="C5" sqref="C5:AM5"/>
    </sheetView>
  </sheetViews>
  <sheetFormatPr baseColWidth="10" defaultColWidth="11.44140625" defaultRowHeight="13.8" x14ac:dyDescent="0.25"/>
  <cols>
    <col min="1" max="1" width="4" style="2" bestFit="1" customWidth="1"/>
    <col min="2" max="2" width="16.6640625" style="2" customWidth="1"/>
    <col min="3" max="3" width="24.33203125" style="2" customWidth="1"/>
    <col min="4" max="4" width="38.88671875" style="2" customWidth="1"/>
    <col min="5" max="5" width="30.33203125" style="2" customWidth="1"/>
    <col min="6" max="8" width="35" style="1" customWidth="1"/>
    <col min="9" max="9" width="18.109375" style="5" customWidth="1"/>
    <col min="10" max="10" width="14.33203125" style="1" customWidth="1"/>
    <col min="11" max="11" width="12" style="1" customWidth="1"/>
    <col min="12" max="12" width="6.33203125" style="1" bestFit="1" customWidth="1"/>
    <col min="13" max="13" width="24.44140625" style="1" bestFit="1" customWidth="1"/>
    <col min="14" max="14" width="28.33203125" style="1" hidden="1" customWidth="1"/>
    <col min="15" max="15" width="17.5546875" style="1" customWidth="1"/>
    <col min="16" max="16" width="6.33203125" style="1" bestFit="1" customWidth="1"/>
    <col min="17" max="17" width="16" style="1" customWidth="1"/>
    <col min="18" max="18" width="5.88671875" style="1" customWidth="1"/>
    <col min="19" max="19" width="55" style="1" customWidth="1"/>
    <col min="20" max="20" width="15.109375" style="1" bestFit="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14.33203125" style="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23" style="1" customWidth="1"/>
    <col min="35" max="35" width="18.88671875" style="1" customWidth="1"/>
    <col min="36" max="36" width="20.6640625" style="1" customWidth="1"/>
    <col min="37" max="37" width="21.88671875" style="1" customWidth="1"/>
    <col min="38" max="38" width="42.44140625" style="1" customWidth="1"/>
    <col min="39" max="39" width="21" style="1" customWidth="1"/>
    <col min="40" max="40" width="21.88671875" style="1" customWidth="1"/>
    <col min="41" max="41" width="47.33203125" style="1" customWidth="1"/>
    <col min="42" max="42" width="21" style="1" customWidth="1"/>
    <col min="43" max="43" width="21.88671875" style="1" customWidth="1"/>
    <col min="44" max="44" width="45.109375" style="1" customWidth="1"/>
    <col min="45" max="45" width="21" style="1" customWidth="1"/>
    <col min="46" max="46" width="20" style="1" customWidth="1"/>
    <col min="47" max="47" width="56.109375" style="1" customWidth="1"/>
    <col min="48" max="48" width="37.109375" style="1" customWidth="1"/>
    <col min="49" max="49" width="20" style="1" customWidth="1"/>
    <col min="50" max="50" width="56.109375" style="1" customWidth="1"/>
    <col min="51" max="51" width="37.109375" style="1" customWidth="1"/>
    <col min="52" max="52" width="18" style="1" bestFit="1" customWidth="1"/>
    <col min="53" max="53" width="31.6640625" style="1" bestFit="1" customWidth="1"/>
    <col min="54" max="54" width="17.88671875" style="1" customWidth="1"/>
    <col min="55" max="16384" width="11.44140625" style="1"/>
  </cols>
  <sheetData>
    <row r="1" spans="1:75" ht="16.5" customHeight="1" x14ac:dyDescent="0.25">
      <c r="A1" s="507" t="s">
        <v>138</v>
      </c>
      <c r="B1" s="508"/>
      <c r="C1" s="508"/>
      <c r="D1" s="508"/>
      <c r="E1" s="508"/>
      <c r="F1" s="508"/>
      <c r="G1" s="508"/>
      <c r="H1" s="508"/>
      <c r="I1" s="508"/>
      <c r="J1" s="508"/>
      <c r="K1" s="508"/>
      <c r="L1" s="508"/>
      <c r="M1" s="508"/>
      <c r="N1" s="508"/>
      <c r="O1" s="508"/>
      <c r="P1" s="508"/>
      <c r="Q1" s="508"/>
      <c r="R1" s="508"/>
      <c r="S1" s="508"/>
      <c r="T1" s="508"/>
      <c r="U1" s="508"/>
      <c r="V1" s="508"/>
      <c r="W1" s="508"/>
      <c r="X1" s="508"/>
      <c r="Y1" s="508"/>
      <c r="Z1" s="508"/>
      <c r="AA1" s="508"/>
      <c r="AB1" s="508"/>
      <c r="AC1" s="508"/>
      <c r="AD1" s="508"/>
      <c r="AE1" s="508"/>
      <c r="AF1" s="508"/>
      <c r="AG1" s="508"/>
      <c r="AH1" s="508"/>
      <c r="AI1" s="508"/>
      <c r="AJ1" s="508"/>
      <c r="AK1" s="508"/>
      <c r="AL1" s="508"/>
      <c r="AM1" s="509"/>
      <c r="AN1" s="215"/>
      <c r="AO1" s="8"/>
      <c r="AP1" s="8"/>
      <c r="AQ1" s="8"/>
      <c r="AR1" s="18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row>
    <row r="2" spans="1:75" ht="24" customHeight="1" x14ac:dyDescent="0.25">
      <c r="A2" s="510"/>
      <c r="B2" s="511"/>
      <c r="C2" s="511"/>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c r="AK2" s="511"/>
      <c r="AL2" s="511"/>
      <c r="AM2" s="512"/>
      <c r="AN2" s="215"/>
      <c r="AO2" s="190"/>
      <c r="AP2" s="8"/>
      <c r="AQ2" s="8"/>
      <c r="AR2" s="18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row>
    <row r="3" spans="1:75"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189"/>
      <c r="AP3" s="8"/>
      <c r="AQ3" s="8"/>
      <c r="AR3" s="18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row>
    <row r="4" spans="1:75" ht="26.25" customHeight="1" x14ac:dyDescent="0.25">
      <c r="A4" s="517" t="s">
        <v>42</v>
      </c>
      <c r="B4" s="518"/>
      <c r="C4" s="486" t="str">
        <f>+Contexto!A8</f>
        <v>PROCESO:  GESTIÓN DEL DESARROLLO ECONÓMICO Y LA COMPETITIVIDAD</v>
      </c>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216"/>
      <c r="AO4" s="8"/>
      <c r="AP4" s="8"/>
      <c r="AQ4" s="8"/>
      <c r="AR4" s="18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row>
    <row r="5" spans="1:75" ht="30" customHeight="1" x14ac:dyDescent="0.25">
      <c r="A5" s="517" t="s">
        <v>124</v>
      </c>
      <c r="B5" s="518"/>
      <c r="C5" s="487" t="str">
        <f>+Contexto!A9</f>
        <v>OBJETIVO:  PROMOVER EL DESARROLLO ECONÓMICO Y LA COMPETITIVIDAD DEL MUNICIPIO DE IBAGUÉ MEDIANTE LA FORMULACIÓN E IMPLEMENTACIÓN DE PLANES, PROGRAMAS Y PROYECTOS QUE FORTALEZCAN EL TEJIDO EMPRESARIAL, EL EMPRENDIMIENTO, LA EMPLEABILIDAD, EL TURISMO Y EL SECTOR RURAL</v>
      </c>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c r="AI5" s="487"/>
      <c r="AJ5" s="487"/>
      <c r="AK5" s="487"/>
      <c r="AL5" s="487"/>
      <c r="AM5" s="487"/>
      <c r="AN5" s="217"/>
      <c r="AO5" s="191"/>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row>
    <row r="6" spans="1:75" ht="49.5" customHeight="1" x14ac:dyDescent="0.25">
      <c r="A6" s="517" t="s">
        <v>43</v>
      </c>
      <c r="B6" s="518"/>
      <c r="C6" s="487" t="s">
        <v>338</v>
      </c>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504"/>
      <c r="AI6" s="504"/>
      <c r="AJ6" s="504"/>
      <c r="AK6" s="504"/>
      <c r="AL6" s="504"/>
      <c r="AM6" s="504"/>
      <c r="AN6" s="217"/>
      <c r="AO6" s="191"/>
      <c r="AP6" s="8"/>
      <c r="AQ6" s="8"/>
      <c r="AR6" s="18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row>
    <row r="7" spans="1:75" x14ac:dyDescent="0.25">
      <c r="A7" s="513" t="s">
        <v>133</v>
      </c>
      <c r="B7" s="514"/>
      <c r="C7" s="515"/>
      <c r="D7" s="515"/>
      <c r="E7" s="515"/>
      <c r="F7" s="515"/>
      <c r="G7" s="515"/>
      <c r="H7" s="515"/>
      <c r="I7" s="515"/>
      <c r="J7" s="516"/>
      <c r="K7" s="490" t="s">
        <v>134</v>
      </c>
      <c r="L7" s="515"/>
      <c r="M7" s="515"/>
      <c r="N7" s="515"/>
      <c r="O7" s="515"/>
      <c r="P7" s="515"/>
      <c r="Q7" s="516"/>
      <c r="R7" s="490" t="s">
        <v>135</v>
      </c>
      <c r="S7" s="515"/>
      <c r="T7" s="515"/>
      <c r="U7" s="515"/>
      <c r="V7" s="515"/>
      <c r="W7" s="515"/>
      <c r="X7" s="515"/>
      <c r="Y7" s="515"/>
      <c r="Z7" s="516"/>
      <c r="AA7" s="490" t="s">
        <v>136</v>
      </c>
      <c r="AB7" s="515"/>
      <c r="AC7" s="515"/>
      <c r="AD7" s="515"/>
      <c r="AE7" s="515"/>
      <c r="AF7" s="515"/>
      <c r="AG7" s="515"/>
      <c r="AH7" s="435" t="s">
        <v>34</v>
      </c>
      <c r="AI7" s="435"/>
      <c r="AJ7" s="435"/>
      <c r="AK7" s="435"/>
      <c r="AL7" s="435"/>
      <c r="AM7" s="435"/>
      <c r="AN7" s="435"/>
      <c r="AO7" s="435"/>
      <c r="AP7" s="435"/>
      <c r="AQ7" s="435"/>
      <c r="AR7" s="435"/>
      <c r="AS7" s="435"/>
      <c r="AT7" s="435"/>
      <c r="AU7" s="435"/>
      <c r="AV7" s="435"/>
      <c r="AW7" s="435"/>
      <c r="AX7" s="435"/>
      <c r="AY7" s="435"/>
      <c r="AZ7" s="435"/>
      <c r="BA7" s="435"/>
      <c r="BB7" s="435"/>
      <c r="BC7" s="8"/>
      <c r="BD7" s="8"/>
      <c r="BE7" s="8"/>
      <c r="BF7" s="8"/>
      <c r="BG7" s="8"/>
      <c r="BH7" s="8"/>
      <c r="BI7" s="8"/>
      <c r="BJ7" s="8"/>
      <c r="BK7" s="8"/>
      <c r="BL7" s="8"/>
      <c r="BM7" s="8"/>
      <c r="BN7" s="8"/>
      <c r="BO7" s="8"/>
      <c r="BP7" s="8"/>
      <c r="BQ7" s="8"/>
      <c r="BR7" s="8"/>
      <c r="BS7" s="8"/>
      <c r="BT7" s="8"/>
      <c r="BU7" s="8"/>
      <c r="BV7" s="8"/>
      <c r="BW7" s="8"/>
    </row>
    <row r="8" spans="1:75" ht="16.5" customHeight="1" x14ac:dyDescent="0.25">
      <c r="A8" s="519" t="s">
        <v>0</v>
      </c>
      <c r="B8" s="530" t="s">
        <v>2</v>
      </c>
      <c r="C8" s="445" t="s">
        <v>3</v>
      </c>
      <c r="D8" s="445" t="s">
        <v>41</v>
      </c>
      <c r="E8" s="446" t="s">
        <v>202</v>
      </c>
      <c r="F8" s="521" t="s">
        <v>1</v>
      </c>
      <c r="G8" s="135"/>
      <c r="H8" s="135"/>
      <c r="I8" s="446" t="s">
        <v>49</v>
      </c>
      <c r="J8" s="445" t="s">
        <v>129</v>
      </c>
      <c r="K8" s="447" t="s">
        <v>33</v>
      </c>
      <c r="L8" s="488" t="s">
        <v>5</v>
      </c>
      <c r="M8" s="446" t="s">
        <v>85</v>
      </c>
      <c r="N8" s="446" t="s">
        <v>90</v>
      </c>
      <c r="O8" s="489" t="s">
        <v>44</v>
      </c>
      <c r="P8" s="488" t="s">
        <v>5</v>
      </c>
      <c r="Q8" s="445" t="s">
        <v>47</v>
      </c>
      <c r="R8" s="525" t="s">
        <v>11</v>
      </c>
      <c r="S8" s="527" t="s">
        <v>151</v>
      </c>
      <c r="T8" s="446" t="s">
        <v>12</v>
      </c>
      <c r="U8" s="527" t="s">
        <v>8</v>
      </c>
      <c r="V8" s="527"/>
      <c r="W8" s="527"/>
      <c r="X8" s="527"/>
      <c r="Y8" s="527"/>
      <c r="Z8" s="527"/>
      <c r="AA8" s="485" t="s">
        <v>132</v>
      </c>
      <c r="AB8" s="485" t="s">
        <v>45</v>
      </c>
      <c r="AC8" s="485" t="s">
        <v>5</v>
      </c>
      <c r="AD8" s="485" t="s">
        <v>46</v>
      </c>
      <c r="AE8" s="485" t="s">
        <v>5</v>
      </c>
      <c r="AF8" s="485" t="s">
        <v>48</v>
      </c>
      <c r="AG8" s="523" t="s">
        <v>29</v>
      </c>
      <c r="AH8" s="434" t="s">
        <v>34</v>
      </c>
      <c r="AI8" s="434" t="s">
        <v>35</v>
      </c>
      <c r="AJ8" s="434" t="s">
        <v>36</v>
      </c>
      <c r="AK8" s="442" t="s">
        <v>37</v>
      </c>
      <c r="AL8" s="442" t="s">
        <v>345</v>
      </c>
      <c r="AM8" s="442" t="s">
        <v>38</v>
      </c>
      <c r="AN8" s="434" t="s">
        <v>37</v>
      </c>
      <c r="AO8" s="438" t="s">
        <v>346</v>
      </c>
      <c r="AP8" s="434" t="s">
        <v>38</v>
      </c>
      <c r="AQ8" s="442" t="s">
        <v>37</v>
      </c>
      <c r="AR8" s="440" t="s">
        <v>350</v>
      </c>
      <c r="AS8" s="442" t="s">
        <v>38</v>
      </c>
      <c r="AT8" s="434" t="s">
        <v>37</v>
      </c>
      <c r="AU8" s="434" t="s">
        <v>357</v>
      </c>
      <c r="AV8" s="434" t="s">
        <v>38</v>
      </c>
      <c r="AW8" s="442" t="s">
        <v>37</v>
      </c>
      <c r="AX8" s="436" t="s">
        <v>367</v>
      </c>
      <c r="AY8" s="442" t="s">
        <v>38</v>
      </c>
      <c r="AZ8" s="434" t="s">
        <v>37</v>
      </c>
      <c r="BA8" s="434" t="s">
        <v>373</v>
      </c>
      <c r="BB8" s="434" t="s">
        <v>38</v>
      </c>
      <c r="BC8" s="8"/>
      <c r="BD8" s="8"/>
      <c r="BE8" s="8"/>
      <c r="BF8" s="8"/>
      <c r="BG8" s="8"/>
      <c r="BH8" s="8"/>
      <c r="BI8" s="8"/>
      <c r="BJ8" s="8"/>
      <c r="BK8" s="8"/>
      <c r="BL8" s="8"/>
      <c r="BM8" s="8"/>
      <c r="BN8" s="8"/>
      <c r="BO8" s="8"/>
      <c r="BP8" s="8"/>
      <c r="BQ8" s="8"/>
      <c r="BR8" s="8"/>
      <c r="BS8" s="8"/>
      <c r="BT8" s="8"/>
      <c r="BU8" s="8"/>
      <c r="BV8" s="8"/>
      <c r="BW8" s="8"/>
    </row>
    <row r="9" spans="1:75" s="4" customFormat="1" ht="94.5" customHeight="1" x14ac:dyDescent="0.3">
      <c r="A9" s="520"/>
      <c r="B9" s="522"/>
      <c r="C9" s="446"/>
      <c r="D9" s="446"/>
      <c r="E9" s="447"/>
      <c r="F9" s="522"/>
      <c r="G9" s="135" t="s">
        <v>257</v>
      </c>
      <c r="H9" s="135" t="s">
        <v>203</v>
      </c>
      <c r="I9" s="447"/>
      <c r="J9" s="446"/>
      <c r="K9" s="447"/>
      <c r="L9" s="488"/>
      <c r="M9" s="447"/>
      <c r="N9" s="445"/>
      <c r="O9" s="490"/>
      <c r="P9" s="488"/>
      <c r="Q9" s="446"/>
      <c r="R9" s="526"/>
      <c r="S9" s="527"/>
      <c r="T9" s="445"/>
      <c r="U9" s="7" t="s">
        <v>13</v>
      </c>
      <c r="V9" s="7" t="s">
        <v>17</v>
      </c>
      <c r="W9" s="7" t="s">
        <v>28</v>
      </c>
      <c r="X9" s="7" t="s">
        <v>18</v>
      </c>
      <c r="Y9" s="7" t="s">
        <v>21</v>
      </c>
      <c r="Z9" s="7" t="s">
        <v>24</v>
      </c>
      <c r="AA9" s="485"/>
      <c r="AB9" s="485"/>
      <c r="AC9" s="485"/>
      <c r="AD9" s="485"/>
      <c r="AE9" s="485"/>
      <c r="AF9" s="485"/>
      <c r="AG9" s="524"/>
      <c r="AH9" s="434"/>
      <c r="AI9" s="434"/>
      <c r="AJ9" s="434"/>
      <c r="AK9" s="442"/>
      <c r="AL9" s="442"/>
      <c r="AM9" s="442"/>
      <c r="AN9" s="434"/>
      <c r="AO9" s="439"/>
      <c r="AP9" s="434"/>
      <c r="AQ9" s="442"/>
      <c r="AR9" s="441"/>
      <c r="AS9" s="442"/>
      <c r="AT9" s="434"/>
      <c r="AU9" s="434"/>
      <c r="AV9" s="434"/>
      <c r="AW9" s="442"/>
      <c r="AX9" s="437"/>
      <c r="AY9" s="442"/>
      <c r="AZ9" s="434"/>
      <c r="BA9" s="434"/>
      <c r="BB9" s="434"/>
      <c r="BC9" s="25"/>
      <c r="BD9" s="25"/>
      <c r="BE9" s="25"/>
      <c r="BF9" s="25"/>
      <c r="BG9" s="25"/>
      <c r="BH9" s="25"/>
      <c r="BI9" s="25"/>
      <c r="BJ9" s="25"/>
      <c r="BK9" s="25"/>
      <c r="BL9" s="25"/>
      <c r="BM9" s="25"/>
      <c r="BN9" s="25"/>
      <c r="BO9" s="25"/>
      <c r="BP9" s="25"/>
      <c r="BQ9" s="25"/>
      <c r="BR9" s="25"/>
      <c r="BS9" s="25"/>
      <c r="BT9" s="25"/>
      <c r="BU9" s="25"/>
      <c r="BV9" s="25"/>
      <c r="BW9" s="25"/>
    </row>
    <row r="10" spans="1:75" s="3" customFormat="1" ht="177" customHeight="1" x14ac:dyDescent="0.3">
      <c r="A10" s="528">
        <v>1</v>
      </c>
      <c r="B10" s="451" t="s">
        <v>128</v>
      </c>
      <c r="C10" s="443" t="s">
        <v>339</v>
      </c>
      <c r="D10" s="443" t="s">
        <v>362</v>
      </c>
      <c r="E10" s="221" t="s">
        <v>364</v>
      </c>
      <c r="F10" s="444" t="s">
        <v>361</v>
      </c>
      <c r="G10" s="444" t="s">
        <v>341</v>
      </c>
      <c r="H10" s="444" t="s">
        <v>365</v>
      </c>
      <c r="I10" s="451" t="s">
        <v>117</v>
      </c>
      <c r="J10" s="452">
        <v>240</v>
      </c>
      <c r="K10" s="453" t="str">
        <f>IF(J10&lt;=0,"",IF(J10&lt;=2,"Muy Baja",IF(J10&lt;=24,"Baja",IF(J10&lt;=500,"Media",IF(J10&lt;=5000,"Alta","Muy Alta")))))</f>
        <v>Media</v>
      </c>
      <c r="L10" s="450">
        <f>IF(K10="","",IF(K10="Muy Baja",0.2,IF(K10="Baja",0.4,IF(K10="Media",0.6,IF(K10="Alta",0.8,IF(K10="Muy Alta",1,))))))</f>
        <v>0.6</v>
      </c>
      <c r="M10" s="505" t="s">
        <v>145</v>
      </c>
      <c r="N10" s="534" t="str">
        <f>IF(NOT(ISERROR(MATCH(M10,'Tabla Impacto'!$B$221:$B$223,0))),'Tabla Impacto'!$F$223&amp;"Por favor no seleccionar los criterios de impacto(Afectación Económica o presupuestal y Pérdida Reputacional)",M10)</f>
        <v xml:space="preserve">     El riesgo afecta la imagen de de la entidad con efecto publicitario sostenido a nivel de sector administrativo, nivel departamental o municipal</v>
      </c>
      <c r="O10" s="448" t="str">
        <f>IF(OR(N10='Tabla Impacto'!$C$11,N10='Tabla Impacto'!$D$11),"Leve",IF(OR(N10='Tabla Impacto'!$C$12,N10='Tabla Impacto'!$D$12),"Menor",IF(OR(N10='Tabla Impacto'!$C$13,N10='Tabla Impacto'!$D$13),"Moderado",IF(OR(N10='Tabla Impacto'!$C$14,N10='Tabla Impacto'!$D$14),"Mayor",IF(OR(N10='Tabla Impacto'!$C$15,N10='Tabla Impacto'!$D$15),"Catastrófico","")))))</f>
        <v>Mayor</v>
      </c>
      <c r="P10" s="450">
        <f>IF(O10="","",IF(O10="Leve",0.2,IF(O10="Menor",0.4,IF(O10="Moderado",0.6,IF(O10="Mayor",0.8,IF(O10="Catastrófico",1,))))))</f>
        <v>0.8</v>
      </c>
      <c r="Q10" s="506"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c r="R10" s="239">
        <v>1</v>
      </c>
      <c r="S10" s="202" t="s">
        <v>366</v>
      </c>
      <c r="T10" s="203" t="str">
        <f>IF(OR(U10="Preventivo",U10="Detectivo"),"Probabilidad",IF(U10="Correctivo","Impacto",""))</f>
        <v>Probabilidad</v>
      </c>
      <c r="U10" s="204" t="s">
        <v>14</v>
      </c>
      <c r="V10" s="204" t="s">
        <v>9</v>
      </c>
      <c r="W10" s="205" t="str">
        <f>IF(AND(U10="Preventivo",V10="Automático"),"50%",IF(AND(U10="Preventivo",V10="Manual"),"40%",IF(AND(U10="Detectivo",V10="Automático"),"40%",IF(AND(U10="Detectivo",V10="Manual"),"30%",IF(AND(U10="Correctivo",V10="Automático"),"35%",IF(AND(U10="Correctivo",V10="Manual"),"25%",""))))))</f>
        <v>40%</v>
      </c>
      <c r="X10" s="204" t="s">
        <v>19</v>
      </c>
      <c r="Y10" s="204" t="s">
        <v>22</v>
      </c>
      <c r="Z10" s="204" t="s">
        <v>113</v>
      </c>
      <c r="AA10" s="206">
        <f>IFERROR(IF(T10="Probabilidad",(L10-(+L10*W10)),IF(T10="Impacto",L10,"")),"")</f>
        <v>0.36</v>
      </c>
      <c r="AB10" s="207" t="str">
        <f>IFERROR(IF(AA10="","",IF(AA10&lt;=0.2,"Muy Baja",IF(AA10&lt;=0.4,"Baja",IF(AA10&lt;=0.6,"Media",IF(AA10&lt;=0.8,"Alta","Muy Alta"))))),"")</f>
        <v>Baja</v>
      </c>
      <c r="AC10" s="208">
        <f>+AA10</f>
        <v>0.36</v>
      </c>
      <c r="AD10" s="207" t="str">
        <f>IFERROR(IF(AE10="","",IF(AE10&lt;=0.2,"Leve",IF(AE10&lt;=0.4,"Menor",IF(AE10&lt;=0.6,"Moderado",IF(AE10&lt;=0.8,"Mayor","Catastrófico"))))),"")</f>
        <v>Mayor</v>
      </c>
      <c r="AE10" s="208">
        <f>IFERROR(IF(T10="Impacto",(P10-(+P10*W10)),IF(T10="Probabilidad",P10,"")),"")</f>
        <v>0.8</v>
      </c>
      <c r="AF10" s="209"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Alto</v>
      </c>
      <c r="AG10" s="531" t="s">
        <v>130</v>
      </c>
      <c r="AH10" s="253" t="s">
        <v>355</v>
      </c>
      <c r="AI10" s="223" t="s">
        <v>342</v>
      </c>
      <c r="AJ10" s="254">
        <v>45168</v>
      </c>
      <c r="AK10" s="255">
        <v>45338</v>
      </c>
      <c r="AL10" s="256" t="s">
        <v>343</v>
      </c>
      <c r="AM10" s="257" t="s">
        <v>40</v>
      </c>
      <c r="AN10" s="255">
        <v>45412</v>
      </c>
      <c r="AO10" s="187" t="s">
        <v>344</v>
      </c>
      <c r="AP10" s="257" t="s">
        <v>40</v>
      </c>
      <c r="AQ10" s="255">
        <v>45420</v>
      </c>
      <c r="AR10" s="187" t="s">
        <v>351</v>
      </c>
      <c r="AS10" s="257" t="s">
        <v>40</v>
      </c>
      <c r="AT10" s="255">
        <v>45534</v>
      </c>
      <c r="AU10" s="187" t="s">
        <v>359</v>
      </c>
      <c r="AV10" s="257" t="s">
        <v>40</v>
      </c>
      <c r="AW10" s="255">
        <v>45595</v>
      </c>
      <c r="AX10" s="187" t="s">
        <v>368</v>
      </c>
      <c r="AY10" s="257" t="s">
        <v>40</v>
      </c>
      <c r="AZ10" s="255">
        <v>45656</v>
      </c>
      <c r="BA10" s="187" t="s">
        <v>374</v>
      </c>
      <c r="BB10" s="257" t="s">
        <v>39</v>
      </c>
      <c r="BC10" s="26"/>
      <c r="BD10" s="26"/>
      <c r="BE10" s="26"/>
      <c r="BF10" s="26"/>
      <c r="BG10" s="26"/>
      <c r="BH10" s="26"/>
      <c r="BI10" s="26"/>
      <c r="BJ10" s="26"/>
      <c r="BK10" s="26"/>
      <c r="BL10" s="26"/>
      <c r="BM10" s="26"/>
      <c r="BN10" s="26"/>
      <c r="BO10" s="26"/>
      <c r="BP10" s="26"/>
      <c r="BQ10" s="26"/>
      <c r="BR10" s="26"/>
      <c r="BS10" s="26"/>
      <c r="BT10" s="26"/>
      <c r="BU10" s="26"/>
      <c r="BV10" s="26"/>
      <c r="BW10" s="26"/>
    </row>
    <row r="11" spans="1:75" ht="177" customHeight="1" x14ac:dyDescent="0.25">
      <c r="A11" s="529"/>
      <c r="B11" s="451"/>
      <c r="C11" s="443"/>
      <c r="D11" s="443"/>
      <c r="E11" s="221" t="s">
        <v>340</v>
      </c>
      <c r="F11" s="444"/>
      <c r="G11" s="444"/>
      <c r="H11" s="444"/>
      <c r="I11" s="451"/>
      <c r="J11" s="452"/>
      <c r="K11" s="453"/>
      <c r="L11" s="450"/>
      <c r="M11" s="505"/>
      <c r="N11" s="535">
        <f>IF(NOT(ISERROR(MATCH(M11,_xlfn.ANCHORARRAY(F22),0))),L24&amp;"Por favor no seleccionar los criterios de impacto",M11)</f>
        <v>0</v>
      </c>
      <c r="O11" s="449"/>
      <c r="P11" s="450"/>
      <c r="Q11" s="506"/>
      <c r="R11" s="239">
        <v>2</v>
      </c>
      <c r="S11" s="202" t="s">
        <v>352</v>
      </c>
      <c r="T11" s="203" t="str">
        <f>IF(OR(U11="Preventivo",U11="Detectivo"),"Probabilidad",IF(U11="Correctivo","Impacto",""))</f>
        <v>Probabilidad</v>
      </c>
      <c r="U11" s="204" t="s">
        <v>14</v>
      </c>
      <c r="V11" s="204" t="s">
        <v>9</v>
      </c>
      <c r="W11" s="205" t="str">
        <f>IF(AND(U11="Preventivo",V11="Automático"),"50%",IF(AND(U11="Preventivo",V11="Manual"),"40%",IF(AND(U11="Detectivo",V11="Automático"),"40%",IF(AND(U11="Detectivo",V11="Manual"),"30%",IF(AND(U11="Correctivo",V11="Automático"),"35%",IF(AND(U11="Correctivo",V11="Manual"),"25%",""))))))</f>
        <v>40%</v>
      </c>
      <c r="X11" s="204" t="s">
        <v>20</v>
      </c>
      <c r="Y11" s="204" t="s">
        <v>22</v>
      </c>
      <c r="Z11" s="204" t="s">
        <v>113</v>
      </c>
      <c r="AA11" s="206">
        <f>IFERROR(IF(AND(T10="Probabilidad",T11="Probabilidad"),(AC10-(+AC10*W11)),IF(AND(T10="Impacto",T11="Probabilidad"),(L10-(+L10*W11)),IF(T11="Impacto",AC10,""))),"")</f>
        <v>0.216</v>
      </c>
      <c r="AB11" s="207" t="str">
        <f t="shared" ref="AB11" si="0">IFERROR(IF(AA11="","",IF(AA11&lt;=0.2,"Muy Baja",IF(AA11&lt;=0.4,"Baja",IF(AA11&lt;=0.6,"Media",IF(AA11&lt;=0.8,"Alta","Muy Alta"))))),"")</f>
        <v>Baja</v>
      </c>
      <c r="AC11" s="208">
        <f>+AA11</f>
        <v>0.216</v>
      </c>
      <c r="AD11" s="207" t="str">
        <f t="shared" ref="AD11" si="1">IFERROR(IF(AE11="","",IF(AE11&lt;=0.2,"Leve",IF(AE11&lt;=0.4,"Menor",IF(AE11&lt;=0.6,"Moderado",IF(AE11&lt;=0.8,"Mayor","Catastrófico"))))),"")</f>
        <v>Mayor</v>
      </c>
      <c r="AE11" s="208">
        <f>IFERROR(IF(AND(T10="Impacto",T11="Impacto"),(AE10-(+AE10*W11)),IF(AND(T10="Probabilidad",T11="Impacto"),(P10-(+P10*W11)),IF(T11="Probabilidad",AE10,""))),"")</f>
        <v>0.8</v>
      </c>
      <c r="AF11" s="209" t="str">
        <f t="shared" ref="AF11" si="2">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Alto</v>
      </c>
      <c r="AG11" s="532"/>
      <c r="AH11" s="210" t="s">
        <v>354</v>
      </c>
      <c r="AI11" s="211" t="s">
        <v>342</v>
      </c>
      <c r="AJ11" s="214">
        <v>45168</v>
      </c>
      <c r="AK11" s="213">
        <v>45338</v>
      </c>
      <c r="AL11" s="212" t="s">
        <v>349</v>
      </c>
      <c r="AM11" s="194" t="s">
        <v>40</v>
      </c>
      <c r="AN11" s="213">
        <v>45412</v>
      </c>
      <c r="AO11" s="187" t="s">
        <v>344</v>
      </c>
      <c r="AP11" s="194" t="s">
        <v>40</v>
      </c>
      <c r="AQ11" s="213">
        <v>45420</v>
      </c>
      <c r="AR11" s="212" t="s">
        <v>349</v>
      </c>
      <c r="AS11" s="194" t="s">
        <v>40</v>
      </c>
      <c r="AT11" s="213">
        <v>45534</v>
      </c>
      <c r="AU11" s="187" t="s">
        <v>360</v>
      </c>
      <c r="AV11" s="194" t="s">
        <v>40</v>
      </c>
      <c r="AW11" s="213">
        <v>45595</v>
      </c>
      <c r="AX11" s="187" t="s">
        <v>369</v>
      </c>
      <c r="AY11" s="194" t="s">
        <v>40</v>
      </c>
      <c r="AZ11" s="213">
        <v>45656</v>
      </c>
      <c r="BA11" s="187" t="s">
        <v>375</v>
      </c>
      <c r="BB11" s="194" t="s">
        <v>39</v>
      </c>
      <c r="BC11" s="8"/>
      <c r="BD11" s="8"/>
      <c r="BE11" s="8"/>
      <c r="BF11" s="8"/>
      <c r="BG11" s="8"/>
      <c r="BH11" s="8"/>
      <c r="BI11" s="8"/>
      <c r="BJ11" s="8"/>
      <c r="BK11" s="8"/>
      <c r="BL11" s="8"/>
      <c r="BM11" s="8"/>
      <c r="BN11" s="8"/>
      <c r="BO11" s="8"/>
      <c r="BP11" s="8"/>
      <c r="BQ11" s="8"/>
      <c r="BR11" s="8"/>
      <c r="BS11" s="8"/>
      <c r="BT11" s="8"/>
      <c r="BU11" s="8"/>
      <c r="BV11" s="8"/>
      <c r="BW11" s="8"/>
    </row>
    <row r="12" spans="1:75" ht="135.75" customHeight="1" x14ac:dyDescent="0.25">
      <c r="A12" s="529"/>
      <c r="B12" s="451"/>
      <c r="C12" s="443"/>
      <c r="D12" s="443"/>
      <c r="E12" s="221" t="s">
        <v>363</v>
      </c>
      <c r="F12" s="444"/>
      <c r="G12" s="444"/>
      <c r="H12" s="444"/>
      <c r="I12" s="451"/>
      <c r="J12" s="452"/>
      <c r="K12" s="453"/>
      <c r="L12" s="450"/>
      <c r="M12" s="505"/>
      <c r="N12" s="535">
        <f>IF(NOT(ISERROR(MATCH(M12,_xlfn.ANCHORARRAY(F23),0))),L25&amp;"Por favor no seleccionar los criterios de impacto",M12)</f>
        <v>0</v>
      </c>
      <c r="O12" s="449"/>
      <c r="P12" s="450"/>
      <c r="Q12" s="506"/>
      <c r="R12" s="239">
        <v>3</v>
      </c>
      <c r="S12" s="202" t="s">
        <v>353</v>
      </c>
      <c r="T12" s="203" t="str">
        <f>IF(OR(U12="Preventivo",U12="Detectivo"),"Probabilidad",IF(U12="Correctivo","Impacto",""))</f>
        <v>Probabilidad</v>
      </c>
      <c r="U12" s="204" t="s">
        <v>14</v>
      </c>
      <c r="V12" s="204" t="s">
        <v>9</v>
      </c>
      <c r="W12" s="205" t="str">
        <f>IF(AND(U12="Preventivo",V12="Automático"),"50%",IF(AND(U12="Preventivo",V12="Manual"),"40%",IF(AND(U12="Detectivo",V12="Automático"),"40%",IF(AND(U12="Detectivo",V12="Manual"),"30%",IF(AND(U12="Correctivo",V12="Automático"),"35%",IF(AND(U12="Correctivo",V12="Manual"),"25%",""))))))</f>
        <v>40%</v>
      </c>
      <c r="X12" s="204" t="s">
        <v>20</v>
      </c>
      <c r="Y12" s="204" t="s">
        <v>22</v>
      </c>
      <c r="Z12" s="204" t="s">
        <v>113</v>
      </c>
      <c r="AA12" s="206">
        <f>IFERROR(IF(AND(T11="Probabilidad",T12="Probabilidad"),(AC11-(+AC11*W12)),IF(AND(T11="Impacto",T12="Probabilidad"),(AC10-(+AC10*W12)),IF(T12="Impacto",AC11,""))),"")</f>
        <v>0.12959999999999999</v>
      </c>
      <c r="AB12" s="207" t="str">
        <f t="shared" ref="AB12:AB15" si="3">IFERROR(IF(AA12="","",IF(AA12&lt;=0.2,"Muy Baja",IF(AA12&lt;=0.4,"Baja",IF(AA12&lt;=0.6,"Media",IF(AA12&lt;=0.8,"Alta","Muy Alta"))))),"")</f>
        <v>Muy Baja</v>
      </c>
      <c r="AC12" s="208">
        <f t="shared" ref="AC12:AC15" si="4">+AA12</f>
        <v>0.12959999999999999</v>
      </c>
      <c r="AD12" s="207" t="str">
        <f t="shared" ref="AD12:AD15" si="5">IFERROR(IF(AE12="","",IF(AE12&lt;=0.2,"Leve",IF(AE12&lt;=0.4,"Menor",IF(AE12&lt;=0.6,"Moderado",IF(AE12&lt;=0.8,"Mayor","Catastrófico"))))),"")</f>
        <v>Mayor</v>
      </c>
      <c r="AE12" s="208">
        <f t="shared" ref="AE12:AE15" si="6">IFERROR(IF(AND(T11="Impacto",T12="Impacto"),(AE11-(+AE11*W12)),IF(AND(T11="Probabilidad",T12="Impacto"),(AE10-(+AE10*W12)),IF(T12="Probabilidad",AE11,""))),"")</f>
        <v>0.8</v>
      </c>
      <c r="AF12" s="209" t="str">
        <f t="shared" ref="AF12:AF15" si="7">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Alto</v>
      </c>
      <c r="AG12" s="533"/>
      <c r="AH12" s="210" t="s">
        <v>356</v>
      </c>
      <c r="AI12" s="211" t="s">
        <v>342</v>
      </c>
      <c r="AJ12" s="214">
        <v>45168</v>
      </c>
      <c r="AK12" s="214">
        <v>45345</v>
      </c>
      <c r="AL12" s="187" t="s">
        <v>347</v>
      </c>
      <c r="AM12" s="194" t="s">
        <v>40</v>
      </c>
      <c r="AN12" s="213">
        <v>45383</v>
      </c>
      <c r="AO12" s="193" t="s">
        <v>348</v>
      </c>
      <c r="AP12" s="194" t="s">
        <v>40</v>
      </c>
      <c r="AQ12" s="213">
        <v>45420</v>
      </c>
      <c r="AR12" s="187" t="s">
        <v>351</v>
      </c>
      <c r="AS12" s="194" t="s">
        <v>40</v>
      </c>
      <c r="AT12" s="213">
        <v>45534</v>
      </c>
      <c r="AU12" s="187" t="s">
        <v>358</v>
      </c>
      <c r="AV12" s="194" t="s">
        <v>40</v>
      </c>
      <c r="AW12" s="213">
        <v>45595</v>
      </c>
      <c r="AX12" s="187" t="s">
        <v>368</v>
      </c>
      <c r="AY12" s="194" t="s">
        <v>40</v>
      </c>
      <c r="AZ12" s="213">
        <v>45656</v>
      </c>
      <c r="BA12" s="187" t="s">
        <v>376</v>
      </c>
      <c r="BB12" s="194" t="s">
        <v>39</v>
      </c>
      <c r="BC12" s="8"/>
      <c r="BD12" s="8"/>
      <c r="BE12" s="8"/>
      <c r="BF12" s="8"/>
      <c r="BG12" s="8"/>
      <c r="BH12" s="8"/>
      <c r="BI12" s="8"/>
      <c r="BJ12" s="8"/>
      <c r="BK12" s="8"/>
      <c r="BL12" s="8"/>
      <c r="BM12" s="8"/>
      <c r="BN12" s="8"/>
      <c r="BO12" s="8"/>
      <c r="BP12" s="8"/>
      <c r="BQ12" s="8"/>
      <c r="BR12" s="8"/>
      <c r="BS12" s="8"/>
      <c r="BT12" s="8"/>
      <c r="BU12" s="8"/>
      <c r="BV12" s="8"/>
      <c r="BW12" s="8"/>
    </row>
    <row r="13" spans="1:75" ht="46.5" customHeight="1" x14ac:dyDescent="0.25">
      <c r="A13" s="240"/>
      <c r="B13" s="223"/>
      <c r="C13" s="219"/>
      <c r="D13" s="219"/>
      <c r="E13" s="220"/>
      <c r="F13" s="228"/>
      <c r="G13" s="227"/>
      <c r="H13" s="228"/>
      <c r="I13" s="225"/>
      <c r="J13" s="229"/>
      <c r="K13" s="231"/>
      <c r="L13" s="233"/>
      <c r="M13" s="235"/>
      <c r="N13" s="536">
        <f>IF(NOT(ISERROR(MATCH(M13,_xlfn.ANCHORARRAY(F24),0))),L26&amp;"Por favor no seleccionar los criterios de impacto",M13)</f>
        <v>0</v>
      </c>
      <c r="O13" s="231"/>
      <c r="P13" s="233"/>
      <c r="Q13" s="237"/>
      <c r="R13" s="6">
        <v>4</v>
      </c>
      <c r="S13" s="202"/>
      <c r="T13" s="107" t="str">
        <f t="shared" ref="T13:T15" si="8">IF(OR(U13="Preventivo",U13="Detectivo"),"Probabilidad",IF(U13="Correctivo","Impacto",""))</f>
        <v/>
      </c>
      <c r="U13" s="113"/>
      <c r="V13" s="113"/>
      <c r="W13" s="114" t="str">
        <f t="shared" ref="W13:W15" si="9">IF(AND(U13="Preventivo",V13="Automático"),"50%",IF(AND(U13="Preventivo",V13="Manual"),"40%",IF(AND(U13="Detectivo",V13="Automático"),"40%",IF(AND(U13="Detectivo",V13="Manual"),"30%",IF(AND(U13="Correctivo",V13="Automático"),"35%",IF(AND(U13="Correctivo",V13="Manual"),"25%",""))))))</f>
        <v/>
      </c>
      <c r="X13" s="113"/>
      <c r="Y13" s="113"/>
      <c r="Z13" s="113"/>
      <c r="AA13" s="108" t="str">
        <f t="shared" ref="AA13:AA15" si="10">IFERROR(IF(AND(T12="Probabilidad",T13="Probabilidad"),(AC12-(+AC12*W13)),IF(AND(T12="Impacto",T13="Probabilidad"),(AC11-(+AC11*W13)),IF(T13="Impacto",AC12,""))),"")</f>
        <v/>
      </c>
      <c r="AB13" s="115" t="str">
        <f t="shared" si="3"/>
        <v/>
      </c>
      <c r="AC13" s="116" t="str">
        <f t="shared" si="4"/>
        <v/>
      </c>
      <c r="AD13" s="115" t="str">
        <f t="shared" si="5"/>
        <v/>
      </c>
      <c r="AE13" s="116" t="str">
        <f t="shared" si="6"/>
        <v/>
      </c>
      <c r="AF13" s="117" t="str">
        <f t="shared" si="7"/>
        <v/>
      </c>
      <c r="AG13" s="118"/>
      <c r="AH13" s="109"/>
      <c r="AI13" s="110"/>
      <c r="AJ13" s="111"/>
      <c r="AK13" s="192"/>
      <c r="AL13" s="109"/>
      <c r="AM13" s="110"/>
      <c r="AN13" s="192"/>
      <c r="AO13" s="8"/>
      <c r="AP13" s="110"/>
      <c r="AQ13" s="192"/>
      <c r="AR13" s="8"/>
      <c r="AS13" s="110"/>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row>
    <row r="14" spans="1:75" ht="48.75" customHeight="1" x14ac:dyDescent="0.25">
      <c r="A14" s="240"/>
      <c r="B14" s="223"/>
      <c r="C14" s="185"/>
      <c r="D14" s="185"/>
      <c r="E14" s="186"/>
      <c r="F14" s="222"/>
      <c r="G14" s="227"/>
      <c r="H14" s="222"/>
      <c r="I14" s="225"/>
      <c r="J14" s="229"/>
      <c r="K14" s="231"/>
      <c r="L14" s="233"/>
      <c r="M14" s="235"/>
      <c r="N14" s="536">
        <f>IF(NOT(ISERROR(MATCH(M14,_xlfn.ANCHORARRAY(F25),0))),L27&amp;"Por favor no seleccionar los criterios de impacto",M14)</f>
        <v>0</v>
      </c>
      <c r="O14" s="231"/>
      <c r="P14" s="233"/>
      <c r="Q14" s="237"/>
      <c r="R14" s="6">
        <v>5</v>
      </c>
      <c r="S14" s="202"/>
      <c r="T14" s="107" t="str">
        <f t="shared" si="8"/>
        <v/>
      </c>
      <c r="U14" s="113"/>
      <c r="V14" s="113"/>
      <c r="W14" s="114" t="str">
        <f t="shared" si="9"/>
        <v/>
      </c>
      <c r="X14" s="113"/>
      <c r="Y14" s="113"/>
      <c r="Z14" s="113"/>
      <c r="AA14" s="108" t="str">
        <f t="shared" si="10"/>
        <v/>
      </c>
      <c r="AB14" s="115" t="str">
        <f t="shared" si="3"/>
        <v/>
      </c>
      <c r="AC14" s="116" t="str">
        <f t="shared" si="4"/>
        <v/>
      </c>
      <c r="AD14" s="115" t="str">
        <f t="shared" si="5"/>
        <v/>
      </c>
      <c r="AE14" s="116" t="str">
        <f t="shared" si="6"/>
        <v/>
      </c>
      <c r="AF14" s="117" t="str">
        <f t="shared" si="7"/>
        <v/>
      </c>
      <c r="AG14" s="118"/>
      <c r="AH14" s="109"/>
      <c r="AI14" s="110"/>
      <c r="AJ14" s="111"/>
      <c r="AK14" s="111"/>
      <c r="AL14" s="109"/>
      <c r="AM14" s="110"/>
      <c r="AN14" s="111"/>
      <c r="AO14" s="8"/>
      <c r="AP14" s="110"/>
      <c r="AQ14" s="111"/>
      <c r="AR14" s="8"/>
      <c r="AS14" s="110"/>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row>
    <row r="15" spans="1:75" ht="42.75" customHeight="1" x14ac:dyDescent="0.25">
      <c r="A15" s="241"/>
      <c r="B15" s="224"/>
      <c r="C15" s="185"/>
      <c r="D15" s="185"/>
      <c r="E15" s="186"/>
      <c r="F15" s="222"/>
      <c r="G15" s="228"/>
      <c r="H15" s="222"/>
      <c r="I15" s="226"/>
      <c r="J15" s="230"/>
      <c r="K15" s="232"/>
      <c r="L15" s="234"/>
      <c r="M15" s="236"/>
      <c r="N15" s="537">
        <f>IF(NOT(ISERROR(MATCH(M15,_xlfn.ANCHORARRAY(F26),0))),L28&amp;"Por favor no seleccionar los criterios de impacto",M15)</f>
        <v>0</v>
      </c>
      <c r="O15" s="232"/>
      <c r="P15" s="234"/>
      <c r="Q15" s="238"/>
      <c r="R15" s="105">
        <v>6</v>
      </c>
      <c r="S15" s="106"/>
      <c r="T15" s="107" t="str">
        <f t="shared" si="8"/>
        <v/>
      </c>
      <c r="U15" s="113"/>
      <c r="V15" s="113"/>
      <c r="W15" s="114" t="str">
        <f t="shared" si="9"/>
        <v/>
      </c>
      <c r="X15" s="113"/>
      <c r="Y15" s="113"/>
      <c r="Z15" s="113"/>
      <c r="AA15" s="108" t="str">
        <f t="shared" si="10"/>
        <v/>
      </c>
      <c r="AB15" s="115" t="str">
        <f t="shared" si="3"/>
        <v/>
      </c>
      <c r="AC15" s="116" t="str">
        <f t="shared" si="4"/>
        <v/>
      </c>
      <c r="AD15" s="115" t="str">
        <f t="shared" si="5"/>
        <v/>
      </c>
      <c r="AE15" s="116" t="str">
        <f t="shared" si="6"/>
        <v/>
      </c>
      <c r="AF15" s="117" t="str">
        <f t="shared" si="7"/>
        <v/>
      </c>
      <c r="AG15" s="118"/>
      <c r="AH15" s="109"/>
      <c r="AI15" s="110"/>
      <c r="AJ15" s="111"/>
      <c r="AK15" s="111"/>
      <c r="AL15" s="109"/>
      <c r="AM15" s="110"/>
      <c r="AN15" s="111"/>
      <c r="AO15" s="8"/>
      <c r="AP15" s="110"/>
      <c r="AQ15" s="111"/>
      <c r="AR15" s="8"/>
      <c r="AS15" s="110"/>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row>
    <row r="16" spans="1:75" ht="71.25" customHeight="1" x14ac:dyDescent="0.25">
      <c r="A16" s="491">
        <v>2</v>
      </c>
      <c r="B16" s="482"/>
      <c r="C16" s="482"/>
      <c r="D16" s="494"/>
      <c r="E16" s="136"/>
      <c r="F16" s="466"/>
      <c r="G16" s="479"/>
      <c r="H16" s="137"/>
      <c r="I16" s="457"/>
      <c r="J16" s="460"/>
      <c r="K16" s="463" t="str">
        <f>IF(J16&lt;=0,"",IF(J16&lt;=2,"Muy Baja",IF(J16&lt;=24,"Baja",IF(J16&lt;=500,"Media",IF(J16&lt;=5000,"Alta","Muy Alta")))))</f>
        <v/>
      </c>
      <c r="L16" s="469" t="str">
        <f>IF(K16="","",IF(K16="Muy Baja",0.2,IF(K16="Baja",0.4,IF(K16="Media",0.6,IF(K16="Alta",0.8,IF(K16="Muy Alta",1,))))))</f>
        <v/>
      </c>
      <c r="M16" s="475"/>
      <c r="N16" s="195">
        <f>IF(NOT(ISERROR(MATCH(M16,'Tabla Impacto'!$B$221:$B$223,0))),'Tabla Impacto'!$F$223&amp;"Por favor no seleccionar los criterios de impacto(Afectación Económica o presupuestal y Pérdida Reputacional)",M16)</f>
        <v>0</v>
      </c>
      <c r="O16" s="463" t="str">
        <f>IF(OR(N16='Tabla Impacto'!$C$11,N16='Tabla Impacto'!$D$11),"Leve",IF(OR(N16='Tabla Impacto'!$C$12,N16='Tabla Impacto'!$D$12),"Menor",IF(OR(N16='Tabla Impacto'!$C$13,N16='Tabla Impacto'!$D$13),"Moderado",IF(OR(N16='Tabla Impacto'!$C$14,N16='Tabla Impacto'!$D$14),"Mayor",IF(OR(N16='Tabla Impacto'!$C$15,N16='Tabla Impacto'!$D$15),"Catastrófico","")))))</f>
        <v/>
      </c>
      <c r="P16" s="469" t="str">
        <f>IF(O16="","",IF(O16="Leve",0.2,IF(O16="Menor",0.4,IF(O16="Moderado",0.6,IF(O16="Mayor",0.8,IF(O16="Catastrófico",1,))))))</f>
        <v/>
      </c>
      <c r="Q16" s="472"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
      </c>
      <c r="R16" s="105">
        <v>1</v>
      </c>
      <c r="S16" s="106"/>
      <c r="T16" s="107" t="str">
        <f>IF(OR(U16="Preventivo",U16="Detectivo"),"Probabilidad",IF(U16="Correctivo","Impacto",""))</f>
        <v/>
      </c>
      <c r="U16" s="113"/>
      <c r="V16" s="113"/>
      <c r="W16" s="114" t="str">
        <f>IF(AND(U16="Preventivo",V16="Automático"),"50%",IF(AND(U16="Preventivo",V16="Manual"),"40%",IF(AND(U16="Detectivo",V16="Automático"),"40%",IF(AND(U16="Detectivo",V16="Manual"),"30%",IF(AND(U16="Correctivo",V16="Automático"),"35%",IF(AND(U16="Correctivo",V16="Manual"),"25%",""))))))</f>
        <v/>
      </c>
      <c r="X16" s="113"/>
      <c r="Y16" s="113"/>
      <c r="Z16" s="113"/>
      <c r="AA16" s="108" t="str">
        <f>IFERROR(IF(T16="Probabilidad",(L16-(+L16*W16)),IF(T16="Impacto",L16,"")),"")</f>
        <v/>
      </c>
      <c r="AB16" s="115" t="str">
        <f>IFERROR(IF(AA16="","",IF(AA16&lt;=0.2,"Muy Baja",IF(AA16&lt;=0.4,"Baja",IF(AA16&lt;=0.6,"Media",IF(AA16&lt;=0.8,"Alta","Muy Alta"))))),"")</f>
        <v/>
      </c>
      <c r="AC16" s="116" t="str">
        <f>+AA16</f>
        <v/>
      </c>
      <c r="AD16" s="115" t="str">
        <f>IFERROR(IF(AE16="","",IF(AE16&lt;=0.2,"Leve",IF(AE16&lt;=0.4,"Menor",IF(AE16&lt;=0.6,"Moderado",IF(AE16&lt;=0.8,"Mayor","Catastrófico"))))),"")</f>
        <v/>
      </c>
      <c r="AE16" s="116" t="str">
        <f>IFERROR(IF(T16="Impacto",(P16-(+P16*W16)),IF(T16="Probabilidad",P16,"")),"")</f>
        <v/>
      </c>
      <c r="AF16" s="117" t="str">
        <f>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
      </c>
      <c r="AG16" s="118"/>
      <c r="AH16" s="109"/>
      <c r="AI16" s="110"/>
      <c r="AJ16" s="111"/>
      <c r="AK16" s="111"/>
      <c r="AL16" s="109"/>
      <c r="AM16" s="110"/>
      <c r="AN16" s="111"/>
      <c r="AO16" s="8"/>
      <c r="AP16" s="110"/>
      <c r="AQ16" s="111"/>
      <c r="AR16" s="8"/>
      <c r="AS16" s="110"/>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row>
    <row r="17" spans="1:75" ht="30" customHeight="1" x14ac:dyDescent="0.25">
      <c r="A17" s="492"/>
      <c r="B17" s="483"/>
      <c r="C17" s="483"/>
      <c r="D17" s="495"/>
      <c r="E17" s="136"/>
      <c r="F17" s="467"/>
      <c r="G17" s="480"/>
      <c r="H17" s="137"/>
      <c r="I17" s="458"/>
      <c r="J17" s="461"/>
      <c r="K17" s="464"/>
      <c r="L17" s="470"/>
      <c r="M17" s="476"/>
      <c r="N17" s="196">
        <f>IF(NOT(ISERROR(MATCH(M17,_xlfn.ANCHORARRAY(F28),0))),L30&amp;"Por favor no seleccionar los criterios de impacto",M17)</f>
        <v>0</v>
      </c>
      <c r="O17" s="464"/>
      <c r="P17" s="470"/>
      <c r="Q17" s="473"/>
      <c r="R17" s="105">
        <v>2</v>
      </c>
      <c r="S17" s="106"/>
      <c r="T17" s="107" t="str">
        <f>IF(OR(U17="Preventivo",U17="Detectivo"),"Probabilidad",IF(U17="Correctivo","Impacto",""))</f>
        <v/>
      </c>
      <c r="U17" s="113"/>
      <c r="V17" s="113"/>
      <c r="W17" s="114" t="str">
        <f t="shared" ref="W17:W21" si="11">IF(AND(U17="Preventivo",V17="Automático"),"50%",IF(AND(U17="Preventivo",V17="Manual"),"40%",IF(AND(U17="Detectivo",V17="Automático"),"40%",IF(AND(U17="Detectivo",V17="Manual"),"30%",IF(AND(U17="Correctivo",V17="Automático"),"35%",IF(AND(U17="Correctivo",V17="Manual"),"25%",""))))))</f>
        <v/>
      </c>
      <c r="X17" s="113"/>
      <c r="Y17" s="113"/>
      <c r="Z17" s="113"/>
      <c r="AA17" s="108" t="str">
        <f>IFERROR(IF(AND(T16="Probabilidad",T17="Probabilidad"),(AC16-(+AC16*W17)),IF(AND(T16="Impacto",T17="Probabilidad"),(L16-(+L16*W17)),IF(T17="Impacto",AC16,""))),"")</f>
        <v/>
      </c>
      <c r="AB17" s="115" t="str">
        <f t="shared" ref="AB17:AB21" si="12">IFERROR(IF(AA17="","",IF(AA17&lt;=0.2,"Muy Baja",IF(AA17&lt;=0.4,"Baja",IF(AA17&lt;=0.6,"Media",IF(AA17&lt;=0.8,"Alta","Muy Alta"))))),"")</f>
        <v/>
      </c>
      <c r="AC17" s="116" t="str">
        <f>+AA17</f>
        <v/>
      </c>
      <c r="AD17" s="115" t="str">
        <f t="shared" ref="AD17:AD21" si="13">IFERROR(IF(AE17="","",IF(AE17&lt;=0.2,"Leve",IF(AE17&lt;=0.4,"Menor",IF(AE17&lt;=0.6,"Moderado",IF(AE17&lt;=0.8,"Mayor","Catastrófico"))))),"")</f>
        <v/>
      </c>
      <c r="AE17" s="116" t="str">
        <f>IFERROR(IF(AND(T16="Impacto",T17="Impacto"),(AE16-(+AE16*W17)),IF(AND(T16="Probabilidad",T17="Impacto"),(P16-(+P16*W17)),IF(T17="Probabilidad",AE16,""))),"")</f>
        <v/>
      </c>
      <c r="AF17" s="117" t="str">
        <f t="shared" ref="AF17:AF21" si="14">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
      </c>
      <c r="AG17" s="118"/>
      <c r="AH17" s="109"/>
      <c r="AI17" s="110"/>
      <c r="AJ17" s="111"/>
      <c r="AK17" s="111"/>
      <c r="AL17" s="109"/>
      <c r="AM17" s="110"/>
      <c r="AN17" s="111"/>
      <c r="AO17" s="8"/>
      <c r="AP17" s="110"/>
      <c r="AQ17" s="111"/>
      <c r="AR17" s="8"/>
      <c r="AS17" s="110"/>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row>
    <row r="18" spans="1:75" ht="25.5" customHeight="1" x14ac:dyDescent="0.25">
      <c r="A18" s="492"/>
      <c r="B18" s="483"/>
      <c r="C18" s="483"/>
      <c r="D18" s="495"/>
      <c r="E18" s="136"/>
      <c r="F18" s="467"/>
      <c r="G18" s="480"/>
      <c r="H18" s="137"/>
      <c r="I18" s="458"/>
      <c r="J18" s="461"/>
      <c r="K18" s="464"/>
      <c r="L18" s="470"/>
      <c r="M18" s="476"/>
      <c r="N18" s="196">
        <f>IF(NOT(ISERROR(MATCH(M18,_xlfn.ANCHORARRAY(F29),0))),L31&amp;"Por favor no seleccionar los criterios de impacto",M18)</f>
        <v>0</v>
      </c>
      <c r="O18" s="464"/>
      <c r="P18" s="470"/>
      <c r="Q18" s="473"/>
      <c r="R18" s="105">
        <v>3</v>
      </c>
      <c r="S18" s="112"/>
      <c r="T18" s="107" t="str">
        <f t="shared" ref="T18:T21" si="15">IF(OR(U18="Preventivo",U18="Detectivo"),"Probabilidad",IF(U18="Correctivo","Impacto",""))</f>
        <v/>
      </c>
      <c r="U18" s="113"/>
      <c r="V18" s="113"/>
      <c r="W18" s="114" t="str">
        <f t="shared" si="11"/>
        <v/>
      </c>
      <c r="X18" s="113"/>
      <c r="Y18" s="113"/>
      <c r="Z18" s="113"/>
      <c r="AA18" s="108" t="str">
        <f>IFERROR(IF(AND(T17="Probabilidad",T18="Probabilidad"),(AC17-(+AC17*W18)),IF(AND(T17="Impacto",T18="Probabilidad"),(AC16-(+AC16*W18)),IF(T18="Impacto",AC17,""))),"")</f>
        <v/>
      </c>
      <c r="AB18" s="115" t="str">
        <f t="shared" si="12"/>
        <v/>
      </c>
      <c r="AC18" s="116" t="str">
        <f t="shared" ref="AC18:AC21" si="16">+AA18</f>
        <v/>
      </c>
      <c r="AD18" s="115" t="str">
        <f t="shared" si="13"/>
        <v/>
      </c>
      <c r="AE18" s="116" t="str">
        <f t="shared" ref="AE18:AE21" si="17">IFERROR(IF(AND(T17="Impacto",T18="Impacto"),(AE17-(+AE17*W18)),IF(AND(T17="Probabilidad",T18="Impacto"),(AE16-(+AE16*W18)),IF(T18="Probabilidad",AE17,""))),"")</f>
        <v/>
      </c>
      <c r="AF18" s="117" t="str">
        <f t="shared" si="14"/>
        <v/>
      </c>
      <c r="AG18" s="118"/>
      <c r="AH18" s="109"/>
      <c r="AI18" s="110"/>
      <c r="AJ18" s="111"/>
      <c r="AK18" s="111"/>
      <c r="AL18" s="109"/>
      <c r="AM18" s="110"/>
      <c r="AN18" s="111"/>
      <c r="AO18" s="8"/>
      <c r="AP18" s="110"/>
      <c r="AQ18" s="111"/>
      <c r="AR18" s="8"/>
      <c r="AS18" s="110"/>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row>
    <row r="19" spans="1:75" ht="25.5" customHeight="1" x14ac:dyDescent="0.25">
      <c r="A19" s="492"/>
      <c r="B19" s="483"/>
      <c r="C19" s="483"/>
      <c r="D19" s="495"/>
      <c r="E19" s="136"/>
      <c r="F19" s="467"/>
      <c r="G19" s="480"/>
      <c r="H19" s="137"/>
      <c r="I19" s="458"/>
      <c r="J19" s="461"/>
      <c r="K19" s="464"/>
      <c r="L19" s="470"/>
      <c r="M19" s="476"/>
      <c r="N19" s="196">
        <f>IF(NOT(ISERROR(MATCH(M19,_xlfn.ANCHORARRAY(F30),0))),L32&amp;"Por favor no seleccionar los criterios de impacto",M19)</f>
        <v>0</v>
      </c>
      <c r="O19" s="464"/>
      <c r="P19" s="470"/>
      <c r="Q19" s="473"/>
      <c r="R19" s="105">
        <v>4</v>
      </c>
      <c r="S19" s="106"/>
      <c r="T19" s="107" t="str">
        <f t="shared" si="15"/>
        <v/>
      </c>
      <c r="U19" s="113"/>
      <c r="V19" s="113"/>
      <c r="W19" s="114" t="str">
        <f t="shared" si="11"/>
        <v/>
      </c>
      <c r="X19" s="113"/>
      <c r="Y19" s="113"/>
      <c r="Z19" s="113"/>
      <c r="AA19" s="108" t="str">
        <f t="shared" ref="AA19:AA21" si="18">IFERROR(IF(AND(T18="Probabilidad",T19="Probabilidad"),(AC18-(+AC18*W19)),IF(AND(T18="Impacto",T19="Probabilidad"),(AC17-(+AC17*W19)),IF(T19="Impacto",AC18,""))),"")</f>
        <v/>
      </c>
      <c r="AB19" s="115" t="str">
        <f t="shared" si="12"/>
        <v/>
      </c>
      <c r="AC19" s="116" t="str">
        <f t="shared" si="16"/>
        <v/>
      </c>
      <c r="AD19" s="115" t="str">
        <f t="shared" si="13"/>
        <v/>
      </c>
      <c r="AE19" s="116" t="str">
        <f t="shared" si="17"/>
        <v/>
      </c>
      <c r="AF19" s="117" t="str">
        <f t="shared" si="14"/>
        <v/>
      </c>
      <c r="AG19" s="118"/>
      <c r="AH19" s="109"/>
      <c r="AI19" s="110"/>
      <c r="AJ19" s="111"/>
      <c r="AK19" s="111"/>
      <c r="AL19" s="109"/>
      <c r="AM19" s="110"/>
      <c r="AN19" s="111"/>
      <c r="AO19" s="8"/>
      <c r="AP19" s="110"/>
      <c r="AQ19" s="111"/>
      <c r="AR19" s="8"/>
      <c r="AS19" s="110"/>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row>
    <row r="20" spans="1:75" ht="24" customHeight="1" x14ac:dyDescent="0.25">
      <c r="A20" s="492"/>
      <c r="B20" s="483"/>
      <c r="C20" s="483"/>
      <c r="D20" s="495"/>
      <c r="E20" s="136"/>
      <c r="F20" s="467"/>
      <c r="G20" s="480"/>
      <c r="H20" s="137"/>
      <c r="I20" s="458"/>
      <c r="J20" s="461"/>
      <c r="K20" s="464"/>
      <c r="L20" s="470"/>
      <c r="M20" s="476"/>
      <c r="N20" s="196">
        <f>IF(NOT(ISERROR(MATCH(M20,_xlfn.ANCHORARRAY(F31),0))),L33&amp;"Por favor no seleccionar los criterios de impacto",M20)</f>
        <v>0</v>
      </c>
      <c r="O20" s="464"/>
      <c r="P20" s="470"/>
      <c r="Q20" s="473"/>
      <c r="R20" s="105">
        <v>5</v>
      </c>
      <c r="S20" s="106"/>
      <c r="T20" s="107" t="str">
        <f t="shared" si="15"/>
        <v/>
      </c>
      <c r="U20" s="113"/>
      <c r="V20" s="113"/>
      <c r="W20" s="114" t="str">
        <f t="shared" si="11"/>
        <v/>
      </c>
      <c r="X20" s="113"/>
      <c r="Y20" s="113"/>
      <c r="Z20" s="113"/>
      <c r="AA20" s="108" t="str">
        <f t="shared" si="18"/>
        <v/>
      </c>
      <c r="AB20" s="115" t="str">
        <f t="shared" si="12"/>
        <v/>
      </c>
      <c r="AC20" s="116" t="str">
        <f t="shared" si="16"/>
        <v/>
      </c>
      <c r="AD20" s="115" t="str">
        <f t="shared" si="13"/>
        <v/>
      </c>
      <c r="AE20" s="116" t="str">
        <f t="shared" si="17"/>
        <v/>
      </c>
      <c r="AF20" s="117" t="str">
        <f t="shared" si="14"/>
        <v/>
      </c>
      <c r="AG20" s="118"/>
      <c r="AH20" s="109"/>
      <c r="AI20" s="110"/>
      <c r="AJ20" s="111"/>
      <c r="AK20" s="111"/>
      <c r="AL20" s="109"/>
      <c r="AM20" s="110"/>
      <c r="AN20" s="111"/>
      <c r="AO20" s="8"/>
      <c r="AP20" s="110"/>
      <c r="AQ20" s="111"/>
      <c r="AR20" s="8"/>
      <c r="AS20" s="110"/>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row>
    <row r="21" spans="1:75" ht="25.5" customHeight="1" x14ac:dyDescent="0.25">
      <c r="A21" s="493"/>
      <c r="B21" s="484"/>
      <c r="C21" s="484"/>
      <c r="D21" s="496"/>
      <c r="E21" s="136"/>
      <c r="F21" s="468"/>
      <c r="G21" s="481"/>
      <c r="H21" s="137"/>
      <c r="I21" s="459"/>
      <c r="J21" s="462"/>
      <c r="K21" s="465"/>
      <c r="L21" s="471"/>
      <c r="M21" s="477"/>
      <c r="N21" s="197">
        <f>IF(NOT(ISERROR(MATCH(M21,_xlfn.ANCHORARRAY(F32),0))),L34&amp;"Por favor no seleccionar los criterios de impacto",M21)</f>
        <v>0</v>
      </c>
      <c r="O21" s="465"/>
      <c r="P21" s="471"/>
      <c r="Q21" s="474"/>
      <c r="R21" s="105">
        <v>6</v>
      </c>
      <c r="S21" s="106"/>
      <c r="T21" s="107" t="str">
        <f t="shared" si="15"/>
        <v/>
      </c>
      <c r="U21" s="113"/>
      <c r="V21" s="113"/>
      <c r="W21" s="114" t="str">
        <f t="shared" si="11"/>
        <v/>
      </c>
      <c r="X21" s="113"/>
      <c r="Y21" s="113"/>
      <c r="Z21" s="113"/>
      <c r="AA21" s="108" t="str">
        <f t="shared" si="18"/>
        <v/>
      </c>
      <c r="AB21" s="115" t="str">
        <f t="shared" si="12"/>
        <v/>
      </c>
      <c r="AC21" s="116" t="str">
        <f t="shared" si="16"/>
        <v/>
      </c>
      <c r="AD21" s="115" t="str">
        <f t="shared" si="13"/>
        <v/>
      </c>
      <c r="AE21" s="116" t="str">
        <f t="shared" si="17"/>
        <v/>
      </c>
      <c r="AF21" s="117" t="str">
        <f t="shared" si="14"/>
        <v/>
      </c>
      <c r="AG21" s="118"/>
      <c r="AH21" s="109"/>
      <c r="AI21" s="110"/>
      <c r="AJ21" s="111"/>
      <c r="AK21" s="111"/>
      <c r="AL21" s="109"/>
      <c r="AM21" s="110"/>
      <c r="AN21" s="111"/>
      <c r="AO21" s="8"/>
      <c r="AP21" s="110"/>
      <c r="AQ21" s="111"/>
      <c r="AR21" s="8"/>
      <c r="AS21" s="110"/>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row>
    <row r="22" spans="1:75" ht="30.75" customHeight="1" x14ac:dyDescent="0.25">
      <c r="A22" s="491">
        <v>3</v>
      </c>
      <c r="B22" s="482"/>
      <c r="C22" s="482"/>
      <c r="D22" s="494"/>
      <c r="E22" s="136"/>
      <c r="F22" s="466"/>
      <c r="G22" s="479"/>
      <c r="H22" s="137"/>
      <c r="I22" s="457"/>
      <c r="J22" s="460"/>
      <c r="K22" s="463" t="str">
        <f t="shared" ref="K22" si="19">IF(J22&lt;=0,"",IF(J22&lt;=2,"Muy Baja",IF(J22&lt;=24,"Baja",IF(J22&lt;=500,"Media",IF(J22&lt;=5000,"Alta","Muy Alta")))))</f>
        <v/>
      </c>
      <c r="L22" s="469" t="str">
        <f t="shared" ref="L22" si="20">IF(K22="","",IF(K22="Muy Baja",0.2,IF(K22="Baja",0.4,IF(K22="Media",0.6,IF(K22="Alta",0.8,IF(K22="Muy Alta",1,))))))</f>
        <v/>
      </c>
      <c r="M22" s="475"/>
      <c r="N22" s="195">
        <f>IF(NOT(ISERROR(MATCH(M22,'Tabla Impacto'!$B$221:$B$223,0))),'Tabla Impacto'!$F$223&amp;"Por favor no seleccionar los criterios de impacto(Afectación Económica o presupuestal y Pérdida Reputacional)",M22)</f>
        <v>0</v>
      </c>
      <c r="O22" s="463" t="str">
        <f>IF(OR(N22='Tabla Impacto'!$C$11,N22='Tabla Impacto'!$D$11),"Leve",IF(OR(N22='Tabla Impacto'!$C$12,N22='Tabla Impacto'!$D$12),"Menor",IF(OR(N22='Tabla Impacto'!$C$13,N22='Tabla Impacto'!$D$13),"Moderado",IF(OR(N22='Tabla Impacto'!$C$14,N22='Tabla Impacto'!$D$14),"Mayor",IF(OR(N22='Tabla Impacto'!$C$15,N22='Tabla Impacto'!$D$15),"Catastrófico","")))))</f>
        <v/>
      </c>
      <c r="P22" s="469" t="str">
        <f t="shared" ref="P22" si="21">IF(O22="","",IF(O22="Leve",0.2,IF(O22="Menor",0.4,IF(O22="Moderado",0.6,IF(O22="Mayor",0.8,IF(O22="Catastrófico",1,))))))</f>
        <v/>
      </c>
      <c r="Q22" s="472" t="str">
        <f t="shared" ref="Q22" si="22">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
      </c>
      <c r="R22" s="105">
        <v>1</v>
      </c>
      <c r="S22" s="106"/>
      <c r="T22" s="107" t="str">
        <f>IF(OR(U22="Preventivo",U22="Detectivo"),"Probabilidad",IF(U22="Correctivo","Impacto",""))</f>
        <v/>
      </c>
      <c r="U22" s="113"/>
      <c r="V22" s="113"/>
      <c r="W22" s="114" t="str">
        <f>IF(AND(U22="Preventivo",V22="Automático"),"50%",IF(AND(U22="Preventivo",V22="Manual"),"40%",IF(AND(U22="Detectivo",V22="Automático"),"40%",IF(AND(U22="Detectivo",V22="Manual"),"30%",IF(AND(U22="Correctivo",V22="Automático"),"35%",IF(AND(U22="Correctivo",V22="Manual"),"25%",""))))))</f>
        <v/>
      </c>
      <c r="X22" s="113"/>
      <c r="Y22" s="113"/>
      <c r="Z22" s="113"/>
      <c r="AA22" s="108" t="str">
        <f>IFERROR(IF(T22="Probabilidad",(L22-(+L22*W22)),IF(T22="Impacto",L22,"")),"")</f>
        <v/>
      </c>
      <c r="AB22" s="115" t="str">
        <f>IFERROR(IF(AA22="","",IF(AA22&lt;=0.2,"Muy Baja",IF(AA22&lt;=0.4,"Baja",IF(AA22&lt;=0.6,"Media",IF(AA22&lt;=0.8,"Alta","Muy Alta"))))),"")</f>
        <v/>
      </c>
      <c r="AC22" s="116" t="str">
        <f>+AA22</f>
        <v/>
      </c>
      <c r="AD22" s="115" t="str">
        <f>IFERROR(IF(AE22="","",IF(AE22&lt;=0.2,"Leve",IF(AE22&lt;=0.4,"Menor",IF(AE22&lt;=0.6,"Moderado",IF(AE22&lt;=0.8,"Mayor","Catastrófico"))))),"")</f>
        <v/>
      </c>
      <c r="AE22" s="116" t="str">
        <f>IFERROR(IF(T22="Impacto",(P22-(+P22*W22)),IF(T22="Probabilidad",P22,"")),"")</f>
        <v/>
      </c>
      <c r="AF22" s="117" t="str">
        <f>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118"/>
      <c r="AH22" s="109"/>
      <c r="AI22" s="110"/>
      <c r="AJ22" s="111"/>
      <c r="AK22" s="111"/>
      <c r="AL22" s="109"/>
      <c r="AM22" s="110"/>
      <c r="AN22" s="111"/>
      <c r="AO22" s="8"/>
      <c r="AP22" s="110"/>
      <c r="AQ22" s="111"/>
      <c r="AR22" s="8"/>
      <c r="AS22" s="110"/>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row>
    <row r="23" spans="1:75" ht="26.25" customHeight="1" x14ac:dyDescent="0.25">
      <c r="A23" s="492"/>
      <c r="B23" s="483"/>
      <c r="C23" s="483"/>
      <c r="D23" s="495"/>
      <c r="E23" s="136"/>
      <c r="F23" s="467"/>
      <c r="G23" s="480"/>
      <c r="H23" s="137"/>
      <c r="I23" s="458"/>
      <c r="J23" s="461"/>
      <c r="K23" s="464"/>
      <c r="L23" s="470"/>
      <c r="M23" s="476"/>
      <c r="N23" s="196">
        <f>IF(NOT(ISERROR(MATCH(M23,_xlfn.ANCHORARRAY(F34),0))),L36&amp;"Por favor no seleccionar los criterios de impacto",M23)</f>
        <v>0</v>
      </c>
      <c r="O23" s="464"/>
      <c r="P23" s="470"/>
      <c r="Q23" s="473"/>
      <c r="R23" s="105">
        <v>2</v>
      </c>
      <c r="S23" s="106"/>
      <c r="T23" s="107" t="str">
        <f>IF(OR(U23="Preventivo",U23="Detectivo"),"Probabilidad",IF(U23="Correctivo","Impacto",""))</f>
        <v/>
      </c>
      <c r="U23" s="113"/>
      <c r="V23" s="113"/>
      <c r="W23" s="114" t="str">
        <f t="shared" ref="W23:W27" si="23">IF(AND(U23="Preventivo",V23="Automático"),"50%",IF(AND(U23="Preventivo",V23="Manual"),"40%",IF(AND(U23="Detectivo",V23="Automático"),"40%",IF(AND(U23="Detectivo",V23="Manual"),"30%",IF(AND(U23="Correctivo",V23="Automático"),"35%",IF(AND(U23="Correctivo",V23="Manual"),"25%",""))))))</f>
        <v/>
      </c>
      <c r="X23" s="113"/>
      <c r="Y23" s="113"/>
      <c r="Z23" s="113"/>
      <c r="AA23" s="108" t="str">
        <f>IFERROR(IF(AND(T22="Probabilidad",T23="Probabilidad"),(AC22-(+AC22*W23)),IF(AND(T22="Impacto",T23="Probabilidad"),(L22-(+L22*W23)),IF(T23="Impacto",AC22,""))),"")</f>
        <v/>
      </c>
      <c r="AB23" s="115" t="str">
        <f t="shared" ref="AB23:AB27" si="24">IFERROR(IF(AA23="","",IF(AA23&lt;=0.2,"Muy Baja",IF(AA23&lt;=0.4,"Baja",IF(AA23&lt;=0.6,"Media",IF(AA23&lt;=0.8,"Alta","Muy Alta"))))),"")</f>
        <v/>
      </c>
      <c r="AC23" s="116" t="str">
        <f>+AA23</f>
        <v/>
      </c>
      <c r="AD23" s="115" t="str">
        <f t="shared" ref="AD23:AD27" si="25">IFERROR(IF(AE23="","",IF(AE23&lt;=0.2,"Leve",IF(AE23&lt;=0.4,"Menor",IF(AE23&lt;=0.6,"Moderado",IF(AE23&lt;=0.8,"Mayor","Catastrófico"))))),"")</f>
        <v/>
      </c>
      <c r="AE23" s="116" t="str">
        <f>IFERROR(IF(AND(T22="Impacto",T23="Impacto"),(AE22-(+AE22*W23)),IF(AND(T22="Probabilidad",T23="Impacto"),(P22-(+P22*W23)),IF(T23="Probabilidad",AE22,""))),"")</f>
        <v/>
      </c>
      <c r="AF23" s="117" t="str">
        <f t="shared" ref="AF23:AF27" si="26">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118"/>
      <c r="AH23" s="109"/>
      <c r="AI23" s="110"/>
      <c r="AJ23" s="111"/>
      <c r="AK23" s="111"/>
      <c r="AL23" s="109"/>
      <c r="AM23" s="110"/>
      <c r="AN23" s="111"/>
      <c r="AO23" s="8"/>
      <c r="AP23" s="110"/>
      <c r="AQ23" s="111"/>
      <c r="AR23" s="8"/>
      <c r="AS23" s="110"/>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row>
    <row r="24" spans="1:75" ht="26.25" customHeight="1" x14ac:dyDescent="0.25">
      <c r="A24" s="492"/>
      <c r="B24" s="483"/>
      <c r="C24" s="483"/>
      <c r="D24" s="495"/>
      <c r="E24" s="136"/>
      <c r="F24" s="467"/>
      <c r="G24" s="480"/>
      <c r="H24" s="137"/>
      <c r="I24" s="458"/>
      <c r="J24" s="461"/>
      <c r="K24" s="464"/>
      <c r="L24" s="470"/>
      <c r="M24" s="476"/>
      <c r="N24" s="196">
        <f>IF(NOT(ISERROR(MATCH(M24,_xlfn.ANCHORARRAY(F35),0))),L37&amp;"Por favor no seleccionar los criterios de impacto",M24)</f>
        <v>0</v>
      </c>
      <c r="O24" s="464"/>
      <c r="P24" s="470"/>
      <c r="Q24" s="473"/>
      <c r="R24" s="105">
        <v>3</v>
      </c>
      <c r="S24" s="112"/>
      <c r="T24" s="107" t="str">
        <f t="shared" ref="T24:T27" si="27">IF(OR(U24="Preventivo",U24="Detectivo"),"Probabilidad",IF(U24="Correctivo","Impacto",""))</f>
        <v/>
      </c>
      <c r="U24" s="113"/>
      <c r="V24" s="113"/>
      <c r="W24" s="114" t="str">
        <f t="shared" si="23"/>
        <v/>
      </c>
      <c r="X24" s="113"/>
      <c r="Y24" s="113"/>
      <c r="Z24" s="113"/>
      <c r="AA24" s="108" t="str">
        <f>IFERROR(IF(AND(T23="Probabilidad",T24="Probabilidad"),(AC23-(+AC23*W24)),IF(AND(T23="Impacto",T24="Probabilidad"),(AC22-(+AC22*W24)),IF(T24="Impacto",AC23,""))),"")</f>
        <v/>
      </c>
      <c r="AB24" s="115" t="str">
        <f t="shared" si="24"/>
        <v/>
      </c>
      <c r="AC24" s="116" t="str">
        <f t="shared" ref="AC24:AC27" si="28">+AA24</f>
        <v/>
      </c>
      <c r="AD24" s="115" t="str">
        <f t="shared" si="25"/>
        <v/>
      </c>
      <c r="AE24" s="116" t="str">
        <f t="shared" ref="AE24:AE27" si="29">IFERROR(IF(AND(T23="Impacto",T24="Impacto"),(AE23-(+AE23*W24)),IF(AND(T23="Probabilidad",T24="Impacto"),(AE22-(+AE22*W24)),IF(T24="Probabilidad",AE23,""))),"")</f>
        <v/>
      </c>
      <c r="AF24" s="117" t="str">
        <f t="shared" si="26"/>
        <v/>
      </c>
      <c r="AG24" s="118"/>
      <c r="AH24" s="109"/>
      <c r="AI24" s="110"/>
      <c r="AJ24" s="111"/>
      <c r="AK24" s="111"/>
      <c r="AL24" s="109"/>
      <c r="AM24" s="110"/>
      <c r="AN24" s="111"/>
      <c r="AO24" s="8"/>
      <c r="AP24" s="110"/>
      <c r="AQ24" s="111"/>
      <c r="AR24" s="8"/>
      <c r="AS24" s="110"/>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row>
    <row r="25" spans="1:75" ht="26.25" customHeight="1" x14ac:dyDescent="0.25">
      <c r="A25" s="492"/>
      <c r="B25" s="483"/>
      <c r="C25" s="483"/>
      <c r="D25" s="495"/>
      <c r="E25" s="136"/>
      <c r="F25" s="467"/>
      <c r="G25" s="480"/>
      <c r="H25" s="137"/>
      <c r="I25" s="458"/>
      <c r="J25" s="461"/>
      <c r="K25" s="464"/>
      <c r="L25" s="470"/>
      <c r="M25" s="476"/>
      <c r="N25" s="196">
        <f>IF(NOT(ISERROR(MATCH(M25,_xlfn.ANCHORARRAY(F36),0))),L38&amp;"Por favor no seleccionar los criterios de impacto",M25)</f>
        <v>0</v>
      </c>
      <c r="O25" s="464"/>
      <c r="P25" s="470"/>
      <c r="Q25" s="473"/>
      <c r="R25" s="105">
        <v>4</v>
      </c>
      <c r="S25" s="106"/>
      <c r="T25" s="107" t="str">
        <f t="shared" si="27"/>
        <v/>
      </c>
      <c r="U25" s="113"/>
      <c r="V25" s="113"/>
      <c r="W25" s="114" t="str">
        <f t="shared" si="23"/>
        <v/>
      </c>
      <c r="X25" s="113"/>
      <c r="Y25" s="113"/>
      <c r="Z25" s="113"/>
      <c r="AA25" s="108" t="str">
        <f t="shared" ref="AA25:AA27" si="30">IFERROR(IF(AND(T24="Probabilidad",T25="Probabilidad"),(AC24-(+AC24*W25)),IF(AND(T24="Impacto",T25="Probabilidad"),(AC23-(+AC23*W25)),IF(T25="Impacto",AC24,""))),"")</f>
        <v/>
      </c>
      <c r="AB25" s="115" t="str">
        <f t="shared" si="24"/>
        <v/>
      </c>
      <c r="AC25" s="116" t="str">
        <f t="shared" si="28"/>
        <v/>
      </c>
      <c r="AD25" s="115" t="str">
        <f t="shared" si="25"/>
        <v/>
      </c>
      <c r="AE25" s="116" t="str">
        <f t="shared" si="29"/>
        <v/>
      </c>
      <c r="AF25" s="117" t="str">
        <f t="shared" si="26"/>
        <v/>
      </c>
      <c r="AG25" s="118"/>
      <c r="AH25" s="109"/>
      <c r="AI25" s="110"/>
      <c r="AJ25" s="111"/>
      <c r="AK25" s="111"/>
      <c r="AL25" s="109"/>
      <c r="AM25" s="110"/>
      <c r="AN25" s="111"/>
      <c r="AO25" s="8"/>
      <c r="AP25" s="110"/>
      <c r="AQ25" s="111"/>
      <c r="AR25" s="8"/>
      <c r="AS25" s="110"/>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row>
    <row r="26" spans="1:75" ht="26.25" customHeight="1" x14ac:dyDescent="0.25">
      <c r="A26" s="492"/>
      <c r="B26" s="483"/>
      <c r="C26" s="483"/>
      <c r="D26" s="495"/>
      <c r="E26" s="136"/>
      <c r="F26" s="467"/>
      <c r="G26" s="480"/>
      <c r="H26" s="137"/>
      <c r="I26" s="458"/>
      <c r="J26" s="461"/>
      <c r="K26" s="464"/>
      <c r="L26" s="470"/>
      <c r="M26" s="476"/>
      <c r="N26" s="196">
        <f>IF(NOT(ISERROR(MATCH(M26,_xlfn.ANCHORARRAY(F37),0))),L39&amp;"Por favor no seleccionar los criterios de impacto",M26)</f>
        <v>0</v>
      </c>
      <c r="O26" s="464"/>
      <c r="P26" s="470"/>
      <c r="Q26" s="473"/>
      <c r="R26" s="105">
        <v>5</v>
      </c>
      <c r="S26" s="106"/>
      <c r="T26" s="107" t="str">
        <f t="shared" si="27"/>
        <v/>
      </c>
      <c r="U26" s="113"/>
      <c r="V26" s="113"/>
      <c r="W26" s="114" t="str">
        <f t="shared" si="23"/>
        <v/>
      </c>
      <c r="X26" s="113"/>
      <c r="Y26" s="113"/>
      <c r="Z26" s="113"/>
      <c r="AA26" s="108" t="str">
        <f t="shared" si="30"/>
        <v/>
      </c>
      <c r="AB26" s="115" t="str">
        <f t="shared" si="24"/>
        <v/>
      </c>
      <c r="AC26" s="116" t="str">
        <f t="shared" si="28"/>
        <v/>
      </c>
      <c r="AD26" s="115" t="str">
        <f t="shared" si="25"/>
        <v/>
      </c>
      <c r="AE26" s="116" t="str">
        <f t="shared" si="29"/>
        <v/>
      </c>
      <c r="AF26" s="117" t="str">
        <f t="shared" si="26"/>
        <v/>
      </c>
      <c r="AG26" s="118"/>
      <c r="AH26" s="109"/>
      <c r="AI26" s="110"/>
      <c r="AJ26" s="111"/>
      <c r="AK26" s="111"/>
      <c r="AL26" s="109"/>
      <c r="AM26" s="110"/>
      <c r="AN26" s="111"/>
      <c r="AO26" s="8"/>
      <c r="AP26" s="110"/>
      <c r="AQ26" s="111"/>
      <c r="AR26" s="8"/>
      <c r="AS26" s="110"/>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row>
    <row r="27" spans="1:75" ht="26.25" customHeight="1" x14ac:dyDescent="0.25">
      <c r="A27" s="493"/>
      <c r="B27" s="484"/>
      <c r="C27" s="484"/>
      <c r="D27" s="496"/>
      <c r="E27" s="136"/>
      <c r="F27" s="468"/>
      <c r="G27" s="481"/>
      <c r="H27" s="137"/>
      <c r="I27" s="459"/>
      <c r="J27" s="462"/>
      <c r="K27" s="465"/>
      <c r="L27" s="471"/>
      <c r="M27" s="477"/>
      <c r="N27" s="197">
        <f>IF(NOT(ISERROR(MATCH(M27,_xlfn.ANCHORARRAY(F38),0))),L40&amp;"Por favor no seleccionar los criterios de impacto",M27)</f>
        <v>0</v>
      </c>
      <c r="O27" s="465"/>
      <c r="P27" s="471"/>
      <c r="Q27" s="474"/>
      <c r="R27" s="105">
        <v>6</v>
      </c>
      <c r="S27" s="106"/>
      <c r="T27" s="107" t="str">
        <f t="shared" si="27"/>
        <v/>
      </c>
      <c r="U27" s="113"/>
      <c r="V27" s="113"/>
      <c r="W27" s="114" t="str">
        <f t="shared" si="23"/>
        <v/>
      </c>
      <c r="X27" s="113"/>
      <c r="Y27" s="113"/>
      <c r="Z27" s="113"/>
      <c r="AA27" s="108" t="str">
        <f t="shared" si="30"/>
        <v/>
      </c>
      <c r="AB27" s="115" t="str">
        <f t="shared" si="24"/>
        <v/>
      </c>
      <c r="AC27" s="116" t="str">
        <f t="shared" si="28"/>
        <v/>
      </c>
      <c r="AD27" s="115" t="str">
        <f t="shared" si="25"/>
        <v/>
      </c>
      <c r="AE27" s="116" t="str">
        <f t="shared" si="29"/>
        <v/>
      </c>
      <c r="AF27" s="117" t="str">
        <f t="shared" si="26"/>
        <v/>
      </c>
      <c r="AG27" s="118"/>
      <c r="AH27" s="109"/>
      <c r="AI27" s="110"/>
      <c r="AJ27" s="111"/>
      <c r="AK27" s="111"/>
      <c r="AL27" s="109"/>
      <c r="AM27" s="110"/>
      <c r="AN27" s="111"/>
      <c r="AO27" s="8"/>
      <c r="AP27" s="110"/>
      <c r="AQ27" s="111"/>
      <c r="AR27" s="8"/>
      <c r="AS27" s="110"/>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row>
    <row r="28" spans="1:75" ht="26.25" customHeight="1" x14ac:dyDescent="0.25">
      <c r="A28" s="491">
        <v>4</v>
      </c>
      <c r="B28" s="482"/>
      <c r="C28" s="482"/>
      <c r="D28" s="494"/>
      <c r="E28" s="136"/>
      <c r="F28" s="466"/>
      <c r="G28" s="479"/>
      <c r="H28" s="137"/>
      <c r="I28" s="457"/>
      <c r="J28" s="460"/>
      <c r="K28" s="463" t="str">
        <f t="shared" ref="K28" si="31">IF(J28&lt;=0,"",IF(J28&lt;=2,"Muy Baja",IF(J28&lt;=24,"Baja",IF(J28&lt;=500,"Media",IF(J28&lt;=5000,"Alta","Muy Alta")))))</f>
        <v/>
      </c>
      <c r="L28" s="469" t="str">
        <f t="shared" ref="L28" si="32">IF(K28="","",IF(K28="Muy Baja",0.2,IF(K28="Baja",0.4,IF(K28="Media",0.6,IF(K28="Alta",0.8,IF(K28="Muy Alta",1,))))))</f>
        <v/>
      </c>
      <c r="M28" s="475"/>
      <c r="N28" s="469">
        <f>IF(NOT(ISERROR(MATCH(M28,'Tabla Impacto'!$B$221:$B$223,0))),'Tabla Impacto'!$F$223&amp;"Por favor no seleccionar los criterios de impacto(Afectación Económica o presupuestal y Pérdida Reputacional)",M28)</f>
        <v>0</v>
      </c>
      <c r="O28" s="463" t="str">
        <f>IF(OR(N28='Tabla Impacto'!$C$11,N28='Tabla Impacto'!$D$11),"Leve",IF(OR(N28='Tabla Impacto'!$C$12,N28='Tabla Impacto'!$D$12),"Menor",IF(OR(N28='Tabla Impacto'!$C$13,N28='Tabla Impacto'!$D$13),"Moderado",IF(OR(N28='Tabla Impacto'!$C$14,N28='Tabla Impacto'!$D$14),"Mayor",IF(OR(N28='Tabla Impacto'!$C$15,N28='Tabla Impacto'!$D$15),"Catastrófico","")))))</f>
        <v/>
      </c>
      <c r="P28" s="469" t="str">
        <f t="shared" ref="P28" si="33">IF(O28="","",IF(O28="Leve",0.2,IF(O28="Menor",0.4,IF(O28="Moderado",0.6,IF(O28="Mayor",0.8,IF(O28="Catastrófico",1,))))))</f>
        <v/>
      </c>
      <c r="Q28" s="472" t="str">
        <f t="shared" ref="Q28" si="34">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
      </c>
      <c r="R28" s="105">
        <v>1</v>
      </c>
      <c r="S28" s="106"/>
      <c r="T28" s="107" t="str">
        <f>IF(OR(U28="Preventivo",U28="Detectivo"),"Probabilidad",IF(U28="Correctivo","Impacto",""))</f>
        <v/>
      </c>
      <c r="U28" s="113"/>
      <c r="V28" s="113"/>
      <c r="W28" s="114" t="str">
        <f>IF(AND(U28="Preventivo",V28="Automático"),"50%",IF(AND(U28="Preventivo",V28="Manual"),"40%",IF(AND(U28="Detectivo",V28="Automático"),"40%",IF(AND(U28="Detectivo",V28="Manual"),"30%",IF(AND(U28="Correctivo",V28="Automático"),"35%",IF(AND(U28="Correctivo",V28="Manual"),"25%",""))))))</f>
        <v/>
      </c>
      <c r="X28" s="113"/>
      <c r="Y28" s="113"/>
      <c r="Z28" s="113"/>
      <c r="AA28" s="108" t="str">
        <f>IFERROR(IF(T28="Probabilidad",(L28-(+L28*W28)),IF(T28="Impacto",L28,"")),"")</f>
        <v/>
      </c>
      <c r="AB28" s="115" t="str">
        <f>IFERROR(IF(AA28="","",IF(AA28&lt;=0.2,"Muy Baja",IF(AA28&lt;=0.4,"Baja",IF(AA28&lt;=0.6,"Media",IF(AA28&lt;=0.8,"Alta","Muy Alta"))))),"")</f>
        <v/>
      </c>
      <c r="AC28" s="116" t="str">
        <f>+AA28</f>
        <v/>
      </c>
      <c r="AD28" s="115" t="str">
        <f>IFERROR(IF(AE28="","",IF(AE28&lt;=0.2,"Leve",IF(AE28&lt;=0.4,"Menor",IF(AE28&lt;=0.6,"Moderado",IF(AE28&lt;=0.8,"Mayor","Catastrófico"))))),"")</f>
        <v/>
      </c>
      <c r="AE28" s="116" t="str">
        <f>IFERROR(IF(T28="Impacto",(P28-(+P28*W28)),IF(T28="Probabilidad",P28,"")),"")</f>
        <v/>
      </c>
      <c r="AF28" s="117" t="str">
        <f>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118"/>
      <c r="AH28" s="109"/>
      <c r="AI28" s="110"/>
      <c r="AJ28" s="111"/>
      <c r="AK28" s="111"/>
      <c r="AL28" s="109"/>
      <c r="AM28" s="110"/>
      <c r="AN28" s="111"/>
      <c r="AO28" s="8"/>
      <c r="AP28" s="110"/>
      <c r="AQ28" s="111"/>
      <c r="AR28" s="8"/>
      <c r="AS28" s="110"/>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row>
    <row r="29" spans="1:75" ht="26.25" customHeight="1" x14ac:dyDescent="0.25">
      <c r="A29" s="492"/>
      <c r="B29" s="483"/>
      <c r="C29" s="483"/>
      <c r="D29" s="495"/>
      <c r="E29" s="136"/>
      <c r="F29" s="467"/>
      <c r="G29" s="480"/>
      <c r="H29" s="137"/>
      <c r="I29" s="458"/>
      <c r="J29" s="461"/>
      <c r="K29" s="464"/>
      <c r="L29" s="470"/>
      <c r="M29" s="476"/>
      <c r="N29" s="470">
        <f>IF(NOT(ISERROR(MATCH(M29,_xlfn.ANCHORARRAY(F40),0))),L42&amp;"Por favor no seleccionar los criterios de impacto",M29)</f>
        <v>0</v>
      </c>
      <c r="O29" s="464"/>
      <c r="P29" s="470"/>
      <c r="Q29" s="473"/>
      <c r="R29" s="105">
        <v>2</v>
      </c>
      <c r="S29" s="106"/>
      <c r="T29" s="107" t="str">
        <f>IF(OR(U29="Preventivo",U29="Detectivo"),"Probabilidad",IF(U29="Correctivo","Impacto",""))</f>
        <v/>
      </c>
      <c r="U29" s="113"/>
      <c r="V29" s="113"/>
      <c r="W29" s="114" t="str">
        <f t="shared" ref="W29:W33" si="35">IF(AND(U29="Preventivo",V29="Automático"),"50%",IF(AND(U29="Preventivo",V29="Manual"),"40%",IF(AND(U29="Detectivo",V29="Automático"),"40%",IF(AND(U29="Detectivo",V29="Manual"),"30%",IF(AND(U29="Correctivo",V29="Automático"),"35%",IF(AND(U29="Correctivo",V29="Manual"),"25%",""))))))</f>
        <v/>
      </c>
      <c r="X29" s="113"/>
      <c r="Y29" s="113"/>
      <c r="Z29" s="113"/>
      <c r="AA29" s="108" t="str">
        <f>IFERROR(IF(AND(T28="Probabilidad",T29="Probabilidad"),(AC28-(+AC28*W29)),IF(AND(T28="Impacto",T29="Probabilidad"),(L28-(+L28*W29)),IF(T29="Impacto",AC28,""))),"")</f>
        <v/>
      </c>
      <c r="AB29" s="115" t="str">
        <f t="shared" ref="AB29:AB33" si="36">IFERROR(IF(AA29="","",IF(AA29&lt;=0.2,"Muy Baja",IF(AA29&lt;=0.4,"Baja",IF(AA29&lt;=0.6,"Media",IF(AA29&lt;=0.8,"Alta","Muy Alta"))))),"")</f>
        <v/>
      </c>
      <c r="AC29" s="116" t="str">
        <f>+AA29</f>
        <v/>
      </c>
      <c r="AD29" s="115" t="str">
        <f t="shared" ref="AD29:AD33" si="37">IFERROR(IF(AE29="","",IF(AE29&lt;=0.2,"Leve",IF(AE29&lt;=0.4,"Menor",IF(AE29&lt;=0.6,"Moderado",IF(AE29&lt;=0.8,"Mayor","Catastrófico"))))),"")</f>
        <v/>
      </c>
      <c r="AE29" s="116" t="str">
        <f>IFERROR(IF(AND(T28="Impacto",T29="Impacto"),(AE28-(+AE28*W29)),IF(AND(T28="Probabilidad",T29="Impacto"),(P28-(+P28*W29)),IF(T29="Probabilidad",AE28,""))),"")</f>
        <v/>
      </c>
      <c r="AF29" s="117" t="str">
        <f t="shared" ref="AF29:AF33" si="38">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
      </c>
      <c r="AG29" s="118"/>
      <c r="AH29" s="109"/>
      <c r="AI29" s="110"/>
      <c r="AJ29" s="111"/>
      <c r="AK29" s="111"/>
      <c r="AL29" s="109"/>
      <c r="AM29" s="110"/>
      <c r="AN29" s="111"/>
      <c r="AO29" s="8"/>
      <c r="AP29" s="110"/>
      <c r="AQ29" s="111"/>
      <c r="AR29" s="8"/>
      <c r="AS29" s="110"/>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row>
    <row r="30" spans="1:75" ht="26.25" customHeight="1" x14ac:dyDescent="0.25">
      <c r="A30" s="492"/>
      <c r="B30" s="483"/>
      <c r="C30" s="483"/>
      <c r="D30" s="495"/>
      <c r="E30" s="136"/>
      <c r="F30" s="467"/>
      <c r="G30" s="480"/>
      <c r="H30" s="137"/>
      <c r="I30" s="458"/>
      <c r="J30" s="461"/>
      <c r="K30" s="464"/>
      <c r="L30" s="470"/>
      <c r="M30" s="476"/>
      <c r="N30" s="470">
        <f>IF(NOT(ISERROR(MATCH(M30,_xlfn.ANCHORARRAY(F41),0))),L43&amp;"Por favor no seleccionar los criterios de impacto",M30)</f>
        <v>0</v>
      </c>
      <c r="O30" s="464"/>
      <c r="P30" s="470"/>
      <c r="Q30" s="473"/>
      <c r="R30" s="105">
        <v>3</v>
      </c>
      <c r="S30" s="112"/>
      <c r="T30" s="107" t="str">
        <f t="shared" ref="T30:T33" si="39">IF(OR(U30="Preventivo",U30="Detectivo"),"Probabilidad",IF(U30="Correctivo","Impacto",""))</f>
        <v/>
      </c>
      <c r="U30" s="113"/>
      <c r="V30" s="113"/>
      <c r="W30" s="114" t="str">
        <f t="shared" si="35"/>
        <v/>
      </c>
      <c r="X30" s="113"/>
      <c r="Y30" s="113"/>
      <c r="Z30" s="113"/>
      <c r="AA30" s="108" t="str">
        <f>IFERROR(IF(AND(T29="Probabilidad",T30="Probabilidad"),(AC29-(+AC29*W30)),IF(AND(T29="Impacto",T30="Probabilidad"),(AC28-(+AC28*W30)),IF(T30="Impacto",AC29,""))),"")</f>
        <v/>
      </c>
      <c r="AB30" s="115" t="str">
        <f t="shared" si="36"/>
        <v/>
      </c>
      <c r="AC30" s="116" t="str">
        <f t="shared" ref="AC30:AC33" si="40">+AA30</f>
        <v/>
      </c>
      <c r="AD30" s="115" t="str">
        <f t="shared" si="37"/>
        <v/>
      </c>
      <c r="AE30" s="116" t="str">
        <f t="shared" ref="AE30:AE33" si="41">IFERROR(IF(AND(T29="Impacto",T30="Impacto"),(AE29-(+AE29*W30)),IF(AND(T29="Probabilidad",T30="Impacto"),(AE28-(+AE28*W30)),IF(T30="Probabilidad",AE29,""))),"")</f>
        <v/>
      </c>
      <c r="AF30" s="117" t="str">
        <f t="shared" si="38"/>
        <v/>
      </c>
      <c r="AG30" s="118"/>
      <c r="AH30" s="109"/>
      <c r="AI30" s="110"/>
      <c r="AJ30" s="111"/>
      <c r="AK30" s="111"/>
      <c r="AL30" s="109"/>
      <c r="AM30" s="110"/>
      <c r="AN30" s="111"/>
      <c r="AO30" s="8"/>
      <c r="AP30" s="110"/>
      <c r="AQ30" s="111"/>
      <c r="AR30" s="8"/>
      <c r="AS30" s="110"/>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row>
    <row r="31" spans="1:75" ht="26.25" customHeight="1" x14ac:dyDescent="0.25">
      <c r="A31" s="492"/>
      <c r="B31" s="483"/>
      <c r="C31" s="483"/>
      <c r="D31" s="495"/>
      <c r="E31" s="136"/>
      <c r="F31" s="467"/>
      <c r="G31" s="480"/>
      <c r="H31" s="137"/>
      <c r="I31" s="458"/>
      <c r="J31" s="461"/>
      <c r="K31" s="464"/>
      <c r="L31" s="470"/>
      <c r="M31" s="476"/>
      <c r="N31" s="470">
        <f>IF(NOT(ISERROR(MATCH(M31,_xlfn.ANCHORARRAY(F42),0))),L44&amp;"Por favor no seleccionar los criterios de impacto",M31)</f>
        <v>0</v>
      </c>
      <c r="O31" s="464"/>
      <c r="P31" s="470"/>
      <c r="Q31" s="473"/>
      <c r="R31" s="105">
        <v>4</v>
      </c>
      <c r="S31" s="106"/>
      <c r="T31" s="107" t="str">
        <f t="shared" si="39"/>
        <v/>
      </c>
      <c r="U31" s="113"/>
      <c r="V31" s="113"/>
      <c r="W31" s="114" t="str">
        <f t="shared" si="35"/>
        <v/>
      </c>
      <c r="X31" s="113"/>
      <c r="Y31" s="113"/>
      <c r="Z31" s="113"/>
      <c r="AA31" s="108" t="str">
        <f t="shared" ref="AA31:AA33" si="42">IFERROR(IF(AND(T30="Probabilidad",T31="Probabilidad"),(AC30-(+AC30*W31)),IF(AND(T30="Impacto",T31="Probabilidad"),(AC29-(+AC29*W31)),IF(T31="Impacto",AC30,""))),"")</f>
        <v/>
      </c>
      <c r="AB31" s="115" t="str">
        <f t="shared" si="36"/>
        <v/>
      </c>
      <c r="AC31" s="116" t="str">
        <f t="shared" si="40"/>
        <v/>
      </c>
      <c r="AD31" s="115" t="str">
        <f t="shared" si="37"/>
        <v/>
      </c>
      <c r="AE31" s="116" t="str">
        <f t="shared" si="41"/>
        <v/>
      </c>
      <c r="AF31" s="117" t="str">
        <f t="shared" si="38"/>
        <v/>
      </c>
      <c r="AG31" s="118"/>
      <c r="AH31" s="109"/>
      <c r="AI31" s="110"/>
      <c r="AJ31" s="111"/>
      <c r="AK31" s="111"/>
      <c r="AL31" s="109"/>
      <c r="AM31" s="110"/>
      <c r="AN31" s="111"/>
      <c r="AO31" s="8"/>
      <c r="AP31" s="110"/>
      <c r="AQ31" s="111"/>
      <c r="AR31" s="8"/>
      <c r="AS31" s="110"/>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row>
    <row r="32" spans="1:75" ht="26.25" customHeight="1" x14ac:dyDescent="0.25">
      <c r="A32" s="492"/>
      <c r="B32" s="483"/>
      <c r="C32" s="483"/>
      <c r="D32" s="495"/>
      <c r="E32" s="136"/>
      <c r="F32" s="467"/>
      <c r="G32" s="480"/>
      <c r="H32" s="137"/>
      <c r="I32" s="458"/>
      <c r="J32" s="461"/>
      <c r="K32" s="464"/>
      <c r="L32" s="470"/>
      <c r="M32" s="476"/>
      <c r="N32" s="470">
        <f>IF(NOT(ISERROR(MATCH(M32,_xlfn.ANCHORARRAY(F43),0))),L45&amp;"Por favor no seleccionar los criterios de impacto",M32)</f>
        <v>0</v>
      </c>
      <c r="O32" s="464"/>
      <c r="P32" s="470"/>
      <c r="Q32" s="473"/>
      <c r="R32" s="105">
        <v>5</v>
      </c>
      <c r="S32" s="106"/>
      <c r="T32" s="107" t="str">
        <f t="shared" si="39"/>
        <v/>
      </c>
      <c r="U32" s="113"/>
      <c r="V32" s="113"/>
      <c r="W32" s="114" t="str">
        <f t="shared" si="35"/>
        <v/>
      </c>
      <c r="X32" s="113"/>
      <c r="Y32" s="113"/>
      <c r="Z32" s="113"/>
      <c r="AA32" s="108" t="str">
        <f t="shared" si="42"/>
        <v/>
      </c>
      <c r="AB32" s="115" t="str">
        <f t="shared" si="36"/>
        <v/>
      </c>
      <c r="AC32" s="116" t="str">
        <f t="shared" si="40"/>
        <v/>
      </c>
      <c r="AD32" s="115" t="str">
        <f t="shared" si="37"/>
        <v/>
      </c>
      <c r="AE32" s="116" t="str">
        <f t="shared" si="41"/>
        <v/>
      </c>
      <c r="AF32" s="117" t="str">
        <f t="shared" si="38"/>
        <v/>
      </c>
      <c r="AG32" s="118"/>
      <c r="AH32" s="109"/>
      <c r="AI32" s="110"/>
      <c r="AJ32" s="111"/>
      <c r="AK32" s="111"/>
      <c r="AL32" s="109"/>
      <c r="AM32" s="110"/>
      <c r="AN32" s="111"/>
      <c r="AO32" s="8"/>
      <c r="AP32" s="110"/>
      <c r="AQ32" s="111"/>
      <c r="AR32" s="8"/>
      <c r="AS32" s="110"/>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row>
    <row r="33" spans="1:75" ht="26.25" customHeight="1" x14ac:dyDescent="0.25">
      <c r="A33" s="493"/>
      <c r="B33" s="484"/>
      <c r="C33" s="484"/>
      <c r="D33" s="496"/>
      <c r="E33" s="136"/>
      <c r="F33" s="468"/>
      <c r="G33" s="481"/>
      <c r="H33" s="137"/>
      <c r="I33" s="459"/>
      <c r="J33" s="462"/>
      <c r="K33" s="465"/>
      <c r="L33" s="471"/>
      <c r="M33" s="477"/>
      <c r="N33" s="471">
        <f>IF(NOT(ISERROR(MATCH(M33,_xlfn.ANCHORARRAY(F44),0))),L46&amp;"Por favor no seleccionar los criterios de impacto",M33)</f>
        <v>0</v>
      </c>
      <c r="O33" s="465"/>
      <c r="P33" s="471"/>
      <c r="Q33" s="474"/>
      <c r="R33" s="105">
        <v>6</v>
      </c>
      <c r="S33" s="106"/>
      <c r="T33" s="107" t="str">
        <f t="shared" si="39"/>
        <v/>
      </c>
      <c r="U33" s="113"/>
      <c r="V33" s="113"/>
      <c r="W33" s="114" t="str">
        <f t="shared" si="35"/>
        <v/>
      </c>
      <c r="X33" s="113"/>
      <c r="Y33" s="113"/>
      <c r="Z33" s="113"/>
      <c r="AA33" s="108" t="str">
        <f t="shared" si="42"/>
        <v/>
      </c>
      <c r="AB33" s="115" t="str">
        <f t="shared" si="36"/>
        <v/>
      </c>
      <c r="AC33" s="116" t="str">
        <f t="shared" si="40"/>
        <v/>
      </c>
      <c r="AD33" s="115" t="str">
        <f t="shared" si="37"/>
        <v/>
      </c>
      <c r="AE33" s="116" t="str">
        <f t="shared" si="41"/>
        <v/>
      </c>
      <c r="AF33" s="117" t="str">
        <f t="shared" si="38"/>
        <v/>
      </c>
      <c r="AG33" s="118"/>
      <c r="AH33" s="109"/>
      <c r="AI33" s="110"/>
      <c r="AJ33" s="111"/>
      <c r="AK33" s="111"/>
      <c r="AL33" s="109"/>
      <c r="AM33" s="110"/>
      <c r="AN33" s="111"/>
      <c r="AO33" s="8"/>
      <c r="AP33" s="110"/>
      <c r="AQ33" s="111"/>
      <c r="AR33" s="8"/>
      <c r="AS33" s="110"/>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row>
    <row r="34" spans="1:75" ht="26.25" customHeight="1" x14ac:dyDescent="0.25">
      <c r="A34" s="491">
        <v>5</v>
      </c>
      <c r="B34" s="482"/>
      <c r="C34" s="482"/>
      <c r="D34" s="494"/>
      <c r="E34" s="136"/>
      <c r="F34" s="466"/>
      <c r="G34" s="479"/>
      <c r="H34" s="137"/>
      <c r="I34" s="457"/>
      <c r="J34" s="460"/>
      <c r="K34" s="463" t="str">
        <f t="shared" ref="K34" si="43">IF(J34&lt;=0,"",IF(J34&lt;=2,"Muy Baja",IF(J34&lt;=24,"Baja",IF(J34&lt;=500,"Media",IF(J34&lt;=5000,"Alta","Muy Alta")))))</f>
        <v/>
      </c>
      <c r="L34" s="469" t="str">
        <f t="shared" ref="L34" si="44">IF(K34="","",IF(K34="Muy Baja",0.2,IF(K34="Baja",0.4,IF(K34="Media",0.6,IF(K34="Alta",0.8,IF(K34="Muy Alta",1,))))))</f>
        <v/>
      </c>
      <c r="M34" s="475"/>
      <c r="N34" s="469">
        <f>IF(NOT(ISERROR(MATCH(M34,'Tabla Impacto'!$B$221:$B$223,0))),'Tabla Impacto'!$F$223&amp;"Por favor no seleccionar los criterios de impacto(Afectación Económica o presupuestal y Pérdida Reputacional)",M34)</f>
        <v>0</v>
      </c>
      <c r="O34" s="463" t="str">
        <f>IF(OR(N34='Tabla Impacto'!$C$11,N34='Tabla Impacto'!$D$11),"Leve",IF(OR(N34='Tabla Impacto'!$C$12,N34='Tabla Impacto'!$D$12),"Menor",IF(OR(N34='Tabla Impacto'!$C$13,N34='Tabla Impacto'!$D$13),"Moderado",IF(OR(N34='Tabla Impacto'!$C$14,N34='Tabla Impacto'!$D$14),"Mayor",IF(OR(N34='Tabla Impacto'!$C$15,N34='Tabla Impacto'!$D$15),"Catastrófico","")))))</f>
        <v/>
      </c>
      <c r="P34" s="469" t="str">
        <f t="shared" ref="P34" si="45">IF(O34="","",IF(O34="Leve",0.2,IF(O34="Menor",0.4,IF(O34="Moderado",0.6,IF(O34="Mayor",0.8,IF(O34="Catastrófico",1,))))))</f>
        <v/>
      </c>
      <c r="Q34" s="472" t="str">
        <f t="shared" ref="Q34" si="46">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
      </c>
      <c r="R34" s="105">
        <v>1</v>
      </c>
      <c r="S34" s="106"/>
      <c r="T34" s="107" t="str">
        <f>IF(OR(U34="Preventivo",U34="Detectivo"),"Probabilidad",IF(U34="Correctivo","Impacto",""))</f>
        <v/>
      </c>
      <c r="U34" s="113"/>
      <c r="V34" s="113"/>
      <c r="W34" s="114" t="str">
        <f>IF(AND(U34="Preventivo",V34="Automático"),"50%",IF(AND(U34="Preventivo",V34="Manual"),"40%",IF(AND(U34="Detectivo",V34="Automático"),"40%",IF(AND(U34="Detectivo",V34="Manual"),"30%",IF(AND(U34="Correctivo",V34="Automático"),"35%",IF(AND(U34="Correctivo",V34="Manual"),"25%",""))))))</f>
        <v/>
      </c>
      <c r="X34" s="113"/>
      <c r="Y34" s="113"/>
      <c r="Z34" s="113"/>
      <c r="AA34" s="108" t="str">
        <f>IFERROR(IF(T34="Probabilidad",(L34-(+L34*W34)),IF(T34="Impacto",L34,"")),"")</f>
        <v/>
      </c>
      <c r="AB34" s="115" t="str">
        <f>IFERROR(IF(AA34="","",IF(AA34&lt;=0.2,"Muy Baja",IF(AA34&lt;=0.4,"Baja",IF(AA34&lt;=0.6,"Media",IF(AA34&lt;=0.8,"Alta","Muy Alta"))))),"")</f>
        <v/>
      </c>
      <c r="AC34" s="116" t="str">
        <f>+AA34</f>
        <v/>
      </c>
      <c r="AD34" s="115" t="str">
        <f>IFERROR(IF(AE34="","",IF(AE34&lt;=0.2,"Leve",IF(AE34&lt;=0.4,"Menor",IF(AE34&lt;=0.6,"Moderado",IF(AE34&lt;=0.8,"Mayor","Catastrófico"))))),"")</f>
        <v/>
      </c>
      <c r="AE34" s="116" t="str">
        <f>IFERROR(IF(T34="Impacto",(P34-(+P34*W34)),IF(T34="Probabilidad",P34,"")),"")</f>
        <v/>
      </c>
      <c r="AF34" s="117" t="str">
        <f>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118"/>
      <c r="AH34" s="109"/>
      <c r="AI34" s="110"/>
      <c r="AJ34" s="111"/>
      <c r="AK34" s="111"/>
      <c r="AL34" s="109"/>
      <c r="AM34" s="110"/>
      <c r="AN34" s="111"/>
      <c r="AO34" s="8"/>
      <c r="AP34" s="110"/>
      <c r="AQ34" s="111"/>
      <c r="AR34" s="8"/>
      <c r="AS34" s="110"/>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row>
    <row r="35" spans="1:75" ht="26.25" customHeight="1" x14ac:dyDescent="0.25">
      <c r="A35" s="492"/>
      <c r="B35" s="483"/>
      <c r="C35" s="483"/>
      <c r="D35" s="495"/>
      <c r="E35" s="136"/>
      <c r="F35" s="467"/>
      <c r="G35" s="480"/>
      <c r="H35" s="137"/>
      <c r="I35" s="458"/>
      <c r="J35" s="461"/>
      <c r="K35" s="464"/>
      <c r="L35" s="470"/>
      <c r="M35" s="476"/>
      <c r="N35" s="470">
        <f>IF(NOT(ISERROR(MATCH(M35,_xlfn.ANCHORARRAY(F46),0))),L48&amp;"Por favor no seleccionar los criterios de impacto",M35)</f>
        <v>0</v>
      </c>
      <c r="O35" s="464"/>
      <c r="P35" s="470"/>
      <c r="Q35" s="473"/>
      <c r="R35" s="105">
        <v>2</v>
      </c>
      <c r="S35" s="106"/>
      <c r="T35" s="107" t="str">
        <f>IF(OR(U35="Preventivo",U35="Detectivo"),"Probabilidad",IF(U35="Correctivo","Impacto",""))</f>
        <v/>
      </c>
      <c r="U35" s="113"/>
      <c r="V35" s="113"/>
      <c r="W35" s="114" t="str">
        <f t="shared" ref="W35:W39" si="47">IF(AND(U35="Preventivo",V35="Automático"),"50%",IF(AND(U35="Preventivo",V35="Manual"),"40%",IF(AND(U35="Detectivo",V35="Automático"),"40%",IF(AND(U35="Detectivo",V35="Manual"),"30%",IF(AND(U35="Correctivo",V35="Automático"),"35%",IF(AND(U35="Correctivo",V35="Manual"),"25%",""))))))</f>
        <v/>
      </c>
      <c r="X35" s="113"/>
      <c r="Y35" s="113"/>
      <c r="Z35" s="113"/>
      <c r="AA35" s="108" t="str">
        <f>IFERROR(IF(AND(T34="Probabilidad",T35="Probabilidad"),(AC34-(+AC34*W35)),IF(AND(T34="Impacto",T35="Probabilidad"),(L34-(+L34*W35)),IF(T35="Impacto",AC34,""))),"")</f>
        <v/>
      </c>
      <c r="AB35" s="115" t="str">
        <f t="shared" ref="AB35:AB39" si="48">IFERROR(IF(AA35="","",IF(AA35&lt;=0.2,"Muy Baja",IF(AA35&lt;=0.4,"Baja",IF(AA35&lt;=0.6,"Media",IF(AA35&lt;=0.8,"Alta","Muy Alta"))))),"")</f>
        <v/>
      </c>
      <c r="AC35" s="116" t="str">
        <f>+AA35</f>
        <v/>
      </c>
      <c r="AD35" s="115" t="str">
        <f t="shared" ref="AD35:AD39" si="49">IFERROR(IF(AE35="","",IF(AE35&lt;=0.2,"Leve",IF(AE35&lt;=0.4,"Menor",IF(AE35&lt;=0.6,"Moderado",IF(AE35&lt;=0.8,"Mayor","Catastrófico"))))),"")</f>
        <v/>
      </c>
      <c r="AE35" s="116" t="str">
        <f>IFERROR(IF(AND(T34="Impacto",T35="Impacto"),(AE34-(+AE34*W35)),IF(AND(T34="Probabilidad",T35="Impacto"),(P34-(+P34*W35)),IF(T35="Probabilidad",AE34,""))),"")</f>
        <v/>
      </c>
      <c r="AF35" s="117" t="str">
        <f t="shared" ref="AF35:AF39" si="50">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118"/>
      <c r="AH35" s="109"/>
      <c r="AI35" s="110"/>
      <c r="AJ35" s="111"/>
      <c r="AK35" s="111"/>
      <c r="AL35" s="109"/>
      <c r="AM35" s="110"/>
      <c r="AN35" s="111"/>
      <c r="AO35" s="8"/>
      <c r="AP35" s="110"/>
      <c r="AQ35" s="111"/>
      <c r="AR35" s="8"/>
      <c r="AS35" s="110"/>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row>
    <row r="36" spans="1:75" ht="26.25" customHeight="1" x14ac:dyDescent="0.25">
      <c r="A36" s="492"/>
      <c r="B36" s="483"/>
      <c r="C36" s="483"/>
      <c r="D36" s="495"/>
      <c r="E36" s="136"/>
      <c r="F36" s="467"/>
      <c r="G36" s="480"/>
      <c r="H36" s="137"/>
      <c r="I36" s="458"/>
      <c r="J36" s="461"/>
      <c r="K36" s="464"/>
      <c r="L36" s="470"/>
      <c r="M36" s="476"/>
      <c r="N36" s="470">
        <f>IF(NOT(ISERROR(MATCH(M36,_xlfn.ANCHORARRAY(F47),0))),L49&amp;"Por favor no seleccionar los criterios de impacto",M36)</f>
        <v>0</v>
      </c>
      <c r="O36" s="464"/>
      <c r="P36" s="470"/>
      <c r="Q36" s="473"/>
      <c r="R36" s="105">
        <v>3</v>
      </c>
      <c r="S36" s="112"/>
      <c r="T36" s="107" t="str">
        <f t="shared" ref="T36:T39" si="51">IF(OR(U36="Preventivo",U36="Detectivo"),"Probabilidad",IF(U36="Correctivo","Impacto",""))</f>
        <v/>
      </c>
      <c r="U36" s="113"/>
      <c r="V36" s="113"/>
      <c r="W36" s="114" t="str">
        <f t="shared" si="47"/>
        <v/>
      </c>
      <c r="X36" s="113"/>
      <c r="Y36" s="113"/>
      <c r="Z36" s="113"/>
      <c r="AA36" s="108" t="str">
        <f>IFERROR(IF(AND(T35="Probabilidad",T36="Probabilidad"),(AC35-(+AC35*W36)),IF(AND(T35="Impacto",T36="Probabilidad"),(AC34-(+AC34*W36)),IF(T36="Impacto",AC35,""))),"")</f>
        <v/>
      </c>
      <c r="AB36" s="115" t="str">
        <f t="shared" si="48"/>
        <v/>
      </c>
      <c r="AC36" s="116" t="str">
        <f t="shared" ref="AC36:AC39" si="52">+AA36</f>
        <v/>
      </c>
      <c r="AD36" s="115" t="str">
        <f t="shared" si="49"/>
        <v/>
      </c>
      <c r="AE36" s="116" t="str">
        <f t="shared" ref="AE36:AE39" si="53">IFERROR(IF(AND(T35="Impacto",T36="Impacto"),(AE35-(+AE35*W36)),IF(AND(T35="Probabilidad",T36="Impacto"),(AE34-(+AE34*W36)),IF(T36="Probabilidad",AE35,""))),"")</f>
        <v/>
      </c>
      <c r="AF36" s="117" t="str">
        <f t="shared" si="50"/>
        <v/>
      </c>
      <c r="AG36" s="118"/>
      <c r="AH36" s="109"/>
      <c r="AI36" s="110"/>
      <c r="AJ36" s="111"/>
      <c r="AK36" s="111"/>
      <c r="AL36" s="109"/>
      <c r="AM36" s="110"/>
      <c r="AN36" s="111"/>
      <c r="AO36" s="8"/>
      <c r="AP36" s="110"/>
      <c r="AQ36" s="111"/>
      <c r="AR36" s="8"/>
      <c r="AS36" s="110"/>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row>
    <row r="37" spans="1:75" ht="26.25" customHeight="1" x14ac:dyDescent="0.25">
      <c r="A37" s="492"/>
      <c r="B37" s="483"/>
      <c r="C37" s="483"/>
      <c r="D37" s="495"/>
      <c r="E37" s="136"/>
      <c r="F37" s="467"/>
      <c r="G37" s="480"/>
      <c r="H37" s="137"/>
      <c r="I37" s="458"/>
      <c r="J37" s="461"/>
      <c r="K37" s="464"/>
      <c r="L37" s="470"/>
      <c r="M37" s="476"/>
      <c r="N37" s="470">
        <f>IF(NOT(ISERROR(MATCH(M37,_xlfn.ANCHORARRAY(F48),0))),L50&amp;"Por favor no seleccionar los criterios de impacto",M37)</f>
        <v>0</v>
      </c>
      <c r="O37" s="464"/>
      <c r="P37" s="470"/>
      <c r="Q37" s="473"/>
      <c r="R37" s="105">
        <v>4</v>
      </c>
      <c r="S37" s="106"/>
      <c r="T37" s="107" t="str">
        <f t="shared" si="51"/>
        <v/>
      </c>
      <c r="U37" s="113"/>
      <c r="V37" s="113"/>
      <c r="W37" s="114" t="str">
        <f t="shared" si="47"/>
        <v/>
      </c>
      <c r="X37" s="113"/>
      <c r="Y37" s="113"/>
      <c r="Z37" s="113"/>
      <c r="AA37" s="108" t="str">
        <f t="shared" ref="AA37:AA39" si="54">IFERROR(IF(AND(T36="Probabilidad",T37="Probabilidad"),(AC36-(+AC36*W37)),IF(AND(T36="Impacto",T37="Probabilidad"),(AC35-(+AC35*W37)),IF(T37="Impacto",AC36,""))),"")</f>
        <v/>
      </c>
      <c r="AB37" s="115" t="str">
        <f t="shared" si="48"/>
        <v/>
      </c>
      <c r="AC37" s="116" t="str">
        <f t="shared" si="52"/>
        <v/>
      </c>
      <c r="AD37" s="115" t="str">
        <f t="shared" si="49"/>
        <v/>
      </c>
      <c r="AE37" s="116" t="str">
        <f t="shared" si="53"/>
        <v/>
      </c>
      <c r="AF37" s="117" t="str">
        <f t="shared" si="50"/>
        <v/>
      </c>
      <c r="AG37" s="118"/>
      <c r="AH37" s="109"/>
      <c r="AI37" s="110"/>
      <c r="AJ37" s="111"/>
      <c r="AK37" s="111"/>
      <c r="AL37" s="109"/>
      <c r="AM37" s="110"/>
      <c r="AN37" s="111"/>
      <c r="AO37" s="8"/>
      <c r="AP37" s="110"/>
      <c r="AQ37" s="111"/>
      <c r="AR37" s="8"/>
      <c r="AS37" s="110"/>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row>
    <row r="38" spans="1:75" ht="26.25" customHeight="1" x14ac:dyDescent="0.25">
      <c r="A38" s="492"/>
      <c r="B38" s="483"/>
      <c r="C38" s="483"/>
      <c r="D38" s="495"/>
      <c r="E38" s="136"/>
      <c r="F38" s="467"/>
      <c r="G38" s="480"/>
      <c r="H38" s="137"/>
      <c r="I38" s="458"/>
      <c r="J38" s="461"/>
      <c r="K38" s="464"/>
      <c r="L38" s="470"/>
      <c r="M38" s="476"/>
      <c r="N38" s="470">
        <f>IF(NOT(ISERROR(MATCH(M38,_xlfn.ANCHORARRAY(F49),0))),L51&amp;"Por favor no seleccionar los criterios de impacto",M38)</f>
        <v>0</v>
      </c>
      <c r="O38" s="464"/>
      <c r="P38" s="470"/>
      <c r="Q38" s="473"/>
      <c r="R38" s="105">
        <v>5</v>
      </c>
      <c r="S38" s="106"/>
      <c r="T38" s="107" t="str">
        <f t="shared" si="51"/>
        <v/>
      </c>
      <c r="U38" s="113"/>
      <c r="V38" s="113"/>
      <c r="W38" s="114" t="str">
        <f t="shared" si="47"/>
        <v/>
      </c>
      <c r="X38" s="113"/>
      <c r="Y38" s="113"/>
      <c r="Z38" s="113"/>
      <c r="AA38" s="108" t="str">
        <f t="shared" si="54"/>
        <v/>
      </c>
      <c r="AB38" s="115" t="str">
        <f t="shared" si="48"/>
        <v/>
      </c>
      <c r="AC38" s="116" t="str">
        <f t="shared" si="52"/>
        <v/>
      </c>
      <c r="AD38" s="115" t="str">
        <f t="shared" si="49"/>
        <v/>
      </c>
      <c r="AE38" s="116" t="str">
        <f t="shared" si="53"/>
        <v/>
      </c>
      <c r="AF38" s="117" t="str">
        <f t="shared" si="50"/>
        <v/>
      </c>
      <c r="AG38" s="118"/>
      <c r="AH38" s="109"/>
      <c r="AI38" s="110"/>
      <c r="AJ38" s="111"/>
      <c r="AK38" s="111"/>
      <c r="AL38" s="109"/>
      <c r="AM38" s="110"/>
      <c r="AN38" s="111"/>
      <c r="AO38" s="8"/>
      <c r="AP38" s="110"/>
      <c r="AQ38" s="111"/>
      <c r="AR38" s="8"/>
      <c r="AS38" s="110"/>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row>
    <row r="39" spans="1:75" ht="26.25" customHeight="1" x14ac:dyDescent="0.25">
      <c r="A39" s="493"/>
      <c r="B39" s="484"/>
      <c r="C39" s="484"/>
      <c r="D39" s="496"/>
      <c r="E39" s="136"/>
      <c r="F39" s="468"/>
      <c r="G39" s="481"/>
      <c r="H39" s="137"/>
      <c r="I39" s="459"/>
      <c r="J39" s="462"/>
      <c r="K39" s="465"/>
      <c r="L39" s="471"/>
      <c r="M39" s="477"/>
      <c r="N39" s="471">
        <f>IF(NOT(ISERROR(MATCH(M39,_xlfn.ANCHORARRAY(F50),0))),L52&amp;"Por favor no seleccionar los criterios de impacto",M39)</f>
        <v>0</v>
      </c>
      <c r="O39" s="465"/>
      <c r="P39" s="471"/>
      <c r="Q39" s="474"/>
      <c r="R39" s="105">
        <v>6</v>
      </c>
      <c r="S39" s="106"/>
      <c r="T39" s="107" t="str">
        <f t="shared" si="51"/>
        <v/>
      </c>
      <c r="U39" s="113"/>
      <c r="V39" s="113"/>
      <c r="W39" s="114" t="str">
        <f t="shared" si="47"/>
        <v/>
      </c>
      <c r="X39" s="113"/>
      <c r="Y39" s="113"/>
      <c r="Z39" s="113"/>
      <c r="AA39" s="108" t="str">
        <f t="shared" si="54"/>
        <v/>
      </c>
      <c r="AB39" s="115" t="str">
        <f t="shared" si="48"/>
        <v/>
      </c>
      <c r="AC39" s="116" t="str">
        <f t="shared" si="52"/>
        <v/>
      </c>
      <c r="AD39" s="115" t="str">
        <f t="shared" si="49"/>
        <v/>
      </c>
      <c r="AE39" s="116" t="str">
        <f t="shared" si="53"/>
        <v/>
      </c>
      <c r="AF39" s="117" t="str">
        <f t="shared" si="50"/>
        <v/>
      </c>
      <c r="AG39" s="118"/>
      <c r="AH39" s="109"/>
      <c r="AI39" s="110"/>
      <c r="AJ39" s="111"/>
      <c r="AK39" s="111"/>
      <c r="AL39" s="109"/>
      <c r="AM39" s="110"/>
      <c r="AN39" s="111"/>
      <c r="AO39" s="8"/>
      <c r="AP39" s="110"/>
      <c r="AQ39" s="111"/>
      <c r="AR39" s="8"/>
      <c r="AS39" s="110"/>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row>
    <row r="40" spans="1:75" ht="26.25" customHeight="1" x14ac:dyDescent="0.25">
      <c r="A40" s="491">
        <v>6</v>
      </c>
      <c r="B40" s="482"/>
      <c r="C40" s="482"/>
      <c r="D40" s="494"/>
      <c r="E40" s="136"/>
      <c r="F40" s="466"/>
      <c r="G40" s="479"/>
      <c r="H40" s="137"/>
      <c r="I40" s="457"/>
      <c r="J40" s="460"/>
      <c r="K40" s="463" t="str">
        <f t="shared" ref="K40" si="55">IF(J40&lt;=0,"",IF(J40&lt;=2,"Muy Baja",IF(J40&lt;=24,"Baja",IF(J40&lt;=500,"Media",IF(J40&lt;=5000,"Alta","Muy Alta")))))</f>
        <v/>
      </c>
      <c r="L40" s="469" t="str">
        <f t="shared" ref="L40" si="56">IF(K40="","",IF(K40="Muy Baja",0.2,IF(K40="Baja",0.4,IF(K40="Media",0.6,IF(K40="Alta",0.8,IF(K40="Muy Alta",1,))))))</f>
        <v/>
      </c>
      <c r="M40" s="475"/>
      <c r="N40" s="469">
        <f>IF(NOT(ISERROR(MATCH(M40,'Tabla Impacto'!$B$221:$B$223,0))),'Tabla Impacto'!$F$223&amp;"Por favor no seleccionar los criterios de impacto(Afectación Económica o presupuestal y Pérdida Reputacional)",M40)</f>
        <v>0</v>
      </c>
      <c r="O40" s="463" t="str">
        <f>IF(OR(N40='Tabla Impacto'!$C$11,N40='Tabla Impacto'!$D$11),"Leve",IF(OR(N40='Tabla Impacto'!$C$12,N40='Tabla Impacto'!$D$12),"Menor",IF(OR(N40='Tabla Impacto'!$C$13,N40='Tabla Impacto'!$D$13),"Moderado",IF(OR(N40='Tabla Impacto'!$C$14,N40='Tabla Impacto'!$D$14),"Mayor",IF(OR(N40='Tabla Impacto'!$C$15,N40='Tabla Impacto'!$D$15),"Catastrófico","")))))</f>
        <v/>
      </c>
      <c r="P40" s="469" t="str">
        <f t="shared" ref="P40" si="57">IF(O40="","",IF(O40="Leve",0.2,IF(O40="Menor",0.4,IF(O40="Moderado",0.6,IF(O40="Mayor",0.8,IF(O40="Catastrófico",1,))))))</f>
        <v/>
      </c>
      <c r="Q40" s="472" t="str">
        <f t="shared" ref="Q40" si="58">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
      </c>
      <c r="R40" s="105">
        <v>1</v>
      </c>
      <c r="S40" s="106"/>
      <c r="T40" s="107" t="str">
        <f>IF(OR(U40="Preventivo",U40="Detectivo"),"Probabilidad",IF(U40="Correctivo","Impacto",""))</f>
        <v/>
      </c>
      <c r="U40" s="113"/>
      <c r="V40" s="113"/>
      <c r="W40" s="114" t="str">
        <f>IF(AND(U40="Preventivo",V40="Automático"),"50%",IF(AND(U40="Preventivo",V40="Manual"),"40%",IF(AND(U40="Detectivo",V40="Automático"),"40%",IF(AND(U40="Detectivo",V40="Manual"),"30%",IF(AND(U40="Correctivo",V40="Automático"),"35%",IF(AND(U40="Correctivo",V40="Manual"),"25%",""))))))</f>
        <v/>
      </c>
      <c r="X40" s="113"/>
      <c r="Y40" s="113"/>
      <c r="Z40" s="113"/>
      <c r="AA40" s="108" t="str">
        <f>IFERROR(IF(T40="Probabilidad",(L40-(+L40*W40)),IF(T40="Impacto",L40,"")),"")</f>
        <v/>
      </c>
      <c r="AB40" s="115" t="str">
        <f>IFERROR(IF(AA40="","",IF(AA40&lt;=0.2,"Muy Baja",IF(AA40&lt;=0.4,"Baja",IF(AA40&lt;=0.6,"Media",IF(AA40&lt;=0.8,"Alta","Muy Alta"))))),"")</f>
        <v/>
      </c>
      <c r="AC40" s="116" t="str">
        <f>+AA40</f>
        <v/>
      </c>
      <c r="AD40" s="115" t="str">
        <f>IFERROR(IF(AE40="","",IF(AE40&lt;=0.2,"Leve",IF(AE40&lt;=0.4,"Menor",IF(AE40&lt;=0.6,"Moderado",IF(AE40&lt;=0.8,"Mayor","Catastrófico"))))),"")</f>
        <v/>
      </c>
      <c r="AE40" s="116" t="str">
        <f>IFERROR(IF(T40="Impacto",(P40-(+P40*W40)),IF(T40="Probabilidad",P40,"")),"")</f>
        <v/>
      </c>
      <c r="AF40" s="117" t="str">
        <f>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118"/>
      <c r="AH40" s="109"/>
      <c r="AI40" s="110"/>
      <c r="AJ40" s="111"/>
      <c r="AK40" s="111"/>
      <c r="AL40" s="109"/>
      <c r="AM40" s="110"/>
      <c r="AN40" s="111"/>
      <c r="AO40" s="8"/>
      <c r="AP40" s="110"/>
      <c r="AQ40" s="111"/>
      <c r="AR40" s="8"/>
      <c r="AS40" s="110"/>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row>
    <row r="41" spans="1:75" ht="26.25" customHeight="1" x14ac:dyDescent="0.25">
      <c r="A41" s="492"/>
      <c r="B41" s="483"/>
      <c r="C41" s="483"/>
      <c r="D41" s="495"/>
      <c r="E41" s="136"/>
      <c r="F41" s="467"/>
      <c r="G41" s="480"/>
      <c r="H41" s="137"/>
      <c r="I41" s="458"/>
      <c r="J41" s="461"/>
      <c r="K41" s="464"/>
      <c r="L41" s="470"/>
      <c r="M41" s="476"/>
      <c r="N41" s="470">
        <f>IF(NOT(ISERROR(MATCH(M41,_xlfn.ANCHORARRAY(F52),0))),L54&amp;"Por favor no seleccionar los criterios de impacto",M41)</f>
        <v>0</v>
      </c>
      <c r="O41" s="464"/>
      <c r="P41" s="470"/>
      <c r="Q41" s="473"/>
      <c r="R41" s="105">
        <v>2</v>
      </c>
      <c r="S41" s="106"/>
      <c r="T41" s="107" t="str">
        <f>IF(OR(U41="Preventivo",U41="Detectivo"),"Probabilidad",IF(U41="Correctivo","Impacto",""))</f>
        <v/>
      </c>
      <c r="U41" s="113"/>
      <c r="V41" s="113"/>
      <c r="W41" s="114" t="str">
        <f t="shared" ref="W41:W45" si="59">IF(AND(U41="Preventivo",V41="Automático"),"50%",IF(AND(U41="Preventivo",V41="Manual"),"40%",IF(AND(U41="Detectivo",V41="Automático"),"40%",IF(AND(U41="Detectivo",V41="Manual"),"30%",IF(AND(U41="Correctivo",V41="Automático"),"35%",IF(AND(U41="Correctivo",V41="Manual"),"25%",""))))))</f>
        <v/>
      </c>
      <c r="X41" s="113"/>
      <c r="Y41" s="113"/>
      <c r="Z41" s="113"/>
      <c r="AA41" s="108" t="str">
        <f>IFERROR(IF(AND(T40="Probabilidad",T41="Probabilidad"),(AC40-(+AC40*W41)),IF(AND(T40="Impacto",T41="Probabilidad"),(L40-(+L40*W41)),IF(T41="Impacto",AC40,""))),"")</f>
        <v/>
      </c>
      <c r="AB41" s="115" t="str">
        <f t="shared" ref="AB41:AB45" si="60">IFERROR(IF(AA41="","",IF(AA41&lt;=0.2,"Muy Baja",IF(AA41&lt;=0.4,"Baja",IF(AA41&lt;=0.6,"Media",IF(AA41&lt;=0.8,"Alta","Muy Alta"))))),"")</f>
        <v/>
      </c>
      <c r="AC41" s="116" t="str">
        <f>+AA41</f>
        <v/>
      </c>
      <c r="AD41" s="115" t="str">
        <f t="shared" ref="AD41:AD45" si="61">IFERROR(IF(AE41="","",IF(AE41&lt;=0.2,"Leve",IF(AE41&lt;=0.4,"Menor",IF(AE41&lt;=0.6,"Moderado",IF(AE41&lt;=0.8,"Mayor","Catastrófico"))))),"")</f>
        <v/>
      </c>
      <c r="AE41" s="116" t="str">
        <f>IFERROR(IF(AND(T40="Impacto",T41="Impacto"),(AE40-(+AE40*W41)),IF(AND(T40="Probabilidad",T41="Impacto"),(P40-(+P40*W41)),IF(T41="Probabilidad",AE40,""))),"")</f>
        <v/>
      </c>
      <c r="AF41" s="117" t="str">
        <f t="shared" ref="AF41:AF45" si="62">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18"/>
      <c r="AH41" s="109"/>
      <c r="AI41" s="110"/>
      <c r="AJ41" s="111"/>
      <c r="AK41" s="111"/>
      <c r="AL41" s="109"/>
      <c r="AM41" s="110"/>
      <c r="AN41" s="111"/>
      <c r="AO41" s="8"/>
      <c r="AP41" s="110"/>
      <c r="AQ41" s="111"/>
      <c r="AR41" s="8"/>
      <c r="AS41" s="110"/>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row>
    <row r="42" spans="1:75" ht="26.25" customHeight="1" x14ac:dyDescent="0.25">
      <c r="A42" s="492"/>
      <c r="B42" s="483"/>
      <c r="C42" s="483"/>
      <c r="D42" s="495"/>
      <c r="E42" s="136"/>
      <c r="F42" s="467"/>
      <c r="G42" s="480"/>
      <c r="H42" s="137"/>
      <c r="I42" s="458"/>
      <c r="J42" s="461"/>
      <c r="K42" s="464"/>
      <c r="L42" s="470"/>
      <c r="M42" s="476"/>
      <c r="N42" s="470">
        <f>IF(NOT(ISERROR(MATCH(M42,_xlfn.ANCHORARRAY(F53),0))),L55&amp;"Por favor no seleccionar los criterios de impacto",M42)</f>
        <v>0</v>
      </c>
      <c r="O42" s="464"/>
      <c r="P42" s="470"/>
      <c r="Q42" s="473"/>
      <c r="R42" s="105">
        <v>3</v>
      </c>
      <c r="S42" s="112"/>
      <c r="T42" s="107" t="str">
        <f t="shared" ref="T42:T45" si="63">IF(OR(U42="Preventivo",U42="Detectivo"),"Probabilidad",IF(U42="Correctivo","Impacto",""))</f>
        <v/>
      </c>
      <c r="U42" s="113"/>
      <c r="V42" s="113"/>
      <c r="W42" s="114" t="str">
        <f t="shared" si="59"/>
        <v/>
      </c>
      <c r="X42" s="113"/>
      <c r="Y42" s="113"/>
      <c r="Z42" s="113"/>
      <c r="AA42" s="108" t="str">
        <f>IFERROR(IF(AND(T41="Probabilidad",T42="Probabilidad"),(AC41-(+AC41*W42)),IF(AND(T41="Impacto",T42="Probabilidad"),(AC40-(+AC40*W42)),IF(T42="Impacto",AC41,""))),"")</f>
        <v/>
      </c>
      <c r="AB42" s="115" t="str">
        <f t="shared" si="60"/>
        <v/>
      </c>
      <c r="AC42" s="116" t="str">
        <f t="shared" ref="AC42:AC45" si="64">+AA42</f>
        <v/>
      </c>
      <c r="AD42" s="115" t="str">
        <f t="shared" si="61"/>
        <v/>
      </c>
      <c r="AE42" s="116" t="str">
        <f t="shared" ref="AE42:AE45" si="65">IFERROR(IF(AND(T41="Impacto",T42="Impacto"),(AE41-(+AE41*W42)),IF(AND(T41="Probabilidad",T42="Impacto"),(AE40-(+AE40*W42)),IF(T42="Probabilidad",AE41,""))),"")</f>
        <v/>
      </c>
      <c r="AF42" s="117" t="str">
        <f t="shared" si="62"/>
        <v/>
      </c>
      <c r="AG42" s="118"/>
      <c r="AH42" s="109"/>
      <c r="AI42" s="110"/>
      <c r="AJ42" s="111"/>
      <c r="AK42" s="111"/>
      <c r="AL42" s="109"/>
      <c r="AM42" s="110"/>
      <c r="AN42" s="111"/>
      <c r="AO42" s="8"/>
      <c r="AP42" s="110"/>
      <c r="AQ42" s="111"/>
      <c r="AR42" s="8"/>
      <c r="AS42" s="110"/>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row>
    <row r="43" spans="1:75" ht="26.25" customHeight="1" x14ac:dyDescent="0.25">
      <c r="A43" s="492"/>
      <c r="B43" s="483"/>
      <c r="C43" s="483"/>
      <c r="D43" s="495"/>
      <c r="E43" s="136"/>
      <c r="F43" s="467"/>
      <c r="G43" s="480"/>
      <c r="H43" s="137"/>
      <c r="I43" s="458"/>
      <c r="J43" s="461"/>
      <c r="K43" s="464"/>
      <c r="L43" s="470"/>
      <c r="M43" s="476"/>
      <c r="N43" s="470">
        <f>IF(NOT(ISERROR(MATCH(M43,_xlfn.ANCHORARRAY(F54),0))),L56&amp;"Por favor no seleccionar los criterios de impacto",M43)</f>
        <v>0</v>
      </c>
      <c r="O43" s="464"/>
      <c r="P43" s="470"/>
      <c r="Q43" s="473"/>
      <c r="R43" s="105">
        <v>4</v>
      </c>
      <c r="S43" s="106"/>
      <c r="T43" s="107" t="str">
        <f t="shared" si="63"/>
        <v/>
      </c>
      <c r="U43" s="113"/>
      <c r="V43" s="113"/>
      <c r="W43" s="114" t="str">
        <f t="shared" si="59"/>
        <v/>
      </c>
      <c r="X43" s="113"/>
      <c r="Y43" s="113"/>
      <c r="Z43" s="113"/>
      <c r="AA43" s="108" t="str">
        <f t="shared" ref="AA43:AA45" si="66">IFERROR(IF(AND(T42="Probabilidad",T43="Probabilidad"),(AC42-(+AC42*W43)),IF(AND(T42="Impacto",T43="Probabilidad"),(AC41-(+AC41*W43)),IF(T43="Impacto",AC42,""))),"")</f>
        <v/>
      </c>
      <c r="AB43" s="115" t="str">
        <f t="shared" si="60"/>
        <v/>
      </c>
      <c r="AC43" s="116" t="str">
        <f t="shared" si="64"/>
        <v/>
      </c>
      <c r="AD43" s="115" t="str">
        <f t="shared" si="61"/>
        <v/>
      </c>
      <c r="AE43" s="116" t="str">
        <f t="shared" si="65"/>
        <v/>
      </c>
      <c r="AF43" s="117" t="str">
        <f t="shared" si="62"/>
        <v/>
      </c>
      <c r="AG43" s="118"/>
      <c r="AH43" s="109"/>
      <c r="AI43" s="110"/>
      <c r="AJ43" s="111"/>
      <c r="AK43" s="111"/>
      <c r="AL43" s="109"/>
      <c r="AM43" s="110"/>
      <c r="AN43" s="111"/>
      <c r="AO43" s="8"/>
      <c r="AP43" s="110"/>
      <c r="AQ43" s="111"/>
      <c r="AR43" s="8"/>
      <c r="AS43" s="110"/>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row>
    <row r="44" spans="1:75" ht="26.25" customHeight="1" x14ac:dyDescent="0.25">
      <c r="A44" s="492"/>
      <c r="B44" s="483"/>
      <c r="C44" s="483"/>
      <c r="D44" s="495"/>
      <c r="E44" s="136"/>
      <c r="F44" s="467"/>
      <c r="G44" s="480"/>
      <c r="H44" s="137"/>
      <c r="I44" s="458"/>
      <c r="J44" s="461"/>
      <c r="K44" s="464"/>
      <c r="L44" s="470"/>
      <c r="M44" s="476"/>
      <c r="N44" s="470">
        <f>IF(NOT(ISERROR(MATCH(M44,_xlfn.ANCHORARRAY(F55),0))),L57&amp;"Por favor no seleccionar los criterios de impacto",M44)</f>
        <v>0</v>
      </c>
      <c r="O44" s="464"/>
      <c r="P44" s="470"/>
      <c r="Q44" s="473"/>
      <c r="R44" s="105">
        <v>5</v>
      </c>
      <c r="S44" s="106"/>
      <c r="T44" s="107" t="str">
        <f t="shared" si="63"/>
        <v/>
      </c>
      <c r="U44" s="113"/>
      <c r="V44" s="113"/>
      <c r="W44" s="114" t="str">
        <f t="shared" si="59"/>
        <v/>
      </c>
      <c r="X44" s="113"/>
      <c r="Y44" s="113"/>
      <c r="Z44" s="113"/>
      <c r="AA44" s="108" t="str">
        <f t="shared" si="66"/>
        <v/>
      </c>
      <c r="AB44" s="115" t="str">
        <f t="shared" si="60"/>
        <v/>
      </c>
      <c r="AC44" s="116" t="str">
        <f t="shared" si="64"/>
        <v/>
      </c>
      <c r="AD44" s="115" t="str">
        <f t="shared" si="61"/>
        <v/>
      </c>
      <c r="AE44" s="116" t="str">
        <f t="shared" si="65"/>
        <v/>
      </c>
      <c r="AF44" s="117" t="str">
        <f t="shared" si="62"/>
        <v/>
      </c>
      <c r="AG44" s="118"/>
      <c r="AH44" s="109"/>
      <c r="AI44" s="110"/>
      <c r="AJ44" s="111"/>
      <c r="AK44" s="111"/>
      <c r="AL44" s="109"/>
      <c r="AM44" s="110"/>
      <c r="AN44" s="111"/>
      <c r="AO44" s="8"/>
      <c r="AP44" s="110"/>
      <c r="AQ44" s="111"/>
      <c r="AR44" s="8"/>
      <c r="AS44" s="110"/>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row>
    <row r="45" spans="1:75" ht="26.25" customHeight="1" x14ac:dyDescent="0.25">
      <c r="A45" s="493"/>
      <c r="B45" s="484"/>
      <c r="C45" s="484"/>
      <c r="D45" s="496"/>
      <c r="E45" s="136"/>
      <c r="F45" s="468"/>
      <c r="G45" s="481"/>
      <c r="H45" s="137"/>
      <c r="I45" s="459"/>
      <c r="J45" s="462"/>
      <c r="K45" s="465"/>
      <c r="L45" s="471"/>
      <c r="M45" s="477"/>
      <c r="N45" s="471">
        <f>IF(NOT(ISERROR(MATCH(M45,_xlfn.ANCHORARRAY(F56),0))),L58&amp;"Por favor no seleccionar los criterios de impacto",M45)</f>
        <v>0</v>
      </c>
      <c r="O45" s="465"/>
      <c r="P45" s="471"/>
      <c r="Q45" s="474"/>
      <c r="R45" s="105">
        <v>6</v>
      </c>
      <c r="S45" s="106"/>
      <c r="T45" s="107" t="str">
        <f t="shared" si="63"/>
        <v/>
      </c>
      <c r="U45" s="113"/>
      <c r="V45" s="113"/>
      <c r="W45" s="114" t="str">
        <f t="shared" si="59"/>
        <v/>
      </c>
      <c r="X45" s="113"/>
      <c r="Y45" s="113"/>
      <c r="Z45" s="113"/>
      <c r="AA45" s="108" t="str">
        <f t="shared" si="66"/>
        <v/>
      </c>
      <c r="AB45" s="115" t="str">
        <f t="shared" si="60"/>
        <v/>
      </c>
      <c r="AC45" s="116" t="str">
        <f t="shared" si="64"/>
        <v/>
      </c>
      <c r="AD45" s="115" t="str">
        <f t="shared" si="61"/>
        <v/>
      </c>
      <c r="AE45" s="116" t="str">
        <f t="shared" si="65"/>
        <v/>
      </c>
      <c r="AF45" s="117" t="str">
        <f t="shared" si="62"/>
        <v/>
      </c>
      <c r="AG45" s="118"/>
      <c r="AH45" s="109"/>
      <c r="AI45" s="110"/>
      <c r="AJ45" s="111"/>
      <c r="AK45" s="111"/>
      <c r="AL45" s="109"/>
      <c r="AM45" s="110"/>
      <c r="AN45" s="111"/>
      <c r="AO45" s="8"/>
      <c r="AP45" s="110"/>
      <c r="AQ45" s="111"/>
      <c r="AR45" s="8"/>
      <c r="AS45" s="110"/>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row>
    <row r="46" spans="1:75" ht="26.25" customHeight="1" x14ac:dyDescent="0.25">
      <c r="A46" s="491">
        <v>7</v>
      </c>
      <c r="B46" s="482"/>
      <c r="C46" s="482"/>
      <c r="D46" s="482"/>
      <c r="E46" s="120"/>
      <c r="F46" s="500"/>
      <c r="G46" s="454"/>
      <c r="H46" s="123"/>
      <c r="I46" s="482"/>
      <c r="J46" s="460"/>
      <c r="K46" s="463" t="str">
        <f t="shared" ref="K46" si="67">IF(J46&lt;=0,"",IF(J46&lt;=2,"Muy Baja",IF(J46&lt;=24,"Baja",IF(J46&lt;=500,"Media",IF(J46&lt;=5000,"Alta","Muy Alta")))))</f>
        <v/>
      </c>
      <c r="L46" s="469" t="str">
        <f t="shared" ref="L46" si="68">IF(K46="","",IF(K46="Muy Baja",0.2,IF(K46="Baja",0.4,IF(K46="Media",0.6,IF(K46="Alta",0.8,IF(K46="Muy Alta",1,))))))</f>
        <v/>
      </c>
      <c r="M46" s="475"/>
      <c r="N46" s="469">
        <f>IF(NOT(ISERROR(MATCH(M46,'Tabla Impacto'!$B$221:$B$223,0))),'Tabla Impacto'!$F$223&amp;"Por favor no seleccionar los criterios de impacto(Afectación Económica o presupuestal y Pérdida Reputacional)",M46)</f>
        <v>0</v>
      </c>
      <c r="O46" s="463" t="str">
        <f>IF(OR(N46='Tabla Impacto'!$C$11,N46='Tabla Impacto'!$D$11),"Leve",IF(OR(N46='Tabla Impacto'!$C$12,N46='Tabla Impacto'!$D$12),"Menor",IF(OR(N46='Tabla Impacto'!$C$13,N46='Tabla Impacto'!$D$13),"Moderado",IF(OR(N46='Tabla Impacto'!$C$14,N46='Tabla Impacto'!$D$14),"Mayor",IF(OR(N46='Tabla Impacto'!$C$15,N46='Tabla Impacto'!$D$15),"Catastrófico","")))))</f>
        <v/>
      </c>
      <c r="P46" s="469" t="str">
        <f t="shared" ref="P46" si="69">IF(O46="","",IF(O46="Leve",0.2,IF(O46="Menor",0.4,IF(O46="Moderado",0.6,IF(O46="Mayor",0.8,IF(O46="Catastrófico",1,))))))</f>
        <v/>
      </c>
      <c r="Q46" s="472" t="str">
        <f t="shared" ref="Q46" si="70">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
      </c>
      <c r="R46" s="105">
        <v>1</v>
      </c>
      <c r="S46" s="106"/>
      <c r="T46" s="107" t="str">
        <f>IF(OR(U46="Preventivo",U46="Detectivo"),"Probabilidad",IF(U46="Correctivo","Impacto",""))</f>
        <v/>
      </c>
      <c r="U46" s="113"/>
      <c r="V46" s="113"/>
      <c r="W46" s="114" t="str">
        <f>IF(AND(U46="Preventivo",V46="Automático"),"50%",IF(AND(U46="Preventivo",V46="Manual"),"40%",IF(AND(U46="Detectivo",V46="Automático"),"40%",IF(AND(U46="Detectivo",V46="Manual"),"30%",IF(AND(U46="Correctivo",V46="Automático"),"35%",IF(AND(U46="Correctivo",V46="Manual"),"25%",""))))))</f>
        <v/>
      </c>
      <c r="X46" s="113"/>
      <c r="Y46" s="113"/>
      <c r="Z46" s="113"/>
      <c r="AA46" s="108" t="str">
        <f>IFERROR(IF(T46="Probabilidad",(L46-(+L46*W46)),IF(T46="Impacto",L46,"")),"")</f>
        <v/>
      </c>
      <c r="AB46" s="115" t="str">
        <f>IFERROR(IF(AA46="","",IF(AA46&lt;=0.2,"Muy Baja",IF(AA46&lt;=0.4,"Baja",IF(AA46&lt;=0.6,"Media",IF(AA46&lt;=0.8,"Alta","Muy Alta"))))),"")</f>
        <v/>
      </c>
      <c r="AC46" s="116" t="str">
        <f>+AA46</f>
        <v/>
      </c>
      <c r="AD46" s="115" t="str">
        <f>IFERROR(IF(AE46="","",IF(AE46&lt;=0.2,"Leve",IF(AE46&lt;=0.4,"Menor",IF(AE46&lt;=0.6,"Moderado",IF(AE46&lt;=0.8,"Mayor","Catastrófico"))))),"")</f>
        <v/>
      </c>
      <c r="AE46" s="116" t="str">
        <f>IFERROR(IF(T46="Impacto",(P46-(+P46*W46)),IF(T46="Probabilidad",P46,"")),"")</f>
        <v/>
      </c>
      <c r="AF46" s="117" t="str">
        <f>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118"/>
      <c r="AH46" s="109"/>
      <c r="AI46" s="110"/>
      <c r="AJ46" s="111"/>
      <c r="AK46" s="111"/>
      <c r="AL46" s="109"/>
      <c r="AM46" s="110"/>
      <c r="AN46" s="111"/>
      <c r="AO46" s="8"/>
      <c r="AP46" s="110"/>
      <c r="AQ46" s="111"/>
      <c r="AR46" s="8"/>
      <c r="AS46" s="110"/>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row>
    <row r="47" spans="1:75" ht="26.25" customHeight="1" x14ac:dyDescent="0.25">
      <c r="A47" s="492"/>
      <c r="B47" s="483"/>
      <c r="C47" s="483"/>
      <c r="D47" s="483"/>
      <c r="E47" s="120"/>
      <c r="F47" s="498"/>
      <c r="G47" s="455"/>
      <c r="H47" s="123"/>
      <c r="I47" s="483"/>
      <c r="J47" s="461"/>
      <c r="K47" s="464"/>
      <c r="L47" s="470"/>
      <c r="M47" s="476"/>
      <c r="N47" s="470">
        <f>IF(NOT(ISERROR(MATCH(M47,_xlfn.ANCHORARRAY(F58),0))),L60&amp;"Por favor no seleccionar los criterios de impacto",M47)</f>
        <v>0</v>
      </c>
      <c r="O47" s="464"/>
      <c r="P47" s="470"/>
      <c r="Q47" s="473"/>
      <c r="R47" s="105">
        <v>2</v>
      </c>
      <c r="S47" s="106"/>
      <c r="T47" s="107" t="str">
        <f>IF(OR(U47="Preventivo",U47="Detectivo"),"Probabilidad",IF(U47="Correctivo","Impacto",""))</f>
        <v/>
      </c>
      <c r="U47" s="113"/>
      <c r="V47" s="113"/>
      <c r="W47" s="114" t="str">
        <f t="shared" ref="W47:W51" si="71">IF(AND(U47="Preventivo",V47="Automático"),"50%",IF(AND(U47="Preventivo",V47="Manual"),"40%",IF(AND(U47="Detectivo",V47="Automático"),"40%",IF(AND(U47="Detectivo",V47="Manual"),"30%",IF(AND(U47="Correctivo",V47="Automático"),"35%",IF(AND(U47="Correctivo",V47="Manual"),"25%",""))))))</f>
        <v/>
      </c>
      <c r="X47" s="113"/>
      <c r="Y47" s="113"/>
      <c r="Z47" s="113"/>
      <c r="AA47" s="108" t="str">
        <f>IFERROR(IF(AND(T46="Probabilidad",T47="Probabilidad"),(AC46-(+AC46*W47)),IF(AND(T46="Impacto",T47="Probabilidad"),(L46-(+L46*W47)),IF(T47="Impacto",AC46,""))),"")</f>
        <v/>
      </c>
      <c r="AB47" s="115" t="str">
        <f t="shared" ref="AB47:AB51" si="72">IFERROR(IF(AA47="","",IF(AA47&lt;=0.2,"Muy Baja",IF(AA47&lt;=0.4,"Baja",IF(AA47&lt;=0.6,"Media",IF(AA47&lt;=0.8,"Alta","Muy Alta"))))),"")</f>
        <v/>
      </c>
      <c r="AC47" s="116" t="str">
        <f>+AA47</f>
        <v/>
      </c>
      <c r="AD47" s="115" t="str">
        <f t="shared" ref="AD47:AD51" si="73">IFERROR(IF(AE47="","",IF(AE47&lt;=0.2,"Leve",IF(AE47&lt;=0.4,"Menor",IF(AE47&lt;=0.6,"Moderado",IF(AE47&lt;=0.8,"Mayor","Catastrófico"))))),"")</f>
        <v/>
      </c>
      <c r="AE47" s="116" t="str">
        <f>IFERROR(IF(AND(T46="Impacto",T47="Impacto"),(AE46-(+AE46*W47)),IF(AND(T46="Probabilidad",T47="Impacto"),(P46-(+P46*W47)),IF(T47="Probabilidad",AE46,""))),"")</f>
        <v/>
      </c>
      <c r="AF47" s="117" t="str">
        <f t="shared" ref="AF47:AF51" si="74">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118"/>
      <c r="AH47" s="109"/>
      <c r="AI47" s="110"/>
      <c r="AJ47" s="111"/>
      <c r="AK47" s="111"/>
      <c r="AL47" s="109"/>
      <c r="AM47" s="110"/>
      <c r="AN47" s="111"/>
      <c r="AO47" s="8"/>
      <c r="AP47" s="110"/>
      <c r="AQ47" s="111"/>
      <c r="AR47" s="8"/>
      <c r="AS47" s="110"/>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row>
    <row r="48" spans="1:75" ht="26.25" customHeight="1" x14ac:dyDescent="0.25">
      <c r="A48" s="492"/>
      <c r="B48" s="483"/>
      <c r="C48" s="483"/>
      <c r="D48" s="483"/>
      <c r="E48" s="120"/>
      <c r="F48" s="498"/>
      <c r="G48" s="455"/>
      <c r="H48" s="123"/>
      <c r="I48" s="483"/>
      <c r="J48" s="461"/>
      <c r="K48" s="464"/>
      <c r="L48" s="470"/>
      <c r="M48" s="476"/>
      <c r="N48" s="470">
        <f>IF(NOT(ISERROR(MATCH(M48,_xlfn.ANCHORARRAY(F59),0))),L61&amp;"Por favor no seleccionar los criterios de impacto",M48)</f>
        <v>0</v>
      </c>
      <c r="O48" s="464"/>
      <c r="P48" s="470"/>
      <c r="Q48" s="473"/>
      <c r="R48" s="105">
        <v>3</v>
      </c>
      <c r="S48" s="112"/>
      <c r="T48" s="107" t="str">
        <f t="shared" ref="T48:T51" si="75">IF(OR(U48="Preventivo",U48="Detectivo"),"Probabilidad",IF(U48="Correctivo","Impacto",""))</f>
        <v/>
      </c>
      <c r="U48" s="113"/>
      <c r="V48" s="113"/>
      <c r="W48" s="114" t="str">
        <f t="shared" si="71"/>
        <v/>
      </c>
      <c r="X48" s="113"/>
      <c r="Y48" s="113"/>
      <c r="Z48" s="113"/>
      <c r="AA48" s="108" t="str">
        <f>IFERROR(IF(AND(T47="Probabilidad",T48="Probabilidad"),(AC47-(+AC47*W48)),IF(AND(T47="Impacto",T48="Probabilidad"),(AC46-(+AC46*W48)),IF(T48="Impacto",AC47,""))),"")</f>
        <v/>
      </c>
      <c r="AB48" s="115" t="str">
        <f t="shared" si="72"/>
        <v/>
      </c>
      <c r="AC48" s="116" t="str">
        <f t="shared" ref="AC48:AC51" si="76">+AA48</f>
        <v/>
      </c>
      <c r="AD48" s="115" t="str">
        <f t="shared" si="73"/>
        <v/>
      </c>
      <c r="AE48" s="116" t="str">
        <f t="shared" ref="AE48:AE51" si="77">IFERROR(IF(AND(T47="Impacto",T48="Impacto"),(AE47-(+AE47*W48)),IF(AND(T47="Probabilidad",T48="Impacto"),(AE46-(+AE46*W48)),IF(T48="Probabilidad",AE47,""))),"")</f>
        <v/>
      </c>
      <c r="AF48" s="117" t="str">
        <f t="shared" si="74"/>
        <v/>
      </c>
      <c r="AG48" s="118"/>
      <c r="AH48" s="109"/>
      <c r="AI48" s="110"/>
      <c r="AJ48" s="111"/>
      <c r="AK48" s="111"/>
      <c r="AL48" s="109"/>
      <c r="AM48" s="110"/>
      <c r="AN48" s="111"/>
      <c r="AO48" s="8"/>
      <c r="AP48" s="110"/>
      <c r="AQ48" s="111"/>
      <c r="AR48" s="8"/>
      <c r="AS48" s="110"/>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row>
    <row r="49" spans="1:75" ht="26.25" customHeight="1" x14ac:dyDescent="0.25">
      <c r="A49" s="492"/>
      <c r="B49" s="483"/>
      <c r="C49" s="483"/>
      <c r="D49" s="483"/>
      <c r="E49" s="120"/>
      <c r="F49" s="498"/>
      <c r="G49" s="455"/>
      <c r="H49" s="123"/>
      <c r="I49" s="483"/>
      <c r="J49" s="461"/>
      <c r="K49" s="464"/>
      <c r="L49" s="470"/>
      <c r="M49" s="476"/>
      <c r="N49" s="470">
        <f>IF(NOT(ISERROR(MATCH(M49,_xlfn.ANCHORARRAY(F60),0))),L62&amp;"Por favor no seleccionar los criterios de impacto",M49)</f>
        <v>0</v>
      </c>
      <c r="O49" s="464"/>
      <c r="P49" s="470"/>
      <c r="Q49" s="473"/>
      <c r="R49" s="105">
        <v>4</v>
      </c>
      <c r="S49" s="106"/>
      <c r="T49" s="107" t="str">
        <f t="shared" si="75"/>
        <v/>
      </c>
      <c r="U49" s="113"/>
      <c r="V49" s="113"/>
      <c r="W49" s="114" t="str">
        <f t="shared" si="71"/>
        <v/>
      </c>
      <c r="X49" s="113"/>
      <c r="Y49" s="113"/>
      <c r="Z49" s="113"/>
      <c r="AA49" s="108" t="str">
        <f t="shared" ref="AA49:AA51" si="78">IFERROR(IF(AND(T48="Probabilidad",T49="Probabilidad"),(AC48-(+AC48*W49)),IF(AND(T48="Impacto",T49="Probabilidad"),(AC47-(+AC47*W49)),IF(T49="Impacto",AC48,""))),"")</f>
        <v/>
      </c>
      <c r="AB49" s="115" t="str">
        <f t="shared" si="72"/>
        <v/>
      </c>
      <c r="AC49" s="116" t="str">
        <f t="shared" si="76"/>
        <v/>
      </c>
      <c r="AD49" s="115" t="str">
        <f t="shared" si="73"/>
        <v/>
      </c>
      <c r="AE49" s="116" t="str">
        <f t="shared" si="77"/>
        <v/>
      </c>
      <c r="AF49" s="117" t="str">
        <f t="shared" si="74"/>
        <v/>
      </c>
      <c r="AG49" s="118"/>
      <c r="AH49" s="109"/>
      <c r="AI49" s="110"/>
      <c r="AJ49" s="111"/>
      <c r="AK49" s="111"/>
      <c r="AL49" s="109"/>
      <c r="AM49" s="110"/>
      <c r="AN49" s="111"/>
      <c r="AO49" s="8"/>
      <c r="AP49" s="110"/>
      <c r="AQ49" s="111"/>
      <c r="AR49" s="8"/>
      <c r="AS49" s="110"/>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row>
    <row r="50" spans="1:75" ht="26.25" customHeight="1" x14ac:dyDescent="0.25">
      <c r="A50" s="492"/>
      <c r="B50" s="483"/>
      <c r="C50" s="483"/>
      <c r="D50" s="483"/>
      <c r="E50" s="120"/>
      <c r="F50" s="498"/>
      <c r="G50" s="455"/>
      <c r="H50" s="123"/>
      <c r="I50" s="483"/>
      <c r="J50" s="461"/>
      <c r="K50" s="464"/>
      <c r="L50" s="470"/>
      <c r="M50" s="476"/>
      <c r="N50" s="470">
        <f>IF(NOT(ISERROR(MATCH(M50,_xlfn.ANCHORARRAY(F61),0))),L63&amp;"Por favor no seleccionar los criterios de impacto",M50)</f>
        <v>0</v>
      </c>
      <c r="O50" s="464"/>
      <c r="P50" s="470"/>
      <c r="Q50" s="473"/>
      <c r="R50" s="105">
        <v>5</v>
      </c>
      <c r="S50" s="106"/>
      <c r="T50" s="107" t="str">
        <f t="shared" si="75"/>
        <v/>
      </c>
      <c r="U50" s="113"/>
      <c r="V50" s="113"/>
      <c r="W50" s="114" t="str">
        <f t="shared" si="71"/>
        <v/>
      </c>
      <c r="X50" s="113"/>
      <c r="Y50" s="113"/>
      <c r="Z50" s="113"/>
      <c r="AA50" s="108" t="str">
        <f t="shared" si="78"/>
        <v/>
      </c>
      <c r="AB50" s="115" t="str">
        <f t="shared" si="72"/>
        <v/>
      </c>
      <c r="AC50" s="116" t="str">
        <f t="shared" si="76"/>
        <v/>
      </c>
      <c r="AD50" s="115" t="str">
        <f t="shared" si="73"/>
        <v/>
      </c>
      <c r="AE50" s="116" t="str">
        <f t="shared" si="77"/>
        <v/>
      </c>
      <c r="AF50" s="117" t="str">
        <f t="shared" si="74"/>
        <v/>
      </c>
      <c r="AG50" s="118"/>
      <c r="AH50" s="109"/>
      <c r="AI50" s="110"/>
      <c r="AJ50" s="111"/>
      <c r="AK50" s="111"/>
      <c r="AL50" s="109"/>
      <c r="AM50" s="110"/>
      <c r="AN50" s="111"/>
      <c r="AO50" s="8"/>
      <c r="AP50" s="110"/>
      <c r="AQ50" s="111"/>
      <c r="AR50" s="8"/>
      <c r="AS50" s="110"/>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row>
    <row r="51" spans="1:75" ht="26.25" customHeight="1" x14ac:dyDescent="0.25">
      <c r="A51" s="493"/>
      <c r="B51" s="484"/>
      <c r="C51" s="484"/>
      <c r="D51" s="484"/>
      <c r="E51" s="121"/>
      <c r="F51" s="499"/>
      <c r="G51" s="478"/>
      <c r="H51" s="124"/>
      <c r="I51" s="484"/>
      <c r="J51" s="462"/>
      <c r="K51" s="465"/>
      <c r="L51" s="471"/>
      <c r="M51" s="477"/>
      <c r="N51" s="471">
        <f>IF(NOT(ISERROR(MATCH(M51,_xlfn.ANCHORARRAY(F62),0))),L64&amp;"Por favor no seleccionar los criterios de impacto",M51)</f>
        <v>0</v>
      </c>
      <c r="O51" s="465"/>
      <c r="P51" s="471"/>
      <c r="Q51" s="474"/>
      <c r="R51" s="105">
        <v>6</v>
      </c>
      <c r="S51" s="106"/>
      <c r="T51" s="107" t="str">
        <f t="shared" si="75"/>
        <v/>
      </c>
      <c r="U51" s="113"/>
      <c r="V51" s="113"/>
      <c r="W51" s="114" t="str">
        <f t="shared" si="71"/>
        <v/>
      </c>
      <c r="X51" s="113"/>
      <c r="Y51" s="113"/>
      <c r="Z51" s="113"/>
      <c r="AA51" s="108" t="str">
        <f t="shared" si="78"/>
        <v/>
      </c>
      <c r="AB51" s="115" t="str">
        <f t="shared" si="72"/>
        <v/>
      </c>
      <c r="AC51" s="116" t="str">
        <f t="shared" si="76"/>
        <v/>
      </c>
      <c r="AD51" s="115" t="str">
        <f t="shared" si="73"/>
        <v/>
      </c>
      <c r="AE51" s="116" t="str">
        <f t="shared" si="77"/>
        <v/>
      </c>
      <c r="AF51" s="117" t="str">
        <f t="shared" si="74"/>
        <v/>
      </c>
      <c r="AG51" s="118"/>
      <c r="AH51" s="109"/>
      <c r="AI51" s="110"/>
      <c r="AJ51" s="111"/>
      <c r="AK51" s="111"/>
      <c r="AL51" s="109"/>
      <c r="AM51" s="110"/>
      <c r="AN51" s="111"/>
      <c r="AO51" s="8"/>
      <c r="AP51" s="110"/>
      <c r="AQ51" s="111"/>
      <c r="AR51" s="8"/>
      <c r="AS51" s="110"/>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row>
    <row r="52" spans="1:75" ht="26.25" customHeight="1" x14ac:dyDescent="0.25">
      <c r="A52" s="491">
        <v>8</v>
      </c>
      <c r="B52" s="482"/>
      <c r="C52" s="482"/>
      <c r="D52" s="482"/>
      <c r="E52" s="119"/>
      <c r="F52" s="497"/>
      <c r="G52" s="454"/>
      <c r="H52" s="122"/>
      <c r="I52" s="482"/>
      <c r="J52" s="460"/>
      <c r="K52" s="463" t="str">
        <f t="shared" ref="K52" si="79">IF(J52&lt;=0,"",IF(J52&lt;=2,"Muy Baja",IF(J52&lt;=24,"Baja",IF(J52&lt;=500,"Media",IF(J52&lt;=5000,"Alta","Muy Alta")))))</f>
        <v/>
      </c>
      <c r="L52" s="469" t="str">
        <f t="shared" ref="L52" si="80">IF(K52="","",IF(K52="Muy Baja",0.2,IF(K52="Baja",0.4,IF(K52="Media",0.6,IF(K52="Alta",0.8,IF(K52="Muy Alta",1,))))))</f>
        <v/>
      </c>
      <c r="M52" s="475"/>
      <c r="N52" s="469">
        <f>IF(NOT(ISERROR(MATCH(M52,'Tabla Impacto'!$B$221:$B$223,0))),'Tabla Impacto'!$F$223&amp;"Por favor no seleccionar los criterios de impacto(Afectación Económica o presupuestal y Pérdida Reputacional)",M52)</f>
        <v>0</v>
      </c>
      <c r="O52" s="463" t="str">
        <f>IF(OR(N52='Tabla Impacto'!$C$11,N52='Tabla Impacto'!$D$11),"Leve",IF(OR(N52='Tabla Impacto'!$C$12,N52='Tabla Impacto'!$D$12),"Menor",IF(OR(N52='Tabla Impacto'!$C$13,N52='Tabla Impacto'!$D$13),"Moderado",IF(OR(N52='Tabla Impacto'!$C$14,N52='Tabla Impacto'!$D$14),"Mayor",IF(OR(N52='Tabla Impacto'!$C$15,N52='Tabla Impacto'!$D$15),"Catastrófico","")))))</f>
        <v/>
      </c>
      <c r="P52" s="469" t="str">
        <f t="shared" ref="P52" si="81">IF(O52="","",IF(O52="Leve",0.2,IF(O52="Menor",0.4,IF(O52="Moderado",0.6,IF(O52="Mayor",0.8,IF(O52="Catastrófico",1,))))))</f>
        <v/>
      </c>
      <c r="Q52" s="472" t="str">
        <f t="shared" ref="Q52" si="82">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
      </c>
      <c r="R52" s="105">
        <v>1</v>
      </c>
      <c r="S52" s="106"/>
      <c r="T52" s="107" t="str">
        <f>IF(OR(U52="Preventivo",U52="Detectivo"),"Probabilidad",IF(U52="Correctivo","Impacto",""))</f>
        <v/>
      </c>
      <c r="U52" s="113"/>
      <c r="V52" s="113"/>
      <c r="W52" s="114" t="str">
        <f>IF(AND(U52="Preventivo",V52="Automático"),"50%",IF(AND(U52="Preventivo",V52="Manual"),"40%",IF(AND(U52="Detectivo",V52="Automático"),"40%",IF(AND(U52="Detectivo",V52="Manual"),"30%",IF(AND(U52="Correctivo",V52="Automático"),"35%",IF(AND(U52="Correctivo",V52="Manual"),"25%",""))))))</f>
        <v/>
      </c>
      <c r="X52" s="113"/>
      <c r="Y52" s="113"/>
      <c r="Z52" s="113"/>
      <c r="AA52" s="108" t="str">
        <f>IFERROR(IF(T52="Probabilidad",(L52-(+L52*W52)),IF(T52="Impacto",L52,"")),"")</f>
        <v/>
      </c>
      <c r="AB52" s="115" t="str">
        <f>IFERROR(IF(AA52="","",IF(AA52&lt;=0.2,"Muy Baja",IF(AA52&lt;=0.4,"Baja",IF(AA52&lt;=0.6,"Media",IF(AA52&lt;=0.8,"Alta","Muy Alta"))))),"")</f>
        <v/>
      </c>
      <c r="AC52" s="116" t="str">
        <f>+AA52</f>
        <v/>
      </c>
      <c r="AD52" s="115" t="str">
        <f>IFERROR(IF(AE52="","",IF(AE52&lt;=0.2,"Leve",IF(AE52&lt;=0.4,"Menor",IF(AE52&lt;=0.6,"Moderado",IF(AE52&lt;=0.8,"Mayor","Catastrófico"))))),"")</f>
        <v/>
      </c>
      <c r="AE52" s="116" t="str">
        <f>IFERROR(IF(T52="Impacto",(P52-(+P52*W52)),IF(T52="Probabilidad",P52,"")),"")</f>
        <v/>
      </c>
      <c r="AF52" s="117" t="str">
        <f>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118"/>
      <c r="AH52" s="109"/>
      <c r="AI52" s="110"/>
      <c r="AJ52" s="111"/>
      <c r="AK52" s="111"/>
      <c r="AL52" s="109"/>
      <c r="AM52" s="110"/>
      <c r="AN52" s="111"/>
      <c r="AO52" s="8"/>
      <c r="AP52" s="110"/>
      <c r="AQ52" s="111"/>
      <c r="AR52" s="8"/>
      <c r="AS52" s="110"/>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row>
    <row r="53" spans="1:75" ht="26.25" customHeight="1" x14ac:dyDescent="0.25">
      <c r="A53" s="492"/>
      <c r="B53" s="483"/>
      <c r="C53" s="483"/>
      <c r="D53" s="483"/>
      <c r="E53" s="120"/>
      <c r="F53" s="498"/>
      <c r="G53" s="455"/>
      <c r="H53" s="123"/>
      <c r="I53" s="483"/>
      <c r="J53" s="461"/>
      <c r="K53" s="464"/>
      <c r="L53" s="470"/>
      <c r="M53" s="476"/>
      <c r="N53" s="470">
        <f>IF(NOT(ISERROR(MATCH(M53,_xlfn.ANCHORARRAY(F64),0))),L66&amp;"Por favor no seleccionar los criterios de impacto",M53)</f>
        <v>0</v>
      </c>
      <c r="O53" s="464"/>
      <c r="P53" s="470"/>
      <c r="Q53" s="473"/>
      <c r="R53" s="105">
        <v>2</v>
      </c>
      <c r="S53" s="106"/>
      <c r="T53" s="107" t="str">
        <f>IF(OR(U53="Preventivo",U53="Detectivo"),"Probabilidad",IF(U53="Correctivo","Impacto",""))</f>
        <v/>
      </c>
      <c r="U53" s="113"/>
      <c r="V53" s="113"/>
      <c r="W53" s="114" t="str">
        <f t="shared" ref="W53:W57" si="83">IF(AND(U53="Preventivo",V53="Automático"),"50%",IF(AND(U53="Preventivo",V53="Manual"),"40%",IF(AND(U53="Detectivo",V53="Automático"),"40%",IF(AND(U53="Detectivo",V53="Manual"),"30%",IF(AND(U53="Correctivo",V53="Automático"),"35%",IF(AND(U53="Correctivo",V53="Manual"),"25%",""))))))</f>
        <v/>
      </c>
      <c r="X53" s="113"/>
      <c r="Y53" s="113"/>
      <c r="Z53" s="113"/>
      <c r="AA53" s="108" t="str">
        <f>IFERROR(IF(AND(T52="Probabilidad",T53="Probabilidad"),(AC52-(+AC52*W53)),IF(AND(T52="Impacto",T53="Probabilidad"),(L52-(+L52*W53)),IF(T53="Impacto",AC52,""))),"")</f>
        <v/>
      </c>
      <c r="AB53" s="115" t="str">
        <f t="shared" ref="AB53:AB57" si="84">IFERROR(IF(AA53="","",IF(AA53&lt;=0.2,"Muy Baja",IF(AA53&lt;=0.4,"Baja",IF(AA53&lt;=0.6,"Media",IF(AA53&lt;=0.8,"Alta","Muy Alta"))))),"")</f>
        <v/>
      </c>
      <c r="AC53" s="116" t="str">
        <f>+AA53</f>
        <v/>
      </c>
      <c r="AD53" s="115" t="str">
        <f t="shared" ref="AD53:AD57" si="85">IFERROR(IF(AE53="","",IF(AE53&lt;=0.2,"Leve",IF(AE53&lt;=0.4,"Menor",IF(AE53&lt;=0.6,"Moderado",IF(AE53&lt;=0.8,"Mayor","Catastrófico"))))),"")</f>
        <v/>
      </c>
      <c r="AE53" s="116" t="str">
        <f>IFERROR(IF(AND(T52="Impacto",T53="Impacto"),(AE52-(+AE52*W53)),IF(AND(T52="Probabilidad",T53="Impacto"),(P52-(+P52*W53)),IF(T53="Probabilidad",AE52,""))),"")</f>
        <v/>
      </c>
      <c r="AF53" s="117" t="str">
        <f t="shared" ref="AF53:AF57" si="86">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118"/>
      <c r="AH53" s="109"/>
      <c r="AI53" s="110"/>
      <c r="AJ53" s="111"/>
      <c r="AK53" s="111"/>
      <c r="AL53" s="109"/>
      <c r="AM53" s="110"/>
      <c r="AN53" s="111"/>
      <c r="AO53" s="8"/>
      <c r="AP53" s="110"/>
      <c r="AQ53" s="111"/>
      <c r="AR53" s="8"/>
      <c r="AS53" s="110"/>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row>
    <row r="54" spans="1:75" ht="26.25" customHeight="1" x14ac:dyDescent="0.25">
      <c r="A54" s="492"/>
      <c r="B54" s="483"/>
      <c r="C54" s="483"/>
      <c r="D54" s="483"/>
      <c r="E54" s="120"/>
      <c r="F54" s="498"/>
      <c r="G54" s="455"/>
      <c r="H54" s="123"/>
      <c r="I54" s="483"/>
      <c r="J54" s="461"/>
      <c r="K54" s="464"/>
      <c r="L54" s="470"/>
      <c r="M54" s="476"/>
      <c r="N54" s="470">
        <f>IF(NOT(ISERROR(MATCH(M54,_xlfn.ANCHORARRAY(F65),0))),L67&amp;"Por favor no seleccionar los criterios de impacto",M54)</f>
        <v>0</v>
      </c>
      <c r="O54" s="464"/>
      <c r="P54" s="470"/>
      <c r="Q54" s="473"/>
      <c r="R54" s="105">
        <v>3</v>
      </c>
      <c r="S54" s="112"/>
      <c r="T54" s="107" t="str">
        <f t="shared" ref="T54:T57" si="87">IF(OR(U54="Preventivo",U54="Detectivo"),"Probabilidad",IF(U54="Correctivo","Impacto",""))</f>
        <v/>
      </c>
      <c r="U54" s="113"/>
      <c r="V54" s="113"/>
      <c r="W54" s="114" t="str">
        <f t="shared" si="83"/>
        <v/>
      </c>
      <c r="X54" s="113"/>
      <c r="Y54" s="113"/>
      <c r="Z54" s="113"/>
      <c r="AA54" s="108" t="str">
        <f>IFERROR(IF(AND(T53="Probabilidad",T54="Probabilidad"),(AC53-(+AC53*W54)),IF(AND(T53="Impacto",T54="Probabilidad"),(AC52-(+AC52*W54)),IF(T54="Impacto",AC53,""))),"")</f>
        <v/>
      </c>
      <c r="AB54" s="115" t="str">
        <f t="shared" si="84"/>
        <v/>
      </c>
      <c r="AC54" s="116" t="str">
        <f t="shared" ref="AC54:AC57" si="88">+AA54</f>
        <v/>
      </c>
      <c r="AD54" s="115" t="str">
        <f t="shared" si="85"/>
        <v/>
      </c>
      <c r="AE54" s="116" t="str">
        <f t="shared" ref="AE54:AE57" si="89">IFERROR(IF(AND(T53="Impacto",T54="Impacto"),(AE53-(+AE53*W54)),IF(AND(T53="Probabilidad",T54="Impacto"),(AE52-(+AE52*W54)),IF(T54="Probabilidad",AE53,""))),"")</f>
        <v/>
      </c>
      <c r="AF54" s="117" t="str">
        <f t="shared" si="86"/>
        <v/>
      </c>
      <c r="AG54" s="118"/>
      <c r="AH54" s="109"/>
      <c r="AI54" s="110"/>
      <c r="AJ54" s="111"/>
      <c r="AK54" s="111"/>
      <c r="AL54" s="109"/>
      <c r="AM54" s="110"/>
      <c r="AN54" s="111"/>
      <c r="AO54" s="8"/>
      <c r="AP54" s="110"/>
      <c r="AQ54" s="111"/>
      <c r="AR54" s="8"/>
      <c r="AS54" s="110"/>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row>
    <row r="55" spans="1:75" ht="26.25" customHeight="1" x14ac:dyDescent="0.25">
      <c r="A55" s="492"/>
      <c r="B55" s="483"/>
      <c r="C55" s="483"/>
      <c r="D55" s="483"/>
      <c r="E55" s="120"/>
      <c r="F55" s="498"/>
      <c r="G55" s="455"/>
      <c r="H55" s="123"/>
      <c r="I55" s="483"/>
      <c r="J55" s="461"/>
      <c r="K55" s="464"/>
      <c r="L55" s="470"/>
      <c r="M55" s="476"/>
      <c r="N55" s="470">
        <f>IF(NOT(ISERROR(MATCH(M55,_xlfn.ANCHORARRAY(F66),0))),L68&amp;"Por favor no seleccionar los criterios de impacto",M55)</f>
        <v>0</v>
      </c>
      <c r="O55" s="464"/>
      <c r="P55" s="470"/>
      <c r="Q55" s="473"/>
      <c r="R55" s="105">
        <v>4</v>
      </c>
      <c r="S55" s="106"/>
      <c r="T55" s="107" t="str">
        <f t="shared" si="87"/>
        <v/>
      </c>
      <c r="U55" s="113"/>
      <c r="V55" s="113"/>
      <c r="W55" s="114" t="str">
        <f t="shared" si="83"/>
        <v/>
      </c>
      <c r="X55" s="113"/>
      <c r="Y55" s="113"/>
      <c r="Z55" s="113"/>
      <c r="AA55" s="108" t="str">
        <f t="shared" ref="AA55:AA57" si="90">IFERROR(IF(AND(T54="Probabilidad",T55="Probabilidad"),(AC54-(+AC54*W55)),IF(AND(T54="Impacto",T55="Probabilidad"),(AC53-(+AC53*W55)),IF(T55="Impacto",AC54,""))),"")</f>
        <v/>
      </c>
      <c r="AB55" s="115" t="str">
        <f t="shared" si="84"/>
        <v/>
      </c>
      <c r="AC55" s="116" t="str">
        <f t="shared" si="88"/>
        <v/>
      </c>
      <c r="AD55" s="115" t="str">
        <f t="shared" si="85"/>
        <v/>
      </c>
      <c r="AE55" s="116" t="str">
        <f t="shared" si="89"/>
        <v/>
      </c>
      <c r="AF55" s="117" t="str">
        <f t="shared" si="86"/>
        <v/>
      </c>
      <c r="AG55" s="118"/>
      <c r="AH55" s="109"/>
      <c r="AI55" s="110"/>
      <c r="AJ55" s="111"/>
      <c r="AK55" s="111"/>
      <c r="AL55" s="109"/>
      <c r="AM55" s="110"/>
      <c r="AN55" s="111"/>
      <c r="AO55" s="8"/>
      <c r="AP55" s="110"/>
      <c r="AQ55" s="111"/>
      <c r="AR55" s="8"/>
      <c r="AS55" s="110"/>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row>
    <row r="56" spans="1:75" ht="26.25" customHeight="1" x14ac:dyDescent="0.25">
      <c r="A56" s="492"/>
      <c r="B56" s="483"/>
      <c r="C56" s="483"/>
      <c r="D56" s="483"/>
      <c r="E56" s="120"/>
      <c r="F56" s="498"/>
      <c r="G56" s="455"/>
      <c r="H56" s="123"/>
      <c r="I56" s="483"/>
      <c r="J56" s="461"/>
      <c r="K56" s="464"/>
      <c r="L56" s="470"/>
      <c r="M56" s="476"/>
      <c r="N56" s="470">
        <f>IF(NOT(ISERROR(MATCH(M56,_xlfn.ANCHORARRAY(F67),0))),L69&amp;"Por favor no seleccionar los criterios de impacto",M56)</f>
        <v>0</v>
      </c>
      <c r="O56" s="464"/>
      <c r="P56" s="470"/>
      <c r="Q56" s="473"/>
      <c r="R56" s="105">
        <v>5</v>
      </c>
      <c r="S56" s="106"/>
      <c r="T56" s="107" t="str">
        <f t="shared" si="87"/>
        <v/>
      </c>
      <c r="U56" s="113"/>
      <c r="V56" s="113"/>
      <c r="W56" s="114" t="str">
        <f t="shared" si="83"/>
        <v/>
      </c>
      <c r="X56" s="113"/>
      <c r="Y56" s="113"/>
      <c r="Z56" s="113"/>
      <c r="AA56" s="108" t="str">
        <f t="shared" si="90"/>
        <v/>
      </c>
      <c r="AB56" s="115" t="str">
        <f t="shared" si="84"/>
        <v/>
      </c>
      <c r="AC56" s="116" t="str">
        <f t="shared" si="88"/>
        <v/>
      </c>
      <c r="AD56" s="115" t="str">
        <f t="shared" si="85"/>
        <v/>
      </c>
      <c r="AE56" s="116" t="str">
        <f t="shared" si="89"/>
        <v/>
      </c>
      <c r="AF56" s="117" t="str">
        <f t="shared" si="86"/>
        <v/>
      </c>
      <c r="AG56" s="118"/>
      <c r="AH56" s="109"/>
      <c r="AI56" s="110"/>
      <c r="AJ56" s="111"/>
      <c r="AK56" s="111"/>
      <c r="AL56" s="109"/>
      <c r="AM56" s="110"/>
      <c r="AN56" s="111"/>
      <c r="AO56" s="8"/>
      <c r="AP56" s="110"/>
      <c r="AQ56" s="111"/>
      <c r="AR56" s="8"/>
      <c r="AS56" s="110"/>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row>
    <row r="57" spans="1:75" ht="26.25" customHeight="1" x14ac:dyDescent="0.25">
      <c r="A57" s="493"/>
      <c r="B57" s="484"/>
      <c r="C57" s="484"/>
      <c r="D57" s="484"/>
      <c r="E57" s="121"/>
      <c r="F57" s="499"/>
      <c r="G57" s="478"/>
      <c r="H57" s="124"/>
      <c r="I57" s="484"/>
      <c r="J57" s="462"/>
      <c r="K57" s="465"/>
      <c r="L57" s="471"/>
      <c r="M57" s="477"/>
      <c r="N57" s="471">
        <f>IF(NOT(ISERROR(MATCH(M57,_xlfn.ANCHORARRAY(F68),0))),L70&amp;"Por favor no seleccionar los criterios de impacto",M57)</f>
        <v>0</v>
      </c>
      <c r="O57" s="465"/>
      <c r="P57" s="471"/>
      <c r="Q57" s="474"/>
      <c r="R57" s="105">
        <v>6</v>
      </c>
      <c r="S57" s="106"/>
      <c r="T57" s="107" t="str">
        <f t="shared" si="87"/>
        <v/>
      </c>
      <c r="U57" s="113"/>
      <c r="V57" s="113"/>
      <c r="W57" s="114" t="str">
        <f t="shared" si="83"/>
        <v/>
      </c>
      <c r="X57" s="113"/>
      <c r="Y57" s="113"/>
      <c r="Z57" s="113"/>
      <c r="AA57" s="108" t="str">
        <f t="shared" si="90"/>
        <v/>
      </c>
      <c r="AB57" s="115" t="str">
        <f t="shared" si="84"/>
        <v/>
      </c>
      <c r="AC57" s="116" t="str">
        <f t="shared" si="88"/>
        <v/>
      </c>
      <c r="AD57" s="115" t="str">
        <f t="shared" si="85"/>
        <v/>
      </c>
      <c r="AE57" s="116" t="str">
        <f t="shared" si="89"/>
        <v/>
      </c>
      <c r="AF57" s="117" t="str">
        <f t="shared" si="86"/>
        <v/>
      </c>
      <c r="AG57" s="118"/>
      <c r="AH57" s="109"/>
      <c r="AI57" s="110"/>
      <c r="AJ57" s="111"/>
      <c r="AK57" s="111"/>
      <c r="AL57" s="109"/>
      <c r="AM57" s="110"/>
      <c r="AN57" s="111"/>
      <c r="AO57" s="8"/>
      <c r="AP57" s="110"/>
      <c r="AQ57" s="111"/>
      <c r="AR57" s="8"/>
      <c r="AS57" s="110"/>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row>
    <row r="58" spans="1:75" ht="26.25" customHeight="1" x14ac:dyDescent="0.25">
      <c r="A58" s="491">
        <v>9</v>
      </c>
      <c r="B58" s="482"/>
      <c r="C58" s="482"/>
      <c r="D58" s="482"/>
      <c r="E58" s="119"/>
      <c r="F58" s="497"/>
      <c r="G58" s="454"/>
      <c r="H58" s="122"/>
      <c r="I58" s="482"/>
      <c r="J58" s="460"/>
      <c r="K58" s="463" t="str">
        <f t="shared" ref="K58" si="91">IF(J58&lt;=0,"",IF(J58&lt;=2,"Muy Baja",IF(J58&lt;=24,"Baja",IF(J58&lt;=500,"Media",IF(J58&lt;=5000,"Alta","Muy Alta")))))</f>
        <v/>
      </c>
      <c r="L58" s="469" t="str">
        <f t="shared" ref="L58" si="92">IF(K58="","",IF(K58="Muy Baja",0.2,IF(K58="Baja",0.4,IF(K58="Media",0.6,IF(K58="Alta",0.8,IF(K58="Muy Alta",1,))))))</f>
        <v/>
      </c>
      <c r="M58" s="475"/>
      <c r="N58" s="195">
        <f>IF(NOT(ISERROR(MATCH(M58,'Tabla Impacto'!$B$221:$B$223,0))),'Tabla Impacto'!$F$223&amp;"Por favor no seleccionar los criterios de impacto(Afectación Económica o presupuestal y Pérdida Reputacional)",M58)</f>
        <v>0</v>
      </c>
      <c r="O58" s="463" t="str">
        <f>IF(OR(N58='Tabla Impacto'!$C$11,N58='Tabla Impacto'!$D$11),"Leve",IF(OR(N58='Tabla Impacto'!$C$12,N58='Tabla Impacto'!$D$12),"Menor",IF(OR(N58='Tabla Impacto'!$C$13,N58='Tabla Impacto'!$D$13),"Moderado",IF(OR(N58='Tabla Impacto'!$C$14,N58='Tabla Impacto'!$D$14),"Mayor",IF(OR(N58='Tabla Impacto'!$C$15,N58='Tabla Impacto'!$D$15),"Catastrófico","")))))</f>
        <v/>
      </c>
      <c r="P58" s="469" t="str">
        <f t="shared" ref="P58" si="93">IF(O58="","",IF(O58="Leve",0.2,IF(O58="Menor",0.4,IF(O58="Moderado",0.6,IF(O58="Mayor",0.8,IF(O58="Catastrófico",1,))))))</f>
        <v/>
      </c>
      <c r="Q58" s="472" t="str">
        <f t="shared" ref="Q58" si="94">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
      </c>
      <c r="R58" s="105">
        <v>1</v>
      </c>
      <c r="S58" s="106"/>
      <c r="T58" s="107" t="str">
        <f>IF(OR(U58="Preventivo",U58="Detectivo"),"Probabilidad",IF(U58="Correctivo","Impacto",""))</f>
        <v/>
      </c>
      <c r="U58" s="113"/>
      <c r="V58" s="113"/>
      <c r="W58" s="114" t="str">
        <f>IF(AND(U58="Preventivo",V58="Automático"),"50%",IF(AND(U58="Preventivo",V58="Manual"),"40%",IF(AND(U58="Detectivo",V58="Automático"),"40%",IF(AND(U58="Detectivo",V58="Manual"),"30%",IF(AND(U58="Correctivo",V58="Automático"),"35%",IF(AND(U58="Correctivo",V58="Manual"),"25%",""))))))</f>
        <v/>
      </c>
      <c r="X58" s="113"/>
      <c r="Y58" s="113"/>
      <c r="Z58" s="113"/>
      <c r="AA58" s="108" t="str">
        <f>IFERROR(IF(T58="Probabilidad",(L58-(+L58*W58)),IF(T58="Impacto",L58,"")),"")</f>
        <v/>
      </c>
      <c r="AB58" s="115" t="str">
        <f>IFERROR(IF(AA58="","",IF(AA58&lt;=0.2,"Muy Baja",IF(AA58&lt;=0.4,"Baja",IF(AA58&lt;=0.6,"Media",IF(AA58&lt;=0.8,"Alta","Muy Alta"))))),"")</f>
        <v/>
      </c>
      <c r="AC58" s="116" t="str">
        <f>+AA58</f>
        <v/>
      </c>
      <c r="AD58" s="115" t="str">
        <f>IFERROR(IF(AE58="","",IF(AE58&lt;=0.2,"Leve",IF(AE58&lt;=0.4,"Menor",IF(AE58&lt;=0.6,"Moderado",IF(AE58&lt;=0.8,"Mayor","Catastrófico"))))),"")</f>
        <v/>
      </c>
      <c r="AE58" s="116" t="str">
        <f>IFERROR(IF(T58="Impacto",(P58-(+P58*W58)),IF(T58="Probabilidad",P58,"")),"")</f>
        <v/>
      </c>
      <c r="AF58" s="117" t="str">
        <f>IFERROR(IF(OR(AND(AB58="Muy Baja",AD58="Leve"),AND(AB58="Muy Baja",AD58="Menor"),AND(AB58="Baja",AD58="Leve")),"Bajo",IF(OR(AND(AB58="Muy baja",AD58="Moderado"),AND(AB58="Baja",AD58="Menor"),AND(AB58="Baja",AD58="Moderado"),AND(AB58="Media",AD58="Leve"),AND(AB58="Media",AD58="Menor"),AND(AB58="Media",AD58="Moderado"),AND(AB58="Alta",AD58="Leve"),AND(AB58="Alta",AD58="Menor")),"Moderado",IF(OR(AND(AB58="Muy Baja",AD58="Mayor"),AND(AB58="Baja",AD58="Mayor"),AND(AB58="Media",AD58="Mayor"),AND(AB58="Alta",AD58="Moderado"),AND(AB58="Alta",AD58="Mayor"),AND(AB58="Muy Alta",AD58="Leve"),AND(AB58="Muy Alta",AD58="Menor"),AND(AB58="Muy Alta",AD58="Moderado"),AND(AB58="Muy Alta",AD58="Mayor")),"Alto",IF(OR(AND(AB58="Muy Baja",AD58="Catastrófico"),AND(AB58="Baja",AD58="Catastrófico"),AND(AB58="Media",AD58="Catastrófico"),AND(AB58="Alta",AD58="Catastrófico"),AND(AB58="Muy Alta",AD58="Catastrófico")),"Extremo","")))),"")</f>
        <v/>
      </c>
      <c r="AG58" s="118"/>
      <c r="AH58" s="109"/>
      <c r="AI58" s="110"/>
      <c r="AJ58" s="111"/>
      <c r="AK58" s="111"/>
      <c r="AL58" s="109"/>
      <c r="AM58" s="110"/>
      <c r="AN58" s="111"/>
      <c r="AO58" s="8"/>
      <c r="AP58" s="110"/>
      <c r="AQ58" s="111"/>
      <c r="AR58" s="8"/>
      <c r="AS58" s="110"/>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row>
    <row r="59" spans="1:75" ht="26.25" customHeight="1" x14ac:dyDescent="0.25">
      <c r="A59" s="492"/>
      <c r="B59" s="483"/>
      <c r="C59" s="483"/>
      <c r="D59" s="483"/>
      <c r="E59" s="120"/>
      <c r="F59" s="498"/>
      <c r="G59" s="455"/>
      <c r="H59" s="123"/>
      <c r="I59" s="483"/>
      <c r="J59" s="461"/>
      <c r="K59" s="464"/>
      <c r="L59" s="470"/>
      <c r="M59" s="476"/>
      <c r="N59" s="196">
        <f>IF(NOT(ISERROR(MATCH(M59,_xlfn.ANCHORARRAY(F70),0))),L72&amp;"Por favor no seleccionar los criterios de impacto",M59)</f>
        <v>0</v>
      </c>
      <c r="O59" s="464"/>
      <c r="P59" s="470"/>
      <c r="Q59" s="473"/>
      <c r="R59" s="105">
        <v>2</v>
      </c>
      <c r="S59" s="106"/>
      <c r="T59" s="107" t="str">
        <f>IF(OR(U59="Preventivo",U59="Detectivo"),"Probabilidad",IF(U59="Correctivo","Impacto",""))</f>
        <v/>
      </c>
      <c r="U59" s="113"/>
      <c r="V59" s="113"/>
      <c r="W59" s="114" t="str">
        <f t="shared" ref="W59:W63" si="95">IF(AND(U59="Preventivo",V59="Automático"),"50%",IF(AND(U59="Preventivo",V59="Manual"),"40%",IF(AND(U59="Detectivo",V59="Automático"),"40%",IF(AND(U59="Detectivo",V59="Manual"),"30%",IF(AND(U59="Correctivo",V59="Automático"),"35%",IF(AND(U59="Correctivo",V59="Manual"),"25%",""))))))</f>
        <v/>
      </c>
      <c r="X59" s="113"/>
      <c r="Y59" s="113"/>
      <c r="Z59" s="113"/>
      <c r="AA59" s="108" t="str">
        <f>IFERROR(IF(AND(T58="Probabilidad",T59="Probabilidad"),(AC58-(+AC58*W59)),IF(AND(T58="Impacto",T59="Probabilidad"),(L58-(+L58*W59)),IF(T59="Impacto",AC58,""))),"")</f>
        <v/>
      </c>
      <c r="AB59" s="115" t="str">
        <f t="shared" ref="AB59:AB63" si="96">IFERROR(IF(AA59="","",IF(AA59&lt;=0.2,"Muy Baja",IF(AA59&lt;=0.4,"Baja",IF(AA59&lt;=0.6,"Media",IF(AA59&lt;=0.8,"Alta","Muy Alta"))))),"")</f>
        <v/>
      </c>
      <c r="AC59" s="116" t="str">
        <f>+AA59</f>
        <v/>
      </c>
      <c r="AD59" s="115" t="str">
        <f t="shared" ref="AD59:AD63" si="97">IFERROR(IF(AE59="","",IF(AE59&lt;=0.2,"Leve",IF(AE59&lt;=0.4,"Menor",IF(AE59&lt;=0.6,"Moderado",IF(AE59&lt;=0.8,"Mayor","Catastrófico"))))),"")</f>
        <v/>
      </c>
      <c r="AE59" s="116" t="str">
        <f>IFERROR(IF(AND(T58="Impacto",T59="Impacto"),(AE58-(+AE58*W59)),IF(AND(T58="Probabilidad",T59="Impacto"),(P58-(+P58*W59)),IF(T59="Probabilidad",AE58,""))),"")</f>
        <v/>
      </c>
      <c r="AF59" s="117" t="str">
        <f t="shared" ref="AF59:AF63" si="98">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118"/>
      <c r="AH59" s="109"/>
      <c r="AI59" s="110"/>
      <c r="AJ59" s="111"/>
      <c r="AK59" s="111"/>
      <c r="AL59" s="109"/>
      <c r="AM59" s="110"/>
      <c r="AN59" s="111"/>
      <c r="AO59" s="8"/>
      <c r="AP59" s="110"/>
      <c r="AQ59" s="111"/>
      <c r="AR59" s="8"/>
      <c r="AS59" s="110"/>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row>
    <row r="60" spans="1:75" ht="26.25" customHeight="1" x14ac:dyDescent="0.25">
      <c r="A60" s="492"/>
      <c r="B60" s="483"/>
      <c r="C60" s="483"/>
      <c r="D60" s="483"/>
      <c r="E60" s="120"/>
      <c r="F60" s="498"/>
      <c r="G60" s="455"/>
      <c r="H60" s="123"/>
      <c r="I60" s="483"/>
      <c r="J60" s="461"/>
      <c r="K60" s="464"/>
      <c r="L60" s="470"/>
      <c r="M60" s="476"/>
      <c r="N60" s="196">
        <f>IF(NOT(ISERROR(MATCH(M60,_xlfn.ANCHORARRAY(F71),0))),L73&amp;"Por favor no seleccionar los criterios de impacto",M60)</f>
        <v>0</v>
      </c>
      <c r="O60" s="464"/>
      <c r="P60" s="470"/>
      <c r="Q60" s="473"/>
      <c r="R60" s="105">
        <v>3</v>
      </c>
      <c r="S60" s="112"/>
      <c r="T60" s="107" t="str">
        <f t="shared" ref="T60:T63" si="99">IF(OR(U60="Preventivo",U60="Detectivo"),"Probabilidad",IF(U60="Correctivo","Impacto",""))</f>
        <v/>
      </c>
      <c r="U60" s="113"/>
      <c r="V60" s="113"/>
      <c r="W60" s="114" t="str">
        <f t="shared" si="95"/>
        <v/>
      </c>
      <c r="X60" s="113"/>
      <c r="Y60" s="113"/>
      <c r="Z60" s="113"/>
      <c r="AA60" s="108" t="str">
        <f>IFERROR(IF(AND(T59="Probabilidad",T60="Probabilidad"),(AC59-(+AC59*W60)),IF(AND(T59="Impacto",T60="Probabilidad"),(AC58-(+AC58*W60)),IF(T60="Impacto",AC59,""))),"")</f>
        <v/>
      </c>
      <c r="AB60" s="115" t="str">
        <f t="shared" si="96"/>
        <v/>
      </c>
      <c r="AC60" s="116" t="str">
        <f t="shared" ref="AC60:AC63" si="100">+AA60</f>
        <v/>
      </c>
      <c r="AD60" s="115" t="str">
        <f t="shared" si="97"/>
        <v/>
      </c>
      <c r="AE60" s="116" t="str">
        <f t="shared" ref="AE60:AE63" si="101">IFERROR(IF(AND(T59="Impacto",T60="Impacto"),(AE59-(+AE59*W60)),IF(AND(T59="Probabilidad",T60="Impacto"),(AE58-(+AE58*W60)),IF(T60="Probabilidad",AE59,""))),"")</f>
        <v/>
      </c>
      <c r="AF60" s="117" t="str">
        <f t="shared" si="98"/>
        <v/>
      </c>
      <c r="AG60" s="118"/>
      <c r="AH60" s="109"/>
      <c r="AI60" s="110"/>
      <c r="AJ60" s="111"/>
      <c r="AK60" s="111"/>
      <c r="AL60" s="109"/>
      <c r="AM60" s="110"/>
      <c r="AN60" s="111"/>
      <c r="AO60" s="8"/>
      <c r="AP60" s="110"/>
      <c r="AQ60" s="111"/>
      <c r="AR60" s="8"/>
      <c r="AS60" s="110"/>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row>
    <row r="61" spans="1:75" ht="26.25" customHeight="1" x14ac:dyDescent="0.25">
      <c r="A61" s="492"/>
      <c r="B61" s="483"/>
      <c r="C61" s="483"/>
      <c r="D61" s="483"/>
      <c r="E61" s="120"/>
      <c r="F61" s="498"/>
      <c r="G61" s="455"/>
      <c r="H61" s="123"/>
      <c r="I61" s="483"/>
      <c r="J61" s="461"/>
      <c r="K61" s="464"/>
      <c r="L61" s="470"/>
      <c r="M61" s="476"/>
      <c r="N61" s="196">
        <f>IF(NOT(ISERROR(MATCH(M61,_xlfn.ANCHORARRAY(F72),0))),L74&amp;"Por favor no seleccionar los criterios de impacto",M61)</f>
        <v>0</v>
      </c>
      <c r="O61" s="464"/>
      <c r="P61" s="470"/>
      <c r="Q61" s="473"/>
      <c r="R61" s="105">
        <v>4</v>
      </c>
      <c r="S61" s="106"/>
      <c r="T61" s="107" t="str">
        <f t="shared" si="99"/>
        <v/>
      </c>
      <c r="U61" s="113"/>
      <c r="V61" s="113"/>
      <c r="W61" s="114" t="str">
        <f t="shared" si="95"/>
        <v/>
      </c>
      <c r="X61" s="113"/>
      <c r="Y61" s="113"/>
      <c r="Z61" s="113"/>
      <c r="AA61" s="108" t="str">
        <f t="shared" ref="AA61:AA63" si="102">IFERROR(IF(AND(T60="Probabilidad",T61="Probabilidad"),(AC60-(+AC60*W61)),IF(AND(T60="Impacto",T61="Probabilidad"),(AC59-(+AC59*W61)),IF(T61="Impacto",AC60,""))),"")</f>
        <v/>
      </c>
      <c r="AB61" s="115" t="str">
        <f t="shared" si="96"/>
        <v/>
      </c>
      <c r="AC61" s="116" t="str">
        <f t="shared" si="100"/>
        <v/>
      </c>
      <c r="AD61" s="115" t="str">
        <f t="shared" si="97"/>
        <v/>
      </c>
      <c r="AE61" s="116" t="str">
        <f t="shared" si="101"/>
        <v/>
      </c>
      <c r="AF61" s="117" t="str">
        <f t="shared" si="98"/>
        <v/>
      </c>
      <c r="AG61" s="118"/>
      <c r="AH61" s="109"/>
      <c r="AI61" s="110"/>
      <c r="AJ61" s="111"/>
      <c r="AK61" s="111"/>
      <c r="AL61" s="109"/>
      <c r="AM61" s="110"/>
      <c r="AN61" s="111"/>
      <c r="AO61" s="8"/>
      <c r="AP61" s="110"/>
      <c r="AQ61" s="111"/>
      <c r="AR61" s="8"/>
      <c r="AS61" s="110"/>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row>
    <row r="62" spans="1:75" ht="26.25" customHeight="1" x14ac:dyDescent="0.25">
      <c r="A62" s="492"/>
      <c r="B62" s="483"/>
      <c r="C62" s="483"/>
      <c r="D62" s="483"/>
      <c r="E62" s="120"/>
      <c r="F62" s="498"/>
      <c r="G62" s="455"/>
      <c r="H62" s="123"/>
      <c r="I62" s="483"/>
      <c r="J62" s="461"/>
      <c r="K62" s="464"/>
      <c r="L62" s="470"/>
      <c r="M62" s="476"/>
      <c r="N62" s="196">
        <f>IF(NOT(ISERROR(MATCH(M62,_xlfn.ANCHORARRAY(F73),0))),L75&amp;"Por favor no seleccionar los criterios de impacto",M62)</f>
        <v>0</v>
      </c>
      <c r="O62" s="464"/>
      <c r="P62" s="470"/>
      <c r="Q62" s="473"/>
      <c r="R62" s="105">
        <v>5</v>
      </c>
      <c r="S62" s="106"/>
      <c r="T62" s="107" t="str">
        <f t="shared" si="99"/>
        <v/>
      </c>
      <c r="U62" s="113"/>
      <c r="V62" s="113"/>
      <c r="W62" s="114" t="str">
        <f t="shared" si="95"/>
        <v/>
      </c>
      <c r="X62" s="113"/>
      <c r="Y62" s="113"/>
      <c r="Z62" s="113"/>
      <c r="AA62" s="108" t="str">
        <f t="shared" si="102"/>
        <v/>
      </c>
      <c r="AB62" s="115" t="str">
        <f t="shared" si="96"/>
        <v/>
      </c>
      <c r="AC62" s="116" t="str">
        <f t="shared" si="100"/>
        <v/>
      </c>
      <c r="AD62" s="115" t="str">
        <f t="shared" si="97"/>
        <v/>
      </c>
      <c r="AE62" s="116" t="str">
        <f t="shared" si="101"/>
        <v/>
      </c>
      <c r="AF62" s="117" t="str">
        <f t="shared" si="98"/>
        <v/>
      </c>
      <c r="AG62" s="118"/>
      <c r="AH62" s="109"/>
      <c r="AI62" s="110"/>
      <c r="AJ62" s="111"/>
      <c r="AK62" s="111"/>
      <c r="AL62" s="109"/>
      <c r="AM62" s="110"/>
      <c r="AN62" s="111"/>
      <c r="AO62" s="8"/>
      <c r="AP62" s="110"/>
      <c r="AQ62" s="111"/>
      <c r="AR62" s="8"/>
      <c r="AS62" s="110"/>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row>
    <row r="63" spans="1:75" ht="26.25" customHeight="1" x14ac:dyDescent="0.25">
      <c r="A63" s="493"/>
      <c r="B63" s="484"/>
      <c r="C63" s="484"/>
      <c r="D63" s="484"/>
      <c r="E63" s="121"/>
      <c r="F63" s="499"/>
      <c r="G63" s="478"/>
      <c r="H63" s="124"/>
      <c r="I63" s="484"/>
      <c r="J63" s="462"/>
      <c r="K63" s="465"/>
      <c r="L63" s="471"/>
      <c r="M63" s="477"/>
      <c r="N63" s="197">
        <f>IF(NOT(ISERROR(MATCH(M63,_xlfn.ANCHORARRAY(F74),0))),L76&amp;"Por favor no seleccionar los criterios de impacto",M63)</f>
        <v>0</v>
      </c>
      <c r="O63" s="465"/>
      <c r="P63" s="471"/>
      <c r="Q63" s="474"/>
      <c r="R63" s="105">
        <v>6</v>
      </c>
      <c r="S63" s="106"/>
      <c r="T63" s="107" t="str">
        <f t="shared" si="99"/>
        <v/>
      </c>
      <c r="U63" s="113"/>
      <c r="V63" s="113"/>
      <c r="W63" s="114" t="str">
        <f t="shared" si="95"/>
        <v/>
      </c>
      <c r="X63" s="113"/>
      <c r="Y63" s="113"/>
      <c r="Z63" s="113"/>
      <c r="AA63" s="108" t="str">
        <f t="shared" si="102"/>
        <v/>
      </c>
      <c r="AB63" s="115" t="str">
        <f t="shared" si="96"/>
        <v/>
      </c>
      <c r="AC63" s="116" t="str">
        <f t="shared" si="100"/>
        <v/>
      </c>
      <c r="AD63" s="115" t="str">
        <f t="shared" si="97"/>
        <v/>
      </c>
      <c r="AE63" s="116" t="str">
        <f t="shared" si="101"/>
        <v/>
      </c>
      <c r="AF63" s="117" t="str">
        <f t="shared" si="98"/>
        <v/>
      </c>
      <c r="AG63" s="118"/>
      <c r="AH63" s="109"/>
      <c r="AI63" s="110"/>
      <c r="AJ63" s="111"/>
      <c r="AK63" s="111"/>
      <c r="AL63" s="109"/>
      <c r="AM63" s="110"/>
      <c r="AN63" s="111"/>
      <c r="AO63" s="8"/>
      <c r="AP63" s="110"/>
      <c r="AQ63" s="111"/>
      <c r="AR63" s="8"/>
      <c r="AS63" s="110"/>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row>
    <row r="64" spans="1:75" ht="19.5" customHeight="1" x14ac:dyDescent="0.25">
      <c r="A64" s="491">
        <v>10</v>
      </c>
      <c r="B64" s="482"/>
      <c r="C64" s="482"/>
      <c r="D64" s="482"/>
      <c r="E64" s="119"/>
      <c r="F64" s="497"/>
      <c r="G64" s="454"/>
      <c r="H64" s="122"/>
      <c r="I64" s="482"/>
      <c r="J64" s="460"/>
      <c r="K64" s="463" t="str">
        <f t="shared" ref="K64" si="103">IF(J64&lt;=0,"",IF(J64&lt;=2,"Muy Baja",IF(J64&lt;=24,"Baja",IF(J64&lt;=500,"Media",IF(J64&lt;=5000,"Alta","Muy Alta")))))</f>
        <v/>
      </c>
      <c r="L64" s="469" t="str">
        <f t="shared" ref="L64" si="104">IF(K64="","",IF(K64="Muy Baja",0.2,IF(K64="Baja",0.4,IF(K64="Media",0.6,IF(K64="Alta",0.8,IF(K64="Muy Alta",1,))))))</f>
        <v/>
      </c>
      <c r="M64" s="475"/>
      <c r="N64" s="195">
        <f>IF(NOT(ISERROR(MATCH(M64,'Tabla Impacto'!$B$221:$B$223,0))),'Tabla Impacto'!$F$223&amp;"Por favor no seleccionar los criterios de impacto(Afectación Económica o presupuestal y Pérdida Reputacional)",M64)</f>
        <v>0</v>
      </c>
      <c r="O64" s="463" t="str">
        <f>IF(OR(N64='Tabla Impacto'!$C$11,N64='Tabla Impacto'!$D$11),"Leve",IF(OR(N64='Tabla Impacto'!$C$12,N64='Tabla Impacto'!$D$12),"Menor",IF(OR(N64='Tabla Impacto'!$C$13,N64='Tabla Impacto'!$D$13),"Moderado",IF(OR(N64='Tabla Impacto'!$C$14,N64='Tabla Impacto'!$D$14),"Mayor",IF(OR(N64='Tabla Impacto'!$C$15,N64='Tabla Impacto'!$D$15),"Catastrófico","")))))</f>
        <v/>
      </c>
      <c r="P64" s="469" t="str">
        <f t="shared" ref="P64" si="105">IF(O64="","",IF(O64="Leve",0.2,IF(O64="Menor",0.4,IF(O64="Moderado",0.6,IF(O64="Mayor",0.8,IF(O64="Catastrófico",1,))))))</f>
        <v/>
      </c>
      <c r="Q64" s="472" t="str">
        <f t="shared" ref="Q64" si="106">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
      </c>
      <c r="R64" s="105">
        <v>1</v>
      </c>
      <c r="S64" s="106"/>
      <c r="T64" s="107" t="str">
        <f>IF(OR(U64="Preventivo",U64="Detectivo"),"Probabilidad",IF(U64="Correctivo","Impacto",""))</f>
        <v/>
      </c>
      <c r="U64" s="113"/>
      <c r="V64" s="113"/>
      <c r="W64" s="114" t="str">
        <f>IF(AND(U64="Preventivo",V64="Automático"),"50%",IF(AND(U64="Preventivo",V64="Manual"),"40%",IF(AND(U64="Detectivo",V64="Automático"),"40%",IF(AND(U64="Detectivo",V64="Manual"),"30%",IF(AND(U64="Correctivo",V64="Automático"),"35%",IF(AND(U64="Correctivo",V64="Manual"),"25%",""))))))</f>
        <v/>
      </c>
      <c r="X64" s="113"/>
      <c r="Y64" s="113"/>
      <c r="Z64" s="113"/>
      <c r="AA64" s="108" t="str">
        <f>IFERROR(IF(T64="Probabilidad",(L64-(+L64*W64)),IF(T64="Impacto",L64,"")),"")</f>
        <v/>
      </c>
      <c r="AB64" s="115" t="str">
        <f>IFERROR(IF(AA64="","",IF(AA64&lt;=0.2,"Muy Baja",IF(AA64&lt;=0.4,"Baja",IF(AA64&lt;=0.6,"Media",IF(AA64&lt;=0.8,"Alta","Muy Alta"))))),"")</f>
        <v/>
      </c>
      <c r="AC64" s="116" t="str">
        <f>+AA64</f>
        <v/>
      </c>
      <c r="AD64" s="115" t="str">
        <f>IFERROR(IF(AE64="","",IF(AE64&lt;=0.2,"Leve",IF(AE64&lt;=0.4,"Menor",IF(AE64&lt;=0.6,"Moderado",IF(AE64&lt;=0.8,"Mayor","Catastrófico"))))),"")</f>
        <v/>
      </c>
      <c r="AE64" s="116" t="str">
        <f>IFERROR(IF(T64="Impacto",(P64-(+P64*W64)),IF(T64="Probabilidad",P64,"")),"")</f>
        <v/>
      </c>
      <c r="AF64" s="117" t="str">
        <f>IFERROR(IF(OR(AND(AB64="Muy Baja",AD64="Leve"),AND(AB64="Muy Baja",AD64="Menor"),AND(AB64="Baja",AD64="Leve")),"Bajo",IF(OR(AND(AB64="Muy baja",AD64="Moderado"),AND(AB64="Baja",AD64="Menor"),AND(AB64="Baja",AD64="Moderado"),AND(AB64="Media",AD64="Leve"),AND(AB64="Media",AD64="Menor"),AND(AB64="Media",AD64="Moderado"),AND(AB64="Alta",AD64="Leve"),AND(AB64="Alta",AD64="Menor")),"Moderado",IF(OR(AND(AB64="Muy Baja",AD64="Mayor"),AND(AB64="Baja",AD64="Mayor"),AND(AB64="Media",AD64="Mayor"),AND(AB64="Alta",AD64="Moderado"),AND(AB64="Alta",AD64="Mayor"),AND(AB64="Muy Alta",AD64="Leve"),AND(AB64="Muy Alta",AD64="Menor"),AND(AB64="Muy Alta",AD64="Moderado"),AND(AB64="Muy Alta",AD64="Mayor")),"Alto",IF(OR(AND(AB64="Muy Baja",AD64="Catastrófico"),AND(AB64="Baja",AD64="Catastrófico"),AND(AB64="Media",AD64="Catastrófico"),AND(AB64="Alta",AD64="Catastrófico"),AND(AB64="Muy Alta",AD64="Catastrófico")),"Extremo","")))),"")</f>
        <v/>
      </c>
      <c r="AG64" s="118"/>
      <c r="AH64" s="109"/>
      <c r="AI64" s="110"/>
      <c r="AJ64" s="111"/>
      <c r="AK64" s="111"/>
      <c r="AL64" s="109"/>
      <c r="AM64" s="110"/>
      <c r="AN64" s="111"/>
      <c r="AO64" s="8"/>
      <c r="AP64" s="110"/>
      <c r="AQ64" s="111"/>
      <c r="AR64" s="8"/>
      <c r="AS64" s="110"/>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row>
    <row r="65" spans="1:45" ht="19.5" customHeight="1" x14ac:dyDescent="0.25">
      <c r="A65" s="492"/>
      <c r="B65" s="483"/>
      <c r="C65" s="483"/>
      <c r="D65" s="483"/>
      <c r="E65" s="120"/>
      <c r="F65" s="498"/>
      <c r="G65" s="455"/>
      <c r="H65" s="123"/>
      <c r="I65" s="483"/>
      <c r="J65" s="461"/>
      <c r="K65" s="464"/>
      <c r="L65" s="470"/>
      <c r="M65" s="476"/>
      <c r="N65" s="196">
        <f>IF(NOT(ISERROR(MATCH(M65,_xlfn.ANCHORARRAY(F76),0))),L78&amp;"Por favor no seleccionar los criterios de impacto",M65)</f>
        <v>0</v>
      </c>
      <c r="O65" s="464"/>
      <c r="P65" s="470"/>
      <c r="Q65" s="473"/>
      <c r="R65" s="105">
        <v>2</v>
      </c>
      <c r="S65" s="106"/>
      <c r="T65" s="107" t="str">
        <f>IF(OR(U65="Preventivo",U65="Detectivo"),"Probabilidad",IF(U65="Correctivo","Impacto",""))</f>
        <v/>
      </c>
      <c r="U65" s="113"/>
      <c r="V65" s="113"/>
      <c r="W65" s="114" t="str">
        <f t="shared" ref="W65:W69" si="107">IF(AND(U65="Preventivo",V65="Automático"),"50%",IF(AND(U65="Preventivo",V65="Manual"),"40%",IF(AND(U65="Detectivo",V65="Automático"),"40%",IF(AND(U65="Detectivo",V65="Manual"),"30%",IF(AND(U65="Correctivo",V65="Automático"),"35%",IF(AND(U65="Correctivo",V65="Manual"),"25%",""))))))</f>
        <v/>
      </c>
      <c r="X65" s="113"/>
      <c r="Y65" s="113"/>
      <c r="Z65" s="113"/>
      <c r="AA65" s="108" t="str">
        <f>IFERROR(IF(AND(T64="Probabilidad",T65="Probabilidad"),(AC64-(+AC64*W65)),IF(AND(T64="Impacto",T65="Probabilidad"),(L64-(+L64*W65)),IF(T65="Impacto",AC64,""))),"")</f>
        <v/>
      </c>
      <c r="AB65" s="115" t="str">
        <f t="shared" ref="AB65:AB69" si="108">IFERROR(IF(AA65="","",IF(AA65&lt;=0.2,"Muy Baja",IF(AA65&lt;=0.4,"Baja",IF(AA65&lt;=0.6,"Media",IF(AA65&lt;=0.8,"Alta","Muy Alta"))))),"")</f>
        <v/>
      </c>
      <c r="AC65" s="116" t="str">
        <f>+AA65</f>
        <v/>
      </c>
      <c r="AD65" s="115" t="str">
        <f t="shared" ref="AD65:AD69" si="109">IFERROR(IF(AE65="","",IF(AE65&lt;=0.2,"Leve",IF(AE65&lt;=0.4,"Menor",IF(AE65&lt;=0.6,"Moderado",IF(AE65&lt;=0.8,"Mayor","Catastrófico"))))),"")</f>
        <v/>
      </c>
      <c r="AE65" s="116" t="str">
        <f>IFERROR(IF(AND(T64="Impacto",T65="Impacto"),(AE64-(+AE64*W65)),IF(AND(T64="Probabilidad",T65="Impacto"),(P64-(+P64*W65)),IF(T65="Probabilidad",AE64,""))),"")</f>
        <v/>
      </c>
      <c r="AF65" s="117" t="str">
        <f t="shared" ref="AF65:AF69" si="110">IFERROR(IF(OR(AND(AB65="Muy Baja",AD65="Leve"),AND(AB65="Muy Baja",AD65="Menor"),AND(AB65="Baja",AD65="Leve")),"Bajo",IF(OR(AND(AB65="Muy baja",AD65="Moderado"),AND(AB65="Baja",AD65="Menor"),AND(AB65="Baja",AD65="Moderado"),AND(AB65="Media",AD65="Leve"),AND(AB65="Media",AD65="Menor"),AND(AB65="Media",AD65="Moderado"),AND(AB65="Alta",AD65="Leve"),AND(AB65="Alta",AD65="Menor")),"Moderado",IF(OR(AND(AB65="Muy Baja",AD65="Mayor"),AND(AB65="Baja",AD65="Mayor"),AND(AB65="Media",AD65="Mayor"),AND(AB65="Alta",AD65="Moderado"),AND(AB65="Alta",AD65="Mayor"),AND(AB65="Muy Alta",AD65="Leve"),AND(AB65="Muy Alta",AD65="Menor"),AND(AB65="Muy Alta",AD65="Moderado"),AND(AB65="Muy Alta",AD65="Mayor")),"Alto",IF(OR(AND(AB65="Muy Baja",AD65="Catastrófico"),AND(AB65="Baja",AD65="Catastrófico"),AND(AB65="Media",AD65="Catastrófico"),AND(AB65="Alta",AD65="Catastrófico"),AND(AB65="Muy Alta",AD65="Catastrófico")),"Extremo","")))),"")</f>
        <v/>
      </c>
      <c r="AG65" s="118"/>
      <c r="AH65" s="109"/>
      <c r="AI65" s="110"/>
      <c r="AJ65" s="111"/>
      <c r="AK65" s="111"/>
      <c r="AL65" s="109"/>
      <c r="AM65" s="110"/>
      <c r="AN65" s="111"/>
      <c r="AP65" s="110"/>
      <c r="AQ65" s="111"/>
      <c r="AS65" s="110"/>
    </row>
    <row r="66" spans="1:45" ht="19.5" customHeight="1" x14ac:dyDescent="0.25">
      <c r="A66" s="492"/>
      <c r="B66" s="483"/>
      <c r="C66" s="483"/>
      <c r="D66" s="483"/>
      <c r="E66" s="120"/>
      <c r="F66" s="498"/>
      <c r="G66" s="455"/>
      <c r="H66" s="123"/>
      <c r="I66" s="483"/>
      <c r="J66" s="461"/>
      <c r="K66" s="464"/>
      <c r="L66" s="470"/>
      <c r="M66" s="476"/>
      <c r="N66" s="196">
        <f>IF(NOT(ISERROR(MATCH(M66,_xlfn.ANCHORARRAY(F77),0))),L79&amp;"Por favor no seleccionar los criterios de impacto",M66)</f>
        <v>0</v>
      </c>
      <c r="O66" s="464"/>
      <c r="P66" s="470"/>
      <c r="Q66" s="473"/>
      <c r="R66" s="105">
        <v>3</v>
      </c>
      <c r="S66" s="112"/>
      <c r="T66" s="107" t="str">
        <f t="shared" ref="T66:T69" si="111">IF(OR(U66="Preventivo",U66="Detectivo"),"Probabilidad",IF(U66="Correctivo","Impacto",""))</f>
        <v/>
      </c>
      <c r="U66" s="113"/>
      <c r="V66" s="113"/>
      <c r="W66" s="114" t="str">
        <f t="shared" si="107"/>
        <v/>
      </c>
      <c r="X66" s="113"/>
      <c r="Y66" s="113"/>
      <c r="Z66" s="113"/>
      <c r="AA66" s="108" t="str">
        <f>IFERROR(IF(AND(T65="Probabilidad",T66="Probabilidad"),(AC65-(+AC65*W66)),IF(AND(T65="Impacto",T66="Probabilidad"),(AC64-(+AC64*W66)),IF(T66="Impacto",AC65,""))),"")</f>
        <v/>
      </c>
      <c r="AB66" s="115" t="str">
        <f t="shared" si="108"/>
        <v/>
      </c>
      <c r="AC66" s="116" t="str">
        <f t="shared" ref="AC66:AC69" si="112">+AA66</f>
        <v/>
      </c>
      <c r="AD66" s="115" t="str">
        <f t="shared" si="109"/>
        <v/>
      </c>
      <c r="AE66" s="116" t="str">
        <f t="shared" ref="AE66:AE69" si="113">IFERROR(IF(AND(T65="Impacto",T66="Impacto"),(AE65-(+AE65*W66)),IF(AND(T65="Probabilidad",T66="Impacto"),(AE64-(+AE64*W66)),IF(T66="Probabilidad",AE65,""))),"")</f>
        <v/>
      </c>
      <c r="AF66" s="117" t="str">
        <f t="shared" si="110"/>
        <v/>
      </c>
      <c r="AG66" s="118"/>
      <c r="AH66" s="109"/>
      <c r="AI66" s="110"/>
      <c r="AJ66" s="111"/>
      <c r="AK66" s="111"/>
      <c r="AL66" s="109"/>
      <c r="AM66" s="110"/>
      <c r="AN66" s="111"/>
      <c r="AP66" s="110"/>
      <c r="AQ66" s="111"/>
      <c r="AS66" s="110"/>
    </row>
    <row r="67" spans="1:45" ht="19.5" customHeight="1" x14ac:dyDescent="0.25">
      <c r="A67" s="492"/>
      <c r="B67" s="483"/>
      <c r="C67" s="483"/>
      <c r="D67" s="483"/>
      <c r="E67" s="120"/>
      <c r="F67" s="498"/>
      <c r="G67" s="455"/>
      <c r="H67" s="123"/>
      <c r="I67" s="483"/>
      <c r="J67" s="461"/>
      <c r="K67" s="464"/>
      <c r="L67" s="470"/>
      <c r="M67" s="476"/>
      <c r="N67" s="196">
        <f>IF(NOT(ISERROR(MATCH(M67,_xlfn.ANCHORARRAY(F78),0))),L80&amp;"Por favor no seleccionar los criterios de impacto",M67)</f>
        <v>0</v>
      </c>
      <c r="O67" s="464"/>
      <c r="P67" s="470"/>
      <c r="Q67" s="473"/>
      <c r="R67" s="105">
        <v>4</v>
      </c>
      <c r="S67" s="106"/>
      <c r="T67" s="107" t="str">
        <f t="shared" si="111"/>
        <v/>
      </c>
      <c r="U67" s="113"/>
      <c r="V67" s="113"/>
      <c r="W67" s="114" t="str">
        <f t="shared" si="107"/>
        <v/>
      </c>
      <c r="X67" s="113"/>
      <c r="Y67" s="113"/>
      <c r="Z67" s="113"/>
      <c r="AA67" s="108" t="str">
        <f t="shared" ref="AA67:AA69" si="114">IFERROR(IF(AND(T66="Probabilidad",T67="Probabilidad"),(AC66-(+AC66*W67)),IF(AND(T66="Impacto",T67="Probabilidad"),(AC65-(+AC65*W67)),IF(T67="Impacto",AC66,""))),"")</f>
        <v/>
      </c>
      <c r="AB67" s="115" t="str">
        <f t="shared" si="108"/>
        <v/>
      </c>
      <c r="AC67" s="116" t="str">
        <f t="shared" si="112"/>
        <v/>
      </c>
      <c r="AD67" s="115" t="str">
        <f t="shared" si="109"/>
        <v/>
      </c>
      <c r="AE67" s="116" t="str">
        <f t="shared" si="113"/>
        <v/>
      </c>
      <c r="AF67" s="117" t="str">
        <f t="shared" si="110"/>
        <v/>
      </c>
      <c r="AG67" s="118"/>
      <c r="AH67" s="109"/>
      <c r="AI67" s="110"/>
      <c r="AJ67" s="111"/>
      <c r="AK67" s="111"/>
      <c r="AL67" s="109"/>
      <c r="AM67" s="110"/>
      <c r="AN67" s="111"/>
      <c r="AP67" s="110"/>
      <c r="AQ67" s="111"/>
      <c r="AS67" s="110"/>
    </row>
    <row r="68" spans="1:45" ht="19.5" customHeight="1" x14ac:dyDescent="0.25">
      <c r="A68" s="492"/>
      <c r="B68" s="483"/>
      <c r="C68" s="483"/>
      <c r="D68" s="483"/>
      <c r="E68" s="120"/>
      <c r="F68" s="498"/>
      <c r="G68" s="455"/>
      <c r="H68" s="123"/>
      <c r="I68" s="483"/>
      <c r="J68" s="461"/>
      <c r="K68" s="464"/>
      <c r="L68" s="470"/>
      <c r="M68" s="476"/>
      <c r="N68" s="196">
        <f>IF(NOT(ISERROR(MATCH(M68,_xlfn.ANCHORARRAY(F79),0))),L81&amp;"Por favor no seleccionar los criterios de impacto",M68)</f>
        <v>0</v>
      </c>
      <c r="O68" s="464"/>
      <c r="P68" s="470"/>
      <c r="Q68" s="473"/>
      <c r="R68" s="105">
        <v>5</v>
      </c>
      <c r="S68" s="106"/>
      <c r="T68" s="107" t="str">
        <f t="shared" si="111"/>
        <v/>
      </c>
      <c r="U68" s="113"/>
      <c r="V68" s="113"/>
      <c r="W68" s="114" t="str">
        <f t="shared" si="107"/>
        <v/>
      </c>
      <c r="X68" s="113"/>
      <c r="Y68" s="113"/>
      <c r="Z68" s="113"/>
      <c r="AA68" s="108" t="str">
        <f t="shared" si="114"/>
        <v/>
      </c>
      <c r="AB68" s="115" t="str">
        <f t="shared" si="108"/>
        <v/>
      </c>
      <c r="AC68" s="116" t="str">
        <f t="shared" si="112"/>
        <v/>
      </c>
      <c r="AD68" s="115" t="str">
        <f t="shared" si="109"/>
        <v/>
      </c>
      <c r="AE68" s="116" t="str">
        <f t="shared" si="113"/>
        <v/>
      </c>
      <c r="AF68" s="117" t="str">
        <f t="shared" si="110"/>
        <v/>
      </c>
      <c r="AG68" s="118"/>
      <c r="AH68" s="109"/>
      <c r="AI68" s="110"/>
      <c r="AJ68" s="111"/>
      <c r="AK68" s="111"/>
      <c r="AL68" s="109"/>
      <c r="AM68" s="110"/>
      <c r="AN68" s="111"/>
      <c r="AP68" s="110"/>
      <c r="AQ68" s="111"/>
      <c r="AS68" s="110"/>
    </row>
    <row r="69" spans="1:45" ht="19.5" customHeight="1" x14ac:dyDescent="0.25">
      <c r="A69" s="493"/>
      <c r="B69" s="484"/>
      <c r="C69" s="484"/>
      <c r="D69" s="484"/>
      <c r="E69" s="121"/>
      <c r="F69" s="499"/>
      <c r="G69" s="456"/>
      <c r="H69" s="124"/>
      <c r="I69" s="484"/>
      <c r="J69" s="462"/>
      <c r="K69" s="465"/>
      <c r="L69" s="471"/>
      <c r="M69" s="477"/>
      <c r="N69" s="197">
        <f>IF(NOT(ISERROR(MATCH(M69,_xlfn.ANCHORARRAY(F80),0))),L82&amp;"Por favor no seleccionar los criterios de impacto",M69)</f>
        <v>0</v>
      </c>
      <c r="O69" s="465"/>
      <c r="P69" s="471"/>
      <c r="Q69" s="474"/>
      <c r="R69" s="105">
        <v>6</v>
      </c>
      <c r="S69" s="106"/>
      <c r="T69" s="107" t="str">
        <f t="shared" si="111"/>
        <v/>
      </c>
      <c r="U69" s="113"/>
      <c r="V69" s="113"/>
      <c r="W69" s="114" t="str">
        <f t="shared" si="107"/>
        <v/>
      </c>
      <c r="X69" s="113"/>
      <c r="Y69" s="113"/>
      <c r="Z69" s="113"/>
      <c r="AA69" s="108" t="str">
        <f t="shared" si="114"/>
        <v/>
      </c>
      <c r="AB69" s="115" t="str">
        <f t="shared" si="108"/>
        <v/>
      </c>
      <c r="AC69" s="116" t="str">
        <f t="shared" si="112"/>
        <v/>
      </c>
      <c r="AD69" s="115" t="str">
        <f t="shared" si="109"/>
        <v/>
      </c>
      <c r="AE69" s="116" t="str">
        <f t="shared" si="113"/>
        <v/>
      </c>
      <c r="AF69" s="117" t="str">
        <f t="shared" si="110"/>
        <v/>
      </c>
      <c r="AG69" s="118"/>
      <c r="AH69" s="109"/>
      <c r="AI69" s="110"/>
      <c r="AJ69" s="111"/>
      <c r="AK69" s="111"/>
      <c r="AL69" s="109"/>
      <c r="AM69" s="110"/>
      <c r="AN69" s="111"/>
      <c r="AP69" s="110"/>
      <c r="AQ69" s="111"/>
      <c r="AS69" s="110"/>
    </row>
    <row r="70" spans="1:45" ht="49.5" customHeight="1" x14ac:dyDescent="0.25">
      <c r="A70" s="6"/>
      <c r="B70" s="501" t="s">
        <v>125</v>
      </c>
      <c r="C70" s="502"/>
      <c r="D70" s="502"/>
      <c r="E70" s="502"/>
      <c r="F70" s="502"/>
      <c r="G70" s="502"/>
      <c r="H70" s="502"/>
      <c r="I70" s="502"/>
      <c r="J70" s="502"/>
      <c r="K70" s="502"/>
      <c r="L70" s="502"/>
      <c r="M70" s="502"/>
      <c r="N70" s="502"/>
      <c r="O70" s="502"/>
      <c r="P70" s="502"/>
      <c r="Q70" s="502"/>
      <c r="R70" s="502"/>
      <c r="S70" s="502"/>
      <c r="T70" s="502"/>
      <c r="U70" s="502"/>
      <c r="V70" s="502"/>
      <c r="W70" s="502"/>
      <c r="X70" s="502"/>
      <c r="Y70" s="502"/>
      <c r="Z70" s="502"/>
      <c r="AA70" s="502"/>
      <c r="AB70" s="502"/>
      <c r="AC70" s="502"/>
      <c r="AD70" s="502"/>
      <c r="AE70" s="502"/>
      <c r="AF70" s="502"/>
      <c r="AG70" s="502"/>
      <c r="AH70" s="502"/>
      <c r="AI70" s="502"/>
      <c r="AJ70" s="502"/>
      <c r="AK70" s="502"/>
      <c r="AL70" s="502"/>
      <c r="AM70" s="503"/>
      <c r="AN70" s="218"/>
    </row>
    <row r="72" spans="1:45" x14ac:dyDescent="0.25">
      <c r="A72" s="1"/>
      <c r="B72" s="24" t="s">
        <v>137</v>
      </c>
      <c r="C72" s="1"/>
      <c r="D72" s="1"/>
      <c r="E72" s="1"/>
      <c r="I72" s="1"/>
    </row>
  </sheetData>
  <dataConsolidate/>
  <mergeCells count="208">
    <mergeCell ref="AZ8:AZ9"/>
    <mergeCell ref="BB8:BB9"/>
    <mergeCell ref="A10:A12"/>
    <mergeCell ref="G22:G27"/>
    <mergeCell ref="G16:G21"/>
    <mergeCell ref="AN8:AN9"/>
    <mergeCell ref="AP8:AP9"/>
    <mergeCell ref="B8:B9"/>
    <mergeCell ref="T8:T9"/>
    <mergeCell ref="U8:Z8"/>
    <mergeCell ref="E8:E9"/>
    <mergeCell ref="D16:D21"/>
    <mergeCell ref="F16:F21"/>
    <mergeCell ref="A22:A27"/>
    <mergeCell ref="B22:B27"/>
    <mergeCell ref="C22:C27"/>
    <mergeCell ref="D22:D27"/>
    <mergeCell ref="F22:F27"/>
    <mergeCell ref="A16:A21"/>
    <mergeCell ref="B16:B21"/>
    <mergeCell ref="C16:C21"/>
    <mergeCell ref="AG10:AG12"/>
    <mergeCell ref="N10:N15"/>
    <mergeCell ref="P22:P27"/>
    <mergeCell ref="M16:M21"/>
    <mergeCell ref="L16:L21"/>
    <mergeCell ref="J16:J21"/>
    <mergeCell ref="O22:O27"/>
    <mergeCell ref="M22:M27"/>
    <mergeCell ref="L22:L27"/>
    <mergeCell ref="Q16:Q21"/>
    <mergeCell ref="P16:P21"/>
    <mergeCell ref="O16:O21"/>
    <mergeCell ref="Q22:Q27"/>
    <mergeCell ref="L10:L12"/>
    <mergeCell ref="M10:M12"/>
    <mergeCell ref="Q10:Q12"/>
    <mergeCell ref="A1:AM2"/>
    <mergeCell ref="A7:J7"/>
    <mergeCell ref="K7:Q7"/>
    <mergeCell ref="R7:Z7"/>
    <mergeCell ref="AA7:AG7"/>
    <mergeCell ref="A4:B4"/>
    <mergeCell ref="A5:B5"/>
    <mergeCell ref="A6:B6"/>
    <mergeCell ref="A8:A9"/>
    <mergeCell ref="I8:I9"/>
    <mergeCell ref="F8:F9"/>
    <mergeCell ref="D8:D9"/>
    <mergeCell ref="C8:C9"/>
    <mergeCell ref="AG8:AG9"/>
    <mergeCell ref="R8:R9"/>
    <mergeCell ref="AF8:AF9"/>
    <mergeCell ref="AE8:AE9"/>
    <mergeCell ref="AA8:AA9"/>
    <mergeCell ref="S8:S9"/>
    <mergeCell ref="AD8:AD9"/>
    <mergeCell ref="B70:AM70"/>
    <mergeCell ref="P58:P63"/>
    <mergeCell ref="Q58:Q63"/>
    <mergeCell ref="A64:A69"/>
    <mergeCell ref="B64:B69"/>
    <mergeCell ref="C64:C69"/>
    <mergeCell ref="D64:D69"/>
    <mergeCell ref="F64:F69"/>
    <mergeCell ref="I64:I69"/>
    <mergeCell ref="J64:J69"/>
    <mergeCell ref="K64:K69"/>
    <mergeCell ref="L64:L69"/>
    <mergeCell ref="M64:M69"/>
    <mergeCell ref="O64:O69"/>
    <mergeCell ref="P64:P69"/>
    <mergeCell ref="Q64:Q69"/>
    <mergeCell ref="M58:M63"/>
    <mergeCell ref="O52:O57"/>
    <mergeCell ref="P52:P57"/>
    <mergeCell ref="Q52:Q57"/>
    <mergeCell ref="O58:O63"/>
    <mergeCell ref="A58:A63"/>
    <mergeCell ref="B58:B63"/>
    <mergeCell ref="C58:C63"/>
    <mergeCell ref="D58:D63"/>
    <mergeCell ref="F58:F63"/>
    <mergeCell ref="I58:I63"/>
    <mergeCell ref="J58:J63"/>
    <mergeCell ref="K58:K63"/>
    <mergeCell ref="L58:L63"/>
    <mergeCell ref="G58:G63"/>
    <mergeCell ref="I52:I57"/>
    <mergeCell ref="J52:J57"/>
    <mergeCell ref="K52:K57"/>
    <mergeCell ref="L52:L57"/>
    <mergeCell ref="M52:M57"/>
    <mergeCell ref="A34:A39"/>
    <mergeCell ref="B34:B39"/>
    <mergeCell ref="C34:C39"/>
    <mergeCell ref="A40:A45"/>
    <mergeCell ref="A52:A57"/>
    <mergeCell ref="B52:B57"/>
    <mergeCell ref="C52:C57"/>
    <mergeCell ref="D52:D57"/>
    <mergeCell ref="F52:F57"/>
    <mergeCell ref="A46:A51"/>
    <mergeCell ref="B46:B51"/>
    <mergeCell ref="C46:C51"/>
    <mergeCell ref="D46:D51"/>
    <mergeCell ref="F46:F51"/>
    <mergeCell ref="B40:B45"/>
    <mergeCell ref="C40:C45"/>
    <mergeCell ref="D40:D45"/>
    <mergeCell ref="F40:F45"/>
    <mergeCell ref="D34:D39"/>
    <mergeCell ref="A28:A33"/>
    <mergeCell ref="B28:B33"/>
    <mergeCell ref="C28:C33"/>
    <mergeCell ref="D28:D33"/>
    <mergeCell ref="F28:F33"/>
    <mergeCell ref="I28:I33"/>
    <mergeCell ref="J28:J33"/>
    <mergeCell ref="K28:K33"/>
    <mergeCell ref="L28:L33"/>
    <mergeCell ref="G28:G33"/>
    <mergeCell ref="AB8:AB9"/>
    <mergeCell ref="C4:AM4"/>
    <mergeCell ref="C5:AM5"/>
    <mergeCell ref="AC8:AC9"/>
    <mergeCell ref="J8:J9"/>
    <mergeCell ref="K8:K9"/>
    <mergeCell ref="L8:L9"/>
    <mergeCell ref="O8:O9"/>
    <mergeCell ref="P8:P9"/>
    <mergeCell ref="C6:AM6"/>
    <mergeCell ref="Q46:Q51"/>
    <mergeCell ref="M40:M45"/>
    <mergeCell ref="N40:N45"/>
    <mergeCell ref="L40:L45"/>
    <mergeCell ref="N34:N39"/>
    <mergeCell ref="G40:G45"/>
    <mergeCell ref="I34:I39"/>
    <mergeCell ref="J34:J39"/>
    <mergeCell ref="K34:K39"/>
    <mergeCell ref="L34:L39"/>
    <mergeCell ref="M34:M39"/>
    <mergeCell ref="J40:J45"/>
    <mergeCell ref="K40:K45"/>
    <mergeCell ref="G34:G39"/>
    <mergeCell ref="I46:I51"/>
    <mergeCell ref="J46:J51"/>
    <mergeCell ref="L46:L51"/>
    <mergeCell ref="I40:I45"/>
    <mergeCell ref="Q28:Q33"/>
    <mergeCell ref="P34:P39"/>
    <mergeCell ref="Q34:Q39"/>
    <mergeCell ref="P40:P45"/>
    <mergeCell ref="Q40:Q45"/>
    <mergeCell ref="O40:O45"/>
    <mergeCell ref="O28:O33"/>
    <mergeCell ref="O34:O39"/>
    <mergeCell ref="M28:M33"/>
    <mergeCell ref="N28:N33"/>
    <mergeCell ref="O10:O12"/>
    <mergeCell ref="P10:P12"/>
    <mergeCell ref="B10:B12"/>
    <mergeCell ref="H10:H12"/>
    <mergeCell ref="I10:I12"/>
    <mergeCell ref="G10:G12"/>
    <mergeCell ref="J10:J12"/>
    <mergeCell ref="K10:K12"/>
    <mergeCell ref="G64:G69"/>
    <mergeCell ref="I22:I27"/>
    <mergeCell ref="J22:J27"/>
    <mergeCell ref="K22:K27"/>
    <mergeCell ref="I16:I21"/>
    <mergeCell ref="K16:K21"/>
    <mergeCell ref="F34:F39"/>
    <mergeCell ref="K46:K51"/>
    <mergeCell ref="P28:P33"/>
    <mergeCell ref="G46:G51"/>
    <mergeCell ref="G52:G57"/>
    <mergeCell ref="M46:M51"/>
    <mergeCell ref="N46:N51"/>
    <mergeCell ref="O46:O51"/>
    <mergeCell ref="P46:P51"/>
    <mergeCell ref="N52:N57"/>
    <mergeCell ref="BA8:BA9"/>
    <mergeCell ref="AH7:BB7"/>
    <mergeCell ref="AX8:AX9"/>
    <mergeCell ref="AO8:AO9"/>
    <mergeCell ref="AR8:AR9"/>
    <mergeCell ref="AW8:AW9"/>
    <mergeCell ref="AY8:AY9"/>
    <mergeCell ref="AU8:AU9"/>
    <mergeCell ref="C10:C12"/>
    <mergeCell ref="D10:D12"/>
    <mergeCell ref="F10:F12"/>
    <mergeCell ref="AQ8:AQ9"/>
    <mergeCell ref="AS8:AS9"/>
    <mergeCell ref="AT8:AT9"/>
    <mergeCell ref="AV8:AV9"/>
    <mergeCell ref="AH8:AH9"/>
    <mergeCell ref="AM8:AM9"/>
    <mergeCell ref="AL8:AL9"/>
    <mergeCell ref="AK8:AK9"/>
    <mergeCell ref="AJ8:AJ9"/>
    <mergeCell ref="AI8:AI9"/>
    <mergeCell ref="Q8:Q9"/>
    <mergeCell ref="M8:M9"/>
    <mergeCell ref="N8:N9"/>
  </mergeCells>
  <conditionalFormatting sqref="K10 AB10:AB69 K16 K22 K28 K34 K40 K46 K52 K58 K64">
    <cfRule type="cellIs" dxfId="14" priority="641" operator="equal">
      <formula>"Muy Alta"</formula>
    </cfRule>
    <cfRule type="cellIs" dxfId="13" priority="642" operator="equal">
      <formula>"Alta"</formula>
    </cfRule>
    <cfRule type="cellIs" dxfId="12" priority="643" operator="equal">
      <formula>"Media"</formula>
    </cfRule>
    <cfRule type="cellIs" dxfId="11" priority="644" operator="equal">
      <formula>"Baja"</formula>
    </cfRule>
    <cfRule type="cellIs" dxfId="10" priority="645" operator="equal">
      <formula>"Muy Baja"</formula>
    </cfRule>
  </conditionalFormatting>
  <conditionalFormatting sqref="N10:N69">
    <cfRule type="containsText" dxfId="9" priority="323" operator="containsText" text="❌">
      <formula>NOT(ISERROR(SEARCH("❌",N10)))</formula>
    </cfRule>
  </conditionalFormatting>
  <conditionalFormatting sqref="O10 AD10:AD69 O16 O22 O28 O34 O40 O46 O52 O58 O64">
    <cfRule type="cellIs" dxfId="8" priority="636" operator="equal">
      <formula>"Catastrófico"</formula>
    </cfRule>
    <cfRule type="cellIs" dxfId="7" priority="637" operator="equal">
      <formula>"Mayor"</formula>
    </cfRule>
    <cfRule type="cellIs" dxfId="6" priority="638" operator="equal">
      <formula>"Moderado"</formula>
    </cfRule>
    <cfRule type="cellIs" dxfId="5" priority="639" operator="equal">
      <formula>"Menor"</formula>
    </cfRule>
    <cfRule type="cellIs" dxfId="4" priority="640" operator="equal">
      <formula>"Leve"</formula>
    </cfRule>
  </conditionalFormatting>
  <conditionalFormatting sqref="Q10 AF10:AF69 Q16 Q22 Q28 Q34 Q40 Q46 Q52 Q58 Q64">
    <cfRule type="cellIs" dxfId="3" priority="632" operator="equal">
      <formula>"Extremo"</formula>
    </cfRule>
    <cfRule type="cellIs" dxfId="2" priority="633" operator="equal">
      <formula>"Alto"</formula>
    </cfRule>
    <cfRule type="cellIs" dxfId="1" priority="634" operator="equal">
      <formula>"Moderado"</formula>
    </cfRule>
    <cfRule type="cellIs" dxfId="0" priority="635" operator="equal">
      <formula>"Bajo"</formula>
    </cfRule>
  </conditionalFormatting>
  <dataValidations count="1">
    <dataValidation type="list" allowBlank="1" showInputMessage="1" showErrorMessage="1" sqref="G10 G13:G69" xr:uid="{00000000-0002-0000-0400-000000000000}">
      <formula1>"Gestión, FISCAL,"</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1000000}">
          <x14:formula1>
            <xm:f>'Tabla Valoración controles'!$D$4:$D$6</xm:f>
          </x14:formula1>
          <xm:sqref>U10:U69</xm:sqref>
        </x14:dataValidation>
        <x14:dataValidation type="list" allowBlank="1" showInputMessage="1" showErrorMessage="1" xr:uid="{00000000-0002-0000-0400-000002000000}">
          <x14:formula1>
            <xm:f>'Tabla Valoración controles'!$D$7:$D$8</xm:f>
          </x14:formula1>
          <xm:sqref>V10:V69</xm:sqref>
        </x14:dataValidation>
        <x14:dataValidation type="list" allowBlank="1" showInputMessage="1" showErrorMessage="1" xr:uid="{00000000-0002-0000-0400-000003000000}">
          <x14:formula1>
            <xm:f>'Tabla Valoración controles'!$D$9:$D$10</xm:f>
          </x14:formula1>
          <xm:sqref>X10:X69</xm:sqref>
        </x14:dataValidation>
        <x14:dataValidation type="list" allowBlank="1" showInputMessage="1" showErrorMessage="1" xr:uid="{00000000-0002-0000-0400-000004000000}">
          <x14:formula1>
            <xm:f>'Tabla Valoración controles'!$D$11:$D$12</xm:f>
          </x14:formula1>
          <xm:sqref>Y10:Y69</xm:sqref>
        </x14:dataValidation>
        <x14:dataValidation type="list" allowBlank="1" showInputMessage="1" showErrorMessage="1" xr:uid="{00000000-0002-0000-0400-000005000000}">
          <x14:formula1>
            <xm:f>'Opciones Tratamiento'!$B$9:$B$10</xm:f>
          </x14:formula1>
          <xm:sqref>AM16:AM17 AM19:AM20 AM22:AM23 AM25:AM26 AM28:AM29 AM31:AM32 AM34:AM35 AM37:AM38 AM40:AM41 AM43:AM44 AM46:AM47 AM49:AM50 AM52:AM53 AM55:AM56 AM58:AM59 AM61:AM62 AM64:AM65 AM67:AM68 AM10:AM14 AP19:AP20 AP22:AP23 AP25:AP26 AP28:AP29 AP31:AP32 AP34:AP35 AP37:AP38 AP40:AP41 AP43:AP44 AP46:AP47 AP49:AP50 AP52:AP53 AP55:AP56 AP58:AP59 AP61:AP62 AP64:AP65 AP67:AP68 AP10:AP14 AP16:AP17 AS16:AS17 AS19:AS20 AS22:AS23 AS25:AS26 AS28:AS29 AS31:AS32 AS34:AS35 AS37:AS38 AS40:AS41 AS43:AS44 AS46:AS47 AS49:AS50 AS52:AS53 AS55:AS56 AS58:AS59 AS61:AS62 AS64:AS65 AS67:AS68 AS10:AS14 AV10:AV12 AY10:AY12 BB10:BB12</xm:sqref>
        </x14:dataValidation>
        <x14:dataValidation type="list" allowBlank="1" showInputMessage="1" showErrorMessage="1" xr:uid="{00000000-0002-0000-0400-000006000000}">
          <x14:formula1>
            <xm:f>'Tabla Valoración controles'!$D$13:$D$14</xm:f>
          </x14:formula1>
          <xm:sqref>Z10:Z69</xm:sqref>
        </x14:dataValidation>
        <x14:dataValidation type="list" allowBlank="1" showInputMessage="1" showErrorMessage="1" xr:uid="{00000000-0002-0000-0400-000007000000}">
          <x14:formula1>
            <xm:f>'Opciones Tratamiento'!$B$13:$B$19</xm:f>
          </x14:formula1>
          <xm:sqref>I10 I13:I69</xm:sqref>
        </x14:dataValidation>
        <x14:dataValidation type="list" allowBlank="1" showInputMessage="1" showErrorMessage="1" xr:uid="{00000000-0002-0000-0400-000008000000}">
          <x14:formula1>
            <xm:f>'Opciones Tratamiento'!$E$2:$E$4</xm:f>
          </x14:formula1>
          <xm:sqref>B10 B13:B69</xm:sqref>
        </x14:dataValidation>
        <x14:dataValidation type="list" allowBlank="1" showInputMessage="1" showErrorMessage="1" xr:uid="{00000000-0002-0000-0400-000009000000}">
          <x14:formula1>
            <xm:f>'Opciones Tratamiento'!$B$2:$B$5</xm:f>
          </x14:formula1>
          <xm:sqref>AG10 AG66:AG69 AG18:AG22 AG24:AG28 AG30:AG34 AG36:AG40 AG42:AG46 AG48:AG52 AG54:AG58 AG60:AG64 AG13:AG16</xm:sqref>
        </x14:dataValidation>
        <x14:dataValidation type="list" allowBlank="1" showInputMessage="1" showErrorMessage="1" xr:uid="{00000000-0002-0000-0400-00000A000000}">
          <x14:formula1>
            <xm:f>'Tabla Impacto'!$F$210:$F$221</xm:f>
          </x14:formula1>
          <xm:sqref>M10 M13:M69</xm:sqref>
        </x14:dataValidation>
        <x14:dataValidation type="custom" allowBlank="1" showInputMessage="1" showErrorMessage="1" error="Recuerde que las acciones se generan bajo la medida de mitigar el riesgo" xr:uid="{00000000-0002-0000-0400-00000B000000}">
          <x14:formula1>
            <xm:f>IF(OR(AG10='Opciones Tratamiento'!$B$2,AG10='Opciones Tratamiento'!$B$3,AG10='Opciones Tratamiento'!$B$4),ISBLANK(AG10),ISTEXT(AG10))</xm:f>
          </x14:formula1>
          <xm:sqref>AH10:AK10 AH11:AH69 AK11 AN10:AN12 AQ10:AQ12 AT10:AT12 AW10:AW12 AZ10:AZ12</xm:sqref>
        </x14:dataValidation>
        <x14:dataValidation type="custom" allowBlank="1" showInputMessage="1" showErrorMessage="1" error="Recuerde que las acciones se generan bajo la medida de mitigar el riesgo" xr:uid="{00000000-0002-0000-0400-00000C000000}">
          <x14:formula1>
            <xm:f>IF(OR(AG13='Opciones Tratamiento'!$B$2,AG13='Opciones Tratamiento'!$B$3,AG13='Opciones Tratamiento'!$B$4),ISBLANK(AG13),ISTEXT(AG13))</xm:f>
          </x14:formula1>
          <xm:sqref>AI13:AI69</xm:sqref>
        </x14:dataValidation>
        <x14:dataValidation type="custom" allowBlank="1" showInputMessage="1" showErrorMessage="1" error="Recuerde que las acciones se generan bajo la medida de mitigar el riesgo" xr:uid="{00000000-0002-0000-0400-00000D000000}">
          <x14:formula1>
            <xm:f>IF(OR(AG13='Opciones Tratamiento'!$B$2,AG13='Opciones Tratamiento'!$B$3,AG13='Opciones Tratamiento'!$B$4),ISBLANK(AG13),ISTEXT(AG13))</xm:f>
          </x14:formula1>
          <xm:sqref>AJ13:AJ69</xm:sqref>
        </x14:dataValidation>
        <x14:dataValidation type="custom" allowBlank="1" showInputMessage="1" showErrorMessage="1" error="Recuerde que las acciones se generan bajo la medida de mitigar el riesgo" xr:uid="{00000000-0002-0000-0400-00000E000000}">
          <x14:formula1>
            <xm:f>IF(OR(AG13='Opciones Tratamiento'!$B$2,AG13='Opciones Tratamiento'!$B$3,AG13='Opciones Tratamiento'!$B$4),ISBLANK(AG13),ISTEXT(AG13))</xm:f>
          </x14:formula1>
          <xm:sqref>AK13:AK69 AN13:AN69 AQ13:AQ69</xm:sqref>
        </x14:dataValidation>
        <x14:dataValidation type="custom" allowBlank="1" showInputMessage="1" showErrorMessage="1" error="Recuerde que las acciones se generan bajo la medida de mitigar el riesgo" xr:uid="{00000000-0002-0000-0400-00000F000000}">
          <x14:formula1>
            <xm:f>IF(OR(AG10='Opciones Tratamiento'!$B$2,AG10='Opciones Tratamiento'!$B$3,AG10='Opciones Tratamiento'!$B$4),ISBLANK(AG10),ISTEXT(AG10))</xm:f>
          </x14:formula1>
          <xm:sqref>AL10:AL69</xm:sqref>
        </x14:dataValidation>
        <x14:dataValidation type="list" allowBlank="1" showInputMessage="1" showErrorMessage="1" xr:uid="{00000000-0002-0000-0400-000010000000}">
          <x14:formula1>
            <xm:f>'C:\Users\HOME\Downloads\[Formato Matriz de Riesgos 2021 (1).xlsx]Opciones Tratamiento'!#REF!</xm:f>
          </x14:formula1>
          <xm:sqref>AG65 AG17 AG23 AG29 AG35 AG41 AG47 AG53 AG59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40" zoomScaleNormal="40" workbookViewId="0">
      <selection activeCell="AB26" sqref="AB26:AC27"/>
    </sheetView>
  </sheetViews>
  <sheetFormatPr baseColWidth="10" defaultColWidth="11.44140625"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538" t="s">
        <v>149</v>
      </c>
      <c r="C2" s="538"/>
      <c r="D2" s="538"/>
      <c r="E2" s="538"/>
      <c r="F2" s="538"/>
      <c r="G2" s="538"/>
      <c r="H2" s="538"/>
      <c r="I2" s="538"/>
      <c r="J2" s="575" t="s">
        <v>2</v>
      </c>
      <c r="K2" s="575"/>
      <c r="L2" s="575"/>
      <c r="M2" s="575"/>
      <c r="N2" s="575"/>
      <c r="O2" s="575"/>
      <c r="P2" s="575"/>
      <c r="Q2" s="575"/>
      <c r="R2" s="575"/>
      <c r="S2" s="575"/>
      <c r="T2" s="575"/>
      <c r="U2" s="575"/>
      <c r="V2" s="575"/>
      <c r="W2" s="575"/>
      <c r="X2" s="575"/>
      <c r="Y2" s="575"/>
      <c r="Z2" s="575"/>
      <c r="AA2" s="575"/>
      <c r="AB2" s="575"/>
      <c r="AC2" s="575"/>
      <c r="AD2" s="575"/>
      <c r="AE2" s="575"/>
      <c r="AF2" s="575"/>
      <c r="AG2" s="575"/>
      <c r="AH2" s="575"/>
      <c r="AI2" s="575"/>
      <c r="AJ2" s="575"/>
      <c r="AK2" s="575"/>
      <c r="AL2" s="575"/>
      <c r="AM2" s="575"/>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538"/>
      <c r="C3" s="538"/>
      <c r="D3" s="538"/>
      <c r="E3" s="538"/>
      <c r="F3" s="538"/>
      <c r="G3" s="538"/>
      <c r="H3" s="538"/>
      <c r="I3" s="538"/>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75"/>
      <c r="AL3" s="575"/>
      <c r="AM3" s="575"/>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538"/>
      <c r="C4" s="538"/>
      <c r="D4" s="538"/>
      <c r="E4" s="538"/>
      <c r="F4" s="538"/>
      <c r="G4" s="538"/>
      <c r="H4" s="538"/>
      <c r="I4" s="538"/>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5"/>
      <c r="AI4" s="575"/>
      <c r="AJ4" s="575"/>
      <c r="AK4" s="575"/>
      <c r="AL4" s="575"/>
      <c r="AM4" s="575"/>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586" t="s">
        <v>4</v>
      </c>
      <c r="C6" s="586"/>
      <c r="D6" s="587"/>
      <c r="E6" s="576" t="s">
        <v>110</v>
      </c>
      <c r="F6" s="577"/>
      <c r="G6" s="577"/>
      <c r="H6" s="577"/>
      <c r="I6" s="578"/>
      <c r="J6" s="572" t="str">
        <f>IF(AND('Mapa final'!$K$10="Muy Alta",'Mapa final'!$O$10="Leve"),CONCATENATE("R",'Mapa final'!$A$10),"")</f>
        <v/>
      </c>
      <c r="K6" s="573"/>
      <c r="L6" s="573" t="str">
        <f>IF(AND('Mapa final'!$K$16="Muy Alta",'Mapa final'!$O$16="Leve"),CONCATENATE("R",'Mapa final'!$A$16),"")</f>
        <v/>
      </c>
      <c r="M6" s="573"/>
      <c r="N6" s="573" t="str">
        <f>IF(AND('Mapa final'!$K$22="Muy Alta",'Mapa final'!$O$22="Leve"),CONCATENATE("R",'Mapa final'!$A$22),"")</f>
        <v/>
      </c>
      <c r="O6" s="574"/>
      <c r="P6" s="572" t="str">
        <f>IF(AND('Mapa final'!$K$10="Muy Alta",'Mapa final'!$O$10="Menor"),CONCATENATE("R",'Mapa final'!$A$10),"")</f>
        <v/>
      </c>
      <c r="Q6" s="573"/>
      <c r="R6" s="573" t="str">
        <f>IF(AND('Mapa final'!$K$16="Muy Alta",'Mapa final'!$O$16="Menor"),CONCATENATE("R",'Mapa final'!$A$16),"")</f>
        <v/>
      </c>
      <c r="S6" s="573"/>
      <c r="T6" s="573" t="str">
        <f>IF(AND('Mapa final'!$K$22="Muy Alta",'Mapa final'!$O$22="Menor"),CONCATENATE("R",'Mapa final'!$A$22),"")</f>
        <v/>
      </c>
      <c r="U6" s="574"/>
      <c r="V6" s="572" t="str">
        <f>IF(AND('Mapa final'!$K$10="Muy Alta",'Mapa final'!$O$10="Moderado"),CONCATENATE("R",'Mapa final'!$A$10),"")</f>
        <v/>
      </c>
      <c r="W6" s="573"/>
      <c r="X6" s="573" t="str">
        <f>IF(AND('Mapa final'!$K$16="Muy Alta",'Mapa final'!$O$16="Moderado"),CONCATENATE("R",'Mapa final'!$A$16),"")</f>
        <v/>
      </c>
      <c r="Y6" s="573"/>
      <c r="Z6" s="573" t="str">
        <f>IF(AND('Mapa final'!$K$22="Muy Alta",'Mapa final'!$O$22="Moderado"),CONCATENATE("R",'Mapa final'!$A$22),"")</f>
        <v/>
      </c>
      <c r="AA6" s="574"/>
      <c r="AB6" s="572" t="str">
        <f>IF(AND('Mapa final'!$K$10="Muy Alta",'Mapa final'!$O$10="Mayor"),CONCATENATE("R",'Mapa final'!$A$10),"")</f>
        <v/>
      </c>
      <c r="AC6" s="573"/>
      <c r="AD6" s="573" t="str">
        <f>IF(AND('Mapa final'!$K$16="Muy Alta",'Mapa final'!$O$16="Mayor"),CONCATENATE("R",'Mapa final'!$A$16),"")</f>
        <v/>
      </c>
      <c r="AE6" s="573"/>
      <c r="AF6" s="573" t="str">
        <f>IF(AND('Mapa final'!$K$22="Muy Alta",'Mapa final'!$O$22="Mayor"),CONCATENATE("R",'Mapa final'!$A$22),"")</f>
        <v/>
      </c>
      <c r="AG6" s="574"/>
      <c r="AH6" s="563" t="str">
        <f>IF(AND('Mapa final'!$K$10="Muy Alta",'Mapa final'!$O$10="Catastrófico"),CONCATENATE("R",'Mapa final'!$A$10),"")</f>
        <v/>
      </c>
      <c r="AI6" s="564"/>
      <c r="AJ6" s="564" t="str">
        <f>IF(AND('Mapa final'!$K$16="Muy Alta",'Mapa final'!$O$16="Catastrófico"),CONCATENATE("R",'Mapa final'!$A$16),"")</f>
        <v/>
      </c>
      <c r="AK6" s="564"/>
      <c r="AL6" s="564" t="str">
        <f>IF(AND('Mapa final'!$K$22="Muy Alta",'Mapa final'!$O$22="Catastrófico"),CONCATENATE("R",'Mapa final'!$A$22),"")</f>
        <v/>
      </c>
      <c r="AM6" s="565"/>
      <c r="AO6" s="588" t="s">
        <v>77</v>
      </c>
      <c r="AP6" s="589"/>
      <c r="AQ6" s="589"/>
      <c r="AR6" s="589"/>
      <c r="AS6" s="589"/>
      <c r="AT6" s="590"/>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586"/>
      <c r="C7" s="586"/>
      <c r="D7" s="587"/>
      <c r="E7" s="579"/>
      <c r="F7" s="580"/>
      <c r="G7" s="580"/>
      <c r="H7" s="580"/>
      <c r="I7" s="581"/>
      <c r="J7" s="566"/>
      <c r="K7" s="567"/>
      <c r="L7" s="567"/>
      <c r="M7" s="567"/>
      <c r="N7" s="567"/>
      <c r="O7" s="568"/>
      <c r="P7" s="566"/>
      <c r="Q7" s="567"/>
      <c r="R7" s="567"/>
      <c r="S7" s="567"/>
      <c r="T7" s="567"/>
      <c r="U7" s="568"/>
      <c r="V7" s="566"/>
      <c r="W7" s="567"/>
      <c r="X7" s="567"/>
      <c r="Y7" s="567"/>
      <c r="Z7" s="567"/>
      <c r="AA7" s="568"/>
      <c r="AB7" s="566"/>
      <c r="AC7" s="567"/>
      <c r="AD7" s="567"/>
      <c r="AE7" s="567"/>
      <c r="AF7" s="567"/>
      <c r="AG7" s="568"/>
      <c r="AH7" s="557"/>
      <c r="AI7" s="558"/>
      <c r="AJ7" s="558"/>
      <c r="AK7" s="558"/>
      <c r="AL7" s="558"/>
      <c r="AM7" s="559"/>
      <c r="AN7" s="67"/>
      <c r="AO7" s="591"/>
      <c r="AP7" s="592"/>
      <c r="AQ7" s="592"/>
      <c r="AR7" s="592"/>
      <c r="AS7" s="592"/>
      <c r="AT7" s="593"/>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586"/>
      <c r="C8" s="586"/>
      <c r="D8" s="587"/>
      <c r="E8" s="579"/>
      <c r="F8" s="580"/>
      <c r="G8" s="580"/>
      <c r="H8" s="580"/>
      <c r="I8" s="581"/>
      <c r="J8" s="566" t="str">
        <f>IF(AND('Mapa final'!$K$28="Muy Alta",'Mapa final'!$O$28="Leve"),CONCATENATE("R",'Mapa final'!$A$28),"")</f>
        <v/>
      </c>
      <c r="K8" s="567"/>
      <c r="L8" s="567" t="str">
        <f>IF(AND('Mapa final'!$K$34="Muy Alta",'Mapa final'!$O$34="Leve"),CONCATENATE("R",'Mapa final'!$A$34),"")</f>
        <v/>
      </c>
      <c r="M8" s="567"/>
      <c r="N8" s="567" t="str">
        <f>IF(AND('Mapa final'!$K$40="Muy Alta",'Mapa final'!$O$40="Leve"),CONCATENATE("R",'Mapa final'!$A$40),"")</f>
        <v/>
      </c>
      <c r="O8" s="568"/>
      <c r="P8" s="566" t="str">
        <f>IF(AND('Mapa final'!$K$28="Muy Alta",'Mapa final'!$O$28="Menor"),CONCATENATE("R",'Mapa final'!$A$28),"")</f>
        <v/>
      </c>
      <c r="Q8" s="567"/>
      <c r="R8" s="567" t="str">
        <f>IF(AND('Mapa final'!$K$34="Muy Alta",'Mapa final'!$O$34="Menor"),CONCATENATE("R",'Mapa final'!$A$34),"")</f>
        <v/>
      </c>
      <c r="S8" s="567"/>
      <c r="T8" s="567" t="str">
        <f>IF(AND('Mapa final'!$K$40="Muy Alta",'Mapa final'!$O$40="Menor"),CONCATENATE("R",'Mapa final'!$A$40),"")</f>
        <v/>
      </c>
      <c r="U8" s="568"/>
      <c r="V8" s="566" t="str">
        <f>IF(AND('Mapa final'!$K$28="Muy Alta",'Mapa final'!$O$28="Moderado"),CONCATENATE("R",'Mapa final'!$A$28),"")</f>
        <v/>
      </c>
      <c r="W8" s="567"/>
      <c r="X8" s="567" t="str">
        <f>IF(AND('Mapa final'!$K$34="Muy Alta",'Mapa final'!$O$34="Moderado"),CONCATENATE("R",'Mapa final'!$A$34),"")</f>
        <v/>
      </c>
      <c r="Y8" s="567"/>
      <c r="Z8" s="567" t="str">
        <f>IF(AND('Mapa final'!$K$40="Muy Alta",'Mapa final'!$O$40="Moderado"),CONCATENATE("R",'Mapa final'!$A$40),"")</f>
        <v/>
      </c>
      <c r="AA8" s="568"/>
      <c r="AB8" s="566" t="str">
        <f>IF(AND('Mapa final'!$K$28="Muy Alta",'Mapa final'!$O$28="Mayor"),CONCATENATE("R",'Mapa final'!$A$28),"")</f>
        <v/>
      </c>
      <c r="AC8" s="567"/>
      <c r="AD8" s="567" t="str">
        <f>IF(AND('Mapa final'!$K$34="Muy Alta",'Mapa final'!$O$34="Mayor"),CONCATENATE("R",'Mapa final'!$A$34),"")</f>
        <v/>
      </c>
      <c r="AE8" s="567"/>
      <c r="AF8" s="567" t="str">
        <f>IF(AND('Mapa final'!$K$40="Muy Alta",'Mapa final'!$O$40="Mayor"),CONCATENATE("R",'Mapa final'!$A$40),"")</f>
        <v/>
      </c>
      <c r="AG8" s="568"/>
      <c r="AH8" s="557" t="str">
        <f>IF(AND('Mapa final'!$K$28="Muy Alta",'Mapa final'!$O$28="Catastrófico"),CONCATENATE("R",'Mapa final'!$A$28),"")</f>
        <v/>
      </c>
      <c r="AI8" s="558"/>
      <c r="AJ8" s="558" t="str">
        <f>IF(AND('Mapa final'!$K$34="Muy Alta",'Mapa final'!$O$34="Catastrófico"),CONCATENATE("R",'Mapa final'!$A$34),"")</f>
        <v/>
      </c>
      <c r="AK8" s="558"/>
      <c r="AL8" s="558" t="str">
        <f>IF(AND('Mapa final'!$K$40="Muy Alta",'Mapa final'!$O$40="Catastrófico"),CONCATENATE("R",'Mapa final'!$A$40),"")</f>
        <v/>
      </c>
      <c r="AM8" s="559"/>
      <c r="AN8" s="67"/>
      <c r="AO8" s="591"/>
      <c r="AP8" s="592"/>
      <c r="AQ8" s="592"/>
      <c r="AR8" s="592"/>
      <c r="AS8" s="592"/>
      <c r="AT8" s="593"/>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586"/>
      <c r="C9" s="586"/>
      <c r="D9" s="587"/>
      <c r="E9" s="579"/>
      <c r="F9" s="580"/>
      <c r="G9" s="580"/>
      <c r="H9" s="580"/>
      <c r="I9" s="581"/>
      <c r="J9" s="566"/>
      <c r="K9" s="567"/>
      <c r="L9" s="567"/>
      <c r="M9" s="567"/>
      <c r="N9" s="567"/>
      <c r="O9" s="568"/>
      <c r="P9" s="566"/>
      <c r="Q9" s="567"/>
      <c r="R9" s="567"/>
      <c r="S9" s="567"/>
      <c r="T9" s="567"/>
      <c r="U9" s="568"/>
      <c r="V9" s="566"/>
      <c r="W9" s="567"/>
      <c r="X9" s="567"/>
      <c r="Y9" s="567"/>
      <c r="Z9" s="567"/>
      <c r="AA9" s="568"/>
      <c r="AB9" s="566"/>
      <c r="AC9" s="567"/>
      <c r="AD9" s="567"/>
      <c r="AE9" s="567"/>
      <c r="AF9" s="567"/>
      <c r="AG9" s="568"/>
      <c r="AH9" s="557"/>
      <c r="AI9" s="558"/>
      <c r="AJ9" s="558"/>
      <c r="AK9" s="558"/>
      <c r="AL9" s="558"/>
      <c r="AM9" s="559"/>
      <c r="AN9" s="67"/>
      <c r="AO9" s="591"/>
      <c r="AP9" s="592"/>
      <c r="AQ9" s="592"/>
      <c r="AR9" s="592"/>
      <c r="AS9" s="592"/>
      <c r="AT9" s="593"/>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586"/>
      <c r="C10" s="586"/>
      <c r="D10" s="587"/>
      <c r="E10" s="579"/>
      <c r="F10" s="580"/>
      <c r="G10" s="580"/>
      <c r="H10" s="580"/>
      <c r="I10" s="581"/>
      <c r="J10" s="566" t="str">
        <f>IF(AND('Mapa final'!$K$46="Muy Alta",'Mapa final'!$O$46="Leve"),CONCATENATE("R",'Mapa final'!$A$46),"")</f>
        <v/>
      </c>
      <c r="K10" s="567"/>
      <c r="L10" s="567" t="str">
        <f>IF(AND('Mapa final'!$K$52="Muy Alta",'Mapa final'!$O$52="Leve"),CONCATENATE("R",'Mapa final'!$A$52),"")</f>
        <v/>
      </c>
      <c r="M10" s="567"/>
      <c r="N10" s="567" t="str">
        <f>IF(AND('Mapa final'!$K$58="Muy Alta",'Mapa final'!$O$58="Leve"),CONCATENATE("R",'Mapa final'!$A$58),"")</f>
        <v/>
      </c>
      <c r="O10" s="568"/>
      <c r="P10" s="566" t="str">
        <f>IF(AND('Mapa final'!$K$46="Muy Alta",'Mapa final'!$O$46="Menor"),CONCATENATE("R",'Mapa final'!$A$46),"")</f>
        <v/>
      </c>
      <c r="Q10" s="567"/>
      <c r="R10" s="567" t="str">
        <f>IF(AND('Mapa final'!$K$52="Muy Alta",'Mapa final'!$O$52="Menor"),CONCATENATE("R",'Mapa final'!$A$52),"")</f>
        <v/>
      </c>
      <c r="S10" s="567"/>
      <c r="T10" s="567" t="str">
        <f>IF(AND('Mapa final'!$K$58="Muy Alta",'Mapa final'!$O$58="Menor"),CONCATENATE("R",'Mapa final'!$A$58),"")</f>
        <v/>
      </c>
      <c r="U10" s="568"/>
      <c r="V10" s="566" t="str">
        <f>IF(AND('Mapa final'!$K$46="Muy Alta",'Mapa final'!$O$46="Moderado"),CONCATENATE("R",'Mapa final'!$A$46),"")</f>
        <v/>
      </c>
      <c r="W10" s="567"/>
      <c r="X10" s="567" t="str">
        <f>IF(AND('Mapa final'!$K$52="Muy Alta",'Mapa final'!$O$52="Moderado"),CONCATENATE("R",'Mapa final'!$A$52),"")</f>
        <v/>
      </c>
      <c r="Y10" s="567"/>
      <c r="Z10" s="567" t="str">
        <f>IF(AND('Mapa final'!$K$58="Muy Alta",'Mapa final'!$O$58="Moderado"),CONCATENATE("R",'Mapa final'!$A$58),"")</f>
        <v/>
      </c>
      <c r="AA10" s="568"/>
      <c r="AB10" s="566" t="str">
        <f>IF(AND('Mapa final'!$K$46="Muy Alta",'Mapa final'!$O$46="Mayor"),CONCATENATE("R",'Mapa final'!$A$46),"")</f>
        <v/>
      </c>
      <c r="AC10" s="567"/>
      <c r="AD10" s="567" t="str">
        <f>IF(AND('Mapa final'!$K$52="Muy Alta",'Mapa final'!$O$52="Mayor"),CONCATENATE("R",'Mapa final'!$A$52),"")</f>
        <v/>
      </c>
      <c r="AE10" s="567"/>
      <c r="AF10" s="567" t="str">
        <f>IF(AND('Mapa final'!$K$58="Muy Alta",'Mapa final'!$O$58="Mayor"),CONCATENATE("R",'Mapa final'!$A$58),"")</f>
        <v/>
      </c>
      <c r="AG10" s="568"/>
      <c r="AH10" s="557" t="str">
        <f>IF(AND('Mapa final'!$K$46="Muy Alta",'Mapa final'!$O$46="Catastrófico"),CONCATENATE("R",'Mapa final'!$A$46),"")</f>
        <v/>
      </c>
      <c r="AI10" s="558"/>
      <c r="AJ10" s="558" t="str">
        <f>IF(AND('Mapa final'!$K$52="Muy Alta",'Mapa final'!$O$52="Catastrófico"),CONCATENATE("R",'Mapa final'!$A$52),"")</f>
        <v/>
      </c>
      <c r="AK10" s="558"/>
      <c r="AL10" s="558" t="str">
        <f>IF(AND('Mapa final'!$K$58="Muy Alta",'Mapa final'!$O$58="Catastrófico"),CONCATENATE("R",'Mapa final'!$A$58),"")</f>
        <v/>
      </c>
      <c r="AM10" s="559"/>
      <c r="AN10" s="67"/>
      <c r="AO10" s="591"/>
      <c r="AP10" s="592"/>
      <c r="AQ10" s="592"/>
      <c r="AR10" s="592"/>
      <c r="AS10" s="592"/>
      <c r="AT10" s="593"/>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586"/>
      <c r="C11" s="586"/>
      <c r="D11" s="587"/>
      <c r="E11" s="579"/>
      <c r="F11" s="580"/>
      <c r="G11" s="580"/>
      <c r="H11" s="580"/>
      <c r="I11" s="581"/>
      <c r="J11" s="566"/>
      <c r="K11" s="567"/>
      <c r="L11" s="567"/>
      <c r="M11" s="567"/>
      <c r="N11" s="567"/>
      <c r="O11" s="568"/>
      <c r="P11" s="566"/>
      <c r="Q11" s="567"/>
      <c r="R11" s="567"/>
      <c r="S11" s="567"/>
      <c r="T11" s="567"/>
      <c r="U11" s="568"/>
      <c r="V11" s="566"/>
      <c r="W11" s="567"/>
      <c r="X11" s="567"/>
      <c r="Y11" s="567"/>
      <c r="Z11" s="567"/>
      <c r="AA11" s="568"/>
      <c r="AB11" s="566"/>
      <c r="AC11" s="567"/>
      <c r="AD11" s="567"/>
      <c r="AE11" s="567"/>
      <c r="AF11" s="567"/>
      <c r="AG11" s="568"/>
      <c r="AH11" s="557"/>
      <c r="AI11" s="558"/>
      <c r="AJ11" s="558"/>
      <c r="AK11" s="558"/>
      <c r="AL11" s="558"/>
      <c r="AM11" s="559"/>
      <c r="AN11" s="67"/>
      <c r="AO11" s="591"/>
      <c r="AP11" s="592"/>
      <c r="AQ11" s="592"/>
      <c r="AR11" s="592"/>
      <c r="AS11" s="592"/>
      <c r="AT11" s="593"/>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586"/>
      <c r="C12" s="586"/>
      <c r="D12" s="587"/>
      <c r="E12" s="579"/>
      <c r="F12" s="580"/>
      <c r="G12" s="580"/>
      <c r="H12" s="580"/>
      <c r="I12" s="581"/>
      <c r="J12" s="566" t="str">
        <f>IF(AND('Mapa final'!$K$64="Muy Alta",'Mapa final'!$O$64="Leve"),CONCATENATE("R",'Mapa final'!$A$64),"")</f>
        <v/>
      </c>
      <c r="K12" s="567"/>
      <c r="L12" s="567" t="str">
        <f>IF(AND('Mapa final'!$K$70="Muy Alta",'Mapa final'!$O$70="Leve"),CONCATENATE("R",'Mapa final'!$A$70),"")</f>
        <v/>
      </c>
      <c r="M12" s="567"/>
      <c r="N12" s="567" t="str">
        <f>IF(AND('Mapa final'!$K$76="Muy Alta",'Mapa final'!$O$76="Leve"),CONCATENATE("R",'Mapa final'!$A$76),"")</f>
        <v/>
      </c>
      <c r="O12" s="568"/>
      <c r="P12" s="566" t="str">
        <f>IF(AND('Mapa final'!$K$64="Muy Alta",'Mapa final'!$O$64="Menor"),CONCATENATE("R",'Mapa final'!$A$64),"")</f>
        <v/>
      </c>
      <c r="Q12" s="567"/>
      <c r="R12" s="567" t="str">
        <f>IF(AND('Mapa final'!$K$70="Muy Alta",'Mapa final'!$O$70="Menor"),CONCATENATE("R",'Mapa final'!$A$70),"")</f>
        <v/>
      </c>
      <c r="S12" s="567"/>
      <c r="T12" s="567" t="str">
        <f>IF(AND('Mapa final'!$K$76="Muy Alta",'Mapa final'!$O$76="Menor"),CONCATENATE("R",'Mapa final'!$A$76),"")</f>
        <v/>
      </c>
      <c r="U12" s="568"/>
      <c r="V12" s="566" t="str">
        <f>IF(AND('Mapa final'!$K$64="Muy Alta",'Mapa final'!$O$64="Moderado"),CONCATENATE("R",'Mapa final'!$A$64),"")</f>
        <v/>
      </c>
      <c r="W12" s="567"/>
      <c r="X12" s="567" t="str">
        <f>IF(AND('Mapa final'!$K$70="Muy Alta",'Mapa final'!$O$70="Moderado"),CONCATENATE("R",'Mapa final'!$A$70),"")</f>
        <v/>
      </c>
      <c r="Y12" s="567"/>
      <c r="Z12" s="567" t="str">
        <f>IF(AND('Mapa final'!$K$76="Muy Alta",'Mapa final'!$O$76="Moderado"),CONCATENATE("R",'Mapa final'!$A$76),"")</f>
        <v/>
      </c>
      <c r="AA12" s="568"/>
      <c r="AB12" s="566" t="str">
        <f>IF(AND('Mapa final'!$K$64="Muy Alta",'Mapa final'!$O$64="Mayor"),CONCATENATE("R",'Mapa final'!$A$64),"")</f>
        <v/>
      </c>
      <c r="AC12" s="567"/>
      <c r="AD12" s="567" t="str">
        <f>IF(AND('Mapa final'!$K$70="Muy Alta",'Mapa final'!$O$70="Mayor"),CONCATENATE("R",'Mapa final'!$A$70),"")</f>
        <v/>
      </c>
      <c r="AE12" s="567"/>
      <c r="AF12" s="567" t="str">
        <f>IF(AND('Mapa final'!$K$76="Muy Alta",'Mapa final'!$O$76="Mayor"),CONCATENATE("R",'Mapa final'!$A$76),"")</f>
        <v/>
      </c>
      <c r="AG12" s="568"/>
      <c r="AH12" s="557" t="str">
        <f>IF(AND('Mapa final'!$K$64="Muy Alta",'Mapa final'!$O$64="Catastrófico"),CONCATENATE("R",'Mapa final'!$A$64),"")</f>
        <v/>
      </c>
      <c r="AI12" s="558"/>
      <c r="AJ12" s="558" t="str">
        <f>IF(AND('Mapa final'!$K$70="Muy Alta",'Mapa final'!$O$70="Catastrófico"),CONCATENATE("R",'Mapa final'!$A$70),"")</f>
        <v/>
      </c>
      <c r="AK12" s="558"/>
      <c r="AL12" s="558" t="str">
        <f>IF(AND('Mapa final'!$K$76="Muy Alta",'Mapa final'!$O$76="Catastrófico"),CONCATENATE("R",'Mapa final'!$A$76),"")</f>
        <v/>
      </c>
      <c r="AM12" s="559"/>
      <c r="AN12" s="67"/>
      <c r="AO12" s="591"/>
      <c r="AP12" s="592"/>
      <c r="AQ12" s="592"/>
      <c r="AR12" s="592"/>
      <c r="AS12" s="592"/>
      <c r="AT12" s="593"/>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586"/>
      <c r="C13" s="586"/>
      <c r="D13" s="587"/>
      <c r="E13" s="582"/>
      <c r="F13" s="583"/>
      <c r="G13" s="583"/>
      <c r="H13" s="583"/>
      <c r="I13" s="584"/>
      <c r="J13" s="566"/>
      <c r="K13" s="567"/>
      <c r="L13" s="567"/>
      <c r="M13" s="567"/>
      <c r="N13" s="567"/>
      <c r="O13" s="568"/>
      <c r="P13" s="566"/>
      <c r="Q13" s="567"/>
      <c r="R13" s="567"/>
      <c r="S13" s="567"/>
      <c r="T13" s="567"/>
      <c r="U13" s="568"/>
      <c r="V13" s="566"/>
      <c r="W13" s="567"/>
      <c r="X13" s="567"/>
      <c r="Y13" s="567"/>
      <c r="Z13" s="567"/>
      <c r="AA13" s="568"/>
      <c r="AB13" s="566"/>
      <c r="AC13" s="567"/>
      <c r="AD13" s="567"/>
      <c r="AE13" s="567"/>
      <c r="AF13" s="567"/>
      <c r="AG13" s="568"/>
      <c r="AH13" s="560"/>
      <c r="AI13" s="561"/>
      <c r="AJ13" s="561"/>
      <c r="AK13" s="561"/>
      <c r="AL13" s="561"/>
      <c r="AM13" s="562"/>
      <c r="AN13" s="67"/>
      <c r="AO13" s="594"/>
      <c r="AP13" s="595"/>
      <c r="AQ13" s="595"/>
      <c r="AR13" s="595"/>
      <c r="AS13" s="595"/>
      <c r="AT13" s="596"/>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586"/>
      <c r="C14" s="586"/>
      <c r="D14" s="587"/>
      <c r="E14" s="576" t="s">
        <v>109</v>
      </c>
      <c r="F14" s="577"/>
      <c r="G14" s="577"/>
      <c r="H14" s="577"/>
      <c r="I14" s="577"/>
      <c r="J14" s="554" t="str">
        <f>IF(AND('Mapa final'!$K$10="Alta",'Mapa final'!$O$10="Leve"),CONCATENATE("R",'Mapa final'!$A$10),"")</f>
        <v/>
      </c>
      <c r="K14" s="555"/>
      <c r="L14" s="555" t="str">
        <f>IF(AND('Mapa final'!$K$16="Alta",'Mapa final'!$O$16="Leve"),CONCATENATE("R",'Mapa final'!$A$16),"")</f>
        <v/>
      </c>
      <c r="M14" s="555"/>
      <c r="N14" s="555" t="str">
        <f>IF(AND('Mapa final'!$K$22="Alta",'Mapa final'!$O$22="Leve"),CONCATENATE("R",'Mapa final'!$A$22),"")</f>
        <v/>
      </c>
      <c r="O14" s="556"/>
      <c r="P14" s="554" t="str">
        <f>IF(AND('Mapa final'!$K$10="Alta",'Mapa final'!$O$10="Menor"),CONCATENATE("R",'Mapa final'!$A$10),"")</f>
        <v/>
      </c>
      <c r="Q14" s="555"/>
      <c r="R14" s="555" t="str">
        <f>IF(AND('Mapa final'!$K$16="Alta",'Mapa final'!$O$16="Menor"),CONCATENATE("R",'Mapa final'!$A$16),"")</f>
        <v/>
      </c>
      <c r="S14" s="555"/>
      <c r="T14" s="555" t="str">
        <f>IF(AND('Mapa final'!$K$22="Alta",'Mapa final'!$O$22="Menor"),CONCATENATE("R",'Mapa final'!$A$22),"")</f>
        <v/>
      </c>
      <c r="U14" s="556"/>
      <c r="V14" s="572" t="str">
        <f>IF(AND('Mapa final'!$K$10="Alta",'Mapa final'!$O$10="Moderado"),CONCATENATE("R",'Mapa final'!$A$10),"")</f>
        <v/>
      </c>
      <c r="W14" s="573"/>
      <c r="X14" s="573" t="str">
        <f>IF(AND('Mapa final'!$K$16="Alta",'Mapa final'!$O$16="Moderado"),CONCATENATE("R",'Mapa final'!$A$16),"")</f>
        <v/>
      </c>
      <c r="Y14" s="573"/>
      <c r="Z14" s="573" t="str">
        <f>IF(AND('Mapa final'!$K$22="Alta",'Mapa final'!$O$22="Moderado"),CONCATENATE("R",'Mapa final'!$A$22),"")</f>
        <v/>
      </c>
      <c r="AA14" s="574"/>
      <c r="AB14" s="572" t="str">
        <f>IF(AND('Mapa final'!$K$10="Alta",'Mapa final'!$O$10="Mayor"),CONCATENATE("R",'Mapa final'!$A$10),"")</f>
        <v/>
      </c>
      <c r="AC14" s="573"/>
      <c r="AD14" s="573" t="str">
        <f>IF(AND('Mapa final'!$K$16="Alta",'Mapa final'!$O$16="Mayor"),CONCATENATE("R",'Mapa final'!$A$16),"")</f>
        <v/>
      </c>
      <c r="AE14" s="573"/>
      <c r="AF14" s="573" t="str">
        <f>IF(AND('Mapa final'!$K$22="Alta",'Mapa final'!$O$22="Mayor"),CONCATENATE("R",'Mapa final'!$A$22),"")</f>
        <v/>
      </c>
      <c r="AG14" s="574"/>
      <c r="AH14" s="563" t="str">
        <f>IF(AND('Mapa final'!$K$10="Alta",'Mapa final'!$O$10="Catastrófico"),CONCATENATE("R",'Mapa final'!$A$10),"")</f>
        <v/>
      </c>
      <c r="AI14" s="564"/>
      <c r="AJ14" s="564" t="str">
        <f>IF(AND('Mapa final'!$K$16="Alta",'Mapa final'!$O$16="Catastrófico"),CONCATENATE("R",'Mapa final'!$A$16),"")</f>
        <v/>
      </c>
      <c r="AK14" s="564"/>
      <c r="AL14" s="564" t="str">
        <f>IF(AND('Mapa final'!$K$22="Alta",'Mapa final'!$O$22="Catastrófico"),CONCATENATE("R",'Mapa final'!$A$22),"")</f>
        <v/>
      </c>
      <c r="AM14" s="565"/>
      <c r="AN14" s="67"/>
      <c r="AO14" s="597" t="s">
        <v>78</v>
      </c>
      <c r="AP14" s="598"/>
      <c r="AQ14" s="598"/>
      <c r="AR14" s="598"/>
      <c r="AS14" s="598"/>
      <c r="AT14" s="599"/>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586"/>
      <c r="C15" s="586"/>
      <c r="D15" s="587"/>
      <c r="E15" s="579"/>
      <c r="F15" s="580"/>
      <c r="G15" s="580"/>
      <c r="H15" s="580"/>
      <c r="I15" s="580"/>
      <c r="J15" s="548"/>
      <c r="K15" s="549"/>
      <c r="L15" s="549"/>
      <c r="M15" s="549"/>
      <c r="N15" s="549"/>
      <c r="O15" s="550"/>
      <c r="P15" s="548"/>
      <c r="Q15" s="549"/>
      <c r="R15" s="549"/>
      <c r="S15" s="549"/>
      <c r="T15" s="549"/>
      <c r="U15" s="550"/>
      <c r="V15" s="566"/>
      <c r="W15" s="567"/>
      <c r="X15" s="567"/>
      <c r="Y15" s="567"/>
      <c r="Z15" s="567"/>
      <c r="AA15" s="568"/>
      <c r="AB15" s="566"/>
      <c r="AC15" s="567"/>
      <c r="AD15" s="567"/>
      <c r="AE15" s="567"/>
      <c r="AF15" s="567"/>
      <c r="AG15" s="568"/>
      <c r="AH15" s="557"/>
      <c r="AI15" s="558"/>
      <c r="AJ15" s="558"/>
      <c r="AK15" s="558"/>
      <c r="AL15" s="558"/>
      <c r="AM15" s="559"/>
      <c r="AN15" s="67"/>
      <c r="AO15" s="600"/>
      <c r="AP15" s="601"/>
      <c r="AQ15" s="601"/>
      <c r="AR15" s="601"/>
      <c r="AS15" s="601"/>
      <c r="AT15" s="602"/>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586"/>
      <c r="C16" s="586"/>
      <c r="D16" s="587"/>
      <c r="E16" s="579"/>
      <c r="F16" s="580"/>
      <c r="G16" s="580"/>
      <c r="H16" s="580"/>
      <c r="I16" s="580"/>
      <c r="J16" s="548" t="str">
        <f>IF(AND('Mapa final'!$K$28="Alta",'Mapa final'!$O$28="Leve"),CONCATENATE("R",'Mapa final'!$A$28),"")</f>
        <v/>
      </c>
      <c r="K16" s="549"/>
      <c r="L16" s="549" t="str">
        <f>IF(AND('Mapa final'!$K$34="Alta",'Mapa final'!$O$34="Leve"),CONCATENATE("R",'Mapa final'!$A$34),"")</f>
        <v/>
      </c>
      <c r="M16" s="549"/>
      <c r="N16" s="549" t="str">
        <f>IF(AND('Mapa final'!$K$40="Alta",'Mapa final'!$O$40="Leve"),CONCATENATE("R",'Mapa final'!$A$40),"")</f>
        <v/>
      </c>
      <c r="O16" s="550"/>
      <c r="P16" s="548" t="str">
        <f>IF(AND('Mapa final'!$K$28="Alta",'Mapa final'!$O$28="Menor"),CONCATENATE("R",'Mapa final'!$A$28),"")</f>
        <v/>
      </c>
      <c r="Q16" s="549"/>
      <c r="R16" s="549" t="str">
        <f>IF(AND('Mapa final'!$K$34="Alta",'Mapa final'!$O$34="Menor"),CONCATENATE("R",'Mapa final'!$A$34),"")</f>
        <v/>
      </c>
      <c r="S16" s="549"/>
      <c r="T16" s="549" t="str">
        <f>IF(AND('Mapa final'!$K$40="Alta",'Mapa final'!$O$40="Menor"),CONCATENATE("R",'Mapa final'!$A$40),"")</f>
        <v/>
      </c>
      <c r="U16" s="550"/>
      <c r="V16" s="566" t="str">
        <f>IF(AND('Mapa final'!$K$28="Alta",'Mapa final'!$O$28="Moderado"),CONCATENATE("R",'Mapa final'!$A$28),"")</f>
        <v/>
      </c>
      <c r="W16" s="567"/>
      <c r="X16" s="567" t="str">
        <f>IF(AND('Mapa final'!$K$34="Alta",'Mapa final'!$O$34="Moderado"),CONCATENATE("R",'Mapa final'!$A$34),"")</f>
        <v/>
      </c>
      <c r="Y16" s="567"/>
      <c r="Z16" s="567" t="str">
        <f>IF(AND('Mapa final'!$K$40="Alta",'Mapa final'!$O$40="Moderado"),CONCATENATE("R",'Mapa final'!$A$40),"")</f>
        <v/>
      </c>
      <c r="AA16" s="568"/>
      <c r="AB16" s="566" t="str">
        <f>IF(AND('Mapa final'!$K$28="Alta",'Mapa final'!$O$28="Mayor"),CONCATENATE("R",'Mapa final'!$A$28),"")</f>
        <v/>
      </c>
      <c r="AC16" s="567"/>
      <c r="AD16" s="567" t="str">
        <f>IF(AND('Mapa final'!$K$34="Alta",'Mapa final'!$O$34="Mayor"),CONCATENATE("R",'Mapa final'!$A$34),"")</f>
        <v/>
      </c>
      <c r="AE16" s="567"/>
      <c r="AF16" s="567" t="str">
        <f>IF(AND('Mapa final'!$K$40="Alta",'Mapa final'!$O$40="Mayor"),CONCATENATE("R",'Mapa final'!$A$40),"")</f>
        <v/>
      </c>
      <c r="AG16" s="568"/>
      <c r="AH16" s="557" t="str">
        <f>IF(AND('Mapa final'!$K$28="Alta",'Mapa final'!$O$28="Catastrófico"),CONCATENATE("R",'Mapa final'!$A$28),"")</f>
        <v/>
      </c>
      <c r="AI16" s="558"/>
      <c r="AJ16" s="558" t="str">
        <f>IF(AND('Mapa final'!$K$34="Alta",'Mapa final'!$O$34="Catastrófico"),CONCATENATE("R",'Mapa final'!$A$34),"")</f>
        <v/>
      </c>
      <c r="AK16" s="558"/>
      <c r="AL16" s="558" t="str">
        <f>IF(AND('Mapa final'!$K$40="Alta",'Mapa final'!$O$40="Catastrófico"),CONCATENATE("R",'Mapa final'!$A$40),"")</f>
        <v/>
      </c>
      <c r="AM16" s="559"/>
      <c r="AN16" s="67"/>
      <c r="AO16" s="600"/>
      <c r="AP16" s="601"/>
      <c r="AQ16" s="601"/>
      <c r="AR16" s="601"/>
      <c r="AS16" s="601"/>
      <c r="AT16" s="602"/>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586"/>
      <c r="C17" s="586"/>
      <c r="D17" s="587"/>
      <c r="E17" s="579"/>
      <c r="F17" s="580"/>
      <c r="G17" s="580"/>
      <c r="H17" s="580"/>
      <c r="I17" s="580"/>
      <c r="J17" s="548"/>
      <c r="K17" s="549"/>
      <c r="L17" s="549"/>
      <c r="M17" s="549"/>
      <c r="N17" s="549"/>
      <c r="O17" s="550"/>
      <c r="P17" s="548"/>
      <c r="Q17" s="549"/>
      <c r="R17" s="549"/>
      <c r="S17" s="549"/>
      <c r="T17" s="549"/>
      <c r="U17" s="550"/>
      <c r="V17" s="566"/>
      <c r="W17" s="567"/>
      <c r="X17" s="567"/>
      <c r="Y17" s="567"/>
      <c r="Z17" s="567"/>
      <c r="AA17" s="568"/>
      <c r="AB17" s="566"/>
      <c r="AC17" s="567"/>
      <c r="AD17" s="567"/>
      <c r="AE17" s="567"/>
      <c r="AF17" s="567"/>
      <c r="AG17" s="568"/>
      <c r="AH17" s="557"/>
      <c r="AI17" s="558"/>
      <c r="AJ17" s="558"/>
      <c r="AK17" s="558"/>
      <c r="AL17" s="558"/>
      <c r="AM17" s="559"/>
      <c r="AN17" s="67"/>
      <c r="AO17" s="600"/>
      <c r="AP17" s="601"/>
      <c r="AQ17" s="601"/>
      <c r="AR17" s="601"/>
      <c r="AS17" s="601"/>
      <c r="AT17" s="602"/>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586"/>
      <c r="C18" s="586"/>
      <c r="D18" s="587"/>
      <c r="E18" s="579"/>
      <c r="F18" s="580"/>
      <c r="G18" s="580"/>
      <c r="H18" s="580"/>
      <c r="I18" s="580"/>
      <c r="J18" s="548" t="str">
        <f>IF(AND('Mapa final'!$K$46="Alta",'Mapa final'!$O$46="Leve"),CONCATENATE("R",'Mapa final'!$A$46),"")</f>
        <v/>
      </c>
      <c r="K18" s="549"/>
      <c r="L18" s="549" t="str">
        <f>IF(AND('Mapa final'!$K$52="Alta",'Mapa final'!$O$52="Leve"),CONCATENATE("R",'Mapa final'!$A$52),"")</f>
        <v/>
      </c>
      <c r="M18" s="549"/>
      <c r="N18" s="549" t="str">
        <f>IF(AND('Mapa final'!$K$58="Alta",'Mapa final'!$O$58="Leve"),CONCATENATE("R",'Mapa final'!$A$58),"")</f>
        <v/>
      </c>
      <c r="O18" s="550"/>
      <c r="P18" s="548" t="str">
        <f>IF(AND('Mapa final'!$K$46="Alta",'Mapa final'!$O$46="Menor"),CONCATENATE("R",'Mapa final'!$A$46),"")</f>
        <v/>
      </c>
      <c r="Q18" s="549"/>
      <c r="R18" s="549" t="str">
        <f>IF(AND('Mapa final'!$K$52="Alta",'Mapa final'!$O$52="Menor"),CONCATENATE("R",'Mapa final'!$A$52),"")</f>
        <v/>
      </c>
      <c r="S18" s="549"/>
      <c r="T18" s="549" t="str">
        <f>IF(AND('Mapa final'!$K$58="Alta",'Mapa final'!$O$58="Menor"),CONCATENATE("R",'Mapa final'!$A$58),"")</f>
        <v/>
      </c>
      <c r="U18" s="550"/>
      <c r="V18" s="566" t="str">
        <f>IF(AND('Mapa final'!$K$46="Alta",'Mapa final'!$O$46="Moderado"),CONCATENATE("R",'Mapa final'!$A$46),"")</f>
        <v/>
      </c>
      <c r="W18" s="567"/>
      <c r="X18" s="567" t="str">
        <f>IF(AND('Mapa final'!$K$52="Alta",'Mapa final'!$O$52="Moderado"),CONCATENATE("R",'Mapa final'!$A$52),"")</f>
        <v/>
      </c>
      <c r="Y18" s="567"/>
      <c r="Z18" s="567" t="str">
        <f>IF(AND('Mapa final'!$K$58="Alta",'Mapa final'!$O$58="Moderado"),CONCATENATE("R",'Mapa final'!$A$58),"")</f>
        <v/>
      </c>
      <c r="AA18" s="568"/>
      <c r="AB18" s="566" t="str">
        <f>IF(AND('Mapa final'!$K$46="Alta",'Mapa final'!$O$46="Mayor"),CONCATENATE("R",'Mapa final'!$A$46),"")</f>
        <v/>
      </c>
      <c r="AC18" s="567"/>
      <c r="AD18" s="567" t="str">
        <f>IF(AND('Mapa final'!$K$52="Alta",'Mapa final'!$O$52="Mayor"),CONCATENATE("R",'Mapa final'!$A$52),"")</f>
        <v/>
      </c>
      <c r="AE18" s="567"/>
      <c r="AF18" s="567" t="str">
        <f>IF(AND('Mapa final'!$K$58="Alta",'Mapa final'!$O$58="Mayor"),CONCATENATE("R",'Mapa final'!$A$58),"")</f>
        <v/>
      </c>
      <c r="AG18" s="568"/>
      <c r="AH18" s="557" t="str">
        <f>IF(AND('Mapa final'!$K$46="Alta",'Mapa final'!$O$46="Catastrófico"),CONCATENATE("R",'Mapa final'!$A$46),"")</f>
        <v/>
      </c>
      <c r="AI18" s="558"/>
      <c r="AJ18" s="558" t="str">
        <f>IF(AND('Mapa final'!$K$52="Alta",'Mapa final'!$O$52="Catastrófico"),CONCATENATE("R",'Mapa final'!$A$52),"")</f>
        <v/>
      </c>
      <c r="AK18" s="558"/>
      <c r="AL18" s="558" t="str">
        <f>IF(AND('Mapa final'!$K$58="Alta",'Mapa final'!$O$58="Catastrófico"),CONCATENATE("R",'Mapa final'!$A$58),"")</f>
        <v/>
      </c>
      <c r="AM18" s="559"/>
      <c r="AN18" s="67"/>
      <c r="AO18" s="600"/>
      <c r="AP18" s="601"/>
      <c r="AQ18" s="601"/>
      <c r="AR18" s="601"/>
      <c r="AS18" s="601"/>
      <c r="AT18" s="602"/>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586"/>
      <c r="C19" s="586"/>
      <c r="D19" s="587"/>
      <c r="E19" s="579"/>
      <c r="F19" s="580"/>
      <c r="G19" s="580"/>
      <c r="H19" s="580"/>
      <c r="I19" s="580"/>
      <c r="J19" s="548"/>
      <c r="K19" s="549"/>
      <c r="L19" s="549"/>
      <c r="M19" s="549"/>
      <c r="N19" s="549"/>
      <c r="O19" s="550"/>
      <c r="P19" s="548"/>
      <c r="Q19" s="549"/>
      <c r="R19" s="549"/>
      <c r="S19" s="549"/>
      <c r="T19" s="549"/>
      <c r="U19" s="550"/>
      <c r="V19" s="566"/>
      <c r="W19" s="567"/>
      <c r="X19" s="567"/>
      <c r="Y19" s="567"/>
      <c r="Z19" s="567"/>
      <c r="AA19" s="568"/>
      <c r="AB19" s="566"/>
      <c r="AC19" s="567"/>
      <c r="AD19" s="567"/>
      <c r="AE19" s="567"/>
      <c r="AF19" s="567"/>
      <c r="AG19" s="568"/>
      <c r="AH19" s="557"/>
      <c r="AI19" s="558"/>
      <c r="AJ19" s="558"/>
      <c r="AK19" s="558"/>
      <c r="AL19" s="558"/>
      <c r="AM19" s="559"/>
      <c r="AN19" s="67"/>
      <c r="AO19" s="600"/>
      <c r="AP19" s="601"/>
      <c r="AQ19" s="601"/>
      <c r="AR19" s="601"/>
      <c r="AS19" s="601"/>
      <c r="AT19" s="602"/>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586"/>
      <c r="C20" s="586"/>
      <c r="D20" s="587"/>
      <c r="E20" s="579"/>
      <c r="F20" s="580"/>
      <c r="G20" s="580"/>
      <c r="H20" s="580"/>
      <c r="I20" s="580"/>
      <c r="J20" s="548" t="str">
        <f>IF(AND('Mapa final'!$K$64="Alta",'Mapa final'!$O$64="Leve"),CONCATENATE("R",'Mapa final'!$A$64),"")</f>
        <v/>
      </c>
      <c r="K20" s="549"/>
      <c r="L20" s="549" t="str">
        <f>IF(AND('Mapa final'!$K$70="Alta",'Mapa final'!$O$70="Leve"),CONCATENATE("R",'Mapa final'!$A$70),"")</f>
        <v/>
      </c>
      <c r="M20" s="549"/>
      <c r="N20" s="549" t="str">
        <f>IF(AND('Mapa final'!$K$76="Alta",'Mapa final'!$O$76="Leve"),CONCATENATE("R",'Mapa final'!$A$76),"")</f>
        <v/>
      </c>
      <c r="O20" s="550"/>
      <c r="P20" s="548" t="str">
        <f>IF(AND('Mapa final'!$K$64="Alta",'Mapa final'!$O$64="Menor"),CONCATENATE("R",'Mapa final'!$A$64),"")</f>
        <v/>
      </c>
      <c r="Q20" s="549"/>
      <c r="R20" s="549" t="str">
        <f>IF(AND('Mapa final'!$K$70="Alta",'Mapa final'!$O$70="Menor"),CONCATENATE("R",'Mapa final'!$A$70),"")</f>
        <v/>
      </c>
      <c r="S20" s="549"/>
      <c r="T20" s="549" t="str">
        <f>IF(AND('Mapa final'!$K$76="Alta",'Mapa final'!$O$76="Menor"),CONCATENATE("R",'Mapa final'!$A$76),"")</f>
        <v/>
      </c>
      <c r="U20" s="550"/>
      <c r="V20" s="566" t="str">
        <f>IF(AND('Mapa final'!$K$64="Alta",'Mapa final'!$O$64="Moderado"),CONCATENATE("R",'Mapa final'!$A$64),"")</f>
        <v/>
      </c>
      <c r="W20" s="567"/>
      <c r="X20" s="567" t="str">
        <f>IF(AND('Mapa final'!$K$70="Alta",'Mapa final'!$O$70="Moderado"),CONCATENATE("R",'Mapa final'!$A$70),"")</f>
        <v/>
      </c>
      <c r="Y20" s="567"/>
      <c r="Z20" s="567" t="str">
        <f>IF(AND('Mapa final'!$K$76="Alta",'Mapa final'!$O$76="Moderado"),CONCATENATE("R",'Mapa final'!$A$76),"")</f>
        <v/>
      </c>
      <c r="AA20" s="568"/>
      <c r="AB20" s="566" t="str">
        <f>IF(AND('Mapa final'!$K$64="Alta",'Mapa final'!$O$64="Mayor"),CONCATENATE("R",'Mapa final'!$A$64),"")</f>
        <v/>
      </c>
      <c r="AC20" s="567"/>
      <c r="AD20" s="567" t="str">
        <f>IF(AND('Mapa final'!$K$70="Alta",'Mapa final'!$O$70="Mayor"),CONCATENATE("R",'Mapa final'!$A$70),"")</f>
        <v/>
      </c>
      <c r="AE20" s="567"/>
      <c r="AF20" s="567" t="str">
        <f>IF(AND('Mapa final'!$K$76="Alta",'Mapa final'!$O$76="Mayor"),CONCATENATE("R",'Mapa final'!$A$76),"")</f>
        <v/>
      </c>
      <c r="AG20" s="568"/>
      <c r="AH20" s="557" t="str">
        <f>IF(AND('Mapa final'!$K$64="Alta",'Mapa final'!$O$64="Catastrófico"),CONCATENATE("R",'Mapa final'!$A$64),"")</f>
        <v/>
      </c>
      <c r="AI20" s="558"/>
      <c r="AJ20" s="558" t="str">
        <f>IF(AND('Mapa final'!$K$70="Alta",'Mapa final'!$O$70="Catastrófico"),CONCATENATE("R",'Mapa final'!$A$70),"")</f>
        <v/>
      </c>
      <c r="AK20" s="558"/>
      <c r="AL20" s="558" t="str">
        <f>IF(AND('Mapa final'!$K$76="Alta",'Mapa final'!$O$76="Catastrófico"),CONCATENATE("R",'Mapa final'!$A$76),"")</f>
        <v/>
      </c>
      <c r="AM20" s="559"/>
      <c r="AN20" s="67"/>
      <c r="AO20" s="600"/>
      <c r="AP20" s="601"/>
      <c r="AQ20" s="601"/>
      <c r="AR20" s="601"/>
      <c r="AS20" s="601"/>
      <c r="AT20" s="602"/>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586"/>
      <c r="C21" s="586"/>
      <c r="D21" s="587"/>
      <c r="E21" s="582"/>
      <c r="F21" s="583"/>
      <c r="G21" s="583"/>
      <c r="H21" s="583"/>
      <c r="I21" s="583"/>
      <c r="J21" s="551"/>
      <c r="K21" s="552"/>
      <c r="L21" s="552"/>
      <c r="M21" s="552"/>
      <c r="N21" s="552"/>
      <c r="O21" s="553"/>
      <c r="P21" s="551"/>
      <c r="Q21" s="552"/>
      <c r="R21" s="552"/>
      <c r="S21" s="552"/>
      <c r="T21" s="552"/>
      <c r="U21" s="553"/>
      <c r="V21" s="569"/>
      <c r="W21" s="570"/>
      <c r="X21" s="570"/>
      <c r="Y21" s="570"/>
      <c r="Z21" s="570"/>
      <c r="AA21" s="571"/>
      <c r="AB21" s="569"/>
      <c r="AC21" s="570"/>
      <c r="AD21" s="570"/>
      <c r="AE21" s="570"/>
      <c r="AF21" s="570"/>
      <c r="AG21" s="571"/>
      <c r="AH21" s="560"/>
      <c r="AI21" s="561"/>
      <c r="AJ21" s="561"/>
      <c r="AK21" s="561"/>
      <c r="AL21" s="561"/>
      <c r="AM21" s="562"/>
      <c r="AN21" s="67"/>
      <c r="AO21" s="603"/>
      <c r="AP21" s="604"/>
      <c r="AQ21" s="604"/>
      <c r="AR21" s="604"/>
      <c r="AS21" s="604"/>
      <c r="AT21" s="605"/>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586"/>
      <c r="C22" s="586"/>
      <c r="D22" s="587"/>
      <c r="E22" s="576" t="s">
        <v>111</v>
      </c>
      <c r="F22" s="577"/>
      <c r="G22" s="577"/>
      <c r="H22" s="577"/>
      <c r="I22" s="578"/>
      <c r="J22" s="554" t="str">
        <f>IF(AND('Mapa final'!$K$10="Media",'Mapa final'!$O$10="Leve"),CONCATENATE("R",'Mapa final'!$A$10),"")</f>
        <v/>
      </c>
      <c r="K22" s="555"/>
      <c r="L22" s="555" t="str">
        <f>IF(AND('Mapa final'!$K$16="Media",'Mapa final'!$O$16="Leve"),CONCATENATE("R",'Mapa final'!$A$16),"")</f>
        <v/>
      </c>
      <c r="M22" s="555"/>
      <c r="N22" s="555" t="str">
        <f>IF(AND('Mapa final'!$K$22="Media",'Mapa final'!$O$22="Leve"),CONCATENATE("R",'Mapa final'!$A$22),"")</f>
        <v/>
      </c>
      <c r="O22" s="556"/>
      <c r="P22" s="554" t="str">
        <f>IF(AND('Mapa final'!$K$10="Media",'Mapa final'!$O$10="Menor"),CONCATENATE("R",'Mapa final'!$A$10),"")</f>
        <v/>
      </c>
      <c r="Q22" s="555"/>
      <c r="R22" s="555" t="str">
        <f>IF(AND('Mapa final'!$K$16="Media",'Mapa final'!$O$16="Menor"),CONCATENATE("R",'Mapa final'!$A$16),"")</f>
        <v/>
      </c>
      <c r="S22" s="555"/>
      <c r="T22" s="555" t="str">
        <f>IF(AND('Mapa final'!$K$22="Media",'Mapa final'!$O$22="Menor"),CONCATENATE("R",'Mapa final'!$A$22),"")</f>
        <v/>
      </c>
      <c r="U22" s="556"/>
      <c r="V22" s="554" t="str">
        <f>IF(AND('Mapa final'!$K$10="Media",'Mapa final'!$O$10="Moderado"),CONCATENATE("R",'Mapa final'!$A$10),"")</f>
        <v/>
      </c>
      <c r="W22" s="555"/>
      <c r="X22" s="555" t="str">
        <f>IF(AND('Mapa final'!$K$16="Media",'Mapa final'!$O$16="Moderado"),CONCATENATE("R",'Mapa final'!$A$16),"")</f>
        <v/>
      </c>
      <c r="Y22" s="555"/>
      <c r="Z22" s="555" t="str">
        <f>IF(AND('Mapa final'!$K$22="Media",'Mapa final'!$O$22="Moderado"),CONCATENATE("R",'Mapa final'!$A$22),"")</f>
        <v/>
      </c>
      <c r="AA22" s="556"/>
      <c r="AB22" s="572" t="str">
        <f>IF(AND('Mapa final'!$K$10="Media",'Mapa final'!$O$10="Mayor"),CONCATENATE("R",'Mapa final'!$A$10),"")</f>
        <v>R1</v>
      </c>
      <c r="AC22" s="573"/>
      <c r="AD22" s="573" t="str">
        <f>IF(AND('Mapa final'!$K$16="Media",'Mapa final'!$O$16="Mayor"),CONCATENATE("R",'Mapa final'!$A$16),"")</f>
        <v/>
      </c>
      <c r="AE22" s="573"/>
      <c r="AF22" s="573" t="str">
        <f>IF(AND('Mapa final'!$K$22="Media",'Mapa final'!$O$22="Mayor"),CONCATENATE("R",'Mapa final'!$A$22),"")</f>
        <v/>
      </c>
      <c r="AG22" s="574"/>
      <c r="AH22" s="563" t="str">
        <f>IF(AND('Mapa final'!$K$10="Media",'Mapa final'!$O$10="Catastrófico"),CONCATENATE("R",'Mapa final'!$A$10),"")</f>
        <v/>
      </c>
      <c r="AI22" s="564"/>
      <c r="AJ22" s="564" t="str">
        <f>IF(AND('Mapa final'!$K$16="Media",'Mapa final'!$O$16="Catastrófico"),CONCATENATE("R",'Mapa final'!$A$16),"")</f>
        <v/>
      </c>
      <c r="AK22" s="564"/>
      <c r="AL22" s="564" t="str">
        <f>IF(AND('Mapa final'!$K$22="Media",'Mapa final'!$O$22="Catastrófico"),CONCATENATE("R",'Mapa final'!$A$22),"")</f>
        <v/>
      </c>
      <c r="AM22" s="565"/>
      <c r="AN22" s="67"/>
      <c r="AO22" s="606" t="s">
        <v>79</v>
      </c>
      <c r="AP22" s="607"/>
      <c r="AQ22" s="607"/>
      <c r="AR22" s="607"/>
      <c r="AS22" s="607"/>
      <c r="AT22" s="608"/>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586"/>
      <c r="C23" s="586"/>
      <c r="D23" s="587"/>
      <c r="E23" s="579"/>
      <c r="F23" s="580"/>
      <c r="G23" s="580"/>
      <c r="H23" s="580"/>
      <c r="I23" s="581"/>
      <c r="J23" s="548"/>
      <c r="K23" s="549"/>
      <c r="L23" s="549"/>
      <c r="M23" s="549"/>
      <c r="N23" s="549"/>
      <c r="O23" s="550"/>
      <c r="P23" s="548"/>
      <c r="Q23" s="549"/>
      <c r="R23" s="549"/>
      <c r="S23" s="549"/>
      <c r="T23" s="549"/>
      <c r="U23" s="550"/>
      <c r="V23" s="548"/>
      <c r="W23" s="549"/>
      <c r="X23" s="549"/>
      <c r="Y23" s="549"/>
      <c r="Z23" s="549"/>
      <c r="AA23" s="550"/>
      <c r="AB23" s="566"/>
      <c r="AC23" s="567"/>
      <c r="AD23" s="567"/>
      <c r="AE23" s="567"/>
      <c r="AF23" s="567"/>
      <c r="AG23" s="568"/>
      <c r="AH23" s="557"/>
      <c r="AI23" s="558"/>
      <c r="AJ23" s="558"/>
      <c r="AK23" s="558"/>
      <c r="AL23" s="558"/>
      <c r="AM23" s="559"/>
      <c r="AN23" s="67"/>
      <c r="AO23" s="609"/>
      <c r="AP23" s="610"/>
      <c r="AQ23" s="610"/>
      <c r="AR23" s="610"/>
      <c r="AS23" s="610"/>
      <c r="AT23" s="611"/>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586"/>
      <c r="C24" s="586"/>
      <c r="D24" s="587"/>
      <c r="E24" s="579"/>
      <c r="F24" s="580"/>
      <c r="G24" s="580"/>
      <c r="H24" s="580"/>
      <c r="I24" s="581"/>
      <c r="J24" s="548" t="str">
        <f>IF(AND('Mapa final'!$K$28="Media",'Mapa final'!$O$28="Leve"),CONCATENATE("R",'Mapa final'!$A$28),"")</f>
        <v/>
      </c>
      <c r="K24" s="549"/>
      <c r="L24" s="549" t="str">
        <f>IF(AND('Mapa final'!$K$34="Media",'Mapa final'!$O$34="Leve"),CONCATENATE("R",'Mapa final'!$A$34),"")</f>
        <v/>
      </c>
      <c r="M24" s="549"/>
      <c r="N24" s="549" t="str">
        <f>IF(AND('Mapa final'!$K$40="Media",'Mapa final'!$O$40="Leve"),CONCATENATE("R",'Mapa final'!$A$40),"")</f>
        <v/>
      </c>
      <c r="O24" s="550"/>
      <c r="P24" s="548" t="str">
        <f>IF(AND('Mapa final'!$K$28="Media",'Mapa final'!$O$28="Menor"),CONCATENATE("R",'Mapa final'!$A$28),"")</f>
        <v/>
      </c>
      <c r="Q24" s="549"/>
      <c r="R24" s="549" t="str">
        <f>IF(AND('Mapa final'!$K$34="Media",'Mapa final'!$O$34="Menor"),CONCATENATE("R",'Mapa final'!$A$34),"")</f>
        <v/>
      </c>
      <c r="S24" s="549"/>
      <c r="T24" s="549" t="str">
        <f>IF(AND('Mapa final'!$K$40="Media",'Mapa final'!$O$40="Menor"),CONCATENATE("R",'Mapa final'!$A$40),"")</f>
        <v/>
      </c>
      <c r="U24" s="550"/>
      <c r="V24" s="548" t="str">
        <f>IF(AND('Mapa final'!$K$28="Media",'Mapa final'!$O$28="Moderado"),CONCATENATE("R",'Mapa final'!$A$28),"")</f>
        <v/>
      </c>
      <c r="W24" s="549"/>
      <c r="X24" s="549" t="str">
        <f>IF(AND('Mapa final'!$K$34="Media",'Mapa final'!$O$34="Moderado"),CONCATENATE("R",'Mapa final'!$A$34),"")</f>
        <v/>
      </c>
      <c r="Y24" s="549"/>
      <c r="Z24" s="549" t="str">
        <f>IF(AND('Mapa final'!$K$40="Media",'Mapa final'!$O$40="Moderado"),CONCATENATE("R",'Mapa final'!$A$40),"")</f>
        <v/>
      </c>
      <c r="AA24" s="550"/>
      <c r="AB24" s="566" t="str">
        <f>IF(AND('Mapa final'!$K$28="Media",'Mapa final'!$O$28="Mayor"),CONCATENATE("R",'Mapa final'!$A$28),"")</f>
        <v/>
      </c>
      <c r="AC24" s="567"/>
      <c r="AD24" s="567" t="str">
        <f>IF(AND('Mapa final'!$K$34="Media",'Mapa final'!$O$34="Mayor"),CONCATENATE("R",'Mapa final'!$A$34),"")</f>
        <v/>
      </c>
      <c r="AE24" s="567"/>
      <c r="AF24" s="567" t="str">
        <f>IF(AND('Mapa final'!$K$40="Media",'Mapa final'!$O$40="Mayor"),CONCATENATE("R",'Mapa final'!$A$40),"")</f>
        <v/>
      </c>
      <c r="AG24" s="568"/>
      <c r="AH24" s="557" t="str">
        <f>IF(AND('Mapa final'!$K$28="Media",'Mapa final'!$O$28="Catastrófico"),CONCATENATE("R",'Mapa final'!$A$28),"")</f>
        <v/>
      </c>
      <c r="AI24" s="558"/>
      <c r="AJ24" s="558" t="str">
        <f>IF(AND('Mapa final'!$K$34="Media",'Mapa final'!$O$34="Catastrófico"),CONCATENATE("R",'Mapa final'!$A$34),"")</f>
        <v/>
      </c>
      <c r="AK24" s="558"/>
      <c r="AL24" s="558" t="str">
        <f>IF(AND('Mapa final'!$K$40="Media",'Mapa final'!$O$40="Catastrófico"),CONCATENATE("R",'Mapa final'!$A$40),"")</f>
        <v/>
      </c>
      <c r="AM24" s="559"/>
      <c r="AN24" s="67"/>
      <c r="AO24" s="609"/>
      <c r="AP24" s="610"/>
      <c r="AQ24" s="610"/>
      <c r="AR24" s="610"/>
      <c r="AS24" s="610"/>
      <c r="AT24" s="611"/>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586"/>
      <c r="C25" s="586"/>
      <c r="D25" s="587"/>
      <c r="E25" s="579"/>
      <c r="F25" s="580"/>
      <c r="G25" s="580"/>
      <c r="H25" s="580"/>
      <c r="I25" s="581"/>
      <c r="J25" s="548"/>
      <c r="K25" s="549"/>
      <c r="L25" s="549"/>
      <c r="M25" s="549"/>
      <c r="N25" s="549"/>
      <c r="O25" s="550"/>
      <c r="P25" s="548"/>
      <c r="Q25" s="549"/>
      <c r="R25" s="549"/>
      <c r="S25" s="549"/>
      <c r="T25" s="549"/>
      <c r="U25" s="550"/>
      <c r="V25" s="548"/>
      <c r="W25" s="549"/>
      <c r="X25" s="549"/>
      <c r="Y25" s="549"/>
      <c r="Z25" s="549"/>
      <c r="AA25" s="550"/>
      <c r="AB25" s="566"/>
      <c r="AC25" s="567"/>
      <c r="AD25" s="567"/>
      <c r="AE25" s="567"/>
      <c r="AF25" s="567"/>
      <c r="AG25" s="568"/>
      <c r="AH25" s="557"/>
      <c r="AI25" s="558"/>
      <c r="AJ25" s="558"/>
      <c r="AK25" s="558"/>
      <c r="AL25" s="558"/>
      <c r="AM25" s="559"/>
      <c r="AN25" s="67"/>
      <c r="AO25" s="609"/>
      <c r="AP25" s="610"/>
      <c r="AQ25" s="610"/>
      <c r="AR25" s="610"/>
      <c r="AS25" s="610"/>
      <c r="AT25" s="611"/>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586"/>
      <c r="C26" s="586"/>
      <c r="D26" s="587"/>
      <c r="E26" s="579"/>
      <c r="F26" s="580"/>
      <c r="G26" s="580"/>
      <c r="H26" s="580"/>
      <c r="I26" s="581"/>
      <c r="J26" s="548" t="str">
        <f>IF(AND('Mapa final'!$K$46="Media",'Mapa final'!$O$46="Leve"),CONCATENATE("R",'Mapa final'!$A$46),"")</f>
        <v/>
      </c>
      <c r="K26" s="549"/>
      <c r="L26" s="549" t="str">
        <f>IF(AND('Mapa final'!$K$52="Media",'Mapa final'!$O$52="Leve"),CONCATENATE("R",'Mapa final'!$A$52),"")</f>
        <v/>
      </c>
      <c r="M26" s="549"/>
      <c r="N26" s="549" t="str">
        <f>IF(AND('Mapa final'!$K$58="Media",'Mapa final'!$O$58="Leve"),CONCATENATE("R",'Mapa final'!$A$58),"")</f>
        <v/>
      </c>
      <c r="O26" s="550"/>
      <c r="P26" s="548" t="str">
        <f>IF(AND('Mapa final'!$K$46="Media",'Mapa final'!$O$46="Menor"),CONCATENATE("R",'Mapa final'!$A$46),"")</f>
        <v/>
      </c>
      <c r="Q26" s="549"/>
      <c r="R26" s="549" t="str">
        <f>IF(AND('Mapa final'!$K$52="Media",'Mapa final'!$O$52="Menor"),CONCATENATE("R",'Mapa final'!$A$52),"")</f>
        <v/>
      </c>
      <c r="S26" s="549"/>
      <c r="T26" s="549" t="str">
        <f>IF(AND('Mapa final'!$K$58="Media",'Mapa final'!$O$58="Menor"),CONCATENATE("R",'Mapa final'!$A$58),"")</f>
        <v/>
      </c>
      <c r="U26" s="550"/>
      <c r="V26" s="548" t="str">
        <f>IF(AND('Mapa final'!$K$46="Media",'Mapa final'!$O$46="Moderado"),CONCATENATE("R",'Mapa final'!$A$46),"")</f>
        <v/>
      </c>
      <c r="W26" s="549"/>
      <c r="X26" s="549" t="str">
        <f>IF(AND('Mapa final'!$K$52="Media",'Mapa final'!$O$52="Moderado"),CONCATENATE("R",'Mapa final'!$A$52),"")</f>
        <v/>
      </c>
      <c r="Y26" s="549"/>
      <c r="Z26" s="549" t="str">
        <f>IF(AND('Mapa final'!$K$58="Media",'Mapa final'!$O$58="Moderado"),CONCATENATE("R",'Mapa final'!$A$58),"")</f>
        <v/>
      </c>
      <c r="AA26" s="550"/>
      <c r="AB26" s="566" t="str">
        <f>IF(AND('Mapa final'!$K$46="Media",'Mapa final'!$O$46="Mayor"),CONCATENATE("R",'Mapa final'!$A$46),"")</f>
        <v/>
      </c>
      <c r="AC26" s="567"/>
      <c r="AD26" s="567" t="str">
        <f>IF(AND('Mapa final'!$K$52="Media",'Mapa final'!$O$52="Mayor"),CONCATENATE("R",'Mapa final'!$A$52),"")</f>
        <v/>
      </c>
      <c r="AE26" s="567"/>
      <c r="AF26" s="567" t="str">
        <f>IF(AND('Mapa final'!$K$58="Media",'Mapa final'!$O$58="Mayor"),CONCATENATE("R",'Mapa final'!$A$58),"")</f>
        <v/>
      </c>
      <c r="AG26" s="568"/>
      <c r="AH26" s="557" t="str">
        <f>IF(AND('Mapa final'!$K$46="Media",'Mapa final'!$O$46="Catastrófico"),CONCATENATE("R",'Mapa final'!$A$46),"")</f>
        <v/>
      </c>
      <c r="AI26" s="558"/>
      <c r="AJ26" s="558" t="str">
        <f>IF(AND('Mapa final'!$K$52="Media",'Mapa final'!$O$52="Catastrófico"),CONCATENATE("R",'Mapa final'!$A$52),"")</f>
        <v/>
      </c>
      <c r="AK26" s="558"/>
      <c r="AL26" s="558" t="str">
        <f>IF(AND('Mapa final'!$K$58="Media",'Mapa final'!$O$58="Catastrófico"),CONCATENATE("R",'Mapa final'!$A$58),"")</f>
        <v/>
      </c>
      <c r="AM26" s="559"/>
      <c r="AN26" s="67"/>
      <c r="AO26" s="609"/>
      <c r="AP26" s="610"/>
      <c r="AQ26" s="610"/>
      <c r="AR26" s="610"/>
      <c r="AS26" s="610"/>
      <c r="AT26" s="611"/>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586"/>
      <c r="C27" s="586"/>
      <c r="D27" s="587"/>
      <c r="E27" s="579"/>
      <c r="F27" s="580"/>
      <c r="G27" s="580"/>
      <c r="H27" s="580"/>
      <c r="I27" s="581"/>
      <c r="J27" s="548"/>
      <c r="K27" s="549"/>
      <c r="L27" s="549"/>
      <c r="M27" s="549"/>
      <c r="N27" s="549"/>
      <c r="O27" s="550"/>
      <c r="P27" s="548"/>
      <c r="Q27" s="549"/>
      <c r="R27" s="549"/>
      <c r="S27" s="549"/>
      <c r="T27" s="549"/>
      <c r="U27" s="550"/>
      <c r="V27" s="548"/>
      <c r="W27" s="549"/>
      <c r="X27" s="549"/>
      <c r="Y27" s="549"/>
      <c r="Z27" s="549"/>
      <c r="AA27" s="550"/>
      <c r="AB27" s="566"/>
      <c r="AC27" s="567"/>
      <c r="AD27" s="567"/>
      <c r="AE27" s="567"/>
      <c r="AF27" s="567"/>
      <c r="AG27" s="568"/>
      <c r="AH27" s="557"/>
      <c r="AI27" s="558"/>
      <c r="AJ27" s="558"/>
      <c r="AK27" s="558"/>
      <c r="AL27" s="558"/>
      <c r="AM27" s="559"/>
      <c r="AN27" s="67"/>
      <c r="AO27" s="609"/>
      <c r="AP27" s="610"/>
      <c r="AQ27" s="610"/>
      <c r="AR27" s="610"/>
      <c r="AS27" s="610"/>
      <c r="AT27" s="611"/>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586"/>
      <c r="C28" s="586"/>
      <c r="D28" s="587"/>
      <c r="E28" s="579"/>
      <c r="F28" s="580"/>
      <c r="G28" s="580"/>
      <c r="H28" s="580"/>
      <c r="I28" s="581"/>
      <c r="J28" s="548" t="str">
        <f>IF(AND('Mapa final'!$K$64="Media",'Mapa final'!$O$64="Leve"),CONCATENATE("R",'Mapa final'!$A$64),"")</f>
        <v/>
      </c>
      <c r="K28" s="549"/>
      <c r="L28" s="549" t="str">
        <f>IF(AND('Mapa final'!$K$70="Media",'Mapa final'!$O$70="Leve"),CONCATENATE("R",'Mapa final'!$A$70),"")</f>
        <v/>
      </c>
      <c r="M28" s="549"/>
      <c r="N28" s="549" t="str">
        <f>IF(AND('Mapa final'!$K$76="Media",'Mapa final'!$O$76="Leve"),CONCATENATE("R",'Mapa final'!$A$76),"")</f>
        <v/>
      </c>
      <c r="O28" s="550"/>
      <c r="P28" s="548" t="str">
        <f>IF(AND('Mapa final'!$K$64="Media",'Mapa final'!$O$64="Menor"),CONCATENATE("R",'Mapa final'!$A$64),"")</f>
        <v/>
      </c>
      <c r="Q28" s="549"/>
      <c r="R28" s="549" t="str">
        <f>IF(AND('Mapa final'!$K$70="Media",'Mapa final'!$O$70="Menor"),CONCATENATE("R",'Mapa final'!$A$70),"")</f>
        <v/>
      </c>
      <c r="S28" s="549"/>
      <c r="T28" s="549" t="str">
        <f>IF(AND('Mapa final'!$K$76="Media",'Mapa final'!$O$76="Menor"),CONCATENATE("R",'Mapa final'!$A$76),"")</f>
        <v/>
      </c>
      <c r="U28" s="550"/>
      <c r="V28" s="548" t="str">
        <f>IF(AND('Mapa final'!$K$64="Media",'Mapa final'!$O$64="Moderado"),CONCATENATE("R",'Mapa final'!$A$64),"")</f>
        <v/>
      </c>
      <c r="W28" s="549"/>
      <c r="X28" s="549" t="str">
        <f>IF(AND('Mapa final'!$K$70="Media",'Mapa final'!$O$70="Moderado"),CONCATENATE("R",'Mapa final'!$A$70),"")</f>
        <v/>
      </c>
      <c r="Y28" s="549"/>
      <c r="Z28" s="549" t="str">
        <f>IF(AND('Mapa final'!$K$76="Media",'Mapa final'!$O$76="Moderado"),CONCATENATE("R",'Mapa final'!$A$76),"")</f>
        <v/>
      </c>
      <c r="AA28" s="550"/>
      <c r="AB28" s="566" t="str">
        <f>IF(AND('Mapa final'!$K$64="Media",'Mapa final'!$O$64="Mayor"),CONCATENATE("R",'Mapa final'!$A$64),"")</f>
        <v/>
      </c>
      <c r="AC28" s="567"/>
      <c r="AD28" s="567" t="str">
        <f>IF(AND('Mapa final'!$K$70="Media",'Mapa final'!$O$70="Mayor"),CONCATENATE("R",'Mapa final'!$A$70),"")</f>
        <v/>
      </c>
      <c r="AE28" s="567"/>
      <c r="AF28" s="567" t="str">
        <f>IF(AND('Mapa final'!$K$76="Media",'Mapa final'!$O$76="Mayor"),CONCATENATE("R",'Mapa final'!$A$76),"")</f>
        <v/>
      </c>
      <c r="AG28" s="568"/>
      <c r="AH28" s="557" t="str">
        <f>IF(AND('Mapa final'!$K$64="Media",'Mapa final'!$O$64="Catastrófico"),CONCATENATE("R",'Mapa final'!$A$64),"")</f>
        <v/>
      </c>
      <c r="AI28" s="558"/>
      <c r="AJ28" s="558" t="str">
        <f>IF(AND('Mapa final'!$K$70="Media",'Mapa final'!$O$70="Catastrófico"),CONCATENATE("R",'Mapa final'!$A$70),"")</f>
        <v/>
      </c>
      <c r="AK28" s="558"/>
      <c r="AL28" s="558" t="str">
        <f>IF(AND('Mapa final'!$K$76="Media",'Mapa final'!$O$76="Catastrófico"),CONCATENATE("R",'Mapa final'!$A$76),"")</f>
        <v/>
      </c>
      <c r="AM28" s="559"/>
      <c r="AN28" s="67"/>
      <c r="AO28" s="609"/>
      <c r="AP28" s="610"/>
      <c r="AQ28" s="610"/>
      <c r="AR28" s="610"/>
      <c r="AS28" s="610"/>
      <c r="AT28" s="611"/>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586"/>
      <c r="C29" s="586"/>
      <c r="D29" s="587"/>
      <c r="E29" s="582"/>
      <c r="F29" s="583"/>
      <c r="G29" s="583"/>
      <c r="H29" s="583"/>
      <c r="I29" s="584"/>
      <c r="J29" s="548"/>
      <c r="K29" s="549"/>
      <c r="L29" s="549"/>
      <c r="M29" s="549"/>
      <c r="N29" s="549"/>
      <c r="O29" s="550"/>
      <c r="P29" s="551"/>
      <c r="Q29" s="552"/>
      <c r="R29" s="552"/>
      <c r="S29" s="552"/>
      <c r="T29" s="552"/>
      <c r="U29" s="553"/>
      <c r="V29" s="551"/>
      <c r="W29" s="552"/>
      <c r="X29" s="552"/>
      <c r="Y29" s="552"/>
      <c r="Z29" s="552"/>
      <c r="AA29" s="553"/>
      <c r="AB29" s="569"/>
      <c r="AC29" s="570"/>
      <c r="AD29" s="570"/>
      <c r="AE29" s="570"/>
      <c r="AF29" s="570"/>
      <c r="AG29" s="571"/>
      <c r="AH29" s="560"/>
      <c r="AI29" s="561"/>
      <c r="AJ29" s="561"/>
      <c r="AK29" s="561"/>
      <c r="AL29" s="561"/>
      <c r="AM29" s="562"/>
      <c r="AN29" s="67"/>
      <c r="AO29" s="612"/>
      <c r="AP29" s="613"/>
      <c r="AQ29" s="613"/>
      <c r="AR29" s="613"/>
      <c r="AS29" s="613"/>
      <c r="AT29" s="614"/>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586"/>
      <c r="C30" s="586"/>
      <c r="D30" s="587"/>
      <c r="E30" s="576" t="s">
        <v>108</v>
      </c>
      <c r="F30" s="577"/>
      <c r="G30" s="577"/>
      <c r="H30" s="577"/>
      <c r="I30" s="577"/>
      <c r="J30" s="545" t="str">
        <f>IF(AND('Mapa final'!$K$10="Baja",'Mapa final'!$O$10="Leve"),CONCATENATE("R",'Mapa final'!$A$10),"")</f>
        <v/>
      </c>
      <c r="K30" s="546"/>
      <c r="L30" s="546" t="str">
        <f>IF(AND('Mapa final'!$K$16="Baja",'Mapa final'!$O$16="Leve"),CONCATENATE("R",'Mapa final'!$A$16),"")</f>
        <v/>
      </c>
      <c r="M30" s="546"/>
      <c r="N30" s="546" t="str">
        <f>IF(AND('Mapa final'!$K$22="Baja",'Mapa final'!$O$22="Leve"),CONCATENATE("R",'Mapa final'!$A$22),"")</f>
        <v/>
      </c>
      <c r="O30" s="547"/>
      <c r="P30" s="555" t="str">
        <f>IF(AND('Mapa final'!$K$10="Baja",'Mapa final'!$O$10="Menor"),CONCATENATE("R",'Mapa final'!$A$10),"")</f>
        <v/>
      </c>
      <c r="Q30" s="555"/>
      <c r="R30" s="555" t="str">
        <f>IF(AND('Mapa final'!$K$16="Baja",'Mapa final'!$O$16="Menor"),CONCATENATE("R",'Mapa final'!$A$16),"")</f>
        <v/>
      </c>
      <c r="S30" s="555"/>
      <c r="T30" s="555" t="str">
        <f>IF(AND('Mapa final'!$K$22="Baja",'Mapa final'!$O$22="Menor"),CONCATENATE("R",'Mapa final'!$A$22),"")</f>
        <v/>
      </c>
      <c r="U30" s="556"/>
      <c r="V30" s="554" t="str">
        <f>IF(AND('Mapa final'!$K$10="Baja",'Mapa final'!$O$10="Moderado"),CONCATENATE("R",'Mapa final'!$A$10),"")</f>
        <v/>
      </c>
      <c r="W30" s="555"/>
      <c r="X30" s="555" t="str">
        <f>IF(AND('Mapa final'!$K$16="Baja",'Mapa final'!$O$16="Moderado"),CONCATENATE("R",'Mapa final'!$A$16),"")</f>
        <v/>
      </c>
      <c r="Y30" s="555"/>
      <c r="Z30" s="555" t="str">
        <f>IF(AND('Mapa final'!$K$22="Baja",'Mapa final'!$O$22="Moderado"),CONCATENATE("R",'Mapa final'!$A$22),"")</f>
        <v/>
      </c>
      <c r="AA30" s="556"/>
      <c r="AB30" s="572" t="str">
        <f>IF(AND('Mapa final'!$K$10="Baja",'Mapa final'!$O$10="Mayor"),CONCATENATE("R",'Mapa final'!$A$10),"")</f>
        <v/>
      </c>
      <c r="AC30" s="573"/>
      <c r="AD30" s="573" t="str">
        <f>IF(AND('Mapa final'!$K$16="Baja",'Mapa final'!$O$16="Mayor"),CONCATENATE("R",'Mapa final'!$A$16),"")</f>
        <v/>
      </c>
      <c r="AE30" s="573"/>
      <c r="AF30" s="573" t="str">
        <f>IF(AND('Mapa final'!$K$22="Baja",'Mapa final'!$O$22="Mayor"),CONCATENATE("R",'Mapa final'!$A$22),"")</f>
        <v/>
      </c>
      <c r="AG30" s="574"/>
      <c r="AH30" s="563" t="str">
        <f>IF(AND('Mapa final'!$K$10="Baja",'Mapa final'!$O$10="Catastrófico"),CONCATENATE("R",'Mapa final'!$A$10),"")</f>
        <v/>
      </c>
      <c r="AI30" s="564"/>
      <c r="AJ30" s="564" t="str">
        <f>IF(AND('Mapa final'!$K$16="Baja",'Mapa final'!$O$16="Catastrófico"),CONCATENATE("R",'Mapa final'!$A$16),"")</f>
        <v/>
      </c>
      <c r="AK30" s="564"/>
      <c r="AL30" s="564" t="str">
        <f>IF(AND('Mapa final'!$K$22="Baja",'Mapa final'!$O$22="Catastrófico"),CONCATENATE("R",'Mapa final'!$A$22),"")</f>
        <v/>
      </c>
      <c r="AM30" s="565"/>
      <c r="AN30" s="67"/>
      <c r="AO30" s="615" t="s">
        <v>80</v>
      </c>
      <c r="AP30" s="616"/>
      <c r="AQ30" s="616"/>
      <c r="AR30" s="616"/>
      <c r="AS30" s="616"/>
      <c r="AT30" s="61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586"/>
      <c r="C31" s="586"/>
      <c r="D31" s="587"/>
      <c r="E31" s="579"/>
      <c r="F31" s="580"/>
      <c r="G31" s="580"/>
      <c r="H31" s="580"/>
      <c r="I31" s="580"/>
      <c r="J31" s="539"/>
      <c r="K31" s="540"/>
      <c r="L31" s="540"/>
      <c r="M31" s="540"/>
      <c r="N31" s="540"/>
      <c r="O31" s="541"/>
      <c r="P31" s="549"/>
      <c r="Q31" s="549"/>
      <c r="R31" s="549"/>
      <c r="S31" s="549"/>
      <c r="T31" s="549"/>
      <c r="U31" s="550"/>
      <c r="V31" s="548"/>
      <c r="W31" s="549"/>
      <c r="X31" s="549"/>
      <c r="Y31" s="549"/>
      <c r="Z31" s="549"/>
      <c r="AA31" s="550"/>
      <c r="AB31" s="566"/>
      <c r="AC31" s="567"/>
      <c r="AD31" s="567"/>
      <c r="AE31" s="567"/>
      <c r="AF31" s="567"/>
      <c r="AG31" s="568"/>
      <c r="AH31" s="557"/>
      <c r="AI31" s="558"/>
      <c r="AJ31" s="558"/>
      <c r="AK31" s="558"/>
      <c r="AL31" s="558"/>
      <c r="AM31" s="559"/>
      <c r="AN31" s="67"/>
      <c r="AO31" s="618"/>
      <c r="AP31" s="619"/>
      <c r="AQ31" s="619"/>
      <c r="AR31" s="619"/>
      <c r="AS31" s="619"/>
      <c r="AT31" s="620"/>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586"/>
      <c r="C32" s="586"/>
      <c r="D32" s="587"/>
      <c r="E32" s="579"/>
      <c r="F32" s="580"/>
      <c r="G32" s="580"/>
      <c r="H32" s="580"/>
      <c r="I32" s="580"/>
      <c r="J32" s="539" t="str">
        <f>IF(AND('Mapa final'!$K$28="Baja",'Mapa final'!$O$28="Leve"),CONCATENATE("R",'Mapa final'!$A$28),"")</f>
        <v/>
      </c>
      <c r="K32" s="540"/>
      <c r="L32" s="540" t="str">
        <f>IF(AND('Mapa final'!$K$34="Baja",'Mapa final'!$O$34="Leve"),CONCATENATE("R",'Mapa final'!$A$34),"")</f>
        <v/>
      </c>
      <c r="M32" s="540"/>
      <c r="N32" s="540" t="str">
        <f>IF(AND('Mapa final'!$K$40="Baja",'Mapa final'!$O$40="Leve"),CONCATENATE("R",'Mapa final'!$A$40),"")</f>
        <v/>
      </c>
      <c r="O32" s="541"/>
      <c r="P32" s="549" t="str">
        <f>IF(AND('Mapa final'!$K$28="Baja",'Mapa final'!$O$28="Menor"),CONCATENATE("R",'Mapa final'!$A$28),"")</f>
        <v/>
      </c>
      <c r="Q32" s="549"/>
      <c r="R32" s="549" t="str">
        <f>IF(AND('Mapa final'!$K$34="Baja",'Mapa final'!$O$34="Menor"),CONCATENATE("R",'Mapa final'!$A$34),"")</f>
        <v/>
      </c>
      <c r="S32" s="549"/>
      <c r="T32" s="549" t="str">
        <f>IF(AND('Mapa final'!$K$40="Baja",'Mapa final'!$O$40="Menor"),CONCATENATE("R",'Mapa final'!$A$40),"")</f>
        <v/>
      </c>
      <c r="U32" s="550"/>
      <c r="V32" s="548" t="str">
        <f>IF(AND('Mapa final'!$K$28="Baja",'Mapa final'!$O$28="Moderado"),CONCATENATE("R",'Mapa final'!$A$28),"")</f>
        <v/>
      </c>
      <c r="W32" s="549"/>
      <c r="X32" s="549" t="str">
        <f>IF(AND('Mapa final'!$K$34="Baja",'Mapa final'!$O$34="Moderado"),CONCATENATE("R",'Mapa final'!$A$34),"")</f>
        <v/>
      </c>
      <c r="Y32" s="549"/>
      <c r="Z32" s="549" t="str">
        <f>IF(AND('Mapa final'!$K$40="Baja",'Mapa final'!$O$40="Moderado"),CONCATENATE("R",'Mapa final'!$A$40),"")</f>
        <v/>
      </c>
      <c r="AA32" s="550"/>
      <c r="AB32" s="566" t="str">
        <f>IF(AND('Mapa final'!$K$28="Baja",'Mapa final'!$O$28="Mayor"),CONCATENATE("R",'Mapa final'!$A$28),"")</f>
        <v/>
      </c>
      <c r="AC32" s="567"/>
      <c r="AD32" s="567" t="str">
        <f>IF(AND('Mapa final'!$K$34="Baja",'Mapa final'!$O$34="Mayor"),CONCATENATE("R",'Mapa final'!$A$34),"")</f>
        <v/>
      </c>
      <c r="AE32" s="567"/>
      <c r="AF32" s="567" t="str">
        <f>IF(AND('Mapa final'!$K$40="Baja",'Mapa final'!$O$40="Mayor"),CONCATENATE("R",'Mapa final'!$A$40),"")</f>
        <v/>
      </c>
      <c r="AG32" s="568"/>
      <c r="AH32" s="557" t="str">
        <f>IF(AND('Mapa final'!$K$28="Baja",'Mapa final'!$O$28="Catastrófico"),CONCATENATE("R",'Mapa final'!$A$28),"")</f>
        <v/>
      </c>
      <c r="AI32" s="558"/>
      <c r="AJ32" s="558" t="str">
        <f>IF(AND('Mapa final'!$K$34="Baja",'Mapa final'!$O$34="Catastrófico"),CONCATENATE("R",'Mapa final'!$A$34),"")</f>
        <v/>
      </c>
      <c r="AK32" s="558"/>
      <c r="AL32" s="558" t="str">
        <f>IF(AND('Mapa final'!$K$40="Baja",'Mapa final'!$O$40="Catastrófico"),CONCATENATE("R",'Mapa final'!$A$40),"")</f>
        <v/>
      </c>
      <c r="AM32" s="559"/>
      <c r="AN32" s="67"/>
      <c r="AO32" s="618"/>
      <c r="AP32" s="619"/>
      <c r="AQ32" s="619"/>
      <c r="AR32" s="619"/>
      <c r="AS32" s="619"/>
      <c r="AT32" s="620"/>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586"/>
      <c r="C33" s="586"/>
      <c r="D33" s="587"/>
      <c r="E33" s="579"/>
      <c r="F33" s="580"/>
      <c r="G33" s="580"/>
      <c r="H33" s="580"/>
      <c r="I33" s="580"/>
      <c r="J33" s="539"/>
      <c r="K33" s="540"/>
      <c r="L33" s="540"/>
      <c r="M33" s="540"/>
      <c r="N33" s="540"/>
      <c r="O33" s="541"/>
      <c r="P33" s="549"/>
      <c r="Q33" s="549"/>
      <c r="R33" s="549"/>
      <c r="S33" s="549"/>
      <c r="T33" s="549"/>
      <c r="U33" s="550"/>
      <c r="V33" s="548"/>
      <c r="W33" s="549"/>
      <c r="X33" s="549"/>
      <c r="Y33" s="549"/>
      <c r="Z33" s="549"/>
      <c r="AA33" s="550"/>
      <c r="AB33" s="566"/>
      <c r="AC33" s="567"/>
      <c r="AD33" s="567"/>
      <c r="AE33" s="567"/>
      <c r="AF33" s="567"/>
      <c r="AG33" s="568"/>
      <c r="AH33" s="557"/>
      <c r="AI33" s="558"/>
      <c r="AJ33" s="558"/>
      <c r="AK33" s="558"/>
      <c r="AL33" s="558"/>
      <c r="AM33" s="559"/>
      <c r="AN33" s="67"/>
      <c r="AO33" s="618"/>
      <c r="AP33" s="619"/>
      <c r="AQ33" s="619"/>
      <c r="AR33" s="619"/>
      <c r="AS33" s="619"/>
      <c r="AT33" s="620"/>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586"/>
      <c r="C34" s="586"/>
      <c r="D34" s="587"/>
      <c r="E34" s="579"/>
      <c r="F34" s="580"/>
      <c r="G34" s="580"/>
      <c r="H34" s="580"/>
      <c r="I34" s="580"/>
      <c r="J34" s="539" t="str">
        <f>IF(AND('Mapa final'!$K$46="Baja",'Mapa final'!$O$46="Leve"),CONCATENATE("R",'Mapa final'!$A$46),"")</f>
        <v/>
      </c>
      <c r="K34" s="540"/>
      <c r="L34" s="540" t="str">
        <f>IF(AND('Mapa final'!$K$52="Baja",'Mapa final'!$O$52="Leve"),CONCATENATE("R",'Mapa final'!$A$52),"")</f>
        <v/>
      </c>
      <c r="M34" s="540"/>
      <c r="N34" s="540" t="str">
        <f>IF(AND('Mapa final'!$K$58="Baja",'Mapa final'!$O$58="Leve"),CONCATENATE("R",'Mapa final'!$A$58),"")</f>
        <v/>
      </c>
      <c r="O34" s="541"/>
      <c r="P34" s="549" t="str">
        <f>IF(AND('Mapa final'!$K$46="Baja",'Mapa final'!$O$46="Menor"),CONCATENATE("R",'Mapa final'!$A$46),"")</f>
        <v/>
      </c>
      <c r="Q34" s="549"/>
      <c r="R34" s="549" t="str">
        <f>IF(AND('Mapa final'!$K$52="Baja",'Mapa final'!$O$52="Menor"),CONCATENATE("R",'Mapa final'!$A$52),"")</f>
        <v/>
      </c>
      <c r="S34" s="549"/>
      <c r="T34" s="549" t="str">
        <f>IF(AND('Mapa final'!$K$58="Baja",'Mapa final'!$O$58="Menor"),CONCATENATE("R",'Mapa final'!$A$58),"")</f>
        <v/>
      </c>
      <c r="U34" s="550"/>
      <c r="V34" s="548" t="str">
        <f>IF(AND('Mapa final'!$K$46="Baja",'Mapa final'!$O$46="Moderado"),CONCATENATE("R",'Mapa final'!$A$46),"")</f>
        <v/>
      </c>
      <c r="W34" s="549"/>
      <c r="X34" s="549" t="str">
        <f>IF(AND('Mapa final'!$K$52="Baja",'Mapa final'!$O$52="Moderado"),CONCATENATE("R",'Mapa final'!$A$52),"")</f>
        <v/>
      </c>
      <c r="Y34" s="549"/>
      <c r="Z34" s="549" t="str">
        <f>IF(AND('Mapa final'!$K$58="Baja",'Mapa final'!$O$58="Moderado"),CONCATENATE("R",'Mapa final'!$A$58),"")</f>
        <v/>
      </c>
      <c r="AA34" s="550"/>
      <c r="AB34" s="566" t="str">
        <f>IF(AND('Mapa final'!$K$46="Baja",'Mapa final'!$O$46="Mayor"),CONCATENATE("R",'Mapa final'!$A$46),"")</f>
        <v/>
      </c>
      <c r="AC34" s="567"/>
      <c r="AD34" s="567" t="str">
        <f>IF(AND('Mapa final'!$K$52="Baja",'Mapa final'!$O$52="Mayor"),CONCATENATE("R",'Mapa final'!$A$52),"")</f>
        <v/>
      </c>
      <c r="AE34" s="567"/>
      <c r="AF34" s="567" t="str">
        <f>IF(AND('Mapa final'!$K$58="Baja",'Mapa final'!$O$58="Mayor"),CONCATENATE("R",'Mapa final'!$A$58),"")</f>
        <v/>
      </c>
      <c r="AG34" s="568"/>
      <c r="AH34" s="557" t="str">
        <f>IF(AND('Mapa final'!$K$46="Baja",'Mapa final'!$O$46="Catastrófico"),CONCATENATE("R",'Mapa final'!$A$46),"")</f>
        <v/>
      </c>
      <c r="AI34" s="558"/>
      <c r="AJ34" s="558" t="str">
        <f>IF(AND('Mapa final'!$K$52="Baja",'Mapa final'!$O$52="Catastrófico"),CONCATENATE("R",'Mapa final'!$A$52),"")</f>
        <v/>
      </c>
      <c r="AK34" s="558"/>
      <c r="AL34" s="558" t="str">
        <f>IF(AND('Mapa final'!$K$58="Baja",'Mapa final'!$O$58="Catastrófico"),CONCATENATE("R",'Mapa final'!$A$58),"")</f>
        <v/>
      </c>
      <c r="AM34" s="559"/>
      <c r="AN34" s="67"/>
      <c r="AO34" s="618"/>
      <c r="AP34" s="619"/>
      <c r="AQ34" s="619"/>
      <c r="AR34" s="619"/>
      <c r="AS34" s="619"/>
      <c r="AT34" s="620"/>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586"/>
      <c r="C35" s="586"/>
      <c r="D35" s="587"/>
      <c r="E35" s="579"/>
      <c r="F35" s="580"/>
      <c r="G35" s="580"/>
      <c r="H35" s="580"/>
      <c r="I35" s="580"/>
      <c r="J35" s="539"/>
      <c r="K35" s="540"/>
      <c r="L35" s="540"/>
      <c r="M35" s="540"/>
      <c r="N35" s="540"/>
      <c r="O35" s="541"/>
      <c r="P35" s="549"/>
      <c r="Q35" s="549"/>
      <c r="R35" s="549"/>
      <c r="S35" s="549"/>
      <c r="T35" s="549"/>
      <c r="U35" s="550"/>
      <c r="V35" s="548"/>
      <c r="W35" s="549"/>
      <c r="X35" s="549"/>
      <c r="Y35" s="549"/>
      <c r="Z35" s="549"/>
      <c r="AA35" s="550"/>
      <c r="AB35" s="566"/>
      <c r="AC35" s="567"/>
      <c r="AD35" s="567"/>
      <c r="AE35" s="567"/>
      <c r="AF35" s="567"/>
      <c r="AG35" s="568"/>
      <c r="AH35" s="557"/>
      <c r="AI35" s="558"/>
      <c r="AJ35" s="558"/>
      <c r="AK35" s="558"/>
      <c r="AL35" s="558"/>
      <c r="AM35" s="559"/>
      <c r="AN35" s="67"/>
      <c r="AO35" s="618"/>
      <c r="AP35" s="619"/>
      <c r="AQ35" s="619"/>
      <c r="AR35" s="619"/>
      <c r="AS35" s="619"/>
      <c r="AT35" s="620"/>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586"/>
      <c r="C36" s="586"/>
      <c r="D36" s="587"/>
      <c r="E36" s="579"/>
      <c r="F36" s="580"/>
      <c r="G36" s="580"/>
      <c r="H36" s="580"/>
      <c r="I36" s="580"/>
      <c r="J36" s="539" t="str">
        <f>IF(AND('Mapa final'!$K$64="Baja",'Mapa final'!$O$64="Leve"),CONCATENATE("R",'Mapa final'!$A$64),"")</f>
        <v/>
      </c>
      <c r="K36" s="540"/>
      <c r="L36" s="540" t="str">
        <f>IF(AND('Mapa final'!$K$70="Baja",'Mapa final'!$O$70="Leve"),CONCATENATE("R",'Mapa final'!$A$70),"")</f>
        <v/>
      </c>
      <c r="M36" s="540"/>
      <c r="N36" s="540" t="str">
        <f>IF(AND('Mapa final'!$K$76="Baja",'Mapa final'!$O$76="Leve"),CONCATENATE("R",'Mapa final'!$A$76),"")</f>
        <v/>
      </c>
      <c r="O36" s="541"/>
      <c r="P36" s="549" t="str">
        <f>IF(AND('Mapa final'!$K$64="Baja",'Mapa final'!$O$64="Menor"),CONCATENATE("R",'Mapa final'!$A$64),"")</f>
        <v/>
      </c>
      <c r="Q36" s="549"/>
      <c r="R36" s="549" t="str">
        <f>IF(AND('Mapa final'!$K$70="Baja",'Mapa final'!$O$70="Menor"),CONCATENATE("R",'Mapa final'!$A$70),"")</f>
        <v/>
      </c>
      <c r="S36" s="549"/>
      <c r="T36" s="549" t="str">
        <f>IF(AND('Mapa final'!$K$76="Baja",'Mapa final'!$O$76="Menor"),CONCATENATE("R",'Mapa final'!$A$76),"")</f>
        <v/>
      </c>
      <c r="U36" s="550"/>
      <c r="V36" s="548" t="str">
        <f>IF(AND('Mapa final'!$K$64="Baja",'Mapa final'!$O$64="Moderado"),CONCATENATE("R",'Mapa final'!$A$64),"")</f>
        <v/>
      </c>
      <c r="W36" s="549"/>
      <c r="X36" s="549" t="str">
        <f>IF(AND('Mapa final'!$K$70="Baja",'Mapa final'!$O$70="Moderado"),CONCATENATE("R",'Mapa final'!$A$70),"")</f>
        <v/>
      </c>
      <c r="Y36" s="549"/>
      <c r="Z36" s="549" t="str">
        <f>IF(AND('Mapa final'!$K$76="Baja",'Mapa final'!$O$76="Moderado"),CONCATENATE("R",'Mapa final'!$A$76),"")</f>
        <v/>
      </c>
      <c r="AA36" s="550"/>
      <c r="AB36" s="566" t="str">
        <f>IF(AND('Mapa final'!$K$64="Baja",'Mapa final'!$O$64="Mayor"),CONCATENATE("R",'Mapa final'!$A$64),"")</f>
        <v/>
      </c>
      <c r="AC36" s="567"/>
      <c r="AD36" s="567" t="str">
        <f>IF(AND('Mapa final'!$K$70="Baja",'Mapa final'!$O$70="Mayor"),CONCATENATE("R",'Mapa final'!$A$70),"")</f>
        <v/>
      </c>
      <c r="AE36" s="567"/>
      <c r="AF36" s="567" t="str">
        <f>IF(AND('Mapa final'!$K$76="Baja",'Mapa final'!$O$76="Mayor"),CONCATENATE("R",'Mapa final'!$A$76),"")</f>
        <v/>
      </c>
      <c r="AG36" s="568"/>
      <c r="AH36" s="557" t="str">
        <f>IF(AND('Mapa final'!$K$64="Baja",'Mapa final'!$O$64="Catastrófico"),CONCATENATE("R",'Mapa final'!$A$64),"")</f>
        <v/>
      </c>
      <c r="AI36" s="558"/>
      <c r="AJ36" s="558" t="str">
        <f>IF(AND('Mapa final'!$K$70="Baja",'Mapa final'!$O$70="Catastrófico"),CONCATENATE("R",'Mapa final'!$A$70),"")</f>
        <v/>
      </c>
      <c r="AK36" s="558"/>
      <c r="AL36" s="558" t="str">
        <f>IF(AND('Mapa final'!$K$76="Baja",'Mapa final'!$O$76="Catastrófico"),CONCATENATE("R",'Mapa final'!$A$76),"")</f>
        <v/>
      </c>
      <c r="AM36" s="559"/>
      <c r="AN36" s="67"/>
      <c r="AO36" s="618"/>
      <c r="AP36" s="619"/>
      <c r="AQ36" s="619"/>
      <c r="AR36" s="619"/>
      <c r="AS36" s="619"/>
      <c r="AT36" s="620"/>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586"/>
      <c r="C37" s="586"/>
      <c r="D37" s="587"/>
      <c r="E37" s="582"/>
      <c r="F37" s="583"/>
      <c r="G37" s="583"/>
      <c r="H37" s="583"/>
      <c r="I37" s="583"/>
      <c r="J37" s="542"/>
      <c r="K37" s="543"/>
      <c r="L37" s="543"/>
      <c r="M37" s="543"/>
      <c r="N37" s="543"/>
      <c r="O37" s="544"/>
      <c r="P37" s="552"/>
      <c r="Q37" s="552"/>
      <c r="R37" s="552"/>
      <c r="S37" s="552"/>
      <c r="T37" s="552"/>
      <c r="U37" s="553"/>
      <c r="V37" s="551"/>
      <c r="W37" s="552"/>
      <c r="X37" s="552"/>
      <c r="Y37" s="552"/>
      <c r="Z37" s="552"/>
      <c r="AA37" s="553"/>
      <c r="AB37" s="569"/>
      <c r="AC37" s="570"/>
      <c r="AD37" s="570"/>
      <c r="AE37" s="570"/>
      <c r="AF37" s="570"/>
      <c r="AG37" s="571"/>
      <c r="AH37" s="560"/>
      <c r="AI37" s="561"/>
      <c r="AJ37" s="561"/>
      <c r="AK37" s="561"/>
      <c r="AL37" s="561"/>
      <c r="AM37" s="562"/>
      <c r="AN37" s="67"/>
      <c r="AO37" s="621"/>
      <c r="AP37" s="622"/>
      <c r="AQ37" s="622"/>
      <c r="AR37" s="622"/>
      <c r="AS37" s="622"/>
      <c r="AT37" s="623"/>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586"/>
      <c r="C38" s="586"/>
      <c r="D38" s="587"/>
      <c r="E38" s="576" t="s">
        <v>107</v>
      </c>
      <c r="F38" s="577"/>
      <c r="G38" s="577"/>
      <c r="H38" s="577"/>
      <c r="I38" s="578"/>
      <c r="J38" s="545" t="str">
        <f>IF(AND('Mapa final'!$K$10="Muy Baja",'Mapa final'!$O$10="Leve"),CONCATENATE("R",'Mapa final'!$A$10),"")</f>
        <v/>
      </c>
      <c r="K38" s="546"/>
      <c r="L38" s="546" t="str">
        <f>IF(AND('Mapa final'!$K$16="Muy Baja",'Mapa final'!$O$16="Leve"),CONCATENATE("R",'Mapa final'!$A$16),"")</f>
        <v/>
      </c>
      <c r="M38" s="546"/>
      <c r="N38" s="546" t="str">
        <f>IF(AND('Mapa final'!$K$22="Muy Baja",'Mapa final'!$O$22="Leve"),CONCATENATE("R",'Mapa final'!$A$22),"")</f>
        <v/>
      </c>
      <c r="O38" s="547"/>
      <c r="P38" s="545" t="str">
        <f>IF(AND('Mapa final'!$K$10="Muy Baja",'Mapa final'!$O$10="Menor"),CONCATENATE("R",'Mapa final'!$A$10),"")</f>
        <v/>
      </c>
      <c r="Q38" s="546"/>
      <c r="R38" s="546" t="str">
        <f>IF(AND('Mapa final'!$K$16="Muy Baja",'Mapa final'!$O$16="Menor"),CONCATENATE("R",'Mapa final'!$A$16),"")</f>
        <v/>
      </c>
      <c r="S38" s="546"/>
      <c r="T38" s="546" t="str">
        <f>IF(AND('Mapa final'!$K$22="Muy Baja",'Mapa final'!$O$22="Menor"),CONCATENATE("R",'Mapa final'!$A$22),"")</f>
        <v/>
      </c>
      <c r="U38" s="547"/>
      <c r="V38" s="554" t="str">
        <f>IF(AND('Mapa final'!$K$10="Muy Baja",'Mapa final'!$O$10="Moderado"),CONCATENATE("R",'Mapa final'!$A$10),"")</f>
        <v/>
      </c>
      <c r="W38" s="555"/>
      <c r="X38" s="555" t="str">
        <f>IF(AND('Mapa final'!$K$16="Muy Baja",'Mapa final'!$O$16="Moderado"),CONCATENATE("R",'Mapa final'!$A$16),"")</f>
        <v/>
      </c>
      <c r="Y38" s="555"/>
      <c r="Z38" s="555" t="str">
        <f>IF(AND('Mapa final'!$K$22="Muy Baja",'Mapa final'!$O$22="Moderado"),CONCATENATE("R",'Mapa final'!$A$22),"")</f>
        <v/>
      </c>
      <c r="AA38" s="556"/>
      <c r="AB38" s="572" t="str">
        <f>IF(AND('Mapa final'!$K$10="Muy Baja",'Mapa final'!$O$10="Mayor"),CONCATENATE("R",'Mapa final'!$A$10),"")</f>
        <v/>
      </c>
      <c r="AC38" s="573"/>
      <c r="AD38" s="573" t="str">
        <f>IF(AND('Mapa final'!$K$16="Muy Baja",'Mapa final'!$O$16="Mayor"),CONCATENATE("R",'Mapa final'!$A$16),"")</f>
        <v/>
      </c>
      <c r="AE38" s="573"/>
      <c r="AF38" s="573" t="str">
        <f>IF(AND('Mapa final'!$K$22="Muy Baja",'Mapa final'!$O$22="Mayor"),CONCATENATE("R",'Mapa final'!$A$22),"")</f>
        <v/>
      </c>
      <c r="AG38" s="574"/>
      <c r="AH38" s="563" t="str">
        <f>IF(AND('Mapa final'!$K$10="Muy Baja",'Mapa final'!$O$10="Catastrófico"),CONCATENATE("R",'Mapa final'!$A$10),"")</f>
        <v/>
      </c>
      <c r="AI38" s="564"/>
      <c r="AJ38" s="564" t="str">
        <f>IF(AND('Mapa final'!$K$16="Muy Baja",'Mapa final'!$O$16="Catastrófico"),CONCATENATE("R",'Mapa final'!$A$16),"")</f>
        <v/>
      </c>
      <c r="AK38" s="564"/>
      <c r="AL38" s="564" t="str">
        <f>IF(AND('Mapa final'!$K$22="Muy Baja",'Mapa final'!$O$22="Catastrófico"),CONCATENATE("R",'Mapa final'!$A$22),"")</f>
        <v/>
      </c>
      <c r="AM38" s="565"/>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586"/>
      <c r="C39" s="586"/>
      <c r="D39" s="587"/>
      <c r="E39" s="579"/>
      <c r="F39" s="580"/>
      <c r="G39" s="580"/>
      <c r="H39" s="580"/>
      <c r="I39" s="581"/>
      <c r="J39" s="539"/>
      <c r="K39" s="540"/>
      <c r="L39" s="540"/>
      <c r="M39" s="540"/>
      <c r="N39" s="540"/>
      <c r="O39" s="541"/>
      <c r="P39" s="539"/>
      <c r="Q39" s="540"/>
      <c r="R39" s="540"/>
      <c r="S39" s="540"/>
      <c r="T39" s="540"/>
      <c r="U39" s="541"/>
      <c r="V39" s="548"/>
      <c r="W39" s="549"/>
      <c r="X39" s="549"/>
      <c r="Y39" s="549"/>
      <c r="Z39" s="549"/>
      <c r="AA39" s="550"/>
      <c r="AB39" s="566"/>
      <c r="AC39" s="567"/>
      <c r="AD39" s="567"/>
      <c r="AE39" s="567"/>
      <c r="AF39" s="567"/>
      <c r="AG39" s="568"/>
      <c r="AH39" s="557"/>
      <c r="AI39" s="558"/>
      <c r="AJ39" s="558"/>
      <c r="AK39" s="558"/>
      <c r="AL39" s="558"/>
      <c r="AM39" s="559"/>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586"/>
      <c r="C40" s="586"/>
      <c r="D40" s="587"/>
      <c r="E40" s="579"/>
      <c r="F40" s="580"/>
      <c r="G40" s="580"/>
      <c r="H40" s="580"/>
      <c r="I40" s="581"/>
      <c r="J40" s="539" t="str">
        <f>IF(AND('Mapa final'!$K$28="Muy Baja",'Mapa final'!$O$28="Leve"),CONCATENATE("R",'Mapa final'!$A$28),"")</f>
        <v/>
      </c>
      <c r="K40" s="540"/>
      <c r="L40" s="540" t="str">
        <f>IF(AND('Mapa final'!$K$34="Muy Baja",'Mapa final'!$O$34="Leve"),CONCATENATE("R",'Mapa final'!$A$34),"")</f>
        <v/>
      </c>
      <c r="M40" s="540"/>
      <c r="N40" s="540" t="str">
        <f>IF(AND('Mapa final'!$K$40="Muy Baja",'Mapa final'!$O$40="Leve"),CONCATENATE("R",'Mapa final'!$A$40),"")</f>
        <v/>
      </c>
      <c r="O40" s="541"/>
      <c r="P40" s="539" t="str">
        <f>IF(AND('Mapa final'!$K$28="Muy Baja",'Mapa final'!$O$28="Menor"),CONCATENATE("R",'Mapa final'!$A$28),"")</f>
        <v/>
      </c>
      <c r="Q40" s="540"/>
      <c r="R40" s="540" t="str">
        <f>IF(AND('Mapa final'!$K$34="Muy Baja",'Mapa final'!$O$34="Menor"),CONCATENATE("R",'Mapa final'!$A$34),"")</f>
        <v/>
      </c>
      <c r="S40" s="540"/>
      <c r="T40" s="540" t="str">
        <f>IF(AND('Mapa final'!$K$40="Muy Baja",'Mapa final'!$O$40="Menor"),CONCATENATE("R",'Mapa final'!$A$40),"")</f>
        <v/>
      </c>
      <c r="U40" s="541"/>
      <c r="V40" s="548" t="str">
        <f>IF(AND('Mapa final'!$K$28="Muy Baja",'Mapa final'!$O$28="Moderado"),CONCATENATE("R",'Mapa final'!$A$28),"")</f>
        <v/>
      </c>
      <c r="W40" s="549"/>
      <c r="X40" s="549" t="str">
        <f>IF(AND('Mapa final'!$K$34="Muy Baja",'Mapa final'!$O$34="Moderado"),CONCATENATE("R",'Mapa final'!$A$34),"")</f>
        <v/>
      </c>
      <c r="Y40" s="549"/>
      <c r="Z40" s="549" t="str">
        <f>IF(AND('Mapa final'!$K$40="Muy Baja",'Mapa final'!$O$40="Moderado"),CONCATENATE("R",'Mapa final'!$A$40),"")</f>
        <v/>
      </c>
      <c r="AA40" s="550"/>
      <c r="AB40" s="566" t="str">
        <f>IF(AND('Mapa final'!$K$28="Muy Baja",'Mapa final'!$O$28="Mayor"),CONCATENATE("R",'Mapa final'!$A$28),"")</f>
        <v/>
      </c>
      <c r="AC40" s="567"/>
      <c r="AD40" s="567" t="str">
        <f>IF(AND('Mapa final'!$K$34="Muy Baja",'Mapa final'!$O$34="Mayor"),CONCATENATE("R",'Mapa final'!$A$34),"")</f>
        <v/>
      </c>
      <c r="AE40" s="567"/>
      <c r="AF40" s="567" t="str">
        <f>IF(AND('Mapa final'!$K$40="Muy Baja",'Mapa final'!$O$40="Mayor"),CONCATENATE("R",'Mapa final'!$A$40),"")</f>
        <v/>
      </c>
      <c r="AG40" s="568"/>
      <c r="AH40" s="557" t="str">
        <f>IF(AND('Mapa final'!$K$28="Muy Baja",'Mapa final'!$O$28="Catastrófico"),CONCATENATE("R",'Mapa final'!$A$28),"")</f>
        <v/>
      </c>
      <c r="AI40" s="558"/>
      <c r="AJ40" s="558" t="str">
        <f>IF(AND('Mapa final'!$K$34="Muy Baja",'Mapa final'!$O$34="Catastrófico"),CONCATENATE("R",'Mapa final'!$A$34),"")</f>
        <v/>
      </c>
      <c r="AK40" s="558"/>
      <c r="AL40" s="558" t="str">
        <f>IF(AND('Mapa final'!$K$40="Muy Baja",'Mapa final'!$O$40="Catastrófico"),CONCATENATE("R",'Mapa final'!$A$40),"")</f>
        <v/>
      </c>
      <c r="AM40" s="559"/>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586"/>
      <c r="C41" s="586"/>
      <c r="D41" s="587"/>
      <c r="E41" s="579"/>
      <c r="F41" s="580"/>
      <c r="G41" s="580"/>
      <c r="H41" s="580"/>
      <c r="I41" s="581"/>
      <c r="J41" s="539"/>
      <c r="K41" s="540"/>
      <c r="L41" s="540"/>
      <c r="M41" s="540"/>
      <c r="N41" s="540"/>
      <c r="O41" s="541"/>
      <c r="P41" s="539"/>
      <c r="Q41" s="540"/>
      <c r="R41" s="540"/>
      <c r="S41" s="540"/>
      <c r="T41" s="540"/>
      <c r="U41" s="541"/>
      <c r="V41" s="548"/>
      <c r="W41" s="549"/>
      <c r="X41" s="549"/>
      <c r="Y41" s="549"/>
      <c r="Z41" s="549"/>
      <c r="AA41" s="550"/>
      <c r="AB41" s="566"/>
      <c r="AC41" s="567"/>
      <c r="AD41" s="567"/>
      <c r="AE41" s="567"/>
      <c r="AF41" s="567"/>
      <c r="AG41" s="568"/>
      <c r="AH41" s="557"/>
      <c r="AI41" s="558"/>
      <c r="AJ41" s="558"/>
      <c r="AK41" s="558"/>
      <c r="AL41" s="558"/>
      <c r="AM41" s="559"/>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586"/>
      <c r="C42" s="586"/>
      <c r="D42" s="587"/>
      <c r="E42" s="579"/>
      <c r="F42" s="580"/>
      <c r="G42" s="580"/>
      <c r="H42" s="580"/>
      <c r="I42" s="581"/>
      <c r="J42" s="539" t="str">
        <f>IF(AND('Mapa final'!$K$46="Muy Baja",'Mapa final'!$O$46="Leve"),CONCATENATE("R",'Mapa final'!$A$46),"")</f>
        <v/>
      </c>
      <c r="K42" s="540"/>
      <c r="L42" s="540" t="str">
        <f>IF(AND('Mapa final'!$K$52="Muy Baja",'Mapa final'!$O$52="Leve"),CONCATENATE("R",'Mapa final'!$A$52),"")</f>
        <v/>
      </c>
      <c r="M42" s="540"/>
      <c r="N42" s="540" t="str">
        <f>IF(AND('Mapa final'!$K$58="Muy Baja",'Mapa final'!$O$58="Leve"),CONCATENATE("R",'Mapa final'!$A$58),"")</f>
        <v/>
      </c>
      <c r="O42" s="541"/>
      <c r="P42" s="539" t="str">
        <f>IF(AND('Mapa final'!$K$46="Muy Baja",'Mapa final'!$O$46="Menor"),CONCATENATE("R",'Mapa final'!$A$46),"")</f>
        <v/>
      </c>
      <c r="Q42" s="540"/>
      <c r="R42" s="540" t="str">
        <f>IF(AND('Mapa final'!$K$52="Muy Baja",'Mapa final'!$O$52="Menor"),CONCATENATE("R",'Mapa final'!$A$52),"")</f>
        <v/>
      </c>
      <c r="S42" s="540"/>
      <c r="T42" s="540" t="str">
        <f>IF(AND('Mapa final'!$K$58="Muy Baja",'Mapa final'!$O$58="Menor"),CONCATENATE("R",'Mapa final'!$A$58),"")</f>
        <v/>
      </c>
      <c r="U42" s="541"/>
      <c r="V42" s="548" t="str">
        <f>IF(AND('Mapa final'!$K$46="Muy Baja",'Mapa final'!$O$46="Moderado"),CONCATENATE("R",'Mapa final'!$A$46),"")</f>
        <v/>
      </c>
      <c r="W42" s="549"/>
      <c r="X42" s="549" t="str">
        <f>IF(AND('Mapa final'!$K$52="Muy Baja",'Mapa final'!$O$52="Moderado"),CONCATENATE("R",'Mapa final'!$A$52),"")</f>
        <v/>
      </c>
      <c r="Y42" s="549"/>
      <c r="Z42" s="549" t="str">
        <f>IF(AND('Mapa final'!$K$58="Muy Baja",'Mapa final'!$O$58="Moderado"),CONCATENATE("R",'Mapa final'!$A$58),"")</f>
        <v/>
      </c>
      <c r="AA42" s="550"/>
      <c r="AB42" s="566" t="str">
        <f>IF(AND('Mapa final'!$K$46="Muy Baja",'Mapa final'!$O$46="Mayor"),CONCATENATE("R",'Mapa final'!$A$46),"")</f>
        <v/>
      </c>
      <c r="AC42" s="567"/>
      <c r="AD42" s="567" t="str">
        <f>IF(AND('Mapa final'!$K$52="Muy Baja",'Mapa final'!$O$52="Mayor"),CONCATENATE("R",'Mapa final'!$A$52),"")</f>
        <v/>
      </c>
      <c r="AE42" s="567"/>
      <c r="AF42" s="567" t="str">
        <f>IF(AND('Mapa final'!$K$58="Muy Baja",'Mapa final'!$O$58="Mayor"),CONCATENATE("R",'Mapa final'!$A$58),"")</f>
        <v/>
      </c>
      <c r="AG42" s="568"/>
      <c r="AH42" s="557" t="str">
        <f>IF(AND('Mapa final'!$K$46="Muy Baja",'Mapa final'!$O$46="Catastrófico"),CONCATENATE("R",'Mapa final'!$A$46),"")</f>
        <v/>
      </c>
      <c r="AI42" s="558"/>
      <c r="AJ42" s="558" t="str">
        <f>IF(AND('Mapa final'!$K$52="Muy Baja",'Mapa final'!$O$52="Catastrófico"),CONCATENATE("R",'Mapa final'!$A$52),"")</f>
        <v/>
      </c>
      <c r="AK42" s="558"/>
      <c r="AL42" s="558" t="str">
        <f>IF(AND('Mapa final'!$K$58="Muy Baja",'Mapa final'!$O$58="Catastrófico"),CONCATENATE("R",'Mapa final'!$A$58),"")</f>
        <v/>
      </c>
      <c r="AM42" s="559"/>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586"/>
      <c r="C43" s="586"/>
      <c r="D43" s="587"/>
      <c r="E43" s="579"/>
      <c r="F43" s="580"/>
      <c r="G43" s="580"/>
      <c r="H43" s="580"/>
      <c r="I43" s="581"/>
      <c r="J43" s="539"/>
      <c r="K43" s="540"/>
      <c r="L43" s="540"/>
      <c r="M43" s="540"/>
      <c r="N43" s="540"/>
      <c r="O43" s="541"/>
      <c r="P43" s="539"/>
      <c r="Q43" s="540"/>
      <c r="R43" s="540"/>
      <c r="S43" s="540"/>
      <c r="T43" s="540"/>
      <c r="U43" s="541"/>
      <c r="V43" s="548"/>
      <c r="W43" s="549"/>
      <c r="X43" s="549"/>
      <c r="Y43" s="549"/>
      <c r="Z43" s="549"/>
      <c r="AA43" s="550"/>
      <c r="AB43" s="566"/>
      <c r="AC43" s="567"/>
      <c r="AD43" s="567"/>
      <c r="AE43" s="567"/>
      <c r="AF43" s="567"/>
      <c r="AG43" s="568"/>
      <c r="AH43" s="557"/>
      <c r="AI43" s="558"/>
      <c r="AJ43" s="558"/>
      <c r="AK43" s="558"/>
      <c r="AL43" s="558"/>
      <c r="AM43" s="559"/>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586"/>
      <c r="C44" s="586"/>
      <c r="D44" s="587"/>
      <c r="E44" s="579"/>
      <c r="F44" s="580"/>
      <c r="G44" s="580"/>
      <c r="H44" s="580"/>
      <c r="I44" s="581"/>
      <c r="J44" s="539" t="str">
        <f>IF(AND('Mapa final'!$K$64="Muy Baja",'Mapa final'!$O$64="Leve"),CONCATENATE("R",'Mapa final'!$A$64),"")</f>
        <v/>
      </c>
      <c r="K44" s="540"/>
      <c r="L44" s="540" t="str">
        <f>IF(AND('Mapa final'!$K$70="Muy Baja",'Mapa final'!$O$70="Leve"),CONCATENATE("R",'Mapa final'!$A$70),"")</f>
        <v/>
      </c>
      <c r="M44" s="540"/>
      <c r="N44" s="540" t="str">
        <f>IF(AND('Mapa final'!$K$76="Muy Baja",'Mapa final'!$O$76="Leve"),CONCATENATE("R",'Mapa final'!$A$76),"")</f>
        <v/>
      </c>
      <c r="O44" s="541"/>
      <c r="P44" s="539" t="str">
        <f>IF(AND('Mapa final'!$K$64="Muy Baja",'Mapa final'!$O$64="Menor"),CONCATENATE("R",'Mapa final'!$A$64),"")</f>
        <v/>
      </c>
      <c r="Q44" s="540"/>
      <c r="R44" s="540" t="str">
        <f>IF(AND('Mapa final'!$K$70="Muy Baja",'Mapa final'!$O$70="Menor"),CONCATENATE("R",'Mapa final'!$A$70),"")</f>
        <v/>
      </c>
      <c r="S44" s="540"/>
      <c r="T44" s="540" t="str">
        <f>IF(AND('Mapa final'!$K$76="Muy Baja",'Mapa final'!$O$76="Menor"),CONCATENATE("R",'Mapa final'!$A$76),"")</f>
        <v/>
      </c>
      <c r="U44" s="541"/>
      <c r="V44" s="548" t="str">
        <f>IF(AND('Mapa final'!$K$64="Muy Baja",'Mapa final'!$O$64="Moderado"),CONCATENATE("R",'Mapa final'!$A$64),"")</f>
        <v/>
      </c>
      <c r="W44" s="549"/>
      <c r="X44" s="549" t="str">
        <f>IF(AND('Mapa final'!$K$70="Muy Baja",'Mapa final'!$O$70="Moderado"),CONCATENATE("R",'Mapa final'!$A$70),"")</f>
        <v/>
      </c>
      <c r="Y44" s="549"/>
      <c r="Z44" s="549" t="str">
        <f>IF(AND('Mapa final'!$K$76="Muy Baja",'Mapa final'!$O$76="Moderado"),CONCATENATE("R",'Mapa final'!$A$76),"")</f>
        <v/>
      </c>
      <c r="AA44" s="550"/>
      <c r="AB44" s="566" t="str">
        <f>IF(AND('Mapa final'!$K$64="Muy Baja",'Mapa final'!$O$64="Mayor"),CONCATENATE("R",'Mapa final'!$A$64),"")</f>
        <v/>
      </c>
      <c r="AC44" s="567"/>
      <c r="AD44" s="567" t="str">
        <f>IF(AND('Mapa final'!$K$70="Muy Baja",'Mapa final'!$O$70="Mayor"),CONCATENATE("R",'Mapa final'!$A$70),"")</f>
        <v/>
      </c>
      <c r="AE44" s="567"/>
      <c r="AF44" s="567" t="str">
        <f>IF(AND('Mapa final'!$K$76="Muy Baja",'Mapa final'!$O$76="Mayor"),CONCATENATE("R",'Mapa final'!$A$76),"")</f>
        <v/>
      </c>
      <c r="AG44" s="568"/>
      <c r="AH44" s="557" t="str">
        <f>IF(AND('Mapa final'!$K$64="Muy Baja",'Mapa final'!$O$64="Catastrófico"),CONCATENATE("R",'Mapa final'!$A$64),"")</f>
        <v/>
      </c>
      <c r="AI44" s="558"/>
      <c r="AJ44" s="558" t="str">
        <f>IF(AND('Mapa final'!$K$70="Muy Baja",'Mapa final'!$O$70="Catastrófico"),CONCATENATE("R",'Mapa final'!$A$70),"")</f>
        <v/>
      </c>
      <c r="AK44" s="558"/>
      <c r="AL44" s="558" t="str">
        <f>IF(AND('Mapa final'!$K$76="Muy Baja",'Mapa final'!$O$76="Catastrófico"),CONCATENATE("R",'Mapa final'!$A$76),"")</f>
        <v/>
      </c>
      <c r="AM44" s="559"/>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586"/>
      <c r="C45" s="586"/>
      <c r="D45" s="587"/>
      <c r="E45" s="582"/>
      <c r="F45" s="583"/>
      <c r="G45" s="583"/>
      <c r="H45" s="583"/>
      <c r="I45" s="584"/>
      <c r="J45" s="542"/>
      <c r="K45" s="543"/>
      <c r="L45" s="543"/>
      <c r="M45" s="543"/>
      <c r="N45" s="543"/>
      <c r="O45" s="544"/>
      <c r="P45" s="542"/>
      <c r="Q45" s="543"/>
      <c r="R45" s="543"/>
      <c r="S45" s="543"/>
      <c r="T45" s="543"/>
      <c r="U45" s="544"/>
      <c r="V45" s="551"/>
      <c r="W45" s="552"/>
      <c r="X45" s="552"/>
      <c r="Y45" s="552"/>
      <c r="Z45" s="552"/>
      <c r="AA45" s="553"/>
      <c r="AB45" s="569"/>
      <c r="AC45" s="570"/>
      <c r="AD45" s="570"/>
      <c r="AE45" s="570"/>
      <c r="AF45" s="570"/>
      <c r="AG45" s="571"/>
      <c r="AH45" s="560"/>
      <c r="AI45" s="561"/>
      <c r="AJ45" s="561"/>
      <c r="AK45" s="561"/>
      <c r="AL45" s="561"/>
      <c r="AM45" s="562"/>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576" t="s">
        <v>106</v>
      </c>
      <c r="K46" s="577"/>
      <c r="L46" s="577"/>
      <c r="M46" s="577"/>
      <c r="N46" s="577"/>
      <c r="O46" s="578"/>
      <c r="P46" s="576" t="s">
        <v>105</v>
      </c>
      <c r="Q46" s="577"/>
      <c r="R46" s="577"/>
      <c r="S46" s="577"/>
      <c r="T46" s="577"/>
      <c r="U46" s="578"/>
      <c r="V46" s="576" t="s">
        <v>104</v>
      </c>
      <c r="W46" s="577"/>
      <c r="X46" s="577"/>
      <c r="Y46" s="577"/>
      <c r="Z46" s="577"/>
      <c r="AA46" s="578"/>
      <c r="AB46" s="576" t="s">
        <v>103</v>
      </c>
      <c r="AC46" s="585"/>
      <c r="AD46" s="577"/>
      <c r="AE46" s="577"/>
      <c r="AF46" s="577"/>
      <c r="AG46" s="578"/>
      <c r="AH46" s="576" t="s">
        <v>102</v>
      </c>
      <c r="AI46" s="577"/>
      <c r="AJ46" s="577"/>
      <c r="AK46" s="577"/>
      <c r="AL46" s="577"/>
      <c r="AM46" s="578"/>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79"/>
      <c r="K47" s="580"/>
      <c r="L47" s="580"/>
      <c r="M47" s="580"/>
      <c r="N47" s="580"/>
      <c r="O47" s="581"/>
      <c r="P47" s="579"/>
      <c r="Q47" s="580"/>
      <c r="R47" s="580"/>
      <c r="S47" s="580"/>
      <c r="T47" s="580"/>
      <c r="U47" s="581"/>
      <c r="V47" s="579"/>
      <c r="W47" s="580"/>
      <c r="X47" s="580"/>
      <c r="Y47" s="580"/>
      <c r="Z47" s="580"/>
      <c r="AA47" s="581"/>
      <c r="AB47" s="579"/>
      <c r="AC47" s="580"/>
      <c r="AD47" s="580"/>
      <c r="AE47" s="580"/>
      <c r="AF47" s="580"/>
      <c r="AG47" s="581"/>
      <c r="AH47" s="579"/>
      <c r="AI47" s="580"/>
      <c r="AJ47" s="580"/>
      <c r="AK47" s="580"/>
      <c r="AL47" s="580"/>
      <c r="AM47" s="581"/>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79"/>
      <c r="K48" s="580"/>
      <c r="L48" s="580"/>
      <c r="M48" s="580"/>
      <c r="N48" s="580"/>
      <c r="O48" s="581"/>
      <c r="P48" s="579"/>
      <c r="Q48" s="580"/>
      <c r="R48" s="580"/>
      <c r="S48" s="580"/>
      <c r="T48" s="580"/>
      <c r="U48" s="581"/>
      <c r="V48" s="579"/>
      <c r="W48" s="580"/>
      <c r="X48" s="580"/>
      <c r="Y48" s="580"/>
      <c r="Z48" s="580"/>
      <c r="AA48" s="581"/>
      <c r="AB48" s="579"/>
      <c r="AC48" s="580"/>
      <c r="AD48" s="580"/>
      <c r="AE48" s="580"/>
      <c r="AF48" s="580"/>
      <c r="AG48" s="581"/>
      <c r="AH48" s="579"/>
      <c r="AI48" s="580"/>
      <c r="AJ48" s="580"/>
      <c r="AK48" s="580"/>
      <c r="AL48" s="580"/>
      <c r="AM48" s="581"/>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79"/>
      <c r="K49" s="580"/>
      <c r="L49" s="580"/>
      <c r="M49" s="580"/>
      <c r="N49" s="580"/>
      <c r="O49" s="581"/>
      <c r="P49" s="579"/>
      <c r="Q49" s="580"/>
      <c r="R49" s="580"/>
      <c r="S49" s="580"/>
      <c r="T49" s="580"/>
      <c r="U49" s="581"/>
      <c r="V49" s="579"/>
      <c r="W49" s="580"/>
      <c r="X49" s="580"/>
      <c r="Y49" s="580"/>
      <c r="Z49" s="580"/>
      <c r="AA49" s="581"/>
      <c r="AB49" s="579"/>
      <c r="AC49" s="580"/>
      <c r="AD49" s="580"/>
      <c r="AE49" s="580"/>
      <c r="AF49" s="580"/>
      <c r="AG49" s="581"/>
      <c r="AH49" s="579"/>
      <c r="AI49" s="580"/>
      <c r="AJ49" s="580"/>
      <c r="AK49" s="580"/>
      <c r="AL49" s="580"/>
      <c r="AM49" s="581"/>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79"/>
      <c r="K50" s="580"/>
      <c r="L50" s="580"/>
      <c r="M50" s="580"/>
      <c r="N50" s="580"/>
      <c r="O50" s="581"/>
      <c r="P50" s="579"/>
      <c r="Q50" s="580"/>
      <c r="R50" s="580"/>
      <c r="S50" s="580"/>
      <c r="T50" s="580"/>
      <c r="U50" s="581"/>
      <c r="V50" s="579"/>
      <c r="W50" s="580"/>
      <c r="X50" s="580"/>
      <c r="Y50" s="580"/>
      <c r="Z50" s="580"/>
      <c r="AA50" s="581"/>
      <c r="AB50" s="579"/>
      <c r="AC50" s="580"/>
      <c r="AD50" s="580"/>
      <c r="AE50" s="580"/>
      <c r="AF50" s="580"/>
      <c r="AG50" s="581"/>
      <c r="AH50" s="579"/>
      <c r="AI50" s="580"/>
      <c r="AJ50" s="580"/>
      <c r="AK50" s="580"/>
      <c r="AL50" s="580"/>
      <c r="AM50" s="581"/>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82"/>
      <c r="K51" s="583"/>
      <c r="L51" s="583"/>
      <c r="M51" s="583"/>
      <c r="N51" s="583"/>
      <c r="O51" s="584"/>
      <c r="P51" s="582"/>
      <c r="Q51" s="583"/>
      <c r="R51" s="583"/>
      <c r="S51" s="583"/>
      <c r="T51" s="583"/>
      <c r="U51" s="584"/>
      <c r="V51" s="582"/>
      <c r="W51" s="583"/>
      <c r="X51" s="583"/>
      <c r="Y51" s="583"/>
      <c r="Z51" s="583"/>
      <c r="AA51" s="584"/>
      <c r="AB51" s="582"/>
      <c r="AC51" s="583"/>
      <c r="AD51" s="583"/>
      <c r="AE51" s="583"/>
      <c r="AF51" s="583"/>
      <c r="AG51" s="584"/>
      <c r="AH51" s="582"/>
      <c r="AI51" s="583"/>
      <c r="AJ51" s="583"/>
      <c r="AK51" s="583"/>
      <c r="AL51" s="583"/>
      <c r="AM51" s="584"/>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40" zoomScaleNormal="40" workbookViewId="0">
      <selection activeCell="AO16" sqref="AO16:AT25"/>
    </sheetView>
  </sheetViews>
  <sheetFormatPr baseColWidth="10" defaultColWidth="11.44140625"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653" t="s">
        <v>148</v>
      </c>
      <c r="C2" s="654"/>
      <c r="D2" s="654"/>
      <c r="E2" s="654"/>
      <c r="F2" s="654"/>
      <c r="G2" s="654"/>
      <c r="H2" s="654"/>
      <c r="I2" s="654"/>
      <c r="J2" s="575" t="s">
        <v>2</v>
      </c>
      <c r="K2" s="575"/>
      <c r="L2" s="575"/>
      <c r="M2" s="575"/>
      <c r="N2" s="575"/>
      <c r="O2" s="575"/>
      <c r="P2" s="575"/>
      <c r="Q2" s="575"/>
      <c r="R2" s="575"/>
      <c r="S2" s="575"/>
      <c r="T2" s="575"/>
      <c r="U2" s="575"/>
      <c r="V2" s="575"/>
      <c r="W2" s="575"/>
      <c r="X2" s="575"/>
      <c r="Y2" s="575"/>
      <c r="Z2" s="575"/>
      <c r="AA2" s="575"/>
      <c r="AB2" s="575"/>
      <c r="AC2" s="575"/>
      <c r="AD2" s="575"/>
      <c r="AE2" s="575"/>
      <c r="AF2" s="575"/>
      <c r="AG2" s="575"/>
      <c r="AH2" s="575"/>
      <c r="AI2" s="575"/>
      <c r="AJ2" s="575"/>
      <c r="AK2" s="575"/>
      <c r="AL2" s="575"/>
      <c r="AM2" s="575"/>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654"/>
      <c r="C3" s="654"/>
      <c r="D3" s="654"/>
      <c r="E3" s="654"/>
      <c r="F3" s="654"/>
      <c r="G3" s="654"/>
      <c r="H3" s="654"/>
      <c r="I3" s="654"/>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75"/>
      <c r="AL3" s="575"/>
      <c r="AM3" s="575"/>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654"/>
      <c r="C4" s="654"/>
      <c r="D4" s="654"/>
      <c r="E4" s="654"/>
      <c r="F4" s="654"/>
      <c r="G4" s="654"/>
      <c r="H4" s="654"/>
      <c r="I4" s="654"/>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5"/>
      <c r="AI4" s="575"/>
      <c r="AJ4" s="575"/>
      <c r="AK4" s="575"/>
      <c r="AL4" s="575"/>
      <c r="AM4" s="575"/>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586" t="s">
        <v>4</v>
      </c>
      <c r="C6" s="586"/>
      <c r="D6" s="587"/>
      <c r="E6" s="624" t="s">
        <v>110</v>
      </c>
      <c r="F6" s="625"/>
      <c r="G6" s="625"/>
      <c r="H6" s="625"/>
      <c r="I6" s="626"/>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str">
        <f>IF(AND('Mapa final'!$AB$13="Muy Alta",'Mapa final'!$AD$13="Leve"),CONCATENATE("R1C",'Mapa final'!$R$13),"")</f>
        <v/>
      </c>
      <c r="N6" s="31" t="str">
        <f>IF(AND('Mapa final'!$AB$14="Muy Alta",'Mapa final'!$AD$14="Leve"),CONCATENATE("R1C",'Mapa final'!$R$14),"")</f>
        <v/>
      </c>
      <c r="O6" s="32" t="str">
        <f>IF(AND('Mapa final'!$AB$15="Muy Alta",'Mapa final'!$AD$15="Leve"),CONCATENATE("R1C",'Mapa final'!$R$15),"")</f>
        <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str">
        <f>IF(AND('Mapa final'!$AB$13="Muy Alta",'Mapa final'!$AD$13="Menor"),CONCATENATE("R1C",'Mapa final'!$R$13),"")</f>
        <v/>
      </c>
      <c r="T6" s="31" t="str">
        <f>IF(AND('Mapa final'!$AB$14="Muy Alta",'Mapa final'!$AD$14="Menor"),CONCATENATE("R1C",'Mapa final'!$R$14),"")</f>
        <v/>
      </c>
      <c r="U6" s="32" t="str">
        <f>IF(AND('Mapa final'!$AB$15="Muy Alta",'Mapa final'!$AD$15="Menor"),CONCATENATE("R1C",'Mapa final'!$R$15),"")</f>
        <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str">
        <f>IF(AND('Mapa final'!$AB$13="Muy Alta",'Mapa final'!$AD$13="Moderado"),CONCATENATE("R1C",'Mapa final'!$R$13),"")</f>
        <v/>
      </c>
      <c r="Z6" s="31" t="str">
        <f>IF(AND('Mapa final'!$AB$14="Muy Alta",'Mapa final'!$AD$14="Moderado"),CONCATENATE("R1C",'Mapa final'!$R$14),"")</f>
        <v/>
      </c>
      <c r="AA6" s="32" t="str">
        <f>IF(AND('Mapa final'!$AB$15="Muy Alta",'Mapa final'!$AD$15="Moderado"),CONCATENATE("R1C",'Mapa final'!$R$15),"")</f>
        <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str">
        <f>IF(AND('Mapa final'!$AB$13="Muy Alta",'Mapa final'!$AD$13="Mayor"),CONCATENATE("R1C",'Mapa final'!$R$13),"")</f>
        <v/>
      </c>
      <c r="AF6" s="31" t="str">
        <f>IF(AND('Mapa final'!$AB$14="Muy Alta",'Mapa final'!$AD$14="Mayor"),CONCATENATE("R1C",'Mapa final'!$R$14),"")</f>
        <v/>
      </c>
      <c r="AG6" s="32" t="str">
        <f>IF(AND('Mapa final'!$AB$15="Muy Alta",'Mapa final'!$AD$15="Mayor"),CONCATENATE("R1C",'Mapa final'!$R$15),"")</f>
        <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str">
        <f>IF(AND('Mapa final'!$AB$13="Muy Alta",'Mapa final'!$AD$13="Catastrófico"),CONCATENATE("R1C",'Mapa final'!$R$13),"")</f>
        <v/>
      </c>
      <c r="AL6" s="34" t="str">
        <f>IF(AND('Mapa final'!$AB$14="Muy Alta",'Mapa final'!$AD$14="Catastrófico"),CONCATENATE("R1C",'Mapa final'!$R$14),"")</f>
        <v/>
      </c>
      <c r="AM6" s="35" t="str">
        <f>IF(AND('Mapa final'!$AB$15="Muy Alta",'Mapa final'!$AD$15="Catastrófico"),CONCATENATE("R1C",'Mapa final'!$R$15),"")</f>
        <v/>
      </c>
      <c r="AN6" s="67"/>
      <c r="AO6" s="644" t="s">
        <v>77</v>
      </c>
      <c r="AP6" s="645"/>
      <c r="AQ6" s="645"/>
      <c r="AR6" s="645"/>
      <c r="AS6" s="645"/>
      <c r="AT6" s="646"/>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586"/>
      <c r="C7" s="586"/>
      <c r="D7" s="587"/>
      <c r="E7" s="627"/>
      <c r="F7" s="628"/>
      <c r="G7" s="628"/>
      <c r="H7" s="628"/>
      <c r="I7" s="629"/>
      <c r="J7" s="36" t="str">
        <f>IF(AND('Mapa final'!$AB$16="Muy Alta",'Mapa final'!$AD$16="Leve"),CONCATENATE("R2C",'Mapa final'!$R$16),"")</f>
        <v/>
      </c>
      <c r="K7" s="37" t="str">
        <f>IF(AND('Mapa final'!$AB$17="Muy Alta",'Mapa final'!$AD$17="Leve"),CONCATENATE("R2C",'Mapa final'!$R$17),"")</f>
        <v/>
      </c>
      <c r="L7" s="37" t="str">
        <f>IF(AND('Mapa final'!$AB$18="Muy Alta",'Mapa final'!$AD$18="Leve"),CONCATENATE("R2C",'Mapa final'!$R$18),"")</f>
        <v/>
      </c>
      <c r="M7" s="37" t="str">
        <f>IF(AND('Mapa final'!$AB$19="Muy Alta",'Mapa final'!$AD$19="Leve"),CONCATENATE("R2C",'Mapa final'!$R$19),"")</f>
        <v/>
      </c>
      <c r="N7" s="37" t="str">
        <f>IF(AND('Mapa final'!$AB$20="Muy Alta",'Mapa final'!$AD$20="Leve"),CONCATENATE("R2C",'Mapa final'!$R$20),"")</f>
        <v/>
      </c>
      <c r="O7" s="38" t="str">
        <f>IF(AND('Mapa final'!$AB$21="Muy Alta",'Mapa final'!$AD$21="Leve"),CONCATENATE("R2C",'Mapa final'!$R$21),"")</f>
        <v/>
      </c>
      <c r="P7" s="36" t="str">
        <f>IF(AND('Mapa final'!$AB$16="Muy Alta",'Mapa final'!$AD$16="Menor"),CONCATENATE("R2C",'Mapa final'!$R$16),"")</f>
        <v/>
      </c>
      <c r="Q7" s="37" t="str">
        <f>IF(AND('Mapa final'!$AB$17="Muy Alta",'Mapa final'!$AD$17="Menor"),CONCATENATE("R2C",'Mapa final'!$R$17),"")</f>
        <v/>
      </c>
      <c r="R7" s="37" t="str">
        <f>IF(AND('Mapa final'!$AB$18="Muy Alta",'Mapa final'!$AD$18="Menor"),CONCATENATE("R2C",'Mapa final'!$R$18),"")</f>
        <v/>
      </c>
      <c r="S7" s="37" t="str">
        <f>IF(AND('Mapa final'!$AB$19="Muy Alta",'Mapa final'!$AD$19="Menor"),CONCATENATE("R2C",'Mapa final'!$R$19),"")</f>
        <v/>
      </c>
      <c r="T7" s="37" t="str">
        <f>IF(AND('Mapa final'!$AB$20="Muy Alta",'Mapa final'!$AD$20="Menor"),CONCATENATE("R2C",'Mapa final'!$R$20),"")</f>
        <v/>
      </c>
      <c r="U7" s="38" t="str">
        <f>IF(AND('Mapa final'!$AB$21="Muy Alta",'Mapa final'!$AD$21="Menor"),CONCATENATE("R2C",'Mapa final'!$R$21),"")</f>
        <v/>
      </c>
      <c r="V7" s="36" t="str">
        <f>IF(AND('Mapa final'!$AB$16="Muy Alta",'Mapa final'!$AD$16="Moderado"),CONCATENATE("R2C",'Mapa final'!$R$16),"")</f>
        <v/>
      </c>
      <c r="W7" s="37" t="str">
        <f>IF(AND('Mapa final'!$AB$17="Muy Alta",'Mapa final'!$AD$17="Moderado"),CONCATENATE("R2C",'Mapa final'!$R$17),"")</f>
        <v/>
      </c>
      <c r="X7" s="37" t="str">
        <f>IF(AND('Mapa final'!$AB$18="Muy Alta",'Mapa final'!$AD$18="Moderado"),CONCATENATE("R2C",'Mapa final'!$R$18),"")</f>
        <v/>
      </c>
      <c r="Y7" s="37" t="str">
        <f>IF(AND('Mapa final'!$AB$19="Muy Alta",'Mapa final'!$AD$19="Moderado"),CONCATENATE("R2C",'Mapa final'!$R$19),"")</f>
        <v/>
      </c>
      <c r="Z7" s="37" t="str">
        <f>IF(AND('Mapa final'!$AB$20="Muy Alta",'Mapa final'!$AD$20="Moderado"),CONCATENATE("R2C",'Mapa final'!$R$20),"")</f>
        <v/>
      </c>
      <c r="AA7" s="38" t="str">
        <f>IF(AND('Mapa final'!$AB$21="Muy Alta",'Mapa final'!$AD$21="Moderado"),CONCATENATE("R2C",'Mapa final'!$R$21),"")</f>
        <v/>
      </c>
      <c r="AB7" s="36" t="str">
        <f>IF(AND('Mapa final'!$AB$16="Muy Alta",'Mapa final'!$AD$16="Mayor"),CONCATENATE("R2C",'Mapa final'!$R$16),"")</f>
        <v/>
      </c>
      <c r="AC7" s="37" t="str">
        <f>IF(AND('Mapa final'!$AB$17="Muy Alta",'Mapa final'!$AD$17="Mayor"),CONCATENATE("R2C",'Mapa final'!$R$17),"")</f>
        <v/>
      </c>
      <c r="AD7" s="37" t="str">
        <f>IF(AND('Mapa final'!$AB$18="Muy Alta",'Mapa final'!$AD$18="Mayor"),CONCATENATE("R2C",'Mapa final'!$R$18),"")</f>
        <v/>
      </c>
      <c r="AE7" s="37" t="str">
        <f>IF(AND('Mapa final'!$AB$19="Muy Alta",'Mapa final'!$AD$19="Mayor"),CONCATENATE("R2C",'Mapa final'!$R$19),"")</f>
        <v/>
      </c>
      <c r="AF7" s="37" t="str">
        <f>IF(AND('Mapa final'!$AB$20="Muy Alta",'Mapa final'!$AD$20="Mayor"),CONCATENATE("R2C",'Mapa final'!$R$20),"")</f>
        <v/>
      </c>
      <c r="AG7" s="38" t="str">
        <f>IF(AND('Mapa final'!$AB$21="Muy Alta",'Mapa final'!$AD$21="Mayor"),CONCATENATE("R2C",'Mapa final'!$R$21),"")</f>
        <v/>
      </c>
      <c r="AH7" s="39" t="str">
        <f>IF(AND('Mapa final'!$AB$16="Muy Alta",'Mapa final'!$AD$16="Catastrófico"),CONCATENATE("R2C",'Mapa final'!$R$16),"")</f>
        <v/>
      </c>
      <c r="AI7" s="40" t="str">
        <f>IF(AND('Mapa final'!$AB$17="Muy Alta",'Mapa final'!$AD$17="Catastrófico"),CONCATENATE("R2C",'Mapa final'!$R$17),"")</f>
        <v/>
      </c>
      <c r="AJ7" s="40" t="str">
        <f>IF(AND('Mapa final'!$AB$18="Muy Alta",'Mapa final'!$AD$18="Catastrófico"),CONCATENATE("R2C",'Mapa final'!$R$18),"")</f>
        <v/>
      </c>
      <c r="AK7" s="40" t="str">
        <f>IF(AND('Mapa final'!$AB$19="Muy Alta",'Mapa final'!$AD$19="Catastrófico"),CONCATENATE("R2C",'Mapa final'!$R$19),"")</f>
        <v/>
      </c>
      <c r="AL7" s="40" t="str">
        <f>IF(AND('Mapa final'!$AB$20="Muy Alta",'Mapa final'!$AD$20="Catastrófico"),CONCATENATE("R2C",'Mapa final'!$R$20),"")</f>
        <v/>
      </c>
      <c r="AM7" s="41" t="str">
        <f>IF(AND('Mapa final'!$AB$21="Muy Alta",'Mapa final'!$AD$21="Catastrófico"),CONCATENATE("R2C",'Mapa final'!$R$21),"")</f>
        <v/>
      </c>
      <c r="AN7" s="67"/>
      <c r="AO7" s="647"/>
      <c r="AP7" s="648"/>
      <c r="AQ7" s="648"/>
      <c r="AR7" s="648"/>
      <c r="AS7" s="648"/>
      <c r="AT7" s="649"/>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586"/>
      <c r="C8" s="586"/>
      <c r="D8" s="587"/>
      <c r="E8" s="627"/>
      <c r="F8" s="628"/>
      <c r="G8" s="628"/>
      <c r="H8" s="628"/>
      <c r="I8" s="629"/>
      <c r="J8" s="36" t="str">
        <f>IF(AND('Mapa final'!$AB$22="Muy Alta",'Mapa final'!$AD$22="Leve"),CONCATENATE("R3C",'Mapa final'!$R$22),"")</f>
        <v/>
      </c>
      <c r="K8" s="37" t="str">
        <f>IF(AND('Mapa final'!$AB$23="Muy Alta",'Mapa final'!$AD$23="Leve"),CONCATENATE("R3C",'Mapa final'!$R$23),"")</f>
        <v/>
      </c>
      <c r="L8" s="37" t="str">
        <f>IF(AND('Mapa final'!$AB$24="Muy Alta",'Mapa final'!$AD$24="Leve"),CONCATENATE("R3C",'Mapa final'!$R$24),"")</f>
        <v/>
      </c>
      <c r="M8" s="37" t="str">
        <f>IF(AND('Mapa final'!$AB$25="Muy Alta",'Mapa final'!$AD$25="Leve"),CONCATENATE("R3C",'Mapa final'!$R$25),"")</f>
        <v/>
      </c>
      <c r="N8" s="37" t="str">
        <f>IF(AND('Mapa final'!$AB$26="Muy Alta",'Mapa final'!$AD$26="Leve"),CONCATENATE("R3C",'Mapa final'!$R$26),"")</f>
        <v/>
      </c>
      <c r="O8" s="38" t="str">
        <f>IF(AND('Mapa final'!$AB$27="Muy Alta",'Mapa final'!$AD$27="Leve"),CONCATENATE("R3C",'Mapa final'!$R$27),"")</f>
        <v/>
      </c>
      <c r="P8" s="36" t="str">
        <f>IF(AND('Mapa final'!$AB$22="Muy Alta",'Mapa final'!$AD$22="Menor"),CONCATENATE("R3C",'Mapa final'!$R$22),"")</f>
        <v/>
      </c>
      <c r="Q8" s="37" t="str">
        <f>IF(AND('Mapa final'!$AB$23="Muy Alta",'Mapa final'!$AD$23="Menor"),CONCATENATE("R3C",'Mapa final'!$R$23),"")</f>
        <v/>
      </c>
      <c r="R8" s="37" t="str">
        <f>IF(AND('Mapa final'!$AB$24="Muy Alta",'Mapa final'!$AD$24="Menor"),CONCATENATE("R3C",'Mapa final'!$R$24),"")</f>
        <v/>
      </c>
      <c r="S8" s="37" t="str">
        <f>IF(AND('Mapa final'!$AB$25="Muy Alta",'Mapa final'!$AD$25="Menor"),CONCATENATE("R3C",'Mapa final'!$R$25),"")</f>
        <v/>
      </c>
      <c r="T8" s="37" t="str">
        <f>IF(AND('Mapa final'!$AB$26="Muy Alta",'Mapa final'!$AD$26="Menor"),CONCATENATE("R3C",'Mapa final'!$R$26),"")</f>
        <v/>
      </c>
      <c r="U8" s="38" t="str">
        <f>IF(AND('Mapa final'!$AB$27="Muy Alta",'Mapa final'!$AD$27="Menor"),CONCATENATE("R3C",'Mapa final'!$R$27),"")</f>
        <v/>
      </c>
      <c r="V8" s="36" t="str">
        <f>IF(AND('Mapa final'!$AB$22="Muy Alta",'Mapa final'!$AD$22="Moderado"),CONCATENATE("R3C",'Mapa final'!$R$22),"")</f>
        <v/>
      </c>
      <c r="W8" s="37" t="str">
        <f>IF(AND('Mapa final'!$AB$23="Muy Alta",'Mapa final'!$AD$23="Moderado"),CONCATENATE("R3C",'Mapa final'!$R$23),"")</f>
        <v/>
      </c>
      <c r="X8" s="37" t="str">
        <f>IF(AND('Mapa final'!$AB$24="Muy Alta",'Mapa final'!$AD$24="Moderado"),CONCATENATE("R3C",'Mapa final'!$R$24),"")</f>
        <v/>
      </c>
      <c r="Y8" s="37" t="str">
        <f>IF(AND('Mapa final'!$AB$25="Muy Alta",'Mapa final'!$AD$25="Moderado"),CONCATENATE("R3C",'Mapa final'!$R$25),"")</f>
        <v/>
      </c>
      <c r="Z8" s="37" t="str">
        <f>IF(AND('Mapa final'!$AB$26="Muy Alta",'Mapa final'!$AD$26="Moderado"),CONCATENATE("R3C",'Mapa final'!$R$26),"")</f>
        <v/>
      </c>
      <c r="AA8" s="38" t="str">
        <f>IF(AND('Mapa final'!$AB$27="Muy Alta",'Mapa final'!$AD$27="Moderado"),CONCATENATE("R3C",'Mapa final'!$R$27),"")</f>
        <v/>
      </c>
      <c r="AB8" s="36" t="str">
        <f>IF(AND('Mapa final'!$AB$22="Muy Alta",'Mapa final'!$AD$22="Mayor"),CONCATENATE("R3C",'Mapa final'!$R$22),"")</f>
        <v/>
      </c>
      <c r="AC8" s="37" t="str">
        <f>IF(AND('Mapa final'!$AB$23="Muy Alta",'Mapa final'!$AD$23="Mayor"),CONCATENATE("R3C",'Mapa final'!$R$23),"")</f>
        <v/>
      </c>
      <c r="AD8" s="37" t="str">
        <f>IF(AND('Mapa final'!$AB$24="Muy Alta",'Mapa final'!$AD$24="Mayor"),CONCATENATE("R3C",'Mapa final'!$R$24),"")</f>
        <v/>
      </c>
      <c r="AE8" s="37" t="str">
        <f>IF(AND('Mapa final'!$AB$25="Muy Alta",'Mapa final'!$AD$25="Mayor"),CONCATENATE("R3C",'Mapa final'!$R$25),"")</f>
        <v/>
      </c>
      <c r="AF8" s="37" t="str">
        <f>IF(AND('Mapa final'!$AB$26="Muy Alta",'Mapa final'!$AD$26="Mayor"),CONCATENATE("R3C",'Mapa final'!$R$26),"")</f>
        <v/>
      </c>
      <c r="AG8" s="38" t="str">
        <f>IF(AND('Mapa final'!$AB$27="Muy Alta",'Mapa final'!$AD$27="Mayor"),CONCATENATE("R3C",'Mapa final'!$R$27),"")</f>
        <v/>
      </c>
      <c r="AH8" s="39" t="str">
        <f>IF(AND('Mapa final'!$AB$22="Muy Alta",'Mapa final'!$AD$22="Catastrófico"),CONCATENATE("R3C",'Mapa final'!$R$22),"")</f>
        <v/>
      </c>
      <c r="AI8" s="40" t="str">
        <f>IF(AND('Mapa final'!$AB$23="Muy Alta",'Mapa final'!$AD$23="Catastrófico"),CONCATENATE("R3C",'Mapa final'!$R$23),"")</f>
        <v/>
      </c>
      <c r="AJ8" s="40" t="str">
        <f>IF(AND('Mapa final'!$AB$24="Muy Alta",'Mapa final'!$AD$24="Catastrófico"),CONCATENATE("R3C",'Mapa final'!$R$24),"")</f>
        <v/>
      </c>
      <c r="AK8" s="40" t="str">
        <f>IF(AND('Mapa final'!$AB$25="Muy Alta",'Mapa final'!$AD$25="Catastrófico"),CONCATENATE("R3C",'Mapa final'!$R$25),"")</f>
        <v/>
      </c>
      <c r="AL8" s="40" t="str">
        <f>IF(AND('Mapa final'!$AB$26="Muy Alta",'Mapa final'!$AD$26="Catastrófico"),CONCATENATE("R3C",'Mapa final'!$R$26),"")</f>
        <v/>
      </c>
      <c r="AM8" s="41" t="str">
        <f>IF(AND('Mapa final'!$AB$27="Muy Alta",'Mapa final'!$AD$27="Catastrófico"),CONCATENATE("R3C",'Mapa final'!$R$27),"")</f>
        <v/>
      </c>
      <c r="AN8" s="67"/>
      <c r="AO8" s="647"/>
      <c r="AP8" s="648"/>
      <c r="AQ8" s="648"/>
      <c r="AR8" s="648"/>
      <c r="AS8" s="648"/>
      <c r="AT8" s="649"/>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586"/>
      <c r="C9" s="586"/>
      <c r="D9" s="587"/>
      <c r="E9" s="627"/>
      <c r="F9" s="628"/>
      <c r="G9" s="628"/>
      <c r="H9" s="628"/>
      <c r="I9" s="629"/>
      <c r="J9" s="36" t="str">
        <f>IF(AND('Mapa final'!$AB$28="Muy Alta",'Mapa final'!$AD$28="Leve"),CONCATENATE("R4C",'Mapa final'!$R$28),"")</f>
        <v/>
      </c>
      <c r="K9" s="37" t="str">
        <f>IF(AND('Mapa final'!$AB$29="Muy Alta",'Mapa final'!$AD$29="Leve"),CONCATENATE("R4C",'Mapa final'!$R$29),"")</f>
        <v/>
      </c>
      <c r="L9" s="37" t="str">
        <f>IF(AND('Mapa final'!$AB$30="Muy Alta",'Mapa final'!$AD$30="Leve"),CONCATENATE("R4C",'Mapa final'!$R$30),"")</f>
        <v/>
      </c>
      <c r="M9" s="37" t="str">
        <f>IF(AND('Mapa final'!$AB$31="Muy Alta",'Mapa final'!$AD$31="Leve"),CONCATENATE("R4C",'Mapa final'!$R$31),"")</f>
        <v/>
      </c>
      <c r="N9" s="37" t="str">
        <f>IF(AND('Mapa final'!$AB$32="Muy Alta",'Mapa final'!$AD$32="Leve"),CONCATENATE("R4C",'Mapa final'!$R$32),"")</f>
        <v/>
      </c>
      <c r="O9" s="38" t="str">
        <f>IF(AND('Mapa final'!$AB$33="Muy Alta",'Mapa final'!$AD$33="Leve"),CONCATENATE("R4C",'Mapa final'!$R$33),"")</f>
        <v/>
      </c>
      <c r="P9" s="36" t="str">
        <f>IF(AND('Mapa final'!$AB$28="Muy Alta",'Mapa final'!$AD$28="Menor"),CONCATENATE("R4C",'Mapa final'!$R$28),"")</f>
        <v/>
      </c>
      <c r="Q9" s="37" t="str">
        <f>IF(AND('Mapa final'!$AB$29="Muy Alta",'Mapa final'!$AD$29="Menor"),CONCATENATE("R4C",'Mapa final'!$R$29),"")</f>
        <v/>
      </c>
      <c r="R9" s="37" t="str">
        <f>IF(AND('Mapa final'!$AB$30="Muy Alta",'Mapa final'!$AD$30="Menor"),CONCATENATE("R4C",'Mapa final'!$R$30),"")</f>
        <v/>
      </c>
      <c r="S9" s="37" t="str">
        <f>IF(AND('Mapa final'!$AB$31="Muy Alta",'Mapa final'!$AD$31="Menor"),CONCATENATE("R4C",'Mapa final'!$R$31),"")</f>
        <v/>
      </c>
      <c r="T9" s="37" t="str">
        <f>IF(AND('Mapa final'!$AB$32="Muy Alta",'Mapa final'!$AD$32="Menor"),CONCATENATE("R4C",'Mapa final'!$R$32),"")</f>
        <v/>
      </c>
      <c r="U9" s="38" t="str">
        <f>IF(AND('Mapa final'!$AB$33="Muy Alta",'Mapa final'!$AD$33="Menor"),CONCATENATE("R4C",'Mapa final'!$R$33),"")</f>
        <v/>
      </c>
      <c r="V9" s="36" t="str">
        <f>IF(AND('Mapa final'!$AB$28="Muy Alta",'Mapa final'!$AD$28="Moderado"),CONCATENATE("R4C",'Mapa final'!$R$28),"")</f>
        <v/>
      </c>
      <c r="W9" s="37" t="str">
        <f>IF(AND('Mapa final'!$AB$29="Muy Alta",'Mapa final'!$AD$29="Moderado"),CONCATENATE("R4C",'Mapa final'!$R$29),"")</f>
        <v/>
      </c>
      <c r="X9" s="37" t="str">
        <f>IF(AND('Mapa final'!$AB$30="Muy Alta",'Mapa final'!$AD$30="Moderado"),CONCATENATE("R4C",'Mapa final'!$R$30),"")</f>
        <v/>
      </c>
      <c r="Y9" s="37" t="str">
        <f>IF(AND('Mapa final'!$AB$31="Muy Alta",'Mapa final'!$AD$31="Moderado"),CONCATENATE("R4C",'Mapa final'!$R$31),"")</f>
        <v/>
      </c>
      <c r="Z9" s="37" t="str">
        <f>IF(AND('Mapa final'!$AB$32="Muy Alta",'Mapa final'!$AD$32="Moderado"),CONCATENATE("R4C",'Mapa final'!$R$32),"")</f>
        <v/>
      </c>
      <c r="AA9" s="38" t="str">
        <f>IF(AND('Mapa final'!$AB$33="Muy Alta",'Mapa final'!$AD$33="Moderado"),CONCATENATE("R4C",'Mapa final'!$R$33),"")</f>
        <v/>
      </c>
      <c r="AB9" s="36" t="str">
        <f>IF(AND('Mapa final'!$AB$28="Muy Alta",'Mapa final'!$AD$28="Mayor"),CONCATENATE("R4C",'Mapa final'!$R$28),"")</f>
        <v/>
      </c>
      <c r="AC9" s="37" t="str">
        <f>IF(AND('Mapa final'!$AB$29="Muy Alta",'Mapa final'!$AD$29="Mayor"),CONCATENATE("R4C",'Mapa final'!$R$29),"")</f>
        <v/>
      </c>
      <c r="AD9" s="37" t="str">
        <f>IF(AND('Mapa final'!$AB$30="Muy Alta",'Mapa final'!$AD$30="Mayor"),CONCATENATE("R4C",'Mapa final'!$R$30),"")</f>
        <v/>
      </c>
      <c r="AE9" s="37" t="str">
        <f>IF(AND('Mapa final'!$AB$31="Muy Alta",'Mapa final'!$AD$31="Mayor"),CONCATENATE("R4C",'Mapa final'!$R$31),"")</f>
        <v/>
      </c>
      <c r="AF9" s="37" t="str">
        <f>IF(AND('Mapa final'!$AB$32="Muy Alta",'Mapa final'!$AD$32="Mayor"),CONCATENATE("R4C",'Mapa final'!$R$32),"")</f>
        <v/>
      </c>
      <c r="AG9" s="38" t="str">
        <f>IF(AND('Mapa final'!$AB$33="Muy Alta",'Mapa final'!$AD$33="Mayor"),CONCATENATE("R4C",'Mapa final'!$R$33),"")</f>
        <v/>
      </c>
      <c r="AH9" s="39" t="str">
        <f>IF(AND('Mapa final'!$AB$28="Muy Alta",'Mapa final'!$AD$28="Catastrófico"),CONCATENATE("R4C",'Mapa final'!$R$28),"")</f>
        <v/>
      </c>
      <c r="AI9" s="40" t="str">
        <f>IF(AND('Mapa final'!$AB$29="Muy Alta",'Mapa final'!$AD$29="Catastrófico"),CONCATENATE("R4C",'Mapa final'!$R$29),"")</f>
        <v/>
      </c>
      <c r="AJ9" s="40" t="str">
        <f>IF(AND('Mapa final'!$AB$30="Muy Alta",'Mapa final'!$AD$30="Catastrófico"),CONCATENATE("R4C",'Mapa final'!$R$30),"")</f>
        <v/>
      </c>
      <c r="AK9" s="40" t="str">
        <f>IF(AND('Mapa final'!$AB$31="Muy Alta",'Mapa final'!$AD$31="Catastrófico"),CONCATENATE("R4C",'Mapa final'!$R$31),"")</f>
        <v/>
      </c>
      <c r="AL9" s="40" t="str">
        <f>IF(AND('Mapa final'!$AB$32="Muy Alta",'Mapa final'!$AD$32="Catastrófico"),CONCATENATE("R4C",'Mapa final'!$R$32),"")</f>
        <v/>
      </c>
      <c r="AM9" s="41" t="str">
        <f>IF(AND('Mapa final'!$AB$33="Muy Alta",'Mapa final'!$AD$33="Catastrófico"),CONCATENATE("R4C",'Mapa final'!$R$33),"")</f>
        <v/>
      </c>
      <c r="AN9" s="67"/>
      <c r="AO9" s="647"/>
      <c r="AP9" s="648"/>
      <c r="AQ9" s="648"/>
      <c r="AR9" s="648"/>
      <c r="AS9" s="648"/>
      <c r="AT9" s="649"/>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586"/>
      <c r="C10" s="586"/>
      <c r="D10" s="587"/>
      <c r="E10" s="627"/>
      <c r="F10" s="628"/>
      <c r="G10" s="628"/>
      <c r="H10" s="628"/>
      <c r="I10" s="629"/>
      <c r="J10" s="36" t="str">
        <f>IF(AND('Mapa final'!$AB$34="Muy Alta",'Mapa final'!$AD$34="Leve"),CONCATENATE("R5C",'Mapa final'!$R$34),"")</f>
        <v/>
      </c>
      <c r="K10" s="37" t="str">
        <f>IF(AND('Mapa final'!$AB$35="Muy Alta",'Mapa final'!$AD$35="Leve"),CONCATENATE("R5C",'Mapa final'!$R$35),"")</f>
        <v/>
      </c>
      <c r="L10" s="37" t="str">
        <f>IF(AND('Mapa final'!$AB$36="Muy Alta",'Mapa final'!$AD$36="Leve"),CONCATENATE("R5C",'Mapa final'!$R$36),"")</f>
        <v/>
      </c>
      <c r="M10" s="37" t="str">
        <f>IF(AND('Mapa final'!$AB$37="Muy Alta",'Mapa final'!$AD$37="Leve"),CONCATENATE("R5C",'Mapa final'!$R$37),"")</f>
        <v/>
      </c>
      <c r="N10" s="37" t="str">
        <f>IF(AND('Mapa final'!$AB$38="Muy Alta",'Mapa final'!$AD$38="Leve"),CONCATENATE("R5C",'Mapa final'!$R$38),"")</f>
        <v/>
      </c>
      <c r="O10" s="38" t="str">
        <f>IF(AND('Mapa final'!$AB$39="Muy Alta",'Mapa final'!$AD$39="Leve"),CONCATENATE("R5C",'Mapa final'!$R$39),"")</f>
        <v/>
      </c>
      <c r="P10" s="36" t="str">
        <f>IF(AND('Mapa final'!$AB$34="Muy Alta",'Mapa final'!$AD$34="Menor"),CONCATENATE("R5C",'Mapa final'!$R$34),"")</f>
        <v/>
      </c>
      <c r="Q10" s="37" t="str">
        <f>IF(AND('Mapa final'!$AB$35="Muy Alta",'Mapa final'!$AD$35="Menor"),CONCATENATE("R5C",'Mapa final'!$R$35),"")</f>
        <v/>
      </c>
      <c r="R10" s="37" t="str">
        <f>IF(AND('Mapa final'!$AB$36="Muy Alta",'Mapa final'!$AD$36="Menor"),CONCATENATE("R5C",'Mapa final'!$R$36),"")</f>
        <v/>
      </c>
      <c r="S10" s="37" t="str">
        <f>IF(AND('Mapa final'!$AB$37="Muy Alta",'Mapa final'!$AD$37="Menor"),CONCATENATE("R5C",'Mapa final'!$R$37),"")</f>
        <v/>
      </c>
      <c r="T10" s="37" t="str">
        <f>IF(AND('Mapa final'!$AB$38="Muy Alta",'Mapa final'!$AD$38="Menor"),CONCATENATE("R5C",'Mapa final'!$R$38),"")</f>
        <v/>
      </c>
      <c r="U10" s="38" t="str">
        <f>IF(AND('Mapa final'!$AB$39="Muy Alta",'Mapa final'!$AD$39="Menor"),CONCATENATE("R5C",'Mapa final'!$R$39),"")</f>
        <v/>
      </c>
      <c r="V10" s="36" t="str">
        <f>IF(AND('Mapa final'!$AB$34="Muy Alta",'Mapa final'!$AD$34="Moderado"),CONCATENATE("R5C",'Mapa final'!$R$34),"")</f>
        <v/>
      </c>
      <c r="W10" s="37" t="str">
        <f>IF(AND('Mapa final'!$AB$35="Muy Alta",'Mapa final'!$AD$35="Moderado"),CONCATENATE("R5C",'Mapa final'!$R$35),"")</f>
        <v/>
      </c>
      <c r="X10" s="37" t="str">
        <f>IF(AND('Mapa final'!$AB$36="Muy Alta",'Mapa final'!$AD$36="Moderado"),CONCATENATE("R5C",'Mapa final'!$R$36),"")</f>
        <v/>
      </c>
      <c r="Y10" s="37" t="str">
        <f>IF(AND('Mapa final'!$AB$37="Muy Alta",'Mapa final'!$AD$37="Moderado"),CONCATENATE("R5C",'Mapa final'!$R$37),"")</f>
        <v/>
      </c>
      <c r="Z10" s="37" t="str">
        <f>IF(AND('Mapa final'!$AB$38="Muy Alta",'Mapa final'!$AD$38="Moderado"),CONCATENATE("R5C",'Mapa final'!$R$38),"")</f>
        <v/>
      </c>
      <c r="AA10" s="38" t="str">
        <f>IF(AND('Mapa final'!$AB$39="Muy Alta",'Mapa final'!$AD$39="Moderado"),CONCATENATE("R5C",'Mapa final'!$R$39),"")</f>
        <v/>
      </c>
      <c r="AB10" s="36" t="str">
        <f>IF(AND('Mapa final'!$AB$34="Muy Alta",'Mapa final'!$AD$34="Mayor"),CONCATENATE("R5C",'Mapa final'!$R$34),"")</f>
        <v/>
      </c>
      <c r="AC10" s="37" t="str">
        <f>IF(AND('Mapa final'!$AB$35="Muy Alta",'Mapa final'!$AD$35="Mayor"),CONCATENATE("R5C",'Mapa final'!$R$35),"")</f>
        <v/>
      </c>
      <c r="AD10" s="37" t="str">
        <f>IF(AND('Mapa final'!$AB$36="Muy Alta",'Mapa final'!$AD$36="Mayor"),CONCATENATE("R5C",'Mapa final'!$R$36),"")</f>
        <v/>
      </c>
      <c r="AE10" s="37" t="str">
        <f>IF(AND('Mapa final'!$AB$37="Muy Alta",'Mapa final'!$AD$37="Mayor"),CONCATENATE("R5C",'Mapa final'!$R$37),"")</f>
        <v/>
      </c>
      <c r="AF10" s="37" t="str">
        <f>IF(AND('Mapa final'!$AB$38="Muy Alta",'Mapa final'!$AD$38="Mayor"),CONCATENATE("R5C",'Mapa final'!$R$38),"")</f>
        <v/>
      </c>
      <c r="AG10" s="38" t="str">
        <f>IF(AND('Mapa final'!$AB$39="Muy Alta",'Mapa final'!$AD$39="Mayor"),CONCATENATE("R5C",'Mapa final'!$R$39),"")</f>
        <v/>
      </c>
      <c r="AH10" s="39" t="str">
        <f>IF(AND('Mapa final'!$AB$34="Muy Alta",'Mapa final'!$AD$34="Catastrófico"),CONCATENATE("R5C",'Mapa final'!$R$34),"")</f>
        <v/>
      </c>
      <c r="AI10" s="40" t="str">
        <f>IF(AND('Mapa final'!$AB$35="Muy Alta",'Mapa final'!$AD$35="Catastrófico"),CONCATENATE("R5C",'Mapa final'!$R$35),"")</f>
        <v/>
      </c>
      <c r="AJ10" s="40" t="str">
        <f>IF(AND('Mapa final'!$AB$36="Muy Alta",'Mapa final'!$AD$36="Catastrófico"),CONCATENATE("R5C",'Mapa final'!$R$36),"")</f>
        <v/>
      </c>
      <c r="AK10" s="40" t="str">
        <f>IF(AND('Mapa final'!$AB$37="Muy Alta",'Mapa final'!$AD$37="Catastrófico"),CONCATENATE("R5C",'Mapa final'!$R$37),"")</f>
        <v/>
      </c>
      <c r="AL10" s="40" t="str">
        <f>IF(AND('Mapa final'!$AB$38="Muy Alta",'Mapa final'!$AD$38="Catastrófico"),CONCATENATE("R5C",'Mapa final'!$R$38),"")</f>
        <v/>
      </c>
      <c r="AM10" s="41" t="str">
        <f>IF(AND('Mapa final'!$AB$39="Muy Alta",'Mapa final'!$AD$39="Catastrófico"),CONCATENATE("R5C",'Mapa final'!$R$39),"")</f>
        <v/>
      </c>
      <c r="AN10" s="67"/>
      <c r="AO10" s="647"/>
      <c r="AP10" s="648"/>
      <c r="AQ10" s="648"/>
      <c r="AR10" s="648"/>
      <c r="AS10" s="648"/>
      <c r="AT10" s="649"/>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586"/>
      <c r="C11" s="586"/>
      <c r="D11" s="587"/>
      <c r="E11" s="627"/>
      <c r="F11" s="628"/>
      <c r="G11" s="628"/>
      <c r="H11" s="628"/>
      <c r="I11" s="629"/>
      <c r="J11" s="36" t="str">
        <f>IF(AND('Mapa final'!$AB$40="Muy Alta",'Mapa final'!$AD$40="Leve"),CONCATENATE("R6C",'Mapa final'!$R$40),"")</f>
        <v/>
      </c>
      <c r="K11" s="37" t="str">
        <f>IF(AND('Mapa final'!$AB$41="Muy Alta",'Mapa final'!$AD$41="Leve"),CONCATENATE("R6C",'Mapa final'!$R$41),"")</f>
        <v/>
      </c>
      <c r="L11" s="37" t="str">
        <f>IF(AND('Mapa final'!$AB$42="Muy Alta",'Mapa final'!$AD$42="Leve"),CONCATENATE("R6C",'Mapa final'!$R$42),"")</f>
        <v/>
      </c>
      <c r="M11" s="37" t="str">
        <f>IF(AND('Mapa final'!$AB$43="Muy Alta",'Mapa final'!$AD$43="Leve"),CONCATENATE("R6C",'Mapa final'!$R$43),"")</f>
        <v/>
      </c>
      <c r="N11" s="37" t="str">
        <f>IF(AND('Mapa final'!$AB$44="Muy Alta",'Mapa final'!$AD$44="Leve"),CONCATENATE("R6C",'Mapa final'!$R$44),"")</f>
        <v/>
      </c>
      <c r="O11" s="38" t="str">
        <f>IF(AND('Mapa final'!$AB$45="Muy Alta",'Mapa final'!$AD$45="Leve"),CONCATENATE("R6C",'Mapa final'!$R$45),"")</f>
        <v/>
      </c>
      <c r="P11" s="36" t="str">
        <f>IF(AND('Mapa final'!$AB$40="Muy Alta",'Mapa final'!$AD$40="Menor"),CONCATENATE("R6C",'Mapa final'!$R$40),"")</f>
        <v/>
      </c>
      <c r="Q11" s="37" t="str">
        <f>IF(AND('Mapa final'!$AB$41="Muy Alta",'Mapa final'!$AD$41="Menor"),CONCATENATE("R6C",'Mapa final'!$R$41),"")</f>
        <v/>
      </c>
      <c r="R11" s="37" t="str">
        <f>IF(AND('Mapa final'!$AB$42="Muy Alta",'Mapa final'!$AD$42="Menor"),CONCATENATE("R6C",'Mapa final'!$R$42),"")</f>
        <v/>
      </c>
      <c r="S11" s="37" t="str">
        <f>IF(AND('Mapa final'!$AB$43="Muy Alta",'Mapa final'!$AD$43="Menor"),CONCATENATE("R6C",'Mapa final'!$R$43),"")</f>
        <v/>
      </c>
      <c r="T11" s="37" t="str">
        <f>IF(AND('Mapa final'!$AB$44="Muy Alta",'Mapa final'!$AD$44="Menor"),CONCATENATE("R6C",'Mapa final'!$R$44),"")</f>
        <v/>
      </c>
      <c r="U11" s="38" t="str">
        <f>IF(AND('Mapa final'!$AB$45="Muy Alta",'Mapa final'!$AD$45="Menor"),CONCATENATE("R6C",'Mapa final'!$R$45),"")</f>
        <v/>
      </c>
      <c r="V11" s="36" t="str">
        <f>IF(AND('Mapa final'!$AB$40="Muy Alta",'Mapa final'!$AD$40="Moderado"),CONCATENATE("R6C",'Mapa final'!$R$40),"")</f>
        <v/>
      </c>
      <c r="W11" s="37" t="str">
        <f>IF(AND('Mapa final'!$AB$41="Muy Alta",'Mapa final'!$AD$41="Moderado"),CONCATENATE("R6C",'Mapa final'!$R$41),"")</f>
        <v/>
      </c>
      <c r="X11" s="37" t="str">
        <f>IF(AND('Mapa final'!$AB$42="Muy Alta",'Mapa final'!$AD$42="Moderado"),CONCATENATE("R6C",'Mapa final'!$R$42),"")</f>
        <v/>
      </c>
      <c r="Y11" s="37" t="str">
        <f>IF(AND('Mapa final'!$AB$43="Muy Alta",'Mapa final'!$AD$43="Moderado"),CONCATENATE("R6C",'Mapa final'!$R$43),"")</f>
        <v/>
      </c>
      <c r="Z11" s="37" t="str">
        <f>IF(AND('Mapa final'!$AB$44="Muy Alta",'Mapa final'!$AD$44="Moderado"),CONCATENATE("R6C",'Mapa final'!$R$44),"")</f>
        <v/>
      </c>
      <c r="AA11" s="38" t="str">
        <f>IF(AND('Mapa final'!$AB$45="Muy Alta",'Mapa final'!$AD$45="Moderado"),CONCATENATE("R6C",'Mapa final'!$R$45),"")</f>
        <v/>
      </c>
      <c r="AB11" s="36" t="str">
        <f>IF(AND('Mapa final'!$AB$40="Muy Alta",'Mapa final'!$AD$40="Mayor"),CONCATENATE("R6C",'Mapa final'!$R$40),"")</f>
        <v/>
      </c>
      <c r="AC11" s="37" t="str">
        <f>IF(AND('Mapa final'!$AB$41="Muy Alta",'Mapa final'!$AD$41="Mayor"),CONCATENATE("R6C",'Mapa final'!$R$41),"")</f>
        <v/>
      </c>
      <c r="AD11" s="37" t="str">
        <f>IF(AND('Mapa final'!$AB$42="Muy Alta",'Mapa final'!$AD$42="Mayor"),CONCATENATE("R6C",'Mapa final'!$R$42),"")</f>
        <v/>
      </c>
      <c r="AE11" s="37" t="str">
        <f>IF(AND('Mapa final'!$AB$43="Muy Alta",'Mapa final'!$AD$43="Mayor"),CONCATENATE("R6C",'Mapa final'!$R$43),"")</f>
        <v/>
      </c>
      <c r="AF11" s="37" t="str">
        <f>IF(AND('Mapa final'!$AB$44="Muy Alta",'Mapa final'!$AD$44="Mayor"),CONCATENATE("R6C",'Mapa final'!$R$44),"")</f>
        <v/>
      </c>
      <c r="AG11" s="38" t="str">
        <f>IF(AND('Mapa final'!$AB$45="Muy Alta",'Mapa final'!$AD$45="Mayor"),CONCATENATE("R6C",'Mapa final'!$R$45),"")</f>
        <v/>
      </c>
      <c r="AH11" s="39" t="str">
        <f>IF(AND('Mapa final'!$AB$40="Muy Alta",'Mapa final'!$AD$40="Catastrófico"),CONCATENATE("R6C",'Mapa final'!$R$40),"")</f>
        <v/>
      </c>
      <c r="AI11" s="40" t="str">
        <f>IF(AND('Mapa final'!$AB$41="Muy Alta",'Mapa final'!$AD$41="Catastrófico"),CONCATENATE("R6C",'Mapa final'!$R$41),"")</f>
        <v/>
      </c>
      <c r="AJ11" s="40" t="str">
        <f>IF(AND('Mapa final'!$AB$42="Muy Alta",'Mapa final'!$AD$42="Catastrófico"),CONCATENATE("R6C",'Mapa final'!$R$42),"")</f>
        <v/>
      </c>
      <c r="AK11" s="40" t="str">
        <f>IF(AND('Mapa final'!$AB$43="Muy Alta",'Mapa final'!$AD$43="Catastrófico"),CONCATENATE("R6C",'Mapa final'!$R$43),"")</f>
        <v/>
      </c>
      <c r="AL11" s="40" t="str">
        <f>IF(AND('Mapa final'!$AB$44="Muy Alta",'Mapa final'!$AD$44="Catastrófico"),CONCATENATE("R6C",'Mapa final'!$R$44),"")</f>
        <v/>
      </c>
      <c r="AM11" s="41" t="str">
        <f>IF(AND('Mapa final'!$AB$45="Muy Alta",'Mapa final'!$AD$45="Catastrófico"),CONCATENATE("R6C",'Mapa final'!$R$45),"")</f>
        <v/>
      </c>
      <c r="AN11" s="67"/>
      <c r="AO11" s="647"/>
      <c r="AP11" s="648"/>
      <c r="AQ11" s="648"/>
      <c r="AR11" s="648"/>
      <c r="AS11" s="648"/>
      <c r="AT11" s="649"/>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586"/>
      <c r="C12" s="586"/>
      <c r="D12" s="587"/>
      <c r="E12" s="627"/>
      <c r="F12" s="628"/>
      <c r="G12" s="628"/>
      <c r="H12" s="628"/>
      <c r="I12" s="629"/>
      <c r="J12" s="36" t="str">
        <f>IF(AND('Mapa final'!$AB$46="Muy Alta",'Mapa final'!$AD$46="Leve"),CONCATENATE("R7C",'Mapa final'!$R$46),"")</f>
        <v/>
      </c>
      <c r="K12" s="37" t="str">
        <f>IF(AND('Mapa final'!$AB$47="Muy Alta",'Mapa final'!$AD$47="Leve"),CONCATENATE("R7C",'Mapa final'!$R$47),"")</f>
        <v/>
      </c>
      <c r="L12" s="37" t="str">
        <f>IF(AND('Mapa final'!$AB$48="Muy Alta",'Mapa final'!$AD$48="Leve"),CONCATENATE("R7C",'Mapa final'!$R$48),"")</f>
        <v/>
      </c>
      <c r="M12" s="37" t="str">
        <f>IF(AND('Mapa final'!$AB$49="Muy Alta",'Mapa final'!$AD$49="Leve"),CONCATENATE("R7C",'Mapa final'!$R$49),"")</f>
        <v/>
      </c>
      <c r="N12" s="37" t="str">
        <f>IF(AND('Mapa final'!$AB$50="Muy Alta",'Mapa final'!$AD$50="Leve"),CONCATENATE("R7C",'Mapa final'!$R$50),"")</f>
        <v/>
      </c>
      <c r="O12" s="38" t="str">
        <f>IF(AND('Mapa final'!$AB$51="Muy Alta",'Mapa final'!$AD$51="Leve"),CONCATENATE("R7C",'Mapa final'!$R$51),"")</f>
        <v/>
      </c>
      <c r="P12" s="36" t="str">
        <f>IF(AND('Mapa final'!$AB$46="Muy Alta",'Mapa final'!$AD$46="Menor"),CONCATENATE("R7C",'Mapa final'!$R$46),"")</f>
        <v/>
      </c>
      <c r="Q12" s="37" t="str">
        <f>IF(AND('Mapa final'!$AB$47="Muy Alta",'Mapa final'!$AD$47="Menor"),CONCATENATE("R7C",'Mapa final'!$R$47),"")</f>
        <v/>
      </c>
      <c r="R12" s="37" t="str">
        <f>IF(AND('Mapa final'!$AB$48="Muy Alta",'Mapa final'!$AD$48="Menor"),CONCATENATE("R7C",'Mapa final'!$R$48),"")</f>
        <v/>
      </c>
      <c r="S12" s="37" t="str">
        <f>IF(AND('Mapa final'!$AB$49="Muy Alta",'Mapa final'!$AD$49="Menor"),CONCATENATE("R7C",'Mapa final'!$R$49),"")</f>
        <v/>
      </c>
      <c r="T12" s="37" t="str">
        <f>IF(AND('Mapa final'!$AB$50="Muy Alta",'Mapa final'!$AD$50="Menor"),CONCATENATE("R7C",'Mapa final'!$R$50),"")</f>
        <v/>
      </c>
      <c r="U12" s="38" t="str">
        <f>IF(AND('Mapa final'!$AB$51="Muy Alta",'Mapa final'!$AD$51="Menor"),CONCATENATE("R7C",'Mapa final'!$R$51),"")</f>
        <v/>
      </c>
      <c r="V12" s="36" t="str">
        <f>IF(AND('Mapa final'!$AB$46="Muy Alta",'Mapa final'!$AD$46="Moderado"),CONCATENATE("R7C",'Mapa final'!$R$46),"")</f>
        <v/>
      </c>
      <c r="W12" s="37" t="str">
        <f>IF(AND('Mapa final'!$AB$47="Muy Alta",'Mapa final'!$AD$47="Moderado"),CONCATENATE("R7C",'Mapa final'!$R$47),"")</f>
        <v/>
      </c>
      <c r="X12" s="37" t="str">
        <f>IF(AND('Mapa final'!$AB$48="Muy Alta",'Mapa final'!$AD$48="Moderado"),CONCATENATE("R7C",'Mapa final'!$R$48),"")</f>
        <v/>
      </c>
      <c r="Y12" s="37" t="str">
        <f>IF(AND('Mapa final'!$AB$49="Muy Alta",'Mapa final'!$AD$49="Moderado"),CONCATENATE("R7C",'Mapa final'!$R$49),"")</f>
        <v/>
      </c>
      <c r="Z12" s="37" t="str">
        <f>IF(AND('Mapa final'!$AB$50="Muy Alta",'Mapa final'!$AD$50="Moderado"),CONCATENATE("R7C",'Mapa final'!$R$50),"")</f>
        <v/>
      </c>
      <c r="AA12" s="38" t="str">
        <f>IF(AND('Mapa final'!$AB$51="Muy Alta",'Mapa final'!$AD$51="Moderado"),CONCATENATE("R7C",'Mapa final'!$R$51),"")</f>
        <v/>
      </c>
      <c r="AB12" s="36" t="str">
        <f>IF(AND('Mapa final'!$AB$46="Muy Alta",'Mapa final'!$AD$46="Mayor"),CONCATENATE("R7C",'Mapa final'!$R$46),"")</f>
        <v/>
      </c>
      <c r="AC12" s="37" t="str">
        <f>IF(AND('Mapa final'!$AB$47="Muy Alta",'Mapa final'!$AD$47="Mayor"),CONCATENATE("R7C",'Mapa final'!$R$47),"")</f>
        <v/>
      </c>
      <c r="AD12" s="37" t="str">
        <f>IF(AND('Mapa final'!$AB$48="Muy Alta",'Mapa final'!$AD$48="Mayor"),CONCATENATE("R7C",'Mapa final'!$R$48),"")</f>
        <v/>
      </c>
      <c r="AE12" s="37" t="str">
        <f>IF(AND('Mapa final'!$AB$49="Muy Alta",'Mapa final'!$AD$49="Mayor"),CONCATENATE("R7C",'Mapa final'!$R$49),"")</f>
        <v/>
      </c>
      <c r="AF12" s="37" t="str">
        <f>IF(AND('Mapa final'!$AB$50="Muy Alta",'Mapa final'!$AD$50="Mayor"),CONCATENATE("R7C",'Mapa final'!$R$50),"")</f>
        <v/>
      </c>
      <c r="AG12" s="38" t="str">
        <f>IF(AND('Mapa final'!$AB$51="Muy Alta",'Mapa final'!$AD$51="Mayor"),CONCATENATE("R7C",'Mapa final'!$R$51),"")</f>
        <v/>
      </c>
      <c r="AH12" s="39" t="str">
        <f>IF(AND('Mapa final'!$AB$46="Muy Alta",'Mapa final'!$AD$46="Catastrófico"),CONCATENATE("R7C",'Mapa final'!$R$46),"")</f>
        <v/>
      </c>
      <c r="AI12" s="40" t="str">
        <f>IF(AND('Mapa final'!$AB$47="Muy Alta",'Mapa final'!$AD$47="Catastrófico"),CONCATENATE("R7C",'Mapa final'!$R$47),"")</f>
        <v/>
      </c>
      <c r="AJ12" s="40" t="str">
        <f>IF(AND('Mapa final'!$AB$48="Muy Alta",'Mapa final'!$AD$48="Catastrófico"),CONCATENATE("R7C",'Mapa final'!$R$48),"")</f>
        <v/>
      </c>
      <c r="AK12" s="40" t="str">
        <f>IF(AND('Mapa final'!$AB$49="Muy Alta",'Mapa final'!$AD$49="Catastrófico"),CONCATENATE("R7C",'Mapa final'!$R$49),"")</f>
        <v/>
      </c>
      <c r="AL12" s="40" t="str">
        <f>IF(AND('Mapa final'!$AB$50="Muy Alta",'Mapa final'!$AD$50="Catastrófico"),CONCATENATE("R7C",'Mapa final'!$R$50),"")</f>
        <v/>
      </c>
      <c r="AM12" s="41" t="str">
        <f>IF(AND('Mapa final'!$AB$51="Muy Alta",'Mapa final'!$AD$51="Catastrófico"),CONCATENATE("R7C",'Mapa final'!$R$51),"")</f>
        <v/>
      </c>
      <c r="AN12" s="67"/>
      <c r="AO12" s="647"/>
      <c r="AP12" s="648"/>
      <c r="AQ12" s="648"/>
      <c r="AR12" s="648"/>
      <c r="AS12" s="648"/>
      <c r="AT12" s="649"/>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586"/>
      <c r="C13" s="586"/>
      <c r="D13" s="587"/>
      <c r="E13" s="627"/>
      <c r="F13" s="628"/>
      <c r="G13" s="628"/>
      <c r="H13" s="628"/>
      <c r="I13" s="629"/>
      <c r="J13" s="36" t="str">
        <f>IF(AND('Mapa final'!$AB$52="Muy Alta",'Mapa final'!$AD$52="Leve"),CONCATENATE("R8C",'Mapa final'!$R$52),"")</f>
        <v/>
      </c>
      <c r="K13" s="37" t="str">
        <f>IF(AND('Mapa final'!$AB$53="Muy Alta",'Mapa final'!$AD$53="Leve"),CONCATENATE("R8C",'Mapa final'!$R$53),"")</f>
        <v/>
      </c>
      <c r="L13" s="37" t="str">
        <f>IF(AND('Mapa final'!$AB$54="Muy Alta",'Mapa final'!$AD$54="Leve"),CONCATENATE("R8C",'Mapa final'!$R$54),"")</f>
        <v/>
      </c>
      <c r="M13" s="37" t="str">
        <f>IF(AND('Mapa final'!$AB$55="Muy Alta",'Mapa final'!$AD$55="Leve"),CONCATENATE("R8C",'Mapa final'!$R$55),"")</f>
        <v/>
      </c>
      <c r="N13" s="37" t="str">
        <f>IF(AND('Mapa final'!$AB$56="Muy Alta",'Mapa final'!$AD$56="Leve"),CONCATENATE("R8C",'Mapa final'!$R$56),"")</f>
        <v/>
      </c>
      <c r="O13" s="38" t="str">
        <f>IF(AND('Mapa final'!$AB$57="Muy Alta",'Mapa final'!$AD$57="Leve"),CONCATENATE("R8C",'Mapa final'!$R$57),"")</f>
        <v/>
      </c>
      <c r="P13" s="36" t="str">
        <f>IF(AND('Mapa final'!$AB$52="Muy Alta",'Mapa final'!$AD$52="Menor"),CONCATENATE("R8C",'Mapa final'!$R$52),"")</f>
        <v/>
      </c>
      <c r="Q13" s="37" t="str">
        <f>IF(AND('Mapa final'!$AB$53="Muy Alta",'Mapa final'!$AD$53="Menor"),CONCATENATE("R8C",'Mapa final'!$R$53),"")</f>
        <v/>
      </c>
      <c r="R13" s="37" t="str">
        <f>IF(AND('Mapa final'!$AB$54="Muy Alta",'Mapa final'!$AD$54="Menor"),CONCATENATE("R8C",'Mapa final'!$R$54),"")</f>
        <v/>
      </c>
      <c r="S13" s="37" t="str">
        <f>IF(AND('Mapa final'!$AB$55="Muy Alta",'Mapa final'!$AD$55="Menor"),CONCATENATE("R8C",'Mapa final'!$R$55),"")</f>
        <v/>
      </c>
      <c r="T13" s="37" t="str">
        <f>IF(AND('Mapa final'!$AB$56="Muy Alta",'Mapa final'!$AD$56="Menor"),CONCATENATE("R8C",'Mapa final'!$R$56),"")</f>
        <v/>
      </c>
      <c r="U13" s="38" t="str">
        <f>IF(AND('Mapa final'!$AB$57="Muy Alta",'Mapa final'!$AD$57="Menor"),CONCATENATE("R8C",'Mapa final'!$R$57),"")</f>
        <v/>
      </c>
      <c r="V13" s="36" t="str">
        <f>IF(AND('Mapa final'!$AB$52="Muy Alta",'Mapa final'!$AD$52="Moderado"),CONCATENATE("R8C",'Mapa final'!$R$52),"")</f>
        <v/>
      </c>
      <c r="W13" s="37" t="str">
        <f>IF(AND('Mapa final'!$AB$53="Muy Alta",'Mapa final'!$AD$53="Moderado"),CONCATENATE("R8C",'Mapa final'!$R$53),"")</f>
        <v/>
      </c>
      <c r="X13" s="37" t="str">
        <f>IF(AND('Mapa final'!$AB$54="Muy Alta",'Mapa final'!$AD$54="Moderado"),CONCATENATE("R8C",'Mapa final'!$R$54),"")</f>
        <v/>
      </c>
      <c r="Y13" s="37" t="str">
        <f>IF(AND('Mapa final'!$AB$55="Muy Alta",'Mapa final'!$AD$55="Moderado"),CONCATENATE("R8C",'Mapa final'!$R$55),"")</f>
        <v/>
      </c>
      <c r="Z13" s="37" t="str">
        <f>IF(AND('Mapa final'!$AB$56="Muy Alta",'Mapa final'!$AD$56="Moderado"),CONCATENATE("R8C",'Mapa final'!$R$56),"")</f>
        <v/>
      </c>
      <c r="AA13" s="38" t="str">
        <f>IF(AND('Mapa final'!$AB$57="Muy Alta",'Mapa final'!$AD$57="Moderado"),CONCATENATE("R8C",'Mapa final'!$R$57),"")</f>
        <v/>
      </c>
      <c r="AB13" s="36" t="str">
        <f>IF(AND('Mapa final'!$AB$52="Muy Alta",'Mapa final'!$AD$52="Mayor"),CONCATENATE("R8C",'Mapa final'!$R$52),"")</f>
        <v/>
      </c>
      <c r="AC13" s="37" t="str">
        <f>IF(AND('Mapa final'!$AB$53="Muy Alta",'Mapa final'!$AD$53="Mayor"),CONCATENATE("R8C",'Mapa final'!$R$53),"")</f>
        <v/>
      </c>
      <c r="AD13" s="37" t="str">
        <f>IF(AND('Mapa final'!$AB$54="Muy Alta",'Mapa final'!$AD$54="Mayor"),CONCATENATE("R8C",'Mapa final'!$R$54),"")</f>
        <v/>
      </c>
      <c r="AE13" s="37" t="str">
        <f>IF(AND('Mapa final'!$AB$55="Muy Alta",'Mapa final'!$AD$55="Mayor"),CONCATENATE("R8C",'Mapa final'!$R$55),"")</f>
        <v/>
      </c>
      <c r="AF13" s="37" t="str">
        <f>IF(AND('Mapa final'!$AB$56="Muy Alta",'Mapa final'!$AD$56="Mayor"),CONCATENATE("R8C",'Mapa final'!$R$56),"")</f>
        <v/>
      </c>
      <c r="AG13" s="38" t="str">
        <f>IF(AND('Mapa final'!$AB$57="Muy Alta",'Mapa final'!$AD$57="Mayor"),CONCATENATE("R8C",'Mapa final'!$R$57),"")</f>
        <v/>
      </c>
      <c r="AH13" s="39" t="str">
        <f>IF(AND('Mapa final'!$AB$52="Muy Alta",'Mapa final'!$AD$52="Catastrófico"),CONCATENATE("R8C",'Mapa final'!$R$52),"")</f>
        <v/>
      </c>
      <c r="AI13" s="40" t="str">
        <f>IF(AND('Mapa final'!$AB$53="Muy Alta",'Mapa final'!$AD$53="Catastrófico"),CONCATENATE("R8C",'Mapa final'!$R$53),"")</f>
        <v/>
      </c>
      <c r="AJ13" s="40" t="str">
        <f>IF(AND('Mapa final'!$AB$54="Muy Alta",'Mapa final'!$AD$54="Catastrófico"),CONCATENATE("R8C",'Mapa final'!$R$54),"")</f>
        <v/>
      </c>
      <c r="AK13" s="40" t="str">
        <f>IF(AND('Mapa final'!$AB$55="Muy Alta",'Mapa final'!$AD$55="Catastrófico"),CONCATENATE("R8C",'Mapa final'!$R$55),"")</f>
        <v/>
      </c>
      <c r="AL13" s="40" t="str">
        <f>IF(AND('Mapa final'!$AB$56="Muy Alta",'Mapa final'!$AD$56="Catastrófico"),CONCATENATE("R8C",'Mapa final'!$R$56),"")</f>
        <v/>
      </c>
      <c r="AM13" s="41" t="str">
        <f>IF(AND('Mapa final'!$AB$57="Muy Alta",'Mapa final'!$AD$57="Catastrófico"),CONCATENATE("R8C",'Mapa final'!$R$57),"")</f>
        <v/>
      </c>
      <c r="AN13" s="67"/>
      <c r="AO13" s="647"/>
      <c r="AP13" s="648"/>
      <c r="AQ13" s="648"/>
      <c r="AR13" s="648"/>
      <c r="AS13" s="648"/>
      <c r="AT13" s="649"/>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586"/>
      <c r="C14" s="586"/>
      <c r="D14" s="587"/>
      <c r="E14" s="627"/>
      <c r="F14" s="628"/>
      <c r="G14" s="628"/>
      <c r="H14" s="628"/>
      <c r="I14" s="629"/>
      <c r="J14" s="36" t="str">
        <f>IF(AND('Mapa final'!$AB$58="Muy Alta",'Mapa final'!$AD$58="Leve"),CONCATENATE("R9C",'Mapa final'!$R$58),"")</f>
        <v/>
      </c>
      <c r="K14" s="37" t="str">
        <f>IF(AND('Mapa final'!$AB$59="Muy Alta",'Mapa final'!$AD$59="Leve"),CONCATENATE("R9C",'Mapa final'!$R$59),"")</f>
        <v/>
      </c>
      <c r="L14" s="37" t="str">
        <f>IF(AND('Mapa final'!$AB$60="Muy Alta",'Mapa final'!$AD$60="Leve"),CONCATENATE("R9C",'Mapa final'!$R$60),"")</f>
        <v/>
      </c>
      <c r="M14" s="37" t="str">
        <f>IF(AND('Mapa final'!$AB$61="Muy Alta",'Mapa final'!$AD$61="Leve"),CONCATENATE("R9C",'Mapa final'!$R$61),"")</f>
        <v/>
      </c>
      <c r="N14" s="37" t="str">
        <f>IF(AND('Mapa final'!$AB$62="Muy Alta",'Mapa final'!$AD$62="Leve"),CONCATENATE("R9C",'Mapa final'!$R$62),"")</f>
        <v/>
      </c>
      <c r="O14" s="38" t="str">
        <f>IF(AND('Mapa final'!$AB$63="Muy Alta",'Mapa final'!$AD$63="Leve"),CONCATENATE("R9C",'Mapa final'!$R$63),"")</f>
        <v/>
      </c>
      <c r="P14" s="36" t="str">
        <f>IF(AND('Mapa final'!$AB$58="Muy Alta",'Mapa final'!$AD$58="Menor"),CONCATENATE("R9C",'Mapa final'!$R$58),"")</f>
        <v/>
      </c>
      <c r="Q14" s="37" t="str">
        <f>IF(AND('Mapa final'!$AB$59="Muy Alta",'Mapa final'!$AD$59="Menor"),CONCATENATE("R9C",'Mapa final'!$R$59),"")</f>
        <v/>
      </c>
      <c r="R14" s="37" t="str">
        <f>IF(AND('Mapa final'!$AB$60="Muy Alta",'Mapa final'!$AD$60="Menor"),CONCATENATE("R9C",'Mapa final'!$R$60),"")</f>
        <v/>
      </c>
      <c r="S14" s="37" t="str">
        <f>IF(AND('Mapa final'!$AB$61="Muy Alta",'Mapa final'!$AD$61="Menor"),CONCATENATE("R9C",'Mapa final'!$R$61),"")</f>
        <v/>
      </c>
      <c r="T14" s="37" t="str">
        <f>IF(AND('Mapa final'!$AB$62="Muy Alta",'Mapa final'!$AD$62="Menor"),CONCATENATE("R9C",'Mapa final'!$R$62),"")</f>
        <v/>
      </c>
      <c r="U14" s="38" t="str">
        <f>IF(AND('Mapa final'!$AB$63="Muy Alta",'Mapa final'!$AD$63="Menor"),CONCATENATE("R9C",'Mapa final'!$R$63),"")</f>
        <v/>
      </c>
      <c r="V14" s="36" t="str">
        <f>IF(AND('Mapa final'!$AB$58="Muy Alta",'Mapa final'!$AD$58="Moderado"),CONCATENATE("R9C",'Mapa final'!$R$58),"")</f>
        <v/>
      </c>
      <c r="W14" s="37" t="str">
        <f>IF(AND('Mapa final'!$AB$59="Muy Alta",'Mapa final'!$AD$59="Moderado"),CONCATENATE("R9C",'Mapa final'!$R$59),"")</f>
        <v/>
      </c>
      <c r="X14" s="37" t="str">
        <f>IF(AND('Mapa final'!$AB$60="Muy Alta",'Mapa final'!$AD$60="Moderado"),CONCATENATE("R9C",'Mapa final'!$R$60),"")</f>
        <v/>
      </c>
      <c r="Y14" s="37" t="str">
        <f>IF(AND('Mapa final'!$AB$61="Muy Alta",'Mapa final'!$AD$61="Moderado"),CONCATENATE("R9C",'Mapa final'!$R$61),"")</f>
        <v/>
      </c>
      <c r="Z14" s="37" t="str">
        <f>IF(AND('Mapa final'!$AB$62="Muy Alta",'Mapa final'!$AD$62="Moderado"),CONCATENATE("R9C",'Mapa final'!$R$62),"")</f>
        <v/>
      </c>
      <c r="AA14" s="38" t="str">
        <f>IF(AND('Mapa final'!$AB$63="Muy Alta",'Mapa final'!$AD$63="Moderado"),CONCATENATE("R9C",'Mapa final'!$R$63),"")</f>
        <v/>
      </c>
      <c r="AB14" s="36" t="str">
        <f>IF(AND('Mapa final'!$AB$58="Muy Alta",'Mapa final'!$AD$58="Mayor"),CONCATENATE("R9C",'Mapa final'!$R$58),"")</f>
        <v/>
      </c>
      <c r="AC14" s="37" t="str">
        <f>IF(AND('Mapa final'!$AB$59="Muy Alta",'Mapa final'!$AD$59="Mayor"),CONCATENATE("R9C",'Mapa final'!$R$59),"")</f>
        <v/>
      </c>
      <c r="AD14" s="37" t="str">
        <f>IF(AND('Mapa final'!$AB$60="Muy Alta",'Mapa final'!$AD$60="Mayor"),CONCATENATE("R9C",'Mapa final'!$R$60),"")</f>
        <v/>
      </c>
      <c r="AE14" s="37" t="str">
        <f>IF(AND('Mapa final'!$AB$61="Muy Alta",'Mapa final'!$AD$61="Mayor"),CONCATENATE("R9C",'Mapa final'!$R$61),"")</f>
        <v/>
      </c>
      <c r="AF14" s="37" t="str">
        <f>IF(AND('Mapa final'!$AB$62="Muy Alta",'Mapa final'!$AD$62="Mayor"),CONCATENATE("R9C",'Mapa final'!$R$62),"")</f>
        <v/>
      </c>
      <c r="AG14" s="38" t="str">
        <f>IF(AND('Mapa final'!$AB$63="Muy Alta",'Mapa final'!$AD$63="Mayor"),CONCATENATE("R9C",'Mapa final'!$R$63),"")</f>
        <v/>
      </c>
      <c r="AH14" s="39" t="str">
        <f>IF(AND('Mapa final'!$AB$58="Muy Alta",'Mapa final'!$AD$58="Catastrófico"),CONCATENATE("R9C",'Mapa final'!$R$58),"")</f>
        <v/>
      </c>
      <c r="AI14" s="40" t="str">
        <f>IF(AND('Mapa final'!$AB$59="Muy Alta",'Mapa final'!$AD$59="Catastrófico"),CONCATENATE("R9C",'Mapa final'!$R$59),"")</f>
        <v/>
      </c>
      <c r="AJ14" s="40" t="str">
        <f>IF(AND('Mapa final'!$AB$60="Muy Alta",'Mapa final'!$AD$60="Catastrófico"),CONCATENATE("R9C",'Mapa final'!$R$60),"")</f>
        <v/>
      </c>
      <c r="AK14" s="40" t="str">
        <f>IF(AND('Mapa final'!$AB$61="Muy Alta",'Mapa final'!$AD$61="Catastrófico"),CONCATENATE("R9C",'Mapa final'!$R$61),"")</f>
        <v/>
      </c>
      <c r="AL14" s="40" t="str">
        <f>IF(AND('Mapa final'!$AB$62="Muy Alta",'Mapa final'!$AD$62="Catastrófico"),CONCATENATE("R9C",'Mapa final'!$R$62),"")</f>
        <v/>
      </c>
      <c r="AM14" s="41" t="str">
        <f>IF(AND('Mapa final'!$AB$63="Muy Alta",'Mapa final'!$AD$63="Catastrófico"),CONCATENATE("R9C",'Mapa final'!$R$63),"")</f>
        <v/>
      </c>
      <c r="AN14" s="67"/>
      <c r="AO14" s="647"/>
      <c r="AP14" s="648"/>
      <c r="AQ14" s="648"/>
      <c r="AR14" s="648"/>
      <c r="AS14" s="648"/>
      <c r="AT14" s="649"/>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586"/>
      <c r="C15" s="586"/>
      <c r="D15" s="587"/>
      <c r="E15" s="630"/>
      <c r="F15" s="631"/>
      <c r="G15" s="631"/>
      <c r="H15" s="631"/>
      <c r="I15" s="632"/>
      <c r="J15" s="42" t="str">
        <f>IF(AND('Mapa final'!$AB$64="Muy Alta",'Mapa final'!$AD$64="Leve"),CONCATENATE("R10C",'Mapa final'!$R$64),"")</f>
        <v/>
      </c>
      <c r="K15" s="43" t="str">
        <f>IF(AND('Mapa final'!$AB$65="Muy Alta",'Mapa final'!$AD$65="Leve"),CONCATENATE("R10C",'Mapa final'!$R$65),"")</f>
        <v/>
      </c>
      <c r="L15" s="43" t="str">
        <f>IF(AND('Mapa final'!$AB$66="Muy Alta",'Mapa final'!$AD$66="Leve"),CONCATENATE("R10C",'Mapa final'!$R$66),"")</f>
        <v/>
      </c>
      <c r="M15" s="43" t="str">
        <f>IF(AND('Mapa final'!$AB$67="Muy Alta",'Mapa final'!$AD$67="Leve"),CONCATENATE("R10C",'Mapa final'!$R$67),"")</f>
        <v/>
      </c>
      <c r="N15" s="43" t="str">
        <f>IF(AND('Mapa final'!$AB$68="Muy Alta",'Mapa final'!$AD$68="Leve"),CONCATENATE("R10C",'Mapa final'!$R$68),"")</f>
        <v/>
      </c>
      <c r="O15" s="44" t="str">
        <f>IF(AND('Mapa final'!$AB$69="Muy Alta",'Mapa final'!$AD$69="Leve"),CONCATENATE("R10C",'Mapa final'!$R$69),"")</f>
        <v/>
      </c>
      <c r="P15" s="36" t="str">
        <f>IF(AND('Mapa final'!$AB$64="Muy Alta",'Mapa final'!$AD$64="Menor"),CONCATENATE("R10C",'Mapa final'!$R$64),"")</f>
        <v/>
      </c>
      <c r="Q15" s="37" t="str">
        <f>IF(AND('Mapa final'!$AB$65="Muy Alta",'Mapa final'!$AD$65="Menor"),CONCATENATE("R10C",'Mapa final'!$R$65),"")</f>
        <v/>
      </c>
      <c r="R15" s="37" t="str">
        <f>IF(AND('Mapa final'!$AB$66="Muy Alta",'Mapa final'!$AD$66="Menor"),CONCATENATE("R10C",'Mapa final'!$R$66),"")</f>
        <v/>
      </c>
      <c r="S15" s="37" t="str">
        <f>IF(AND('Mapa final'!$AB$67="Muy Alta",'Mapa final'!$AD$67="Menor"),CONCATENATE("R10C",'Mapa final'!$R$67),"")</f>
        <v/>
      </c>
      <c r="T15" s="37" t="str">
        <f>IF(AND('Mapa final'!$AB$68="Muy Alta",'Mapa final'!$AD$68="Menor"),CONCATENATE("R10C",'Mapa final'!$R$68),"")</f>
        <v/>
      </c>
      <c r="U15" s="38" t="str">
        <f>IF(AND('Mapa final'!$AB$69="Muy Alta",'Mapa final'!$AD$69="Menor"),CONCATENATE("R10C",'Mapa final'!$R$69),"")</f>
        <v/>
      </c>
      <c r="V15" s="42" t="str">
        <f>IF(AND('Mapa final'!$AB$64="Muy Alta",'Mapa final'!$AD$64="Moderado"),CONCATENATE("R10C",'Mapa final'!$R$64),"")</f>
        <v/>
      </c>
      <c r="W15" s="43" t="str">
        <f>IF(AND('Mapa final'!$AB$65="Muy Alta",'Mapa final'!$AD$65="Moderado"),CONCATENATE("R10C",'Mapa final'!$R$65),"")</f>
        <v/>
      </c>
      <c r="X15" s="43" t="str">
        <f>IF(AND('Mapa final'!$AB$66="Muy Alta",'Mapa final'!$AD$66="Moderado"),CONCATENATE("R10C",'Mapa final'!$R$66),"")</f>
        <v/>
      </c>
      <c r="Y15" s="43" t="str">
        <f>IF(AND('Mapa final'!$AB$67="Muy Alta",'Mapa final'!$AD$67="Moderado"),CONCATENATE("R10C",'Mapa final'!$R$67),"")</f>
        <v/>
      </c>
      <c r="Z15" s="43" t="str">
        <f>IF(AND('Mapa final'!$AB$68="Muy Alta",'Mapa final'!$AD$68="Moderado"),CONCATENATE("R10C",'Mapa final'!$R$68),"")</f>
        <v/>
      </c>
      <c r="AA15" s="44" t="str">
        <f>IF(AND('Mapa final'!$AB$69="Muy Alta",'Mapa final'!$AD$69="Moderado"),CONCATENATE("R10C",'Mapa final'!$R$69),"")</f>
        <v/>
      </c>
      <c r="AB15" s="36" t="str">
        <f>IF(AND('Mapa final'!$AB$64="Muy Alta",'Mapa final'!$AD$64="Mayor"),CONCATENATE("R10C",'Mapa final'!$R$64),"")</f>
        <v/>
      </c>
      <c r="AC15" s="37" t="str">
        <f>IF(AND('Mapa final'!$AB$65="Muy Alta",'Mapa final'!$AD$65="Mayor"),CONCATENATE("R10C",'Mapa final'!$R$65),"")</f>
        <v/>
      </c>
      <c r="AD15" s="37" t="str">
        <f>IF(AND('Mapa final'!$AB$66="Muy Alta",'Mapa final'!$AD$66="Mayor"),CONCATENATE("R10C",'Mapa final'!$R$66),"")</f>
        <v/>
      </c>
      <c r="AE15" s="37" t="str">
        <f>IF(AND('Mapa final'!$AB$67="Muy Alta",'Mapa final'!$AD$67="Mayor"),CONCATENATE("R10C",'Mapa final'!$R$67),"")</f>
        <v/>
      </c>
      <c r="AF15" s="37" t="str">
        <f>IF(AND('Mapa final'!$AB$68="Muy Alta",'Mapa final'!$AD$68="Mayor"),CONCATENATE("R10C",'Mapa final'!$R$68),"")</f>
        <v/>
      </c>
      <c r="AG15" s="38" t="str">
        <f>IF(AND('Mapa final'!$AB$69="Muy Alta",'Mapa final'!$AD$69="Mayor"),CONCATENATE("R10C",'Mapa final'!$R$69),"")</f>
        <v/>
      </c>
      <c r="AH15" s="45" t="str">
        <f>IF(AND('Mapa final'!$AB$64="Muy Alta",'Mapa final'!$AD$64="Catastrófico"),CONCATENATE("R10C",'Mapa final'!$R$64),"")</f>
        <v/>
      </c>
      <c r="AI15" s="46" t="str">
        <f>IF(AND('Mapa final'!$AB$65="Muy Alta",'Mapa final'!$AD$65="Catastrófico"),CONCATENATE("R10C",'Mapa final'!$R$65),"")</f>
        <v/>
      </c>
      <c r="AJ15" s="46" t="str">
        <f>IF(AND('Mapa final'!$AB$66="Muy Alta",'Mapa final'!$AD$66="Catastrófico"),CONCATENATE("R10C",'Mapa final'!$R$66),"")</f>
        <v/>
      </c>
      <c r="AK15" s="46" t="str">
        <f>IF(AND('Mapa final'!$AB$67="Muy Alta",'Mapa final'!$AD$67="Catastrófico"),CONCATENATE("R10C",'Mapa final'!$R$67),"")</f>
        <v/>
      </c>
      <c r="AL15" s="46" t="str">
        <f>IF(AND('Mapa final'!$AB$68="Muy Alta",'Mapa final'!$AD$68="Catastrófico"),CONCATENATE("R10C",'Mapa final'!$R$68),"")</f>
        <v/>
      </c>
      <c r="AM15" s="47" t="str">
        <f>IF(AND('Mapa final'!$AB$69="Muy Alta",'Mapa final'!$AD$69="Catastrófico"),CONCATENATE("R10C",'Mapa final'!$R$69),"")</f>
        <v/>
      </c>
      <c r="AN15" s="67"/>
      <c r="AO15" s="650"/>
      <c r="AP15" s="651"/>
      <c r="AQ15" s="651"/>
      <c r="AR15" s="651"/>
      <c r="AS15" s="651"/>
      <c r="AT15" s="652"/>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586"/>
      <c r="C16" s="586"/>
      <c r="D16" s="587"/>
      <c r="E16" s="624" t="s">
        <v>109</v>
      </c>
      <c r="F16" s="625"/>
      <c r="G16" s="625"/>
      <c r="H16" s="625"/>
      <c r="I16" s="625"/>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str">
        <f>IF(AND('Mapa final'!$AB$13="Alta",'Mapa final'!$AD$13="Leve"),CONCATENATE("R1C",'Mapa final'!$R$13),"")</f>
        <v/>
      </c>
      <c r="N16" s="49" t="str">
        <f>IF(AND('Mapa final'!$AB$14="Alta",'Mapa final'!$AD$14="Leve"),CONCATENATE("R1C",'Mapa final'!$R$14),"")</f>
        <v/>
      </c>
      <c r="O16" s="50" t="str">
        <f>IF(AND('Mapa final'!$AB$15="Alta",'Mapa final'!$AD$15="Leve"),CONCATENATE("R1C",'Mapa final'!$R$15),"")</f>
        <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str">
        <f>IF(AND('Mapa final'!$AB$13="Alta",'Mapa final'!$AD$13="Menor"),CONCATENATE("R1C",'Mapa final'!$R$13),"")</f>
        <v/>
      </c>
      <c r="T16" s="49" t="str">
        <f>IF(AND('Mapa final'!$AB$14="Alta",'Mapa final'!$AD$14="Menor"),CONCATENATE("R1C",'Mapa final'!$R$14),"")</f>
        <v/>
      </c>
      <c r="U16" s="50" t="str">
        <f>IF(AND('Mapa final'!$AB$15="Alta",'Mapa final'!$AD$15="Menor"),CONCATENATE("R1C",'Mapa final'!$R$15),"")</f>
        <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str">
        <f>IF(AND('Mapa final'!$AB$13="Alta",'Mapa final'!$AD$13="Moderado"),CONCATENATE("R1C",'Mapa final'!$R$13),"")</f>
        <v/>
      </c>
      <c r="Z16" s="31" t="str">
        <f>IF(AND('Mapa final'!$AB$14="Alta",'Mapa final'!$AD$14="Moderado"),CONCATENATE("R1C",'Mapa final'!$R$14),"")</f>
        <v/>
      </c>
      <c r="AA16" s="32" t="str">
        <f>IF(AND('Mapa final'!$AB$15="Alta",'Mapa final'!$AD$15="Moderado"),CONCATENATE("R1C",'Mapa final'!$R$15),"")</f>
        <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str">
        <f>IF(AND('Mapa final'!$AB$13="Alta",'Mapa final'!$AD$13="Mayor"),CONCATENATE("R1C",'Mapa final'!$R$13),"")</f>
        <v/>
      </c>
      <c r="AF16" s="31" t="str">
        <f>IF(AND('Mapa final'!$AB$14="Alta",'Mapa final'!$AD$14="Mayor"),CONCATENATE("R1C",'Mapa final'!$R$14),"")</f>
        <v/>
      </c>
      <c r="AG16" s="32" t="str">
        <f>IF(AND('Mapa final'!$AB$15="Alta",'Mapa final'!$AD$15="Mayor"),CONCATENATE("R1C",'Mapa final'!$R$15),"")</f>
        <v/>
      </c>
      <c r="AH16" s="33" t="str">
        <f>IF(AND('Mapa final'!$AB$10="Alta",'Mapa final'!$AD$10="Catastrófico"),CONCATENATE("R1C",'Mapa final'!$R$10),"")</f>
        <v/>
      </c>
      <c r="AI16" s="34" t="str">
        <f>IF(AND('Mapa final'!$AB$11="Alta",'Mapa final'!$AD$11="Catastrófico"),CONCATENATE("R1C",'Mapa final'!$R$11),"")</f>
        <v/>
      </c>
      <c r="AJ16" s="34" t="str">
        <f>IF(AND('Mapa final'!$AB$12="Alta",'Mapa final'!$AD$12="Catastrófico"),CONCATENATE("R1C",'Mapa final'!$R$12),"")</f>
        <v/>
      </c>
      <c r="AK16" s="34" t="str">
        <f>IF(AND('Mapa final'!$AB$13="Alta",'Mapa final'!$AD$13="Catastrófico"),CONCATENATE("R1C",'Mapa final'!$R$13),"")</f>
        <v/>
      </c>
      <c r="AL16" s="34" t="str">
        <f>IF(AND('Mapa final'!$AB$14="Alta",'Mapa final'!$AD$14="Catastrófico"),CONCATENATE("R1C",'Mapa final'!$R$14),"")</f>
        <v/>
      </c>
      <c r="AM16" s="35" t="str">
        <f>IF(AND('Mapa final'!$AB$15="Alta",'Mapa final'!$AD$15="Catastrófico"),CONCATENATE("R1C",'Mapa final'!$R$15),"")</f>
        <v/>
      </c>
      <c r="AN16" s="67"/>
      <c r="AO16" s="634" t="s">
        <v>78</v>
      </c>
      <c r="AP16" s="635"/>
      <c r="AQ16" s="635"/>
      <c r="AR16" s="635"/>
      <c r="AS16" s="635"/>
      <c r="AT16" s="636"/>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586"/>
      <c r="C17" s="586"/>
      <c r="D17" s="587"/>
      <c r="E17" s="643"/>
      <c r="F17" s="628"/>
      <c r="G17" s="628"/>
      <c r="H17" s="628"/>
      <c r="I17" s="628"/>
      <c r="J17" s="51" t="str">
        <f>IF(AND('Mapa final'!$AB$16="Alta",'Mapa final'!$AD$16="Leve"),CONCATENATE("R2C",'Mapa final'!$R$16),"")</f>
        <v/>
      </c>
      <c r="K17" s="52" t="str">
        <f>IF(AND('Mapa final'!$AB$17="Alta",'Mapa final'!$AD$17="Leve"),CONCATENATE("R2C",'Mapa final'!$R$17),"")</f>
        <v/>
      </c>
      <c r="L17" s="52" t="str">
        <f>IF(AND('Mapa final'!$AB$18="Alta",'Mapa final'!$AD$18="Leve"),CONCATENATE("R2C",'Mapa final'!$R$18),"")</f>
        <v/>
      </c>
      <c r="M17" s="52" t="str">
        <f>IF(AND('Mapa final'!$AB$19="Alta",'Mapa final'!$AD$19="Leve"),CONCATENATE("R2C",'Mapa final'!$R$19),"")</f>
        <v/>
      </c>
      <c r="N17" s="52" t="str">
        <f>IF(AND('Mapa final'!$AB$20="Alta",'Mapa final'!$AD$20="Leve"),CONCATENATE("R2C",'Mapa final'!$R$20),"")</f>
        <v/>
      </c>
      <c r="O17" s="53" t="str">
        <f>IF(AND('Mapa final'!$AB$21="Alta",'Mapa final'!$AD$21="Leve"),CONCATENATE("R2C",'Mapa final'!$R$21),"")</f>
        <v/>
      </c>
      <c r="P17" s="51" t="str">
        <f>IF(AND('Mapa final'!$AB$16="Alta",'Mapa final'!$AD$16="Menor"),CONCATENATE("R2C",'Mapa final'!$R$16),"")</f>
        <v/>
      </c>
      <c r="Q17" s="52" t="str">
        <f>IF(AND('Mapa final'!$AB$17="Alta",'Mapa final'!$AD$17="Menor"),CONCATENATE("R2C",'Mapa final'!$R$17),"")</f>
        <v/>
      </c>
      <c r="R17" s="52" t="str">
        <f>IF(AND('Mapa final'!$AB$18="Alta",'Mapa final'!$AD$18="Menor"),CONCATENATE("R2C",'Mapa final'!$R$18),"")</f>
        <v/>
      </c>
      <c r="S17" s="52" t="str">
        <f>IF(AND('Mapa final'!$AB$19="Alta",'Mapa final'!$AD$19="Menor"),CONCATENATE("R2C",'Mapa final'!$R$19),"")</f>
        <v/>
      </c>
      <c r="T17" s="52" t="str">
        <f>IF(AND('Mapa final'!$AB$20="Alta",'Mapa final'!$AD$20="Menor"),CONCATENATE("R2C",'Mapa final'!$R$20),"")</f>
        <v/>
      </c>
      <c r="U17" s="53" t="str">
        <f>IF(AND('Mapa final'!$AB$21="Alta",'Mapa final'!$AD$21="Menor"),CONCATENATE("R2C",'Mapa final'!$R$21),"")</f>
        <v/>
      </c>
      <c r="V17" s="36" t="str">
        <f>IF(AND('Mapa final'!$AB$16="Alta",'Mapa final'!$AD$16="Moderado"),CONCATENATE("R2C",'Mapa final'!$R$16),"")</f>
        <v/>
      </c>
      <c r="W17" s="37" t="str">
        <f>IF(AND('Mapa final'!$AB$17="Alta",'Mapa final'!$AD$17="Moderado"),CONCATENATE("R2C",'Mapa final'!$R$17),"")</f>
        <v/>
      </c>
      <c r="X17" s="37" t="str">
        <f>IF(AND('Mapa final'!$AB$18="Alta",'Mapa final'!$AD$18="Moderado"),CONCATENATE("R2C",'Mapa final'!$R$18),"")</f>
        <v/>
      </c>
      <c r="Y17" s="37" t="str">
        <f>IF(AND('Mapa final'!$AB$19="Alta",'Mapa final'!$AD$19="Moderado"),CONCATENATE("R2C",'Mapa final'!$R$19),"")</f>
        <v/>
      </c>
      <c r="Z17" s="37" t="str">
        <f>IF(AND('Mapa final'!$AB$20="Alta",'Mapa final'!$AD$20="Moderado"),CONCATENATE("R2C",'Mapa final'!$R$20),"")</f>
        <v/>
      </c>
      <c r="AA17" s="38" t="str">
        <f>IF(AND('Mapa final'!$AB$21="Alta",'Mapa final'!$AD$21="Moderado"),CONCATENATE("R2C",'Mapa final'!$R$21),"")</f>
        <v/>
      </c>
      <c r="AB17" s="36" t="str">
        <f>IF(AND('Mapa final'!$AB$16="Alta",'Mapa final'!$AD$16="Mayor"),CONCATENATE("R2C",'Mapa final'!$R$16),"")</f>
        <v/>
      </c>
      <c r="AC17" s="37" t="str">
        <f>IF(AND('Mapa final'!$AB$17="Alta",'Mapa final'!$AD$17="Mayor"),CONCATENATE("R2C",'Mapa final'!$R$17),"")</f>
        <v/>
      </c>
      <c r="AD17" s="37" t="str">
        <f>IF(AND('Mapa final'!$AB$18="Alta",'Mapa final'!$AD$18="Mayor"),CONCATENATE("R2C",'Mapa final'!$R$18),"")</f>
        <v/>
      </c>
      <c r="AE17" s="37" t="str">
        <f>IF(AND('Mapa final'!$AB$19="Alta",'Mapa final'!$AD$19="Mayor"),CONCATENATE("R2C",'Mapa final'!$R$19),"")</f>
        <v/>
      </c>
      <c r="AF17" s="37" t="str">
        <f>IF(AND('Mapa final'!$AB$20="Alta",'Mapa final'!$AD$20="Mayor"),CONCATENATE("R2C",'Mapa final'!$R$20),"")</f>
        <v/>
      </c>
      <c r="AG17" s="38" t="str">
        <f>IF(AND('Mapa final'!$AB$21="Alta",'Mapa final'!$AD$21="Mayor"),CONCATENATE("R2C",'Mapa final'!$R$21),"")</f>
        <v/>
      </c>
      <c r="AH17" s="39" t="str">
        <f>IF(AND('Mapa final'!$AB$16="Alta",'Mapa final'!$AD$16="Catastrófico"),CONCATENATE("R2C",'Mapa final'!$R$16),"")</f>
        <v/>
      </c>
      <c r="AI17" s="40" t="str">
        <f>IF(AND('Mapa final'!$AB$17="Alta",'Mapa final'!$AD$17="Catastrófico"),CONCATENATE("R2C",'Mapa final'!$R$17),"")</f>
        <v/>
      </c>
      <c r="AJ17" s="40" t="str">
        <f>IF(AND('Mapa final'!$AB$18="Alta",'Mapa final'!$AD$18="Catastrófico"),CONCATENATE("R2C",'Mapa final'!$R$18),"")</f>
        <v/>
      </c>
      <c r="AK17" s="40" t="str">
        <f>IF(AND('Mapa final'!$AB$19="Alta",'Mapa final'!$AD$19="Catastrófico"),CONCATENATE("R2C",'Mapa final'!$R$19),"")</f>
        <v/>
      </c>
      <c r="AL17" s="40" t="str">
        <f>IF(AND('Mapa final'!$AB$20="Alta",'Mapa final'!$AD$20="Catastrófico"),CONCATENATE("R2C",'Mapa final'!$R$20),"")</f>
        <v/>
      </c>
      <c r="AM17" s="41" t="str">
        <f>IF(AND('Mapa final'!$AB$21="Alta",'Mapa final'!$AD$21="Catastrófico"),CONCATENATE("R2C",'Mapa final'!$R$21),"")</f>
        <v/>
      </c>
      <c r="AN17" s="67"/>
      <c r="AO17" s="637"/>
      <c r="AP17" s="638"/>
      <c r="AQ17" s="638"/>
      <c r="AR17" s="638"/>
      <c r="AS17" s="638"/>
      <c r="AT17" s="639"/>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586"/>
      <c r="C18" s="586"/>
      <c r="D18" s="587"/>
      <c r="E18" s="627"/>
      <c r="F18" s="628"/>
      <c r="G18" s="628"/>
      <c r="H18" s="628"/>
      <c r="I18" s="628"/>
      <c r="J18" s="51" t="str">
        <f>IF(AND('Mapa final'!$AB$22="Alta",'Mapa final'!$AD$22="Leve"),CONCATENATE("R3C",'Mapa final'!$R$22),"")</f>
        <v/>
      </c>
      <c r="K18" s="52" t="str">
        <f>IF(AND('Mapa final'!$AB$23="Alta",'Mapa final'!$AD$23="Leve"),CONCATENATE("R3C",'Mapa final'!$R$23),"")</f>
        <v/>
      </c>
      <c r="L18" s="52" t="str">
        <f>IF(AND('Mapa final'!$AB$24="Alta",'Mapa final'!$AD$24="Leve"),CONCATENATE("R3C",'Mapa final'!$R$24),"")</f>
        <v/>
      </c>
      <c r="M18" s="52" t="str">
        <f>IF(AND('Mapa final'!$AB$25="Alta",'Mapa final'!$AD$25="Leve"),CONCATENATE("R3C",'Mapa final'!$R$25),"")</f>
        <v/>
      </c>
      <c r="N18" s="52" t="str">
        <f>IF(AND('Mapa final'!$AB$26="Alta",'Mapa final'!$AD$26="Leve"),CONCATENATE("R3C",'Mapa final'!$R$26),"")</f>
        <v/>
      </c>
      <c r="O18" s="53" t="str">
        <f>IF(AND('Mapa final'!$AB$27="Alta",'Mapa final'!$AD$27="Leve"),CONCATENATE("R3C",'Mapa final'!$R$27),"")</f>
        <v/>
      </c>
      <c r="P18" s="51" t="str">
        <f>IF(AND('Mapa final'!$AB$22="Alta",'Mapa final'!$AD$22="Menor"),CONCATENATE("R3C",'Mapa final'!$R$22),"")</f>
        <v/>
      </c>
      <c r="Q18" s="52" t="str">
        <f>IF(AND('Mapa final'!$AB$23="Alta",'Mapa final'!$AD$23="Menor"),CONCATENATE("R3C",'Mapa final'!$R$23),"")</f>
        <v/>
      </c>
      <c r="R18" s="52" t="str">
        <f>IF(AND('Mapa final'!$AB$24="Alta",'Mapa final'!$AD$24="Menor"),CONCATENATE("R3C",'Mapa final'!$R$24),"")</f>
        <v/>
      </c>
      <c r="S18" s="52" t="str">
        <f>IF(AND('Mapa final'!$AB$25="Alta",'Mapa final'!$AD$25="Menor"),CONCATENATE("R3C",'Mapa final'!$R$25),"")</f>
        <v/>
      </c>
      <c r="T18" s="52" t="str">
        <f>IF(AND('Mapa final'!$AB$26="Alta",'Mapa final'!$AD$26="Menor"),CONCATENATE("R3C",'Mapa final'!$R$26),"")</f>
        <v/>
      </c>
      <c r="U18" s="53" t="str">
        <f>IF(AND('Mapa final'!$AB$27="Alta",'Mapa final'!$AD$27="Menor"),CONCATENATE("R3C",'Mapa final'!$R$27),"")</f>
        <v/>
      </c>
      <c r="V18" s="36" t="str">
        <f>IF(AND('Mapa final'!$AB$22="Alta",'Mapa final'!$AD$22="Moderado"),CONCATENATE("R3C",'Mapa final'!$R$22),"")</f>
        <v/>
      </c>
      <c r="W18" s="37" t="str">
        <f>IF(AND('Mapa final'!$AB$23="Alta",'Mapa final'!$AD$23="Moderado"),CONCATENATE("R3C",'Mapa final'!$R$23),"")</f>
        <v/>
      </c>
      <c r="X18" s="37" t="str">
        <f>IF(AND('Mapa final'!$AB$24="Alta",'Mapa final'!$AD$24="Moderado"),CONCATENATE("R3C",'Mapa final'!$R$24),"")</f>
        <v/>
      </c>
      <c r="Y18" s="37" t="str">
        <f>IF(AND('Mapa final'!$AB$25="Alta",'Mapa final'!$AD$25="Moderado"),CONCATENATE("R3C",'Mapa final'!$R$25),"")</f>
        <v/>
      </c>
      <c r="Z18" s="37" t="str">
        <f>IF(AND('Mapa final'!$AB$26="Alta",'Mapa final'!$AD$26="Moderado"),CONCATENATE("R3C",'Mapa final'!$R$26),"")</f>
        <v/>
      </c>
      <c r="AA18" s="38" t="str">
        <f>IF(AND('Mapa final'!$AB$27="Alta",'Mapa final'!$AD$27="Moderado"),CONCATENATE("R3C",'Mapa final'!$R$27),"")</f>
        <v/>
      </c>
      <c r="AB18" s="36" t="str">
        <f>IF(AND('Mapa final'!$AB$22="Alta",'Mapa final'!$AD$22="Mayor"),CONCATENATE("R3C",'Mapa final'!$R$22),"")</f>
        <v/>
      </c>
      <c r="AC18" s="37" t="str">
        <f>IF(AND('Mapa final'!$AB$23="Alta",'Mapa final'!$AD$23="Mayor"),CONCATENATE("R3C",'Mapa final'!$R$23),"")</f>
        <v/>
      </c>
      <c r="AD18" s="37" t="str">
        <f>IF(AND('Mapa final'!$AB$24="Alta",'Mapa final'!$AD$24="Mayor"),CONCATENATE("R3C",'Mapa final'!$R$24),"")</f>
        <v/>
      </c>
      <c r="AE18" s="37" t="str">
        <f>IF(AND('Mapa final'!$AB$25="Alta",'Mapa final'!$AD$25="Mayor"),CONCATENATE("R3C",'Mapa final'!$R$25),"")</f>
        <v/>
      </c>
      <c r="AF18" s="37" t="str">
        <f>IF(AND('Mapa final'!$AB$26="Alta",'Mapa final'!$AD$26="Mayor"),CONCATENATE("R3C",'Mapa final'!$R$26),"")</f>
        <v/>
      </c>
      <c r="AG18" s="38" t="str">
        <f>IF(AND('Mapa final'!$AB$27="Alta",'Mapa final'!$AD$27="Mayor"),CONCATENATE("R3C",'Mapa final'!$R$27),"")</f>
        <v/>
      </c>
      <c r="AH18" s="39" t="str">
        <f>IF(AND('Mapa final'!$AB$22="Alta",'Mapa final'!$AD$22="Catastrófico"),CONCATENATE("R3C",'Mapa final'!$R$22),"")</f>
        <v/>
      </c>
      <c r="AI18" s="40" t="str">
        <f>IF(AND('Mapa final'!$AB$23="Alta",'Mapa final'!$AD$23="Catastrófico"),CONCATENATE("R3C",'Mapa final'!$R$23),"")</f>
        <v/>
      </c>
      <c r="AJ18" s="40" t="str">
        <f>IF(AND('Mapa final'!$AB$24="Alta",'Mapa final'!$AD$24="Catastrófico"),CONCATENATE("R3C",'Mapa final'!$R$24),"")</f>
        <v/>
      </c>
      <c r="AK18" s="40" t="str">
        <f>IF(AND('Mapa final'!$AB$25="Alta",'Mapa final'!$AD$25="Catastrófico"),CONCATENATE("R3C",'Mapa final'!$R$25),"")</f>
        <v/>
      </c>
      <c r="AL18" s="40" t="str">
        <f>IF(AND('Mapa final'!$AB$26="Alta",'Mapa final'!$AD$26="Catastrófico"),CONCATENATE("R3C",'Mapa final'!$R$26),"")</f>
        <v/>
      </c>
      <c r="AM18" s="41" t="str">
        <f>IF(AND('Mapa final'!$AB$27="Alta",'Mapa final'!$AD$27="Catastrófico"),CONCATENATE("R3C",'Mapa final'!$R$27),"")</f>
        <v/>
      </c>
      <c r="AN18" s="67"/>
      <c r="AO18" s="637"/>
      <c r="AP18" s="638"/>
      <c r="AQ18" s="638"/>
      <c r="AR18" s="638"/>
      <c r="AS18" s="638"/>
      <c r="AT18" s="639"/>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586"/>
      <c r="C19" s="586"/>
      <c r="D19" s="587"/>
      <c r="E19" s="627"/>
      <c r="F19" s="628"/>
      <c r="G19" s="628"/>
      <c r="H19" s="628"/>
      <c r="I19" s="628"/>
      <c r="J19" s="51" t="str">
        <f>IF(AND('Mapa final'!$AB$28="Alta",'Mapa final'!$AD$28="Leve"),CONCATENATE("R4C",'Mapa final'!$R$28),"")</f>
        <v/>
      </c>
      <c r="K19" s="52" t="str">
        <f>IF(AND('Mapa final'!$AB$29="Alta",'Mapa final'!$AD$29="Leve"),CONCATENATE("R4C",'Mapa final'!$R$29),"")</f>
        <v/>
      </c>
      <c r="L19" s="52" t="str">
        <f>IF(AND('Mapa final'!$AB$30="Alta",'Mapa final'!$AD$30="Leve"),CONCATENATE("R4C",'Mapa final'!$R$30),"")</f>
        <v/>
      </c>
      <c r="M19" s="52" t="str">
        <f>IF(AND('Mapa final'!$AB$31="Alta",'Mapa final'!$AD$31="Leve"),CONCATENATE("R4C",'Mapa final'!$R$31),"")</f>
        <v/>
      </c>
      <c r="N19" s="52" t="str">
        <f>IF(AND('Mapa final'!$AB$32="Alta",'Mapa final'!$AD$32="Leve"),CONCATENATE("R4C",'Mapa final'!$R$32),"")</f>
        <v/>
      </c>
      <c r="O19" s="53" t="str">
        <f>IF(AND('Mapa final'!$AB$33="Alta",'Mapa final'!$AD$33="Leve"),CONCATENATE("R4C",'Mapa final'!$R$33),"")</f>
        <v/>
      </c>
      <c r="P19" s="51" t="str">
        <f>IF(AND('Mapa final'!$AB$28="Alta",'Mapa final'!$AD$28="Menor"),CONCATENATE("R4C",'Mapa final'!$R$28),"")</f>
        <v/>
      </c>
      <c r="Q19" s="52" t="str">
        <f>IF(AND('Mapa final'!$AB$29="Alta",'Mapa final'!$AD$29="Menor"),CONCATENATE("R4C",'Mapa final'!$R$29),"")</f>
        <v/>
      </c>
      <c r="R19" s="52" t="str">
        <f>IF(AND('Mapa final'!$AB$30="Alta",'Mapa final'!$AD$30="Menor"),CONCATENATE("R4C",'Mapa final'!$R$30),"")</f>
        <v/>
      </c>
      <c r="S19" s="52" t="str">
        <f>IF(AND('Mapa final'!$AB$31="Alta",'Mapa final'!$AD$31="Menor"),CONCATENATE("R4C",'Mapa final'!$R$31),"")</f>
        <v/>
      </c>
      <c r="T19" s="52" t="str">
        <f>IF(AND('Mapa final'!$AB$32="Alta",'Mapa final'!$AD$32="Menor"),CONCATENATE("R4C",'Mapa final'!$R$32),"")</f>
        <v/>
      </c>
      <c r="U19" s="53" t="str">
        <f>IF(AND('Mapa final'!$AB$33="Alta",'Mapa final'!$AD$33="Menor"),CONCATENATE("R4C",'Mapa final'!$R$33),"")</f>
        <v/>
      </c>
      <c r="V19" s="36" t="str">
        <f>IF(AND('Mapa final'!$AB$28="Alta",'Mapa final'!$AD$28="Moderado"),CONCATENATE("R4C",'Mapa final'!$R$28),"")</f>
        <v/>
      </c>
      <c r="W19" s="37" t="str">
        <f>IF(AND('Mapa final'!$AB$29="Alta",'Mapa final'!$AD$29="Moderado"),CONCATENATE("R4C",'Mapa final'!$R$29),"")</f>
        <v/>
      </c>
      <c r="X19" s="37" t="str">
        <f>IF(AND('Mapa final'!$AB$30="Alta",'Mapa final'!$AD$30="Moderado"),CONCATENATE("R4C",'Mapa final'!$R$30),"")</f>
        <v/>
      </c>
      <c r="Y19" s="37" t="str">
        <f>IF(AND('Mapa final'!$AB$31="Alta",'Mapa final'!$AD$31="Moderado"),CONCATENATE("R4C",'Mapa final'!$R$31),"")</f>
        <v/>
      </c>
      <c r="Z19" s="37" t="str">
        <f>IF(AND('Mapa final'!$AB$32="Alta",'Mapa final'!$AD$32="Moderado"),CONCATENATE("R4C",'Mapa final'!$R$32),"")</f>
        <v/>
      </c>
      <c r="AA19" s="38" t="str">
        <f>IF(AND('Mapa final'!$AB$33="Alta",'Mapa final'!$AD$33="Moderado"),CONCATENATE("R4C",'Mapa final'!$R$33),"")</f>
        <v/>
      </c>
      <c r="AB19" s="36" t="str">
        <f>IF(AND('Mapa final'!$AB$28="Alta",'Mapa final'!$AD$28="Mayor"),CONCATENATE("R4C",'Mapa final'!$R$28),"")</f>
        <v/>
      </c>
      <c r="AC19" s="37" t="str">
        <f>IF(AND('Mapa final'!$AB$29="Alta",'Mapa final'!$AD$29="Mayor"),CONCATENATE("R4C",'Mapa final'!$R$29),"")</f>
        <v/>
      </c>
      <c r="AD19" s="37" t="str">
        <f>IF(AND('Mapa final'!$AB$30="Alta",'Mapa final'!$AD$30="Mayor"),CONCATENATE("R4C",'Mapa final'!$R$30),"")</f>
        <v/>
      </c>
      <c r="AE19" s="37" t="str">
        <f>IF(AND('Mapa final'!$AB$31="Alta",'Mapa final'!$AD$31="Mayor"),CONCATENATE("R4C",'Mapa final'!$R$31),"")</f>
        <v/>
      </c>
      <c r="AF19" s="37" t="str">
        <f>IF(AND('Mapa final'!$AB$32="Alta",'Mapa final'!$AD$32="Mayor"),CONCATENATE("R4C",'Mapa final'!$R$32),"")</f>
        <v/>
      </c>
      <c r="AG19" s="38" t="str">
        <f>IF(AND('Mapa final'!$AB$33="Alta",'Mapa final'!$AD$33="Mayor"),CONCATENATE("R4C",'Mapa final'!$R$33),"")</f>
        <v/>
      </c>
      <c r="AH19" s="39" t="str">
        <f>IF(AND('Mapa final'!$AB$28="Alta",'Mapa final'!$AD$28="Catastrófico"),CONCATENATE("R4C",'Mapa final'!$R$28),"")</f>
        <v/>
      </c>
      <c r="AI19" s="40" t="str">
        <f>IF(AND('Mapa final'!$AB$29="Alta",'Mapa final'!$AD$29="Catastrófico"),CONCATENATE("R4C",'Mapa final'!$R$29),"")</f>
        <v/>
      </c>
      <c r="AJ19" s="40" t="str">
        <f>IF(AND('Mapa final'!$AB$30="Alta",'Mapa final'!$AD$30="Catastrófico"),CONCATENATE("R4C",'Mapa final'!$R$30),"")</f>
        <v/>
      </c>
      <c r="AK19" s="40" t="str">
        <f>IF(AND('Mapa final'!$AB$31="Alta",'Mapa final'!$AD$31="Catastrófico"),CONCATENATE("R4C",'Mapa final'!$R$31),"")</f>
        <v/>
      </c>
      <c r="AL19" s="40" t="str">
        <f>IF(AND('Mapa final'!$AB$32="Alta",'Mapa final'!$AD$32="Catastrófico"),CONCATENATE("R4C",'Mapa final'!$R$32),"")</f>
        <v/>
      </c>
      <c r="AM19" s="41" t="str">
        <f>IF(AND('Mapa final'!$AB$33="Alta",'Mapa final'!$AD$33="Catastrófico"),CONCATENATE("R4C",'Mapa final'!$R$33),"")</f>
        <v/>
      </c>
      <c r="AN19" s="67"/>
      <c r="AO19" s="637"/>
      <c r="AP19" s="638"/>
      <c r="AQ19" s="638"/>
      <c r="AR19" s="638"/>
      <c r="AS19" s="638"/>
      <c r="AT19" s="639"/>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586"/>
      <c r="C20" s="586"/>
      <c r="D20" s="587"/>
      <c r="E20" s="627"/>
      <c r="F20" s="628"/>
      <c r="G20" s="628"/>
      <c r="H20" s="628"/>
      <c r="I20" s="628"/>
      <c r="J20" s="51" t="str">
        <f>IF(AND('Mapa final'!$AB$34="Alta",'Mapa final'!$AD$34="Leve"),CONCATENATE("R5C",'Mapa final'!$R$34),"")</f>
        <v/>
      </c>
      <c r="K20" s="52" t="str">
        <f>IF(AND('Mapa final'!$AB$35="Alta",'Mapa final'!$AD$35="Leve"),CONCATENATE("R5C",'Mapa final'!$R$35),"")</f>
        <v/>
      </c>
      <c r="L20" s="52" t="str">
        <f>IF(AND('Mapa final'!$AB$36="Alta",'Mapa final'!$AD$36="Leve"),CONCATENATE("R5C",'Mapa final'!$R$36),"")</f>
        <v/>
      </c>
      <c r="M20" s="52" t="str">
        <f>IF(AND('Mapa final'!$AB$37="Alta",'Mapa final'!$AD$37="Leve"),CONCATENATE("R5C",'Mapa final'!$R$37),"")</f>
        <v/>
      </c>
      <c r="N20" s="52" t="str">
        <f>IF(AND('Mapa final'!$AB$38="Alta",'Mapa final'!$AD$38="Leve"),CONCATENATE("R5C",'Mapa final'!$R$38),"")</f>
        <v/>
      </c>
      <c r="O20" s="53" t="str">
        <f>IF(AND('Mapa final'!$AB$39="Alta",'Mapa final'!$AD$39="Leve"),CONCATENATE("R5C",'Mapa final'!$R$39),"")</f>
        <v/>
      </c>
      <c r="P20" s="51" t="str">
        <f>IF(AND('Mapa final'!$AB$34="Alta",'Mapa final'!$AD$34="Menor"),CONCATENATE("R5C",'Mapa final'!$R$34),"")</f>
        <v/>
      </c>
      <c r="Q20" s="52" t="str">
        <f>IF(AND('Mapa final'!$AB$35="Alta",'Mapa final'!$AD$35="Menor"),CONCATENATE("R5C",'Mapa final'!$R$35),"")</f>
        <v/>
      </c>
      <c r="R20" s="52" t="str">
        <f>IF(AND('Mapa final'!$AB$36="Alta",'Mapa final'!$AD$36="Menor"),CONCATENATE("R5C",'Mapa final'!$R$36),"")</f>
        <v/>
      </c>
      <c r="S20" s="52" t="str">
        <f>IF(AND('Mapa final'!$AB$37="Alta",'Mapa final'!$AD$37="Menor"),CONCATENATE("R5C",'Mapa final'!$R$37),"")</f>
        <v/>
      </c>
      <c r="T20" s="52" t="str">
        <f>IF(AND('Mapa final'!$AB$38="Alta",'Mapa final'!$AD$38="Menor"),CONCATENATE("R5C",'Mapa final'!$R$38),"")</f>
        <v/>
      </c>
      <c r="U20" s="53" t="str">
        <f>IF(AND('Mapa final'!$AB$39="Alta",'Mapa final'!$AD$39="Menor"),CONCATENATE("R5C",'Mapa final'!$R$39),"")</f>
        <v/>
      </c>
      <c r="V20" s="36" t="str">
        <f>IF(AND('Mapa final'!$AB$34="Alta",'Mapa final'!$AD$34="Moderado"),CONCATENATE("R5C",'Mapa final'!$R$34),"")</f>
        <v/>
      </c>
      <c r="W20" s="37" t="str">
        <f>IF(AND('Mapa final'!$AB$35="Alta",'Mapa final'!$AD$35="Moderado"),CONCATENATE("R5C",'Mapa final'!$R$35),"")</f>
        <v/>
      </c>
      <c r="X20" s="37" t="str">
        <f>IF(AND('Mapa final'!$AB$36="Alta",'Mapa final'!$AD$36="Moderado"),CONCATENATE("R5C",'Mapa final'!$R$36),"")</f>
        <v/>
      </c>
      <c r="Y20" s="37" t="str">
        <f>IF(AND('Mapa final'!$AB$37="Alta",'Mapa final'!$AD$37="Moderado"),CONCATENATE("R5C",'Mapa final'!$R$37),"")</f>
        <v/>
      </c>
      <c r="Z20" s="37" t="str">
        <f>IF(AND('Mapa final'!$AB$38="Alta",'Mapa final'!$AD$38="Moderado"),CONCATENATE("R5C",'Mapa final'!$R$38),"")</f>
        <v/>
      </c>
      <c r="AA20" s="38" t="str">
        <f>IF(AND('Mapa final'!$AB$39="Alta",'Mapa final'!$AD$39="Moderado"),CONCATENATE("R5C",'Mapa final'!$R$39),"")</f>
        <v/>
      </c>
      <c r="AB20" s="36" t="str">
        <f>IF(AND('Mapa final'!$AB$34="Alta",'Mapa final'!$AD$34="Mayor"),CONCATENATE("R5C",'Mapa final'!$R$34),"")</f>
        <v/>
      </c>
      <c r="AC20" s="37" t="str">
        <f>IF(AND('Mapa final'!$AB$35="Alta",'Mapa final'!$AD$35="Mayor"),CONCATENATE("R5C",'Mapa final'!$R$35),"")</f>
        <v/>
      </c>
      <c r="AD20" s="37" t="str">
        <f>IF(AND('Mapa final'!$AB$36="Alta",'Mapa final'!$AD$36="Mayor"),CONCATENATE("R5C",'Mapa final'!$R$36),"")</f>
        <v/>
      </c>
      <c r="AE20" s="37" t="str">
        <f>IF(AND('Mapa final'!$AB$37="Alta",'Mapa final'!$AD$37="Mayor"),CONCATENATE("R5C",'Mapa final'!$R$37),"")</f>
        <v/>
      </c>
      <c r="AF20" s="37" t="str">
        <f>IF(AND('Mapa final'!$AB$38="Alta",'Mapa final'!$AD$38="Mayor"),CONCATENATE("R5C",'Mapa final'!$R$38),"")</f>
        <v/>
      </c>
      <c r="AG20" s="38" t="str">
        <f>IF(AND('Mapa final'!$AB$39="Alta",'Mapa final'!$AD$39="Mayor"),CONCATENATE("R5C",'Mapa final'!$R$39),"")</f>
        <v/>
      </c>
      <c r="AH20" s="39" t="str">
        <f>IF(AND('Mapa final'!$AB$34="Alta",'Mapa final'!$AD$34="Catastrófico"),CONCATENATE("R5C",'Mapa final'!$R$34),"")</f>
        <v/>
      </c>
      <c r="AI20" s="40" t="str">
        <f>IF(AND('Mapa final'!$AB$35="Alta",'Mapa final'!$AD$35="Catastrófico"),CONCATENATE("R5C",'Mapa final'!$R$35),"")</f>
        <v/>
      </c>
      <c r="AJ20" s="40" t="str">
        <f>IF(AND('Mapa final'!$AB$36="Alta",'Mapa final'!$AD$36="Catastrófico"),CONCATENATE("R5C",'Mapa final'!$R$36),"")</f>
        <v/>
      </c>
      <c r="AK20" s="40" t="str">
        <f>IF(AND('Mapa final'!$AB$37="Alta",'Mapa final'!$AD$37="Catastrófico"),CONCATENATE("R5C",'Mapa final'!$R$37),"")</f>
        <v/>
      </c>
      <c r="AL20" s="40" t="str">
        <f>IF(AND('Mapa final'!$AB$38="Alta",'Mapa final'!$AD$38="Catastrófico"),CONCATENATE("R5C",'Mapa final'!$R$38),"")</f>
        <v/>
      </c>
      <c r="AM20" s="41" t="str">
        <f>IF(AND('Mapa final'!$AB$39="Alta",'Mapa final'!$AD$39="Catastrófico"),CONCATENATE("R5C",'Mapa final'!$R$39),"")</f>
        <v/>
      </c>
      <c r="AN20" s="67"/>
      <c r="AO20" s="637"/>
      <c r="AP20" s="638"/>
      <c r="AQ20" s="638"/>
      <c r="AR20" s="638"/>
      <c r="AS20" s="638"/>
      <c r="AT20" s="639"/>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586"/>
      <c r="C21" s="586"/>
      <c r="D21" s="587"/>
      <c r="E21" s="627"/>
      <c r="F21" s="628"/>
      <c r="G21" s="628"/>
      <c r="H21" s="628"/>
      <c r="I21" s="628"/>
      <c r="J21" s="51" t="str">
        <f>IF(AND('Mapa final'!$AB$40="Alta",'Mapa final'!$AD$40="Leve"),CONCATENATE("R6C",'Mapa final'!$R$40),"")</f>
        <v/>
      </c>
      <c r="K21" s="52" t="str">
        <f>IF(AND('Mapa final'!$AB$41="Alta",'Mapa final'!$AD$41="Leve"),CONCATENATE("R6C",'Mapa final'!$R$41),"")</f>
        <v/>
      </c>
      <c r="L21" s="52" t="str">
        <f>IF(AND('Mapa final'!$AB$42="Alta",'Mapa final'!$AD$42="Leve"),CONCATENATE("R6C",'Mapa final'!$R$42),"")</f>
        <v/>
      </c>
      <c r="M21" s="52" t="str">
        <f>IF(AND('Mapa final'!$AB$43="Alta",'Mapa final'!$AD$43="Leve"),CONCATENATE("R6C",'Mapa final'!$R$43),"")</f>
        <v/>
      </c>
      <c r="N21" s="52" t="str">
        <f>IF(AND('Mapa final'!$AB$44="Alta",'Mapa final'!$AD$44="Leve"),CONCATENATE("R6C",'Mapa final'!$R$44),"")</f>
        <v/>
      </c>
      <c r="O21" s="53" t="str">
        <f>IF(AND('Mapa final'!$AB$45="Alta",'Mapa final'!$AD$45="Leve"),CONCATENATE("R6C",'Mapa final'!$R$45),"")</f>
        <v/>
      </c>
      <c r="P21" s="51" t="str">
        <f>IF(AND('Mapa final'!$AB$40="Alta",'Mapa final'!$AD$40="Menor"),CONCATENATE("R6C",'Mapa final'!$R$40),"")</f>
        <v/>
      </c>
      <c r="Q21" s="52" t="str">
        <f>IF(AND('Mapa final'!$AB$41="Alta",'Mapa final'!$AD$41="Menor"),CONCATENATE("R6C",'Mapa final'!$R$41),"")</f>
        <v/>
      </c>
      <c r="R21" s="52" t="str">
        <f>IF(AND('Mapa final'!$AB$42="Alta",'Mapa final'!$AD$42="Menor"),CONCATENATE("R6C",'Mapa final'!$R$42),"")</f>
        <v/>
      </c>
      <c r="S21" s="52" t="str">
        <f>IF(AND('Mapa final'!$AB$43="Alta",'Mapa final'!$AD$43="Menor"),CONCATENATE("R6C",'Mapa final'!$R$43),"")</f>
        <v/>
      </c>
      <c r="T21" s="52" t="str">
        <f>IF(AND('Mapa final'!$AB$44="Alta",'Mapa final'!$AD$44="Menor"),CONCATENATE("R6C",'Mapa final'!$R$44),"")</f>
        <v/>
      </c>
      <c r="U21" s="53" t="str">
        <f>IF(AND('Mapa final'!$AB$45="Alta",'Mapa final'!$AD$45="Menor"),CONCATENATE("R6C",'Mapa final'!$R$45),"")</f>
        <v/>
      </c>
      <c r="V21" s="36" t="str">
        <f>IF(AND('Mapa final'!$AB$40="Alta",'Mapa final'!$AD$40="Moderado"),CONCATENATE("R6C",'Mapa final'!$R$40),"")</f>
        <v/>
      </c>
      <c r="W21" s="37" t="str">
        <f>IF(AND('Mapa final'!$AB$41="Alta",'Mapa final'!$AD$41="Moderado"),CONCATENATE("R6C",'Mapa final'!$R$41),"")</f>
        <v/>
      </c>
      <c r="X21" s="37" t="str">
        <f>IF(AND('Mapa final'!$AB$42="Alta",'Mapa final'!$AD$42="Moderado"),CONCATENATE("R6C",'Mapa final'!$R$42),"")</f>
        <v/>
      </c>
      <c r="Y21" s="37" t="str">
        <f>IF(AND('Mapa final'!$AB$43="Alta",'Mapa final'!$AD$43="Moderado"),CONCATENATE("R6C",'Mapa final'!$R$43),"")</f>
        <v/>
      </c>
      <c r="Z21" s="37" t="str">
        <f>IF(AND('Mapa final'!$AB$44="Alta",'Mapa final'!$AD$44="Moderado"),CONCATENATE("R6C",'Mapa final'!$R$44),"")</f>
        <v/>
      </c>
      <c r="AA21" s="38" t="str">
        <f>IF(AND('Mapa final'!$AB$45="Alta",'Mapa final'!$AD$45="Moderado"),CONCATENATE("R6C",'Mapa final'!$R$45),"")</f>
        <v/>
      </c>
      <c r="AB21" s="36" t="str">
        <f>IF(AND('Mapa final'!$AB$40="Alta",'Mapa final'!$AD$40="Mayor"),CONCATENATE("R6C",'Mapa final'!$R$40),"")</f>
        <v/>
      </c>
      <c r="AC21" s="37" t="str">
        <f>IF(AND('Mapa final'!$AB$41="Alta",'Mapa final'!$AD$41="Mayor"),CONCATENATE("R6C",'Mapa final'!$R$41),"")</f>
        <v/>
      </c>
      <c r="AD21" s="37" t="str">
        <f>IF(AND('Mapa final'!$AB$42="Alta",'Mapa final'!$AD$42="Mayor"),CONCATENATE("R6C",'Mapa final'!$R$42),"")</f>
        <v/>
      </c>
      <c r="AE21" s="37" t="str">
        <f>IF(AND('Mapa final'!$AB$43="Alta",'Mapa final'!$AD$43="Mayor"),CONCATENATE("R6C",'Mapa final'!$R$43),"")</f>
        <v/>
      </c>
      <c r="AF21" s="37" t="str">
        <f>IF(AND('Mapa final'!$AB$44="Alta",'Mapa final'!$AD$44="Mayor"),CONCATENATE("R6C",'Mapa final'!$R$44),"")</f>
        <v/>
      </c>
      <c r="AG21" s="38" t="str">
        <f>IF(AND('Mapa final'!$AB$45="Alta",'Mapa final'!$AD$45="Mayor"),CONCATENATE("R6C",'Mapa final'!$R$45),"")</f>
        <v/>
      </c>
      <c r="AH21" s="39" t="str">
        <f>IF(AND('Mapa final'!$AB$40="Alta",'Mapa final'!$AD$40="Catastrófico"),CONCATENATE("R6C",'Mapa final'!$R$40),"")</f>
        <v/>
      </c>
      <c r="AI21" s="40" t="str">
        <f>IF(AND('Mapa final'!$AB$41="Alta",'Mapa final'!$AD$41="Catastrófico"),CONCATENATE("R6C",'Mapa final'!$R$41),"")</f>
        <v/>
      </c>
      <c r="AJ21" s="40" t="str">
        <f>IF(AND('Mapa final'!$AB$42="Alta",'Mapa final'!$AD$42="Catastrófico"),CONCATENATE("R6C",'Mapa final'!$R$42),"")</f>
        <v/>
      </c>
      <c r="AK21" s="40" t="str">
        <f>IF(AND('Mapa final'!$AB$43="Alta",'Mapa final'!$AD$43="Catastrófico"),CONCATENATE("R6C",'Mapa final'!$R$43),"")</f>
        <v/>
      </c>
      <c r="AL21" s="40" t="str">
        <f>IF(AND('Mapa final'!$AB$44="Alta",'Mapa final'!$AD$44="Catastrófico"),CONCATENATE("R6C",'Mapa final'!$R$44),"")</f>
        <v/>
      </c>
      <c r="AM21" s="41" t="str">
        <f>IF(AND('Mapa final'!$AB$45="Alta",'Mapa final'!$AD$45="Catastrófico"),CONCATENATE("R6C",'Mapa final'!$R$45),"")</f>
        <v/>
      </c>
      <c r="AN21" s="67"/>
      <c r="AO21" s="637"/>
      <c r="AP21" s="638"/>
      <c r="AQ21" s="638"/>
      <c r="AR21" s="638"/>
      <c r="AS21" s="638"/>
      <c r="AT21" s="639"/>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586"/>
      <c r="C22" s="586"/>
      <c r="D22" s="587"/>
      <c r="E22" s="627"/>
      <c r="F22" s="628"/>
      <c r="G22" s="628"/>
      <c r="H22" s="628"/>
      <c r="I22" s="628"/>
      <c r="J22" s="51" t="str">
        <f>IF(AND('Mapa final'!$AB$46="Alta",'Mapa final'!$AD$46="Leve"),CONCATENATE("R7C",'Mapa final'!$R$46),"")</f>
        <v/>
      </c>
      <c r="K22" s="52" t="str">
        <f>IF(AND('Mapa final'!$AB$47="Alta",'Mapa final'!$AD$47="Leve"),CONCATENATE("R7C",'Mapa final'!$R$47),"")</f>
        <v/>
      </c>
      <c r="L22" s="52" t="str">
        <f>IF(AND('Mapa final'!$AB$48="Alta",'Mapa final'!$AD$48="Leve"),CONCATENATE("R7C",'Mapa final'!$R$48),"")</f>
        <v/>
      </c>
      <c r="M22" s="52" t="str">
        <f>IF(AND('Mapa final'!$AB$49="Alta",'Mapa final'!$AD$49="Leve"),CONCATENATE("R7C",'Mapa final'!$R$49),"")</f>
        <v/>
      </c>
      <c r="N22" s="52" t="str">
        <f>IF(AND('Mapa final'!$AB$50="Alta",'Mapa final'!$AD$50="Leve"),CONCATENATE("R7C",'Mapa final'!$R$50),"")</f>
        <v/>
      </c>
      <c r="O22" s="53" t="str">
        <f>IF(AND('Mapa final'!$AB$51="Alta",'Mapa final'!$AD$51="Leve"),CONCATENATE("R7C",'Mapa final'!$R$51),"")</f>
        <v/>
      </c>
      <c r="P22" s="51" t="str">
        <f>IF(AND('Mapa final'!$AB$46="Alta",'Mapa final'!$AD$46="Menor"),CONCATENATE("R7C",'Mapa final'!$R$46),"")</f>
        <v/>
      </c>
      <c r="Q22" s="52" t="str">
        <f>IF(AND('Mapa final'!$AB$47="Alta",'Mapa final'!$AD$47="Menor"),CONCATENATE("R7C",'Mapa final'!$R$47),"")</f>
        <v/>
      </c>
      <c r="R22" s="52" t="str">
        <f>IF(AND('Mapa final'!$AB$48="Alta",'Mapa final'!$AD$48="Menor"),CONCATENATE("R7C",'Mapa final'!$R$48),"")</f>
        <v/>
      </c>
      <c r="S22" s="52" t="str">
        <f>IF(AND('Mapa final'!$AB$49="Alta",'Mapa final'!$AD$49="Menor"),CONCATENATE("R7C",'Mapa final'!$R$49),"")</f>
        <v/>
      </c>
      <c r="T22" s="52" t="str">
        <f>IF(AND('Mapa final'!$AB$50="Alta",'Mapa final'!$AD$50="Menor"),CONCATENATE("R7C",'Mapa final'!$R$50),"")</f>
        <v/>
      </c>
      <c r="U22" s="53" t="str">
        <f>IF(AND('Mapa final'!$AB$51="Alta",'Mapa final'!$AD$51="Menor"),CONCATENATE("R7C",'Mapa final'!$R$51),"")</f>
        <v/>
      </c>
      <c r="V22" s="36" t="str">
        <f>IF(AND('Mapa final'!$AB$46="Alta",'Mapa final'!$AD$46="Moderado"),CONCATENATE("R7C",'Mapa final'!$R$46),"")</f>
        <v/>
      </c>
      <c r="W22" s="37" t="str">
        <f>IF(AND('Mapa final'!$AB$47="Alta",'Mapa final'!$AD$47="Moderado"),CONCATENATE("R7C",'Mapa final'!$R$47),"")</f>
        <v/>
      </c>
      <c r="X22" s="37" t="str">
        <f>IF(AND('Mapa final'!$AB$48="Alta",'Mapa final'!$AD$48="Moderado"),CONCATENATE("R7C",'Mapa final'!$R$48),"")</f>
        <v/>
      </c>
      <c r="Y22" s="37" t="str">
        <f>IF(AND('Mapa final'!$AB$49="Alta",'Mapa final'!$AD$49="Moderado"),CONCATENATE("R7C",'Mapa final'!$R$49),"")</f>
        <v/>
      </c>
      <c r="Z22" s="37" t="str">
        <f>IF(AND('Mapa final'!$AB$50="Alta",'Mapa final'!$AD$50="Moderado"),CONCATENATE("R7C",'Mapa final'!$R$50),"")</f>
        <v/>
      </c>
      <c r="AA22" s="38" t="str">
        <f>IF(AND('Mapa final'!$AB$51="Alta",'Mapa final'!$AD$51="Moderado"),CONCATENATE("R7C",'Mapa final'!$R$51),"")</f>
        <v/>
      </c>
      <c r="AB22" s="36" t="str">
        <f>IF(AND('Mapa final'!$AB$46="Alta",'Mapa final'!$AD$46="Mayor"),CONCATENATE("R7C",'Mapa final'!$R$46),"")</f>
        <v/>
      </c>
      <c r="AC22" s="37" t="str">
        <f>IF(AND('Mapa final'!$AB$47="Alta",'Mapa final'!$AD$47="Mayor"),CONCATENATE("R7C",'Mapa final'!$R$47),"")</f>
        <v/>
      </c>
      <c r="AD22" s="37" t="str">
        <f>IF(AND('Mapa final'!$AB$48="Alta",'Mapa final'!$AD$48="Mayor"),CONCATENATE("R7C",'Mapa final'!$R$48),"")</f>
        <v/>
      </c>
      <c r="AE22" s="37" t="str">
        <f>IF(AND('Mapa final'!$AB$49="Alta",'Mapa final'!$AD$49="Mayor"),CONCATENATE("R7C",'Mapa final'!$R$49),"")</f>
        <v/>
      </c>
      <c r="AF22" s="37" t="str">
        <f>IF(AND('Mapa final'!$AB$50="Alta",'Mapa final'!$AD$50="Mayor"),CONCATENATE("R7C",'Mapa final'!$R$50),"")</f>
        <v/>
      </c>
      <c r="AG22" s="38" t="str">
        <f>IF(AND('Mapa final'!$AB$51="Alta",'Mapa final'!$AD$51="Mayor"),CONCATENATE("R7C",'Mapa final'!$R$51),"")</f>
        <v/>
      </c>
      <c r="AH22" s="39" t="str">
        <f>IF(AND('Mapa final'!$AB$46="Alta",'Mapa final'!$AD$46="Catastrófico"),CONCATENATE("R7C",'Mapa final'!$R$46),"")</f>
        <v/>
      </c>
      <c r="AI22" s="40" t="str">
        <f>IF(AND('Mapa final'!$AB$47="Alta",'Mapa final'!$AD$47="Catastrófico"),CONCATENATE("R7C",'Mapa final'!$R$47),"")</f>
        <v/>
      </c>
      <c r="AJ22" s="40" t="str">
        <f>IF(AND('Mapa final'!$AB$48="Alta",'Mapa final'!$AD$48="Catastrófico"),CONCATENATE("R7C",'Mapa final'!$R$48),"")</f>
        <v/>
      </c>
      <c r="AK22" s="40" t="str">
        <f>IF(AND('Mapa final'!$AB$49="Alta",'Mapa final'!$AD$49="Catastrófico"),CONCATENATE("R7C",'Mapa final'!$R$49),"")</f>
        <v/>
      </c>
      <c r="AL22" s="40" t="str">
        <f>IF(AND('Mapa final'!$AB$50="Alta",'Mapa final'!$AD$50="Catastrófico"),CONCATENATE("R7C",'Mapa final'!$R$50),"")</f>
        <v/>
      </c>
      <c r="AM22" s="41" t="str">
        <f>IF(AND('Mapa final'!$AB$51="Alta",'Mapa final'!$AD$51="Catastrófico"),CONCATENATE("R7C",'Mapa final'!$R$51),"")</f>
        <v/>
      </c>
      <c r="AN22" s="67"/>
      <c r="AO22" s="637"/>
      <c r="AP22" s="638"/>
      <c r="AQ22" s="638"/>
      <c r="AR22" s="638"/>
      <c r="AS22" s="638"/>
      <c r="AT22" s="639"/>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586"/>
      <c r="C23" s="586"/>
      <c r="D23" s="587"/>
      <c r="E23" s="627"/>
      <c r="F23" s="628"/>
      <c r="G23" s="628"/>
      <c r="H23" s="628"/>
      <c r="I23" s="628"/>
      <c r="J23" s="51" t="str">
        <f>IF(AND('Mapa final'!$AB$52="Alta",'Mapa final'!$AD$52="Leve"),CONCATENATE("R8C",'Mapa final'!$R$52),"")</f>
        <v/>
      </c>
      <c r="K23" s="52" t="str">
        <f>IF(AND('Mapa final'!$AB$53="Alta",'Mapa final'!$AD$53="Leve"),CONCATENATE("R8C",'Mapa final'!$R$53),"")</f>
        <v/>
      </c>
      <c r="L23" s="52" t="str">
        <f>IF(AND('Mapa final'!$AB$54="Alta",'Mapa final'!$AD$54="Leve"),CONCATENATE("R8C",'Mapa final'!$R$54),"")</f>
        <v/>
      </c>
      <c r="M23" s="52" t="str">
        <f>IF(AND('Mapa final'!$AB$55="Alta",'Mapa final'!$AD$55="Leve"),CONCATENATE("R8C",'Mapa final'!$R$55),"")</f>
        <v/>
      </c>
      <c r="N23" s="52" t="str">
        <f>IF(AND('Mapa final'!$AB$56="Alta",'Mapa final'!$AD$56="Leve"),CONCATENATE("R8C",'Mapa final'!$R$56),"")</f>
        <v/>
      </c>
      <c r="O23" s="53" t="str">
        <f>IF(AND('Mapa final'!$AB$57="Alta",'Mapa final'!$AD$57="Leve"),CONCATENATE("R8C",'Mapa final'!$R$57),"")</f>
        <v/>
      </c>
      <c r="P23" s="51" t="str">
        <f>IF(AND('Mapa final'!$AB$52="Alta",'Mapa final'!$AD$52="Menor"),CONCATENATE("R8C",'Mapa final'!$R$52),"")</f>
        <v/>
      </c>
      <c r="Q23" s="52" t="str">
        <f>IF(AND('Mapa final'!$AB$53="Alta",'Mapa final'!$AD$53="Menor"),CONCATENATE("R8C",'Mapa final'!$R$53),"")</f>
        <v/>
      </c>
      <c r="R23" s="52" t="str">
        <f>IF(AND('Mapa final'!$AB$54="Alta",'Mapa final'!$AD$54="Menor"),CONCATENATE("R8C",'Mapa final'!$R$54),"")</f>
        <v/>
      </c>
      <c r="S23" s="52" t="str">
        <f>IF(AND('Mapa final'!$AB$55="Alta",'Mapa final'!$AD$55="Menor"),CONCATENATE("R8C",'Mapa final'!$R$55),"")</f>
        <v/>
      </c>
      <c r="T23" s="52" t="str">
        <f>IF(AND('Mapa final'!$AB$56="Alta",'Mapa final'!$AD$56="Menor"),CONCATENATE("R8C",'Mapa final'!$R$56),"")</f>
        <v/>
      </c>
      <c r="U23" s="53" t="str">
        <f>IF(AND('Mapa final'!$AB$57="Alta",'Mapa final'!$AD$57="Menor"),CONCATENATE("R8C",'Mapa final'!$R$57),"")</f>
        <v/>
      </c>
      <c r="V23" s="36" t="str">
        <f>IF(AND('Mapa final'!$AB$52="Alta",'Mapa final'!$AD$52="Moderado"),CONCATENATE("R8C",'Mapa final'!$R$52),"")</f>
        <v/>
      </c>
      <c r="W23" s="37" t="str">
        <f>IF(AND('Mapa final'!$AB$53="Alta",'Mapa final'!$AD$53="Moderado"),CONCATENATE("R8C",'Mapa final'!$R$53),"")</f>
        <v/>
      </c>
      <c r="X23" s="37" t="str">
        <f>IF(AND('Mapa final'!$AB$54="Alta",'Mapa final'!$AD$54="Moderado"),CONCATENATE("R8C",'Mapa final'!$R$54),"")</f>
        <v/>
      </c>
      <c r="Y23" s="37" t="str">
        <f>IF(AND('Mapa final'!$AB$55="Alta",'Mapa final'!$AD$55="Moderado"),CONCATENATE("R8C",'Mapa final'!$R$55),"")</f>
        <v/>
      </c>
      <c r="Z23" s="37" t="str">
        <f>IF(AND('Mapa final'!$AB$56="Alta",'Mapa final'!$AD$56="Moderado"),CONCATENATE("R8C",'Mapa final'!$R$56),"")</f>
        <v/>
      </c>
      <c r="AA23" s="38" t="str">
        <f>IF(AND('Mapa final'!$AB$57="Alta",'Mapa final'!$AD$57="Moderado"),CONCATENATE("R8C",'Mapa final'!$R$57),"")</f>
        <v/>
      </c>
      <c r="AB23" s="36" t="str">
        <f>IF(AND('Mapa final'!$AB$52="Alta",'Mapa final'!$AD$52="Mayor"),CONCATENATE("R8C",'Mapa final'!$R$52),"")</f>
        <v/>
      </c>
      <c r="AC23" s="37" t="str">
        <f>IF(AND('Mapa final'!$AB$53="Alta",'Mapa final'!$AD$53="Mayor"),CONCATENATE("R8C",'Mapa final'!$R$53),"")</f>
        <v/>
      </c>
      <c r="AD23" s="37" t="str">
        <f>IF(AND('Mapa final'!$AB$54="Alta",'Mapa final'!$AD$54="Mayor"),CONCATENATE("R8C",'Mapa final'!$R$54),"")</f>
        <v/>
      </c>
      <c r="AE23" s="37" t="str">
        <f>IF(AND('Mapa final'!$AB$55="Alta",'Mapa final'!$AD$55="Mayor"),CONCATENATE("R8C",'Mapa final'!$R$55),"")</f>
        <v/>
      </c>
      <c r="AF23" s="37" t="str">
        <f>IF(AND('Mapa final'!$AB$56="Alta",'Mapa final'!$AD$56="Mayor"),CONCATENATE("R8C",'Mapa final'!$R$56),"")</f>
        <v/>
      </c>
      <c r="AG23" s="38" t="str">
        <f>IF(AND('Mapa final'!$AB$57="Alta",'Mapa final'!$AD$57="Mayor"),CONCATENATE("R8C",'Mapa final'!$R$57),"")</f>
        <v/>
      </c>
      <c r="AH23" s="39" t="str">
        <f>IF(AND('Mapa final'!$AB$52="Alta",'Mapa final'!$AD$52="Catastrófico"),CONCATENATE("R8C",'Mapa final'!$R$52),"")</f>
        <v/>
      </c>
      <c r="AI23" s="40" t="str">
        <f>IF(AND('Mapa final'!$AB$53="Alta",'Mapa final'!$AD$53="Catastrófico"),CONCATENATE("R8C",'Mapa final'!$R$53),"")</f>
        <v/>
      </c>
      <c r="AJ23" s="40" t="str">
        <f>IF(AND('Mapa final'!$AB$54="Alta",'Mapa final'!$AD$54="Catastrófico"),CONCATENATE("R8C",'Mapa final'!$R$54),"")</f>
        <v/>
      </c>
      <c r="AK23" s="40" t="str">
        <f>IF(AND('Mapa final'!$AB$55="Alta",'Mapa final'!$AD$55="Catastrófico"),CONCATENATE("R8C",'Mapa final'!$R$55),"")</f>
        <v/>
      </c>
      <c r="AL23" s="40" t="str">
        <f>IF(AND('Mapa final'!$AB$56="Alta",'Mapa final'!$AD$56="Catastrófico"),CONCATENATE("R8C",'Mapa final'!$R$56),"")</f>
        <v/>
      </c>
      <c r="AM23" s="41" t="str">
        <f>IF(AND('Mapa final'!$AB$57="Alta",'Mapa final'!$AD$57="Catastrófico"),CONCATENATE("R8C",'Mapa final'!$R$57),"")</f>
        <v/>
      </c>
      <c r="AN23" s="67"/>
      <c r="AO23" s="637"/>
      <c r="AP23" s="638"/>
      <c r="AQ23" s="638"/>
      <c r="AR23" s="638"/>
      <c r="AS23" s="638"/>
      <c r="AT23" s="639"/>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586"/>
      <c r="C24" s="586"/>
      <c r="D24" s="587"/>
      <c r="E24" s="627"/>
      <c r="F24" s="628"/>
      <c r="G24" s="628"/>
      <c r="H24" s="628"/>
      <c r="I24" s="628"/>
      <c r="J24" s="51" t="str">
        <f>IF(AND('Mapa final'!$AB$58="Alta",'Mapa final'!$AD$58="Leve"),CONCATENATE("R9C",'Mapa final'!$R$58),"")</f>
        <v/>
      </c>
      <c r="K24" s="52" t="str">
        <f>IF(AND('Mapa final'!$AB$59="Alta",'Mapa final'!$AD$59="Leve"),CONCATENATE("R9C",'Mapa final'!$R$59),"")</f>
        <v/>
      </c>
      <c r="L24" s="52" t="str">
        <f>IF(AND('Mapa final'!$AB$60="Alta",'Mapa final'!$AD$60="Leve"),CONCATENATE("R9C",'Mapa final'!$R$60),"")</f>
        <v/>
      </c>
      <c r="M24" s="52" t="str">
        <f>IF(AND('Mapa final'!$AB$61="Alta",'Mapa final'!$AD$61="Leve"),CONCATENATE("R9C",'Mapa final'!$R$61),"")</f>
        <v/>
      </c>
      <c r="N24" s="52" t="str">
        <f>IF(AND('Mapa final'!$AB$62="Alta",'Mapa final'!$AD$62="Leve"),CONCATENATE("R9C",'Mapa final'!$R$62),"")</f>
        <v/>
      </c>
      <c r="O24" s="53" t="str">
        <f>IF(AND('Mapa final'!$AB$63="Alta",'Mapa final'!$AD$63="Leve"),CONCATENATE("R9C",'Mapa final'!$R$63),"")</f>
        <v/>
      </c>
      <c r="P24" s="51" t="str">
        <f>IF(AND('Mapa final'!$AB$58="Alta",'Mapa final'!$AD$58="Menor"),CONCATENATE("R9C",'Mapa final'!$R$58),"")</f>
        <v/>
      </c>
      <c r="Q24" s="52" t="str">
        <f>IF(AND('Mapa final'!$AB$59="Alta",'Mapa final'!$AD$59="Menor"),CONCATENATE("R9C",'Mapa final'!$R$59),"")</f>
        <v/>
      </c>
      <c r="R24" s="52" t="str">
        <f>IF(AND('Mapa final'!$AB$60="Alta",'Mapa final'!$AD$60="Menor"),CONCATENATE("R9C",'Mapa final'!$R$60),"")</f>
        <v/>
      </c>
      <c r="S24" s="52" t="str">
        <f>IF(AND('Mapa final'!$AB$61="Alta",'Mapa final'!$AD$61="Menor"),CONCATENATE("R9C",'Mapa final'!$R$61),"")</f>
        <v/>
      </c>
      <c r="T24" s="52" t="str">
        <f>IF(AND('Mapa final'!$AB$62="Alta",'Mapa final'!$AD$62="Menor"),CONCATENATE("R9C",'Mapa final'!$R$62),"")</f>
        <v/>
      </c>
      <c r="U24" s="53" t="str">
        <f>IF(AND('Mapa final'!$AB$63="Alta",'Mapa final'!$AD$63="Menor"),CONCATENATE("R9C",'Mapa final'!$R$63),"")</f>
        <v/>
      </c>
      <c r="V24" s="36" t="str">
        <f>IF(AND('Mapa final'!$AB$58="Alta",'Mapa final'!$AD$58="Moderado"),CONCATENATE("R9C",'Mapa final'!$R$58),"")</f>
        <v/>
      </c>
      <c r="W24" s="37" t="str">
        <f>IF(AND('Mapa final'!$AB$59="Alta",'Mapa final'!$AD$59="Moderado"),CONCATENATE("R9C",'Mapa final'!$R$59),"")</f>
        <v/>
      </c>
      <c r="X24" s="37" t="str">
        <f>IF(AND('Mapa final'!$AB$60="Alta",'Mapa final'!$AD$60="Moderado"),CONCATENATE("R9C",'Mapa final'!$R$60),"")</f>
        <v/>
      </c>
      <c r="Y24" s="37" t="str">
        <f>IF(AND('Mapa final'!$AB$61="Alta",'Mapa final'!$AD$61="Moderado"),CONCATENATE("R9C",'Mapa final'!$R$61),"")</f>
        <v/>
      </c>
      <c r="Z24" s="37" t="str">
        <f>IF(AND('Mapa final'!$AB$62="Alta",'Mapa final'!$AD$62="Moderado"),CONCATENATE("R9C",'Mapa final'!$R$62),"")</f>
        <v/>
      </c>
      <c r="AA24" s="38" t="str">
        <f>IF(AND('Mapa final'!$AB$63="Alta",'Mapa final'!$AD$63="Moderado"),CONCATENATE("R9C",'Mapa final'!$R$63),"")</f>
        <v/>
      </c>
      <c r="AB24" s="36" t="str">
        <f>IF(AND('Mapa final'!$AB$58="Alta",'Mapa final'!$AD$58="Mayor"),CONCATENATE("R9C",'Mapa final'!$R$58),"")</f>
        <v/>
      </c>
      <c r="AC24" s="37" t="str">
        <f>IF(AND('Mapa final'!$AB$59="Alta",'Mapa final'!$AD$59="Mayor"),CONCATENATE("R9C",'Mapa final'!$R$59),"")</f>
        <v/>
      </c>
      <c r="AD24" s="37" t="str">
        <f>IF(AND('Mapa final'!$AB$60="Alta",'Mapa final'!$AD$60="Mayor"),CONCATENATE("R9C",'Mapa final'!$R$60),"")</f>
        <v/>
      </c>
      <c r="AE24" s="37" t="str">
        <f>IF(AND('Mapa final'!$AB$61="Alta",'Mapa final'!$AD$61="Mayor"),CONCATENATE("R9C",'Mapa final'!$R$61),"")</f>
        <v/>
      </c>
      <c r="AF24" s="37" t="str">
        <f>IF(AND('Mapa final'!$AB$62="Alta",'Mapa final'!$AD$62="Mayor"),CONCATENATE("R9C",'Mapa final'!$R$62),"")</f>
        <v/>
      </c>
      <c r="AG24" s="38" t="str">
        <f>IF(AND('Mapa final'!$AB$63="Alta",'Mapa final'!$AD$63="Mayor"),CONCATENATE("R9C",'Mapa final'!$R$63),"")</f>
        <v/>
      </c>
      <c r="AH24" s="39" t="str">
        <f>IF(AND('Mapa final'!$AB$58="Alta",'Mapa final'!$AD$58="Catastrófico"),CONCATENATE("R9C",'Mapa final'!$R$58),"")</f>
        <v/>
      </c>
      <c r="AI24" s="40" t="str">
        <f>IF(AND('Mapa final'!$AB$59="Alta",'Mapa final'!$AD$59="Catastrófico"),CONCATENATE("R9C",'Mapa final'!$R$59),"")</f>
        <v/>
      </c>
      <c r="AJ24" s="40" t="str">
        <f>IF(AND('Mapa final'!$AB$60="Alta",'Mapa final'!$AD$60="Catastrófico"),CONCATENATE("R9C",'Mapa final'!$R$60),"")</f>
        <v/>
      </c>
      <c r="AK24" s="40" t="str">
        <f>IF(AND('Mapa final'!$AB$61="Alta",'Mapa final'!$AD$61="Catastrófico"),CONCATENATE("R9C",'Mapa final'!$R$61),"")</f>
        <v/>
      </c>
      <c r="AL24" s="40" t="str">
        <f>IF(AND('Mapa final'!$AB$62="Alta",'Mapa final'!$AD$62="Catastrófico"),CONCATENATE("R9C",'Mapa final'!$R$62),"")</f>
        <v/>
      </c>
      <c r="AM24" s="41" t="str">
        <f>IF(AND('Mapa final'!$AB$63="Alta",'Mapa final'!$AD$63="Catastrófico"),CONCATENATE("R9C",'Mapa final'!$R$63),"")</f>
        <v/>
      </c>
      <c r="AN24" s="67"/>
      <c r="AO24" s="637"/>
      <c r="AP24" s="638"/>
      <c r="AQ24" s="638"/>
      <c r="AR24" s="638"/>
      <c r="AS24" s="638"/>
      <c r="AT24" s="639"/>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586"/>
      <c r="C25" s="586"/>
      <c r="D25" s="587"/>
      <c r="E25" s="630"/>
      <c r="F25" s="631"/>
      <c r="G25" s="631"/>
      <c r="H25" s="631"/>
      <c r="I25" s="631"/>
      <c r="J25" s="54" t="str">
        <f>IF(AND('Mapa final'!$AB$64="Alta",'Mapa final'!$AD$64="Leve"),CONCATENATE("R10C",'Mapa final'!$R$64),"")</f>
        <v/>
      </c>
      <c r="K25" s="55" t="str">
        <f>IF(AND('Mapa final'!$AB$65="Alta",'Mapa final'!$AD$65="Leve"),CONCATENATE("R10C",'Mapa final'!$R$65),"")</f>
        <v/>
      </c>
      <c r="L25" s="55" t="str">
        <f>IF(AND('Mapa final'!$AB$66="Alta",'Mapa final'!$AD$66="Leve"),CONCATENATE("R10C",'Mapa final'!$R$66),"")</f>
        <v/>
      </c>
      <c r="M25" s="55" t="str">
        <f>IF(AND('Mapa final'!$AB$67="Alta",'Mapa final'!$AD$67="Leve"),CONCATENATE("R10C",'Mapa final'!$R$67),"")</f>
        <v/>
      </c>
      <c r="N25" s="55" t="str">
        <f>IF(AND('Mapa final'!$AB$68="Alta",'Mapa final'!$AD$68="Leve"),CONCATENATE("R10C",'Mapa final'!$R$68),"")</f>
        <v/>
      </c>
      <c r="O25" s="56" t="str">
        <f>IF(AND('Mapa final'!$AB$69="Alta",'Mapa final'!$AD$69="Leve"),CONCATENATE("R10C",'Mapa final'!$R$69),"")</f>
        <v/>
      </c>
      <c r="P25" s="54" t="str">
        <f>IF(AND('Mapa final'!$AB$64="Alta",'Mapa final'!$AD$64="Menor"),CONCATENATE("R10C",'Mapa final'!$R$64),"")</f>
        <v/>
      </c>
      <c r="Q25" s="55" t="str">
        <f>IF(AND('Mapa final'!$AB$65="Alta",'Mapa final'!$AD$65="Menor"),CONCATENATE("R10C",'Mapa final'!$R$65),"")</f>
        <v/>
      </c>
      <c r="R25" s="55" t="str">
        <f>IF(AND('Mapa final'!$AB$66="Alta",'Mapa final'!$AD$66="Menor"),CONCATENATE("R10C",'Mapa final'!$R$66),"")</f>
        <v/>
      </c>
      <c r="S25" s="55" t="str">
        <f>IF(AND('Mapa final'!$AB$67="Alta",'Mapa final'!$AD$67="Menor"),CONCATENATE("R10C",'Mapa final'!$R$67),"")</f>
        <v/>
      </c>
      <c r="T25" s="55" t="str">
        <f>IF(AND('Mapa final'!$AB$68="Alta",'Mapa final'!$AD$68="Menor"),CONCATENATE("R10C",'Mapa final'!$R$68),"")</f>
        <v/>
      </c>
      <c r="U25" s="56" t="str">
        <f>IF(AND('Mapa final'!$AB$69="Alta",'Mapa final'!$AD$69="Menor"),CONCATENATE("R10C",'Mapa final'!$R$69),"")</f>
        <v/>
      </c>
      <c r="V25" s="42" t="str">
        <f>IF(AND('Mapa final'!$AB$64="Alta",'Mapa final'!$AD$64="Moderado"),CONCATENATE("R10C",'Mapa final'!$R$64),"")</f>
        <v/>
      </c>
      <c r="W25" s="43" t="str">
        <f>IF(AND('Mapa final'!$AB$65="Alta",'Mapa final'!$AD$65="Moderado"),CONCATENATE("R10C",'Mapa final'!$R$65),"")</f>
        <v/>
      </c>
      <c r="X25" s="43" t="str">
        <f>IF(AND('Mapa final'!$AB$66="Alta",'Mapa final'!$AD$66="Moderado"),CONCATENATE("R10C",'Mapa final'!$R$66),"")</f>
        <v/>
      </c>
      <c r="Y25" s="43" t="str">
        <f>IF(AND('Mapa final'!$AB$67="Alta",'Mapa final'!$AD$67="Moderado"),CONCATENATE("R10C",'Mapa final'!$R$67),"")</f>
        <v/>
      </c>
      <c r="Z25" s="43" t="str">
        <f>IF(AND('Mapa final'!$AB$68="Alta",'Mapa final'!$AD$68="Moderado"),CONCATENATE("R10C",'Mapa final'!$R$68),"")</f>
        <v/>
      </c>
      <c r="AA25" s="44" t="str">
        <f>IF(AND('Mapa final'!$AB$69="Alta",'Mapa final'!$AD$69="Moderado"),CONCATENATE("R10C",'Mapa final'!$R$69),"")</f>
        <v/>
      </c>
      <c r="AB25" s="42" t="str">
        <f>IF(AND('Mapa final'!$AB$64="Alta",'Mapa final'!$AD$64="Mayor"),CONCATENATE("R10C",'Mapa final'!$R$64),"")</f>
        <v/>
      </c>
      <c r="AC25" s="43" t="str">
        <f>IF(AND('Mapa final'!$AB$65="Alta",'Mapa final'!$AD$65="Mayor"),CONCATENATE("R10C",'Mapa final'!$R$65),"")</f>
        <v/>
      </c>
      <c r="AD25" s="43" t="str">
        <f>IF(AND('Mapa final'!$AB$66="Alta",'Mapa final'!$AD$66="Mayor"),CONCATENATE("R10C",'Mapa final'!$R$66),"")</f>
        <v/>
      </c>
      <c r="AE25" s="43" t="str">
        <f>IF(AND('Mapa final'!$AB$67="Alta",'Mapa final'!$AD$67="Mayor"),CONCATENATE("R10C",'Mapa final'!$R$67),"")</f>
        <v/>
      </c>
      <c r="AF25" s="43" t="str">
        <f>IF(AND('Mapa final'!$AB$68="Alta",'Mapa final'!$AD$68="Mayor"),CONCATENATE("R10C",'Mapa final'!$R$68),"")</f>
        <v/>
      </c>
      <c r="AG25" s="44" t="str">
        <f>IF(AND('Mapa final'!$AB$69="Alta",'Mapa final'!$AD$69="Mayor"),CONCATENATE("R10C",'Mapa final'!$R$69),"")</f>
        <v/>
      </c>
      <c r="AH25" s="45" t="str">
        <f>IF(AND('Mapa final'!$AB$64="Alta",'Mapa final'!$AD$64="Catastrófico"),CONCATENATE("R10C",'Mapa final'!$R$64),"")</f>
        <v/>
      </c>
      <c r="AI25" s="46" t="str">
        <f>IF(AND('Mapa final'!$AB$65="Alta",'Mapa final'!$AD$65="Catastrófico"),CONCATENATE("R10C",'Mapa final'!$R$65),"")</f>
        <v/>
      </c>
      <c r="AJ25" s="46" t="str">
        <f>IF(AND('Mapa final'!$AB$66="Alta",'Mapa final'!$AD$66="Catastrófico"),CONCATENATE("R10C",'Mapa final'!$R$66),"")</f>
        <v/>
      </c>
      <c r="AK25" s="46" t="str">
        <f>IF(AND('Mapa final'!$AB$67="Alta",'Mapa final'!$AD$67="Catastrófico"),CONCATENATE("R10C",'Mapa final'!$R$67),"")</f>
        <v/>
      </c>
      <c r="AL25" s="46" t="str">
        <f>IF(AND('Mapa final'!$AB$68="Alta",'Mapa final'!$AD$68="Catastrófico"),CONCATENATE("R10C",'Mapa final'!$R$68),"")</f>
        <v/>
      </c>
      <c r="AM25" s="47" t="str">
        <f>IF(AND('Mapa final'!$AB$69="Alta",'Mapa final'!$AD$69="Catastrófico"),CONCATENATE("R10C",'Mapa final'!$R$69),"")</f>
        <v/>
      </c>
      <c r="AN25" s="67"/>
      <c r="AO25" s="640"/>
      <c r="AP25" s="641"/>
      <c r="AQ25" s="641"/>
      <c r="AR25" s="641"/>
      <c r="AS25" s="641"/>
      <c r="AT25" s="642"/>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586"/>
      <c r="C26" s="586"/>
      <c r="D26" s="587"/>
      <c r="E26" s="624" t="s">
        <v>111</v>
      </c>
      <c r="F26" s="625"/>
      <c r="G26" s="625"/>
      <c r="H26" s="625"/>
      <c r="I26" s="626"/>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str">
        <f>IF(AND('Mapa final'!$AB$13="Media",'Mapa final'!$AD$13="Leve"),CONCATENATE("R1C",'Mapa final'!$R$13),"")</f>
        <v/>
      </c>
      <c r="N26" s="49" t="str">
        <f>IF(AND('Mapa final'!$AB$14="Media",'Mapa final'!$AD$14="Leve"),CONCATENATE("R1C",'Mapa final'!$R$14),"")</f>
        <v/>
      </c>
      <c r="O26" s="50" t="str">
        <f>IF(AND('Mapa final'!$AB$15="Media",'Mapa final'!$AD$15="Leve"),CONCATENATE("R1C",'Mapa final'!$R$15),"")</f>
        <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
      </c>
      <c r="S26" s="49" t="str">
        <f>IF(AND('Mapa final'!$AB$13="Media",'Mapa final'!$AD$13="Menor"),CONCATENATE("R1C",'Mapa final'!$R$13),"")</f>
        <v/>
      </c>
      <c r="T26" s="49" t="str">
        <f>IF(AND('Mapa final'!$AB$14="Media",'Mapa final'!$AD$14="Menor"),CONCATENATE("R1C",'Mapa final'!$R$14),"")</f>
        <v/>
      </c>
      <c r="U26" s="50" t="str">
        <f>IF(AND('Mapa final'!$AB$15="Media",'Mapa final'!$AD$15="Menor"),CONCATENATE("R1C",'Mapa final'!$R$15),"")</f>
        <v/>
      </c>
      <c r="V26" s="48" t="str">
        <f>IF(AND('Mapa final'!$AB$10="Media",'Mapa final'!$AD$10="Moderado"),CONCATENATE("R1C",'Mapa final'!$R$10),"")</f>
        <v/>
      </c>
      <c r="W26" s="49" t="str">
        <f>IF(AND('Mapa final'!$AB$11="Media",'Mapa final'!$AD$11="Moderado"),CONCATENATE("R1C",'Mapa final'!$R$11),"")</f>
        <v/>
      </c>
      <c r="X26" s="49" t="str">
        <f>IF(AND('Mapa final'!$AB$12="Media",'Mapa final'!$AD$12="Moderado"),CONCATENATE("R1C",'Mapa final'!$R$12),"")</f>
        <v/>
      </c>
      <c r="Y26" s="49" t="str">
        <f>IF(AND('Mapa final'!$AB$13="Media",'Mapa final'!$AD$13="Moderado"),CONCATENATE("R1C",'Mapa final'!$R$13),"")</f>
        <v/>
      </c>
      <c r="Z26" s="49" t="str">
        <f>IF(AND('Mapa final'!$AB$14="Media",'Mapa final'!$AD$14="Moderado"),CONCATENATE("R1C",'Mapa final'!$R$14),"")</f>
        <v/>
      </c>
      <c r="AA26" s="50" t="str">
        <f>IF(AND('Mapa final'!$AB$15="Media",'Mapa final'!$AD$15="Moderado"),CONCATENATE("R1C",'Mapa final'!$R$15),"")</f>
        <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str">
        <f>IF(AND('Mapa final'!$AB$13="Media",'Mapa final'!$AD$13="Mayor"),CONCATENATE("R1C",'Mapa final'!$R$13),"")</f>
        <v/>
      </c>
      <c r="AF26" s="31" t="str">
        <f>IF(AND('Mapa final'!$AB$14="Media",'Mapa final'!$AD$14="Mayor"),CONCATENATE("R1C",'Mapa final'!$R$14),"")</f>
        <v/>
      </c>
      <c r="AG26" s="32" t="str">
        <f>IF(AND('Mapa final'!$AB$15="Media",'Mapa final'!$AD$15="Mayor"),CONCATENATE("R1C",'Mapa final'!$R$15),"")</f>
        <v/>
      </c>
      <c r="AH26" s="33" t="str">
        <f>IF(AND('Mapa final'!$AB$10="Media",'Mapa final'!$AD$10="Catastrófico"),CONCATENATE("R1C",'Mapa final'!$R$10),"")</f>
        <v/>
      </c>
      <c r="AI26" s="34" t="str">
        <f>IF(AND('Mapa final'!$AB$11="Media",'Mapa final'!$AD$11="Catastrófico"),CONCATENATE("R1C",'Mapa final'!$R$11),"")</f>
        <v/>
      </c>
      <c r="AJ26" s="34" t="str">
        <f>IF(AND('Mapa final'!$AB$12="Media",'Mapa final'!$AD$12="Catastrófico"),CONCATENATE("R1C",'Mapa final'!$R$12),"")</f>
        <v/>
      </c>
      <c r="AK26" s="34" t="str">
        <f>IF(AND('Mapa final'!$AB$13="Media",'Mapa final'!$AD$13="Catastrófico"),CONCATENATE("R1C",'Mapa final'!$R$13),"")</f>
        <v/>
      </c>
      <c r="AL26" s="34" t="str">
        <f>IF(AND('Mapa final'!$AB$14="Media",'Mapa final'!$AD$14="Catastrófico"),CONCATENATE("R1C",'Mapa final'!$R$14),"")</f>
        <v/>
      </c>
      <c r="AM26" s="35" t="str">
        <f>IF(AND('Mapa final'!$AB$15="Media",'Mapa final'!$AD$15="Catastrófico"),CONCATENATE("R1C",'Mapa final'!$R$15),"")</f>
        <v/>
      </c>
      <c r="AN26" s="67"/>
      <c r="AO26" s="664" t="s">
        <v>79</v>
      </c>
      <c r="AP26" s="665"/>
      <c r="AQ26" s="665"/>
      <c r="AR26" s="665"/>
      <c r="AS26" s="665"/>
      <c r="AT26" s="666"/>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586"/>
      <c r="C27" s="586"/>
      <c r="D27" s="587"/>
      <c r="E27" s="643"/>
      <c r="F27" s="628"/>
      <c r="G27" s="628"/>
      <c r="H27" s="628"/>
      <c r="I27" s="629"/>
      <c r="J27" s="51" t="str">
        <f>IF(AND('Mapa final'!$AB$16="Media",'Mapa final'!$AD$16="Leve"),CONCATENATE("R2C",'Mapa final'!$R$16),"")</f>
        <v/>
      </c>
      <c r="K27" s="52" t="str">
        <f>IF(AND('Mapa final'!$AB$17="Media",'Mapa final'!$AD$17="Leve"),CONCATENATE("R2C",'Mapa final'!$R$17),"")</f>
        <v/>
      </c>
      <c r="L27" s="52" t="str">
        <f>IF(AND('Mapa final'!$AB$18="Media",'Mapa final'!$AD$18="Leve"),CONCATENATE("R2C",'Mapa final'!$R$18),"")</f>
        <v/>
      </c>
      <c r="M27" s="52" t="str">
        <f>IF(AND('Mapa final'!$AB$19="Media",'Mapa final'!$AD$19="Leve"),CONCATENATE("R2C",'Mapa final'!$R$19),"")</f>
        <v/>
      </c>
      <c r="N27" s="52" t="str">
        <f>IF(AND('Mapa final'!$AB$20="Media",'Mapa final'!$AD$20="Leve"),CONCATENATE("R2C",'Mapa final'!$R$20),"")</f>
        <v/>
      </c>
      <c r="O27" s="53" t="str">
        <f>IF(AND('Mapa final'!$AB$21="Media",'Mapa final'!$AD$21="Leve"),CONCATENATE("R2C",'Mapa final'!$R$21),"")</f>
        <v/>
      </c>
      <c r="P27" s="51" t="str">
        <f>IF(AND('Mapa final'!$AB$16="Media",'Mapa final'!$AD$16="Menor"),CONCATENATE("R2C",'Mapa final'!$R$16),"")</f>
        <v/>
      </c>
      <c r="Q27" s="52" t="str">
        <f>IF(AND('Mapa final'!$AB$17="Media",'Mapa final'!$AD$17="Menor"),CONCATENATE("R2C",'Mapa final'!$R$17),"")</f>
        <v/>
      </c>
      <c r="R27" s="52" t="str">
        <f>IF(AND('Mapa final'!$AB$18="Media",'Mapa final'!$AD$18="Menor"),CONCATENATE("R2C",'Mapa final'!$R$18),"")</f>
        <v/>
      </c>
      <c r="S27" s="52" t="str">
        <f>IF(AND('Mapa final'!$AB$19="Media",'Mapa final'!$AD$19="Menor"),CONCATENATE("R2C",'Mapa final'!$R$19),"")</f>
        <v/>
      </c>
      <c r="T27" s="52" t="str">
        <f>IF(AND('Mapa final'!$AB$20="Media",'Mapa final'!$AD$20="Menor"),CONCATENATE("R2C",'Mapa final'!$R$20),"")</f>
        <v/>
      </c>
      <c r="U27" s="53" t="str">
        <f>IF(AND('Mapa final'!$AB$21="Media",'Mapa final'!$AD$21="Menor"),CONCATENATE("R2C",'Mapa final'!$R$21),"")</f>
        <v/>
      </c>
      <c r="V27" s="51" t="str">
        <f>IF(AND('Mapa final'!$AB$16="Media",'Mapa final'!$AD$16="Moderado"),CONCATENATE("R2C",'Mapa final'!$R$16),"")</f>
        <v/>
      </c>
      <c r="W27" s="52" t="str">
        <f>IF(AND('Mapa final'!$AB$17="Media",'Mapa final'!$AD$17="Moderado"),CONCATENATE("R2C",'Mapa final'!$R$17),"")</f>
        <v/>
      </c>
      <c r="X27" s="52" t="str">
        <f>IF(AND('Mapa final'!$AB$18="Media",'Mapa final'!$AD$18="Moderado"),CONCATENATE("R2C",'Mapa final'!$R$18),"")</f>
        <v/>
      </c>
      <c r="Y27" s="52" t="str">
        <f>IF(AND('Mapa final'!$AB$19="Media",'Mapa final'!$AD$19="Moderado"),CONCATENATE("R2C",'Mapa final'!$R$19),"")</f>
        <v/>
      </c>
      <c r="Z27" s="52" t="str">
        <f>IF(AND('Mapa final'!$AB$20="Media",'Mapa final'!$AD$20="Moderado"),CONCATENATE("R2C",'Mapa final'!$R$20),"")</f>
        <v/>
      </c>
      <c r="AA27" s="53" t="str">
        <f>IF(AND('Mapa final'!$AB$21="Media",'Mapa final'!$AD$21="Moderado"),CONCATENATE("R2C",'Mapa final'!$R$21),"")</f>
        <v/>
      </c>
      <c r="AB27" s="36" t="str">
        <f>IF(AND('Mapa final'!$AB$16="Media",'Mapa final'!$AD$16="Mayor"),CONCATENATE("R2C",'Mapa final'!$R$16),"")</f>
        <v/>
      </c>
      <c r="AC27" s="37" t="str">
        <f>IF(AND('Mapa final'!$AB$17="Media",'Mapa final'!$AD$17="Mayor"),CONCATENATE("R2C",'Mapa final'!$R$17),"")</f>
        <v/>
      </c>
      <c r="AD27" s="37" t="str">
        <f>IF(AND('Mapa final'!$AB$18="Media",'Mapa final'!$AD$18="Mayor"),CONCATENATE("R2C",'Mapa final'!$R$18),"")</f>
        <v/>
      </c>
      <c r="AE27" s="37" t="str">
        <f>IF(AND('Mapa final'!$AB$19="Media",'Mapa final'!$AD$19="Mayor"),CONCATENATE("R2C",'Mapa final'!$R$19),"")</f>
        <v/>
      </c>
      <c r="AF27" s="37" t="str">
        <f>IF(AND('Mapa final'!$AB$20="Media",'Mapa final'!$AD$20="Mayor"),CONCATENATE("R2C",'Mapa final'!$R$20),"")</f>
        <v/>
      </c>
      <c r="AG27" s="38" t="str">
        <f>IF(AND('Mapa final'!$AB$21="Media",'Mapa final'!$AD$21="Mayor"),CONCATENATE("R2C",'Mapa final'!$R$21),"")</f>
        <v/>
      </c>
      <c r="AH27" s="39" t="str">
        <f>IF(AND('Mapa final'!$AB$16="Media",'Mapa final'!$AD$16="Catastrófico"),CONCATENATE("R2C",'Mapa final'!$R$16),"")</f>
        <v/>
      </c>
      <c r="AI27" s="40" t="str">
        <f>IF(AND('Mapa final'!$AB$17="Media",'Mapa final'!$AD$17="Catastrófico"),CONCATENATE("R2C",'Mapa final'!$R$17),"")</f>
        <v/>
      </c>
      <c r="AJ27" s="40" t="str">
        <f>IF(AND('Mapa final'!$AB$18="Media",'Mapa final'!$AD$18="Catastrófico"),CONCATENATE("R2C",'Mapa final'!$R$18),"")</f>
        <v/>
      </c>
      <c r="AK27" s="40" t="str">
        <f>IF(AND('Mapa final'!$AB$19="Media",'Mapa final'!$AD$19="Catastrófico"),CONCATENATE("R2C",'Mapa final'!$R$19),"")</f>
        <v/>
      </c>
      <c r="AL27" s="40" t="str">
        <f>IF(AND('Mapa final'!$AB$20="Media",'Mapa final'!$AD$20="Catastrófico"),CONCATENATE("R2C",'Mapa final'!$R$20),"")</f>
        <v/>
      </c>
      <c r="AM27" s="41" t="str">
        <f>IF(AND('Mapa final'!$AB$21="Media",'Mapa final'!$AD$21="Catastrófico"),CONCATENATE("R2C",'Mapa final'!$R$21),"")</f>
        <v/>
      </c>
      <c r="AN27" s="67"/>
      <c r="AO27" s="667"/>
      <c r="AP27" s="668"/>
      <c r="AQ27" s="668"/>
      <c r="AR27" s="668"/>
      <c r="AS27" s="668"/>
      <c r="AT27" s="669"/>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586"/>
      <c r="C28" s="586"/>
      <c r="D28" s="587"/>
      <c r="E28" s="627"/>
      <c r="F28" s="628"/>
      <c r="G28" s="628"/>
      <c r="H28" s="628"/>
      <c r="I28" s="629"/>
      <c r="J28" s="51" t="str">
        <f>IF(AND('Mapa final'!$AB$22="Media",'Mapa final'!$AD$22="Leve"),CONCATENATE("R3C",'Mapa final'!$R$22),"")</f>
        <v/>
      </c>
      <c r="K28" s="52" t="str">
        <f>IF(AND('Mapa final'!$AB$23="Media",'Mapa final'!$AD$23="Leve"),CONCATENATE("R3C",'Mapa final'!$R$23),"")</f>
        <v/>
      </c>
      <c r="L28" s="52" t="str">
        <f>IF(AND('Mapa final'!$AB$24="Media",'Mapa final'!$AD$24="Leve"),CONCATENATE("R3C",'Mapa final'!$R$24),"")</f>
        <v/>
      </c>
      <c r="M28" s="52" t="str">
        <f>IF(AND('Mapa final'!$AB$25="Media",'Mapa final'!$AD$25="Leve"),CONCATENATE("R3C",'Mapa final'!$R$25),"")</f>
        <v/>
      </c>
      <c r="N28" s="52" t="str">
        <f>IF(AND('Mapa final'!$AB$26="Media",'Mapa final'!$AD$26="Leve"),CONCATENATE("R3C",'Mapa final'!$R$26),"")</f>
        <v/>
      </c>
      <c r="O28" s="53" t="str">
        <f>IF(AND('Mapa final'!$AB$27="Media",'Mapa final'!$AD$27="Leve"),CONCATENATE("R3C",'Mapa final'!$R$27),"")</f>
        <v/>
      </c>
      <c r="P28" s="51" t="str">
        <f>IF(AND('Mapa final'!$AB$22="Media",'Mapa final'!$AD$22="Menor"),CONCATENATE("R3C",'Mapa final'!$R$22),"")</f>
        <v/>
      </c>
      <c r="Q28" s="52" t="str">
        <f>IF(AND('Mapa final'!$AB$23="Media",'Mapa final'!$AD$23="Menor"),CONCATENATE("R3C",'Mapa final'!$R$23),"")</f>
        <v/>
      </c>
      <c r="R28" s="52" t="str">
        <f>IF(AND('Mapa final'!$AB$24="Media",'Mapa final'!$AD$24="Menor"),CONCATENATE("R3C",'Mapa final'!$R$24),"")</f>
        <v/>
      </c>
      <c r="S28" s="52" t="str">
        <f>IF(AND('Mapa final'!$AB$25="Media",'Mapa final'!$AD$25="Menor"),CONCATENATE("R3C",'Mapa final'!$R$25),"")</f>
        <v/>
      </c>
      <c r="T28" s="52" t="str">
        <f>IF(AND('Mapa final'!$AB$26="Media",'Mapa final'!$AD$26="Menor"),CONCATENATE("R3C",'Mapa final'!$R$26),"")</f>
        <v/>
      </c>
      <c r="U28" s="53" t="str">
        <f>IF(AND('Mapa final'!$AB$27="Media",'Mapa final'!$AD$27="Menor"),CONCATENATE("R3C",'Mapa final'!$R$27),"")</f>
        <v/>
      </c>
      <c r="V28" s="51" t="str">
        <f>IF(AND('Mapa final'!$AB$22="Media",'Mapa final'!$AD$22="Moderado"),CONCATENATE("R3C",'Mapa final'!$R$22),"")</f>
        <v/>
      </c>
      <c r="W28" s="52" t="str">
        <f>IF(AND('Mapa final'!$AB$23="Media",'Mapa final'!$AD$23="Moderado"),CONCATENATE("R3C",'Mapa final'!$R$23),"")</f>
        <v/>
      </c>
      <c r="X28" s="52" t="str">
        <f>IF(AND('Mapa final'!$AB$24="Media",'Mapa final'!$AD$24="Moderado"),CONCATENATE("R3C",'Mapa final'!$R$24),"")</f>
        <v/>
      </c>
      <c r="Y28" s="52" t="str">
        <f>IF(AND('Mapa final'!$AB$25="Media",'Mapa final'!$AD$25="Moderado"),CONCATENATE("R3C",'Mapa final'!$R$25),"")</f>
        <v/>
      </c>
      <c r="Z28" s="52" t="str">
        <f>IF(AND('Mapa final'!$AB$26="Media",'Mapa final'!$AD$26="Moderado"),CONCATENATE("R3C",'Mapa final'!$R$26),"")</f>
        <v/>
      </c>
      <c r="AA28" s="53" t="str">
        <f>IF(AND('Mapa final'!$AB$27="Media",'Mapa final'!$AD$27="Moderado"),CONCATENATE("R3C",'Mapa final'!$R$27),"")</f>
        <v/>
      </c>
      <c r="AB28" s="36" t="str">
        <f>IF(AND('Mapa final'!$AB$22="Media",'Mapa final'!$AD$22="Mayor"),CONCATENATE("R3C",'Mapa final'!$R$22),"")</f>
        <v/>
      </c>
      <c r="AC28" s="37" t="str">
        <f>IF(AND('Mapa final'!$AB$23="Media",'Mapa final'!$AD$23="Mayor"),CONCATENATE("R3C",'Mapa final'!$R$23),"")</f>
        <v/>
      </c>
      <c r="AD28" s="37" t="str">
        <f>IF(AND('Mapa final'!$AB$24="Media",'Mapa final'!$AD$24="Mayor"),CONCATENATE("R3C",'Mapa final'!$R$24),"")</f>
        <v/>
      </c>
      <c r="AE28" s="37" t="str">
        <f>IF(AND('Mapa final'!$AB$25="Media",'Mapa final'!$AD$25="Mayor"),CONCATENATE("R3C",'Mapa final'!$R$25),"")</f>
        <v/>
      </c>
      <c r="AF28" s="37" t="str">
        <f>IF(AND('Mapa final'!$AB$26="Media",'Mapa final'!$AD$26="Mayor"),CONCATENATE("R3C",'Mapa final'!$R$26),"")</f>
        <v/>
      </c>
      <c r="AG28" s="38" t="str">
        <f>IF(AND('Mapa final'!$AB$27="Media",'Mapa final'!$AD$27="Mayor"),CONCATENATE("R3C",'Mapa final'!$R$27),"")</f>
        <v/>
      </c>
      <c r="AH28" s="39" t="str">
        <f>IF(AND('Mapa final'!$AB$22="Media",'Mapa final'!$AD$22="Catastrófico"),CONCATENATE("R3C",'Mapa final'!$R$22),"")</f>
        <v/>
      </c>
      <c r="AI28" s="40" t="str">
        <f>IF(AND('Mapa final'!$AB$23="Media",'Mapa final'!$AD$23="Catastrófico"),CONCATENATE("R3C",'Mapa final'!$R$23),"")</f>
        <v/>
      </c>
      <c r="AJ28" s="40" t="str">
        <f>IF(AND('Mapa final'!$AB$24="Media",'Mapa final'!$AD$24="Catastrófico"),CONCATENATE("R3C",'Mapa final'!$R$24),"")</f>
        <v/>
      </c>
      <c r="AK28" s="40" t="str">
        <f>IF(AND('Mapa final'!$AB$25="Media",'Mapa final'!$AD$25="Catastrófico"),CONCATENATE("R3C",'Mapa final'!$R$25),"")</f>
        <v/>
      </c>
      <c r="AL28" s="40" t="str">
        <f>IF(AND('Mapa final'!$AB$26="Media",'Mapa final'!$AD$26="Catastrófico"),CONCATENATE("R3C",'Mapa final'!$R$26),"")</f>
        <v/>
      </c>
      <c r="AM28" s="41" t="str">
        <f>IF(AND('Mapa final'!$AB$27="Media",'Mapa final'!$AD$27="Catastrófico"),CONCATENATE("R3C",'Mapa final'!$R$27),"")</f>
        <v/>
      </c>
      <c r="AN28" s="67"/>
      <c r="AO28" s="667"/>
      <c r="AP28" s="668"/>
      <c r="AQ28" s="668"/>
      <c r="AR28" s="668"/>
      <c r="AS28" s="668"/>
      <c r="AT28" s="669"/>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586"/>
      <c r="C29" s="586"/>
      <c r="D29" s="587"/>
      <c r="E29" s="627"/>
      <c r="F29" s="628"/>
      <c r="G29" s="628"/>
      <c r="H29" s="628"/>
      <c r="I29" s="629"/>
      <c r="J29" s="51" t="str">
        <f>IF(AND('Mapa final'!$AB$28="Media",'Mapa final'!$AD$28="Leve"),CONCATENATE("R4C",'Mapa final'!$R$28),"")</f>
        <v/>
      </c>
      <c r="K29" s="52" t="str">
        <f>IF(AND('Mapa final'!$AB$29="Media",'Mapa final'!$AD$29="Leve"),CONCATENATE("R4C",'Mapa final'!$R$29),"")</f>
        <v/>
      </c>
      <c r="L29" s="52" t="str">
        <f>IF(AND('Mapa final'!$AB$30="Media",'Mapa final'!$AD$30="Leve"),CONCATENATE("R4C",'Mapa final'!$R$30),"")</f>
        <v/>
      </c>
      <c r="M29" s="52" t="str">
        <f>IF(AND('Mapa final'!$AB$31="Media",'Mapa final'!$AD$31="Leve"),CONCATENATE("R4C",'Mapa final'!$R$31),"")</f>
        <v/>
      </c>
      <c r="N29" s="52" t="str">
        <f>IF(AND('Mapa final'!$AB$32="Media",'Mapa final'!$AD$32="Leve"),CONCATENATE("R4C",'Mapa final'!$R$32),"")</f>
        <v/>
      </c>
      <c r="O29" s="53" t="str">
        <f>IF(AND('Mapa final'!$AB$33="Media",'Mapa final'!$AD$33="Leve"),CONCATENATE("R4C",'Mapa final'!$R$33),"")</f>
        <v/>
      </c>
      <c r="P29" s="51" t="str">
        <f>IF(AND('Mapa final'!$AB$28="Media",'Mapa final'!$AD$28="Menor"),CONCATENATE("R4C",'Mapa final'!$R$28),"")</f>
        <v/>
      </c>
      <c r="Q29" s="52" t="str">
        <f>IF(AND('Mapa final'!$AB$29="Media",'Mapa final'!$AD$29="Menor"),CONCATENATE("R4C",'Mapa final'!$R$29),"")</f>
        <v/>
      </c>
      <c r="R29" s="52" t="str">
        <f>IF(AND('Mapa final'!$AB$30="Media",'Mapa final'!$AD$30="Menor"),CONCATENATE("R4C",'Mapa final'!$R$30),"")</f>
        <v/>
      </c>
      <c r="S29" s="52" t="str">
        <f>IF(AND('Mapa final'!$AB$31="Media",'Mapa final'!$AD$31="Menor"),CONCATENATE("R4C",'Mapa final'!$R$31),"")</f>
        <v/>
      </c>
      <c r="T29" s="52" t="str">
        <f>IF(AND('Mapa final'!$AB$32="Media",'Mapa final'!$AD$32="Menor"),CONCATENATE("R4C",'Mapa final'!$R$32),"")</f>
        <v/>
      </c>
      <c r="U29" s="53" t="str">
        <f>IF(AND('Mapa final'!$AB$33="Media",'Mapa final'!$AD$33="Menor"),CONCATENATE("R4C",'Mapa final'!$R$33),"")</f>
        <v/>
      </c>
      <c r="V29" s="51" t="str">
        <f>IF(AND('Mapa final'!$AB$28="Media",'Mapa final'!$AD$28="Moderado"),CONCATENATE("R4C",'Mapa final'!$R$28),"")</f>
        <v/>
      </c>
      <c r="W29" s="52" t="str">
        <f>IF(AND('Mapa final'!$AB$29="Media",'Mapa final'!$AD$29="Moderado"),CONCATENATE("R4C",'Mapa final'!$R$29),"")</f>
        <v/>
      </c>
      <c r="X29" s="52" t="str">
        <f>IF(AND('Mapa final'!$AB$30="Media",'Mapa final'!$AD$30="Moderado"),CONCATENATE("R4C",'Mapa final'!$R$30),"")</f>
        <v/>
      </c>
      <c r="Y29" s="52" t="str">
        <f>IF(AND('Mapa final'!$AB$31="Media",'Mapa final'!$AD$31="Moderado"),CONCATENATE("R4C",'Mapa final'!$R$31),"")</f>
        <v/>
      </c>
      <c r="Z29" s="52" t="str">
        <f>IF(AND('Mapa final'!$AB$32="Media",'Mapa final'!$AD$32="Moderado"),CONCATENATE("R4C",'Mapa final'!$R$32),"")</f>
        <v/>
      </c>
      <c r="AA29" s="53" t="str">
        <f>IF(AND('Mapa final'!$AB$33="Media",'Mapa final'!$AD$33="Moderado"),CONCATENATE("R4C",'Mapa final'!$R$33),"")</f>
        <v/>
      </c>
      <c r="AB29" s="36" t="str">
        <f>IF(AND('Mapa final'!$AB$28="Media",'Mapa final'!$AD$28="Mayor"),CONCATENATE("R4C",'Mapa final'!$R$28),"")</f>
        <v/>
      </c>
      <c r="AC29" s="37" t="str">
        <f>IF(AND('Mapa final'!$AB$29="Media",'Mapa final'!$AD$29="Mayor"),CONCATENATE("R4C",'Mapa final'!$R$29),"")</f>
        <v/>
      </c>
      <c r="AD29" s="37" t="str">
        <f>IF(AND('Mapa final'!$AB$30="Media",'Mapa final'!$AD$30="Mayor"),CONCATENATE("R4C",'Mapa final'!$R$30),"")</f>
        <v/>
      </c>
      <c r="AE29" s="37" t="str">
        <f>IF(AND('Mapa final'!$AB$31="Media",'Mapa final'!$AD$31="Mayor"),CONCATENATE("R4C",'Mapa final'!$R$31),"")</f>
        <v/>
      </c>
      <c r="AF29" s="37" t="str">
        <f>IF(AND('Mapa final'!$AB$32="Media",'Mapa final'!$AD$32="Mayor"),CONCATENATE("R4C",'Mapa final'!$R$32),"")</f>
        <v/>
      </c>
      <c r="AG29" s="38" t="str">
        <f>IF(AND('Mapa final'!$AB$33="Media",'Mapa final'!$AD$33="Mayor"),CONCATENATE("R4C",'Mapa final'!$R$33),"")</f>
        <v/>
      </c>
      <c r="AH29" s="39" t="str">
        <f>IF(AND('Mapa final'!$AB$28="Media",'Mapa final'!$AD$28="Catastrófico"),CONCATENATE("R4C",'Mapa final'!$R$28),"")</f>
        <v/>
      </c>
      <c r="AI29" s="40" t="str">
        <f>IF(AND('Mapa final'!$AB$29="Media",'Mapa final'!$AD$29="Catastrófico"),CONCATENATE("R4C",'Mapa final'!$R$29),"")</f>
        <v/>
      </c>
      <c r="AJ29" s="40" t="str">
        <f>IF(AND('Mapa final'!$AB$30="Media",'Mapa final'!$AD$30="Catastrófico"),CONCATENATE("R4C",'Mapa final'!$R$30),"")</f>
        <v/>
      </c>
      <c r="AK29" s="40" t="str">
        <f>IF(AND('Mapa final'!$AB$31="Media",'Mapa final'!$AD$31="Catastrófico"),CONCATENATE("R4C",'Mapa final'!$R$31),"")</f>
        <v/>
      </c>
      <c r="AL29" s="40" t="str">
        <f>IF(AND('Mapa final'!$AB$32="Media",'Mapa final'!$AD$32="Catastrófico"),CONCATENATE("R4C",'Mapa final'!$R$32),"")</f>
        <v/>
      </c>
      <c r="AM29" s="41" t="str">
        <f>IF(AND('Mapa final'!$AB$33="Media",'Mapa final'!$AD$33="Catastrófico"),CONCATENATE("R4C",'Mapa final'!$R$33),"")</f>
        <v/>
      </c>
      <c r="AN29" s="67"/>
      <c r="AO29" s="667"/>
      <c r="AP29" s="668"/>
      <c r="AQ29" s="668"/>
      <c r="AR29" s="668"/>
      <c r="AS29" s="668"/>
      <c r="AT29" s="669"/>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586"/>
      <c r="C30" s="586"/>
      <c r="D30" s="587"/>
      <c r="E30" s="627"/>
      <c r="F30" s="628"/>
      <c r="G30" s="628"/>
      <c r="H30" s="628"/>
      <c r="I30" s="629"/>
      <c r="J30" s="51" t="str">
        <f>IF(AND('Mapa final'!$AB$34="Media",'Mapa final'!$AD$34="Leve"),CONCATENATE("R5C",'Mapa final'!$R$34),"")</f>
        <v/>
      </c>
      <c r="K30" s="52" t="str">
        <f>IF(AND('Mapa final'!$AB$35="Media",'Mapa final'!$AD$35="Leve"),CONCATENATE("R5C",'Mapa final'!$R$35),"")</f>
        <v/>
      </c>
      <c r="L30" s="52" t="str">
        <f>IF(AND('Mapa final'!$AB$36="Media",'Mapa final'!$AD$36="Leve"),CONCATENATE("R5C",'Mapa final'!$R$36),"")</f>
        <v/>
      </c>
      <c r="M30" s="52" t="str">
        <f>IF(AND('Mapa final'!$AB$37="Media",'Mapa final'!$AD$37="Leve"),CONCATENATE("R5C",'Mapa final'!$R$37),"")</f>
        <v/>
      </c>
      <c r="N30" s="52" t="str">
        <f>IF(AND('Mapa final'!$AB$38="Media",'Mapa final'!$AD$38="Leve"),CONCATENATE("R5C",'Mapa final'!$R$38),"")</f>
        <v/>
      </c>
      <c r="O30" s="53" t="str">
        <f>IF(AND('Mapa final'!$AB$39="Media",'Mapa final'!$AD$39="Leve"),CONCATENATE("R5C",'Mapa final'!$R$39),"")</f>
        <v/>
      </c>
      <c r="P30" s="51" t="str">
        <f>IF(AND('Mapa final'!$AB$34="Media",'Mapa final'!$AD$34="Menor"),CONCATENATE("R5C",'Mapa final'!$R$34),"")</f>
        <v/>
      </c>
      <c r="Q30" s="52" t="str">
        <f>IF(AND('Mapa final'!$AB$35="Media",'Mapa final'!$AD$35="Menor"),CONCATENATE("R5C",'Mapa final'!$R$35),"")</f>
        <v/>
      </c>
      <c r="R30" s="52" t="str">
        <f>IF(AND('Mapa final'!$AB$36="Media",'Mapa final'!$AD$36="Menor"),CONCATENATE("R5C",'Mapa final'!$R$36),"")</f>
        <v/>
      </c>
      <c r="S30" s="52" t="str">
        <f>IF(AND('Mapa final'!$AB$37="Media",'Mapa final'!$AD$37="Menor"),CONCATENATE("R5C",'Mapa final'!$R$37),"")</f>
        <v/>
      </c>
      <c r="T30" s="52" t="str">
        <f>IF(AND('Mapa final'!$AB$38="Media",'Mapa final'!$AD$38="Menor"),CONCATENATE("R5C",'Mapa final'!$R$38),"")</f>
        <v/>
      </c>
      <c r="U30" s="53" t="str">
        <f>IF(AND('Mapa final'!$AB$39="Media",'Mapa final'!$AD$39="Menor"),CONCATENATE("R5C",'Mapa final'!$R$39),"")</f>
        <v/>
      </c>
      <c r="V30" s="51" t="str">
        <f>IF(AND('Mapa final'!$AB$34="Media",'Mapa final'!$AD$34="Moderado"),CONCATENATE("R5C",'Mapa final'!$R$34),"")</f>
        <v/>
      </c>
      <c r="W30" s="52" t="str">
        <f>IF(AND('Mapa final'!$AB$35="Media",'Mapa final'!$AD$35="Moderado"),CONCATENATE("R5C",'Mapa final'!$R$35),"")</f>
        <v/>
      </c>
      <c r="X30" s="52" t="str">
        <f>IF(AND('Mapa final'!$AB$36="Media",'Mapa final'!$AD$36="Moderado"),CONCATENATE("R5C",'Mapa final'!$R$36),"")</f>
        <v/>
      </c>
      <c r="Y30" s="52" t="str">
        <f>IF(AND('Mapa final'!$AB$37="Media",'Mapa final'!$AD$37="Moderado"),CONCATENATE("R5C",'Mapa final'!$R$37),"")</f>
        <v/>
      </c>
      <c r="Z30" s="52" t="str">
        <f>IF(AND('Mapa final'!$AB$38="Media",'Mapa final'!$AD$38="Moderado"),CONCATENATE("R5C",'Mapa final'!$R$38),"")</f>
        <v/>
      </c>
      <c r="AA30" s="53" t="str">
        <f>IF(AND('Mapa final'!$AB$39="Media",'Mapa final'!$AD$39="Moderado"),CONCATENATE("R5C",'Mapa final'!$R$39),"")</f>
        <v/>
      </c>
      <c r="AB30" s="36" t="str">
        <f>IF(AND('Mapa final'!$AB$34="Media",'Mapa final'!$AD$34="Mayor"),CONCATENATE("R5C",'Mapa final'!$R$34),"")</f>
        <v/>
      </c>
      <c r="AC30" s="37" t="str">
        <f>IF(AND('Mapa final'!$AB$35="Media",'Mapa final'!$AD$35="Mayor"),CONCATENATE("R5C",'Mapa final'!$R$35),"")</f>
        <v/>
      </c>
      <c r="AD30" s="37" t="str">
        <f>IF(AND('Mapa final'!$AB$36="Media",'Mapa final'!$AD$36="Mayor"),CONCATENATE("R5C",'Mapa final'!$R$36),"")</f>
        <v/>
      </c>
      <c r="AE30" s="37" t="str">
        <f>IF(AND('Mapa final'!$AB$37="Media",'Mapa final'!$AD$37="Mayor"),CONCATENATE("R5C",'Mapa final'!$R$37),"")</f>
        <v/>
      </c>
      <c r="AF30" s="37" t="str">
        <f>IF(AND('Mapa final'!$AB$38="Media",'Mapa final'!$AD$38="Mayor"),CONCATENATE("R5C",'Mapa final'!$R$38),"")</f>
        <v/>
      </c>
      <c r="AG30" s="38" t="str">
        <f>IF(AND('Mapa final'!$AB$39="Media",'Mapa final'!$AD$39="Mayor"),CONCATENATE("R5C",'Mapa final'!$R$39),"")</f>
        <v/>
      </c>
      <c r="AH30" s="39" t="str">
        <f>IF(AND('Mapa final'!$AB$34="Media",'Mapa final'!$AD$34="Catastrófico"),CONCATENATE("R5C",'Mapa final'!$R$34),"")</f>
        <v/>
      </c>
      <c r="AI30" s="40" t="str">
        <f>IF(AND('Mapa final'!$AB$35="Media",'Mapa final'!$AD$35="Catastrófico"),CONCATENATE("R5C",'Mapa final'!$R$35),"")</f>
        <v/>
      </c>
      <c r="AJ30" s="40" t="str">
        <f>IF(AND('Mapa final'!$AB$36="Media",'Mapa final'!$AD$36="Catastrófico"),CONCATENATE("R5C",'Mapa final'!$R$36),"")</f>
        <v/>
      </c>
      <c r="AK30" s="40" t="str">
        <f>IF(AND('Mapa final'!$AB$37="Media",'Mapa final'!$AD$37="Catastrófico"),CONCATENATE("R5C",'Mapa final'!$R$37),"")</f>
        <v/>
      </c>
      <c r="AL30" s="40" t="str">
        <f>IF(AND('Mapa final'!$AB$38="Media",'Mapa final'!$AD$38="Catastrófico"),CONCATENATE("R5C",'Mapa final'!$R$38),"")</f>
        <v/>
      </c>
      <c r="AM30" s="41" t="str">
        <f>IF(AND('Mapa final'!$AB$39="Media",'Mapa final'!$AD$39="Catastrófico"),CONCATENATE("R5C",'Mapa final'!$R$39),"")</f>
        <v/>
      </c>
      <c r="AN30" s="67"/>
      <c r="AO30" s="667"/>
      <c r="AP30" s="668"/>
      <c r="AQ30" s="668"/>
      <c r="AR30" s="668"/>
      <c r="AS30" s="668"/>
      <c r="AT30" s="669"/>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586"/>
      <c r="C31" s="586"/>
      <c r="D31" s="587"/>
      <c r="E31" s="627"/>
      <c r="F31" s="628"/>
      <c r="G31" s="628"/>
      <c r="H31" s="628"/>
      <c r="I31" s="629"/>
      <c r="J31" s="51" t="str">
        <f>IF(AND('Mapa final'!$AB$40="Media",'Mapa final'!$AD$40="Leve"),CONCATENATE("R6C",'Mapa final'!$R$40),"")</f>
        <v/>
      </c>
      <c r="K31" s="52" t="str">
        <f>IF(AND('Mapa final'!$AB$41="Media",'Mapa final'!$AD$41="Leve"),CONCATENATE("R6C",'Mapa final'!$R$41),"")</f>
        <v/>
      </c>
      <c r="L31" s="52" t="str">
        <f>IF(AND('Mapa final'!$AB$42="Media",'Mapa final'!$AD$42="Leve"),CONCATENATE("R6C",'Mapa final'!$R$42),"")</f>
        <v/>
      </c>
      <c r="M31" s="52" t="str">
        <f>IF(AND('Mapa final'!$AB$43="Media",'Mapa final'!$AD$43="Leve"),CONCATENATE("R6C",'Mapa final'!$R$43),"")</f>
        <v/>
      </c>
      <c r="N31" s="52" t="str">
        <f>IF(AND('Mapa final'!$AB$44="Media",'Mapa final'!$AD$44="Leve"),CONCATENATE("R6C",'Mapa final'!$R$44),"")</f>
        <v/>
      </c>
      <c r="O31" s="53" t="str">
        <f>IF(AND('Mapa final'!$AB$45="Media",'Mapa final'!$AD$45="Leve"),CONCATENATE("R6C",'Mapa final'!$R$45),"")</f>
        <v/>
      </c>
      <c r="P31" s="51" t="str">
        <f>IF(AND('Mapa final'!$AB$40="Media",'Mapa final'!$AD$40="Menor"),CONCATENATE("R6C",'Mapa final'!$R$40),"")</f>
        <v/>
      </c>
      <c r="Q31" s="52" t="str">
        <f>IF(AND('Mapa final'!$AB$41="Media",'Mapa final'!$AD$41="Menor"),CONCATENATE("R6C",'Mapa final'!$R$41),"")</f>
        <v/>
      </c>
      <c r="R31" s="52" t="str">
        <f>IF(AND('Mapa final'!$AB$42="Media",'Mapa final'!$AD$42="Menor"),CONCATENATE("R6C",'Mapa final'!$R$42),"")</f>
        <v/>
      </c>
      <c r="S31" s="52" t="str">
        <f>IF(AND('Mapa final'!$AB$43="Media",'Mapa final'!$AD$43="Menor"),CONCATENATE("R6C",'Mapa final'!$R$43),"")</f>
        <v/>
      </c>
      <c r="T31" s="52" t="str">
        <f>IF(AND('Mapa final'!$AB$44="Media",'Mapa final'!$AD$44="Menor"),CONCATENATE("R6C",'Mapa final'!$R$44),"")</f>
        <v/>
      </c>
      <c r="U31" s="53" t="str">
        <f>IF(AND('Mapa final'!$AB$45="Media",'Mapa final'!$AD$45="Menor"),CONCATENATE("R6C",'Mapa final'!$R$45),"")</f>
        <v/>
      </c>
      <c r="V31" s="51" t="str">
        <f>IF(AND('Mapa final'!$AB$40="Media",'Mapa final'!$AD$40="Moderado"),CONCATENATE("R6C",'Mapa final'!$R$40),"")</f>
        <v/>
      </c>
      <c r="W31" s="52" t="str">
        <f>IF(AND('Mapa final'!$AB$41="Media",'Mapa final'!$AD$41="Moderado"),CONCATENATE("R6C",'Mapa final'!$R$41),"")</f>
        <v/>
      </c>
      <c r="X31" s="52" t="str">
        <f>IF(AND('Mapa final'!$AB$42="Media",'Mapa final'!$AD$42="Moderado"),CONCATENATE("R6C",'Mapa final'!$R$42),"")</f>
        <v/>
      </c>
      <c r="Y31" s="52" t="str">
        <f>IF(AND('Mapa final'!$AB$43="Media",'Mapa final'!$AD$43="Moderado"),CONCATENATE("R6C",'Mapa final'!$R$43),"")</f>
        <v/>
      </c>
      <c r="Z31" s="52" t="str">
        <f>IF(AND('Mapa final'!$AB$44="Media",'Mapa final'!$AD$44="Moderado"),CONCATENATE("R6C",'Mapa final'!$R$44),"")</f>
        <v/>
      </c>
      <c r="AA31" s="53" t="str">
        <f>IF(AND('Mapa final'!$AB$45="Media",'Mapa final'!$AD$45="Moderado"),CONCATENATE("R6C",'Mapa final'!$R$45),"")</f>
        <v/>
      </c>
      <c r="AB31" s="36" t="str">
        <f>IF(AND('Mapa final'!$AB$40="Media",'Mapa final'!$AD$40="Mayor"),CONCATENATE("R6C",'Mapa final'!$R$40),"")</f>
        <v/>
      </c>
      <c r="AC31" s="37" t="str">
        <f>IF(AND('Mapa final'!$AB$41="Media",'Mapa final'!$AD$41="Mayor"),CONCATENATE("R6C",'Mapa final'!$R$41),"")</f>
        <v/>
      </c>
      <c r="AD31" s="37" t="str">
        <f>IF(AND('Mapa final'!$AB$42="Media",'Mapa final'!$AD$42="Mayor"),CONCATENATE("R6C",'Mapa final'!$R$42),"")</f>
        <v/>
      </c>
      <c r="AE31" s="37" t="str">
        <f>IF(AND('Mapa final'!$AB$43="Media",'Mapa final'!$AD$43="Mayor"),CONCATENATE("R6C",'Mapa final'!$R$43),"")</f>
        <v/>
      </c>
      <c r="AF31" s="37" t="str">
        <f>IF(AND('Mapa final'!$AB$44="Media",'Mapa final'!$AD$44="Mayor"),CONCATENATE("R6C",'Mapa final'!$R$44),"")</f>
        <v/>
      </c>
      <c r="AG31" s="38" t="str">
        <f>IF(AND('Mapa final'!$AB$45="Media",'Mapa final'!$AD$45="Mayor"),CONCATENATE("R6C",'Mapa final'!$R$45),"")</f>
        <v/>
      </c>
      <c r="AH31" s="39" t="str">
        <f>IF(AND('Mapa final'!$AB$40="Media",'Mapa final'!$AD$40="Catastrófico"),CONCATENATE("R6C",'Mapa final'!$R$40),"")</f>
        <v/>
      </c>
      <c r="AI31" s="40" t="str">
        <f>IF(AND('Mapa final'!$AB$41="Media",'Mapa final'!$AD$41="Catastrófico"),CONCATENATE("R6C",'Mapa final'!$R$41),"")</f>
        <v/>
      </c>
      <c r="AJ31" s="40" t="str">
        <f>IF(AND('Mapa final'!$AB$42="Media",'Mapa final'!$AD$42="Catastrófico"),CONCATENATE("R6C",'Mapa final'!$R$42),"")</f>
        <v/>
      </c>
      <c r="AK31" s="40" t="str">
        <f>IF(AND('Mapa final'!$AB$43="Media",'Mapa final'!$AD$43="Catastrófico"),CONCATENATE("R6C",'Mapa final'!$R$43),"")</f>
        <v/>
      </c>
      <c r="AL31" s="40" t="str">
        <f>IF(AND('Mapa final'!$AB$44="Media",'Mapa final'!$AD$44="Catastrófico"),CONCATENATE("R6C",'Mapa final'!$R$44),"")</f>
        <v/>
      </c>
      <c r="AM31" s="41" t="str">
        <f>IF(AND('Mapa final'!$AB$45="Media",'Mapa final'!$AD$45="Catastrófico"),CONCATENATE("R6C",'Mapa final'!$R$45),"")</f>
        <v/>
      </c>
      <c r="AN31" s="67"/>
      <c r="AO31" s="667"/>
      <c r="AP31" s="668"/>
      <c r="AQ31" s="668"/>
      <c r="AR31" s="668"/>
      <c r="AS31" s="668"/>
      <c r="AT31" s="669"/>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586"/>
      <c r="C32" s="586"/>
      <c r="D32" s="587"/>
      <c r="E32" s="627"/>
      <c r="F32" s="628"/>
      <c r="G32" s="628"/>
      <c r="H32" s="628"/>
      <c r="I32" s="629"/>
      <c r="J32" s="51" t="str">
        <f>IF(AND('Mapa final'!$AB$46="Media",'Mapa final'!$AD$46="Leve"),CONCATENATE("R7C",'Mapa final'!$R$46),"")</f>
        <v/>
      </c>
      <c r="K32" s="52" t="str">
        <f>IF(AND('Mapa final'!$AB$47="Media",'Mapa final'!$AD$47="Leve"),CONCATENATE("R7C",'Mapa final'!$R$47),"")</f>
        <v/>
      </c>
      <c r="L32" s="52" t="str">
        <f>IF(AND('Mapa final'!$AB$48="Media",'Mapa final'!$AD$48="Leve"),CONCATENATE("R7C",'Mapa final'!$R$48),"")</f>
        <v/>
      </c>
      <c r="M32" s="52" t="str">
        <f>IF(AND('Mapa final'!$AB$49="Media",'Mapa final'!$AD$49="Leve"),CONCATENATE("R7C",'Mapa final'!$R$49),"")</f>
        <v/>
      </c>
      <c r="N32" s="52" t="str">
        <f>IF(AND('Mapa final'!$AB$50="Media",'Mapa final'!$AD$50="Leve"),CONCATENATE("R7C",'Mapa final'!$R$50),"")</f>
        <v/>
      </c>
      <c r="O32" s="53" t="str">
        <f>IF(AND('Mapa final'!$AB$51="Media",'Mapa final'!$AD$51="Leve"),CONCATENATE("R7C",'Mapa final'!$R$51),"")</f>
        <v/>
      </c>
      <c r="P32" s="51" t="str">
        <f>IF(AND('Mapa final'!$AB$46="Media",'Mapa final'!$AD$46="Menor"),CONCATENATE("R7C",'Mapa final'!$R$46),"")</f>
        <v/>
      </c>
      <c r="Q32" s="52" t="str">
        <f>IF(AND('Mapa final'!$AB$47="Media",'Mapa final'!$AD$47="Menor"),CONCATENATE("R7C",'Mapa final'!$R$47),"")</f>
        <v/>
      </c>
      <c r="R32" s="52" t="str">
        <f>IF(AND('Mapa final'!$AB$48="Media",'Mapa final'!$AD$48="Menor"),CONCATENATE("R7C",'Mapa final'!$R$48),"")</f>
        <v/>
      </c>
      <c r="S32" s="52" t="str">
        <f>IF(AND('Mapa final'!$AB$49="Media",'Mapa final'!$AD$49="Menor"),CONCATENATE("R7C",'Mapa final'!$R$49),"")</f>
        <v/>
      </c>
      <c r="T32" s="52" t="str">
        <f>IF(AND('Mapa final'!$AB$50="Media",'Mapa final'!$AD$50="Menor"),CONCATENATE("R7C",'Mapa final'!$R$50),"")</f>
        <v/>
      </c>
      <c r="U32" s="53" t="str">
        <f>IF(AND('Mapa final'!$AB$51="Media",'Mapa final'!$AD$51="Menor"),CONCATENATE("R7C",'Mapa final'!$R$51),"")</f>
        <v/>
      </c>
      <c r="V32" s="51" t="str">
        <f>IF(AND('Mapa final'!$AB$46="Media",'Mapa final'!$AD$46="Moderado"),CONCATENATE("R7C",'Mapa final'!$R$46),"")</f>
        <v/>
      </c>
      <c r="W32" s="52" t="str">
        <f>IF(AND('Mapa final'!$AB$47="Media",'Mapa final'!$AD$47="Moderado"),CONCATENATE("R7C",'Mapa final'!$R$47),"")</f>
        <v/>
      </c>
      <c r="X32" s="52" t="str">
        <f>IF(AND('Mapa final'!$AB$48="Media",'Mapa final'!$AD$48="Moderado"),CONCATENATE("R7C",'Mapa final'!$R$48),"")</f>
        <v/>
      </c>
      <c r="Y32" s="52" t="str">
        <f>IF(AND('Mapa final'!$AB$49="Media",'Mapa final'!$AD$49="Moderado"),CONCATENATE("R7C",'Mapa final'!$R$49),"")</f>
        <v/>
      </c>
      <c r="Z32" s="52" t="str">
        <f>IF(AND('Mapa final'!$AB$50="Media",'Mapa final'!$AD$50="Moderado"),CONCATENATE("R7C",'Mapa final'!$R$50),"")</f>
        <v/>
      </c>
      <c r="AA32" s="53" t="str">
        <f>IF(AND('Mapa final'!$AB$51="Media",'Mapa final'!$AD$51="Moderado"),CONCATENATE("R7C",'Mapa final'!$R$51),"")</f>
        <v/>
      </c>
      <c r="AB32" s="36" t="str">
        <f>IF(AND('Mapa final'!$AB$46="Media",'Mapa final'!$AD$46="Mayor"),CONCATENATE("R7C",'Mapa final'!$R$46),"")</f>
        <v/>
      </c>
      <c r="AC32" s="37" t="str">
        <f>IF(AND('Mapa final'!$AB$47="Media",'Mapa final'!$AD$47="Mayor"),CONCATENATE("R7C",'Mapa final'!$R$47),"")</f>
        <v/>
      </c>
      <c r="AD32" s="37" t="str">
        <f>IF(AND('Mapa final'!$AB$48="Media",'Mapa final'!$AD$48="Mayor"),CONCATENATE("R7C",'Mapa final'!$R$48),"")</f>
        <v/>
      </c>
      <c r="AE32" s="37" t="str">
        <f>IF(AND('Mapa final'!$AB$49="Media",'Mapa final'!$AD$49="Mayor"),CONCATENATE("R7C",'Mapa final'!$R$49),"")</f>
        <v/>
      </c>
      <c r="AF32" s="37" t="str">
        <f>IF(AND('Mapa final'!$AB$50="Media",'Mapa final'!$AD$50="Mayor"),CONCATENATE("R7C",'Mapa final'!$R$50),"")</f>
        <v/>
      </c>
      <c r="AG32" s="38" t="str">
        <f>IF(AND('Mapa final'!$AB$51="Media",'Mapa final'!$AD$51="Mayor"),CONCATENATE("R7C",'Mapa final'!$R$51),"")</f>
        <v/>
      </c>
      <c r="AH32" s="39" t="str">
        <f>IF(AND('Mapa final'!$AB$46="Media",'Mapa final'!$AD$46="Catastrófico"),CONCATENATE("R7C",'Mapa final'!$R$46),"")</f>
        <v/>
      </c>
      <c r="AI32" s="40" t="str">
        <f>IF(AND('Mapa final'!$AB$47="Media",'Mapa final'!$AD$47="Catastrófico"),CONCATENATE("R7C",'Mapa final'!$R$47),"")</f>
        <v/>
      </c>
      <c r="AJ32" s="40" t="str">
        <f>IF(AND('Mapa final'!$AB$48="Media",'Mapa final'!$AD$48="Catastrófico"),CONCATENATE("R7C",'Mapa final'!$R$48),"")</f>
        <v/>
      </c>
      <c r="AK32" s="40" t="str">
        <f>IF(AND('Mapa final'!$AB$49="Media",'Mapa final'!$AD$49="Catastrófico"),CONCATENATE("R7C",'Mapa final'!$R$49),"")</f>
        <v/>
      </c>
      <c r="AL32" s="40" t="str">
        <f>IF(AND('Mapa final'!$AB$50="Media",'Mapa final'!$AD$50="Catastrófico"),CONCATENATE("R7C",'Mapa final'!$R$50),"")</f>
        <v/>
      </c>
      <c r="AM32" s="41" t="str">
        <f>IF(AND('Mapa final'!$AB$51="Media",'Mapa final'!$AD$51="Catastrófico"),CONCATENATE("R7C",'Mapa final'!$R$51),"")</f>
        <v/>
      </c>
      <c r="AN32" s="67"/>
      <c r="AO32" s="667"/>
      <c r="AP32" s="668"/>
      <c r="AQ32" s="668"/>
      <c r="AR32" s="668"/>
      <c r="AS32" s="668"/>
      <c r="AT32" s="669"/>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586"/>
      <c r="C33" s="586"/>
      <c r="D33" s="587"/>
      <c r="E33" s="627"/>
      <c r="F33" s="628"/>
      <c r="G33" s="628"/>
      <c r="H33" s="628"/>
      <c r="I33" s="629"/>
      <c r="J33" s="51" t="str">
        <f>IF(AND('Mapa final'!$AB$52="Media",'Mapa final'!$AD$52="Leve"),CONCATENATE("R8C",'Mapa final'!$R$52),"")</f>
        <v/>
      </c>
      <c r="K33" s="52" t="str">
        <f>IF(AND('Mapa final'!$AB$53="Media",'Mapa final'!$AD$53="Leve"),CONCATENATE("R8C",'Mapa final'!$R$53),"")</f>
        <v/>
      </c>
      <c r="L33" s="52" t="str">
        <f>IF(AND('Mapa final'!$AB$54="Media",'Mapa final'!$AD$54="Leve"),CONCATENATE("R8C",'Mapa final'!$R$54),"")</f>
        <v/>
      </c>
      <c r="M33" s="52" t="str">
        <f>IF(AND('Mapa final'!$AB$55="Media",'Mapa final'!$AD$55="Leve"),CONCATENATE("R8C",'Mapa final'!$R$55),"")</f>
        <v/>
      </c>
      <c r="N33" s="52" t="str">
        <f>IF(AND('Mapa final'!$AB$56="Media",'Mapa final'!$AD$56="Leve"),CONCATENATE("R8C",'Mapa final'!$R$56),"")</f>
        <v/>
      </c>
      <c r="O33" s="53" t="str">
        <f>IF(AND('Mapa final'!$AB$57="Media",'Mapa final'!$AD$57="Leve"),CONCATENATE("R8C",'Mapa final'!$R$57),"")</f>
        <v/>
      </c>
      <c r="P33" s="51" t="str">
        <f>IF(AND('Mapa final'!$AB$52="Media",'Mapa final'!$AD$52="Menor"),CONCATENATE("R8C",'Mapa final'!$R$52),"")</f>
        <v/>
      </c>
      <c r="Q33" s="52" t="str">
        <f>IF(AND('Mapa final'!$AB$53="Media",'Mapa final'!$AD$53="Menor"),CONCATENATE("R8C",'Mapa final'!$R$53),"")</f>
        <v/>
      </c>
      <c r="R33" s="52" t="str">
        <f>IF(AND('Mapa final'!$AB$54="Media",'Mapa final'!$AD$54="Menor"),CONCATENATE("R8C",'Mapa final'!$R$54),"")</f>
        <v/>
      </c>
      <c r="S33" s="52" t="str">
        <f>IF(AND('Mapa final'!$AB$55="Media",'Mapa final'!$AD$55="Menor"),CONCATENATE("R8C",'Mapa final'!$R$55),"")</f>
        <v/>
      </c>
      <c r="T33" s="52" t="str">
        <f>IF(AND('Mapa final'!$AB$56="Media",'Mapa final'!$AD$56="Menor"),CONCATENATE("R8C",'Mapa final'!$R$56),"")</f>
        <v/>
      </c>
      <c r="U33" s="53" t="str">
        <f>IF(AND('Mapa final'!$AB$57="Media",'Mapa final'!$AD$57="Menor"),CONCATENATE("R8C",'Mapa final'!$R$57),"")</f>
        <v/>
      </c>
      <c r="V33" s="51" t="str">
        <f>IF(AND('Mapa final'!$AB$52="Media",'Mapa final'!$AD$52="Moderado"),CONCATENATE("R8C",'Mapa final'!$R$52),"")</f>
        <v/>
      </c>
      <c r="W33" s="52" t="str">
        <f>IF(AND('Mapa final'!$AB$53="Media",'Mapa final'!$AD$53="Moderado"),CONCATENATE("R8C",'Mapa final'!$R$53),"")</f>
        <v/>
      </c>
      <c r="X33" s="52" t="str">
        <f>IF(AND('Mapa final'!$AB$54="Media",'Mapa final'!$AD$54="Moderado"),CONCATENATE("R8C",'Mapa final'!$R$54),"")</f>
        <v/>
      </c>
      <c r="Y33" s="52" t="str">
        <f>IF(AND('Mapa final'!$AB$55="Media",'Mapa final'!$AD$55="Moderado"),CONCATENATE("R8C",'Mapa final'!$R$55),"")</f>
        <v/>
      </c>
      <c r="Z33" s="52" t="str">
        <f>IF(AND('Mapa final'!$AB$56="Media",'Mapa final'!$AD$56="Moderado"),CONCATENATE("R8C",'Mapa final'!$R$56),"")</f>
        <v/>
      </c>
      <c r="AA33" s="53" t="str">
        <f>IF(AND('Mapa final'!$AB$57="Media",'Mapa final'!$AD$57="Moderado"),CONCATENATE("R8C",'Mapa final'!$R$57),"")</f>
        <v/>
      </c>
      <c r="AB33" s="36" t="str">
        <f>IF(AND('Mapa final'!$AB$52="Media",'Mapa final'!$AD$52="Mayor"),CONCATENATE("R8C",'Mapa final'!$R$52),"")</f>
        <v/>
      </c>
      <c r="AC33" s="37" t="str">
        <f>IF(AND('Mapa final'!$AB$53="Media",'Mapa final'!$AD$53="Mayor"),CONCATENATE("R8C",'Mapa final'!$R$53),"")</f>
        <v/>
      </c>
      <c r="AD33" s="37" t="str">
        <f>IF(AND('Mapa final'!$AB$54="Media",'Mapa final'!$AD$54="Mayor"),CONCATENATE("R8C",'Mapa final'!$R$54),"")</f>
        <v/>
      </c>
      <c r="AE33" s="37" t="str">
        <f>IF(AND('Mapa final'!$AB$55="Media",'Mapa final'!$AD$55="Mayor"),CONCATENATE("R8C",'Mapa final'!$R$55),"")</f>
        <v/>
      </c>
      <c r="AF33" s="37" t="str">
        <f>IF(AND('Mapa final'!$AB$56="Media",'Mapa final'!$AD$56="Mayor"),CONCATENATE("R8C",'Mapa final'!$R$56),"")</f>
        <v/>
      </c>
      <c r="AG33" s="38" t="str">
        <f>IF(AND('Mapa final'!$AB$57="Media",'Mapa final'!$AD$57="Mayor"),CONCATENATE("R8C",'Mapa final'!$R$57),"")</f>
        <v/>
      </c>
      <c r="AH33" s="39" t="str">
        <f>IF(AND('Mapa final'!$AB$52="Media",'Mapa final'!$AD$52="Catastrófico"),CONCATENATE("R8C",'Mapa final'!$R$52),"")</f>
        <v/>
      </c>
      <c r="AI33" s="40" t="str">
        <f>IF(AND('Mapa final'!$AB$53="Media",'Mapa final'!$AD$53="Catastrófico"),CONCATENATE("R8C",'Mapa final'!$R$53),"")</f>
        <v/>
      </c>
      <c r="AJ33" s="40" t="str">
        <f>IF(AND('Mapa final'!$AB$54="Media",'Mapa final'!$AD$54="Catastrófico"),CONCATENATE("R8C",'Mapa final'!$R$54),"")</f>
        <v/>
      </c>
      <c r="AK33" s="40" t="str">
        <f>IF(AND('Mapa final'!$AB$55="Media",'Mapa final'!$AD$55="Catastrófico"),CONCATENATE("R8C",'Mapa final'!$R$55),"")</f>
        <v/>
      </c>
      <c r="AL33" s="40" t="str">
        <f>IF(AND('Mapa final'!$AB$56="Media",'Mapa final'!$AD$56="Catastrófico"),CONCATENATE("R8C",'Mapa final'!$R$56),"")</f>
        <v/>
      </c>
      <c r="AM33" s="41" t="str">
        <f>IF(AND('Mapa final'!$AB$57="Media",'Mapa final'!$AD$57="Catastrófico"),CONCATENATE("R8C",'Mapa final'!$R$57),"")</f>
        <v/>
      </c>
      <c r="AN33" s="67"/>
      <c r="AO33" s="667"/>
      <c r="AP33" s="668"/>
      <c r="AQ33" s="668"/>
      <c r="AR33" s="668"/>
      <c r="AS33" s="668"/>
      <c r="AT33" s="669"/>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586"/>
      <c r="C34" s="586"/>
      <c r="D34" s="587"/>
      <c r="E34" s="627"/>
      <c r="F34" s="628"/>
      <c r="G34" s="628"/>
      <c r="H34" s="628"/>
      <c r="I34" s="629"/>
      <c r="J34" s="51" t="str">
        <f>IF(AND('Mapa final'!$AB$58="Media",'Mapa final'!$AD$58="Leve"),CONCATENATE("R9C",'Mapa final'!$R$58),"")</f>
        <v/>
      </c>
      <c r="K34" s="52" t="str">
        <f>IF(AND('Mapa final'!$AB$59="Media",'Mapa final'!$AD$59="Leve"),CONCATENATE("R9C",'Mapa final'!$R$59),"")</f>
        <v/>
      </c>
      <c r="L34" s="52" t="str">
        <f>IF(AND('Mapa final'!$AB$60="Media",'Mapa final'!$AD$60="Leve"),CONCATENATE("R9C",'Mapa final'!$R$60),"")</f>
        <v/>
      </c>
      <c r="M34" s="52" t="str">
        <f>IF(AND('Mapa final'!$AB$61="Media",'Mapa final'!$AD$61="Leve"),CONCATENATE("R9C",'Mapa final'!$R$61),"")</f>
        <v/>
      </c>
      <c r="N34" s="52" t="str">
        <f>IF(AND('Mapa final'!$AB$62="Media",'Mapa final'!$AD$62="Leve"),CONCATENATE("R9C",'Mapa final'!$R$62),"")</f>
        <v/>
      </c>
      <c r="O34" s="53" t="str">
        <f>IF(AND('Mapa final'!$AB$63="Media",'Mapa final'!$AD$63="Leve"),CONCATENATE("R9C",'Mapa final'!$R$63),"")</f>
        <v/>
      </c>
      <c r="P34" s="51" t="str">
        <f>IF(AND('Mapa final'!$AB$58="Media",'Mapa final'!$AD$58="Menor"),CONCATENATE("R9C",'Mapa final'!$R$58),"")</f>
        <v/>
      </c>
      <c r="Q34" s="52" t="str">
        <f>IF(AND('Mapa final'!$AB$59="Media",'Mapa final'!$AD$59="Menor"),CONCATENATE("R9C",'Mapa final'!$R$59),"")</f>
        <v/>
      </c>
      <c r="R34" s="52" t="str">
        <f>IF(AND('Mapa final'!$AB$60="Media",'Mapa final'!$AD$60="Menor"),CONCATENATE("R9C",'Mapa final'!$R$60),"")</f>
        <v/>
      </c>
      <c r="S34" s="52" t="str">
        <f>IF(AND('Mapa final'!$AB$61="Media",'Mapa final'!$AD$61="Menor"),CONCATENATE("R9C",'Mapa final'!$R$61),"")</f>
        <v/>
      </c>
      <c r="T34" s="52" t="str">
        <f>IF(AND('Mapa final'!$AB$62="Media",'Mapa final'!$AD$62="Menor"),CONCATENATE("R9C",'Mapa final'!$R$62),"")</f>
        <v/>
      </c>
      <c r="U34" s="53" t="str">
        <f>IF(AND('Mapa final'!$AB$63="Media",'Mapa final'!$AD$63="Menor"),CONCATENATE("R9C",'Mapa final'!$R$63),"")</f>
        <v/>
      </c>
      <c r="V34" s="51" t="str">
        <f>IF(AND('Mapa final'!$AB$58="Media",'Mapa final'!$AD$58="Moderado"),CONCATENATE("R9C",'Mapa final'!$R$58),"")</f>
        <v/>
      </c>
      <c r="W34" s="52" t="str">
        <f>IF(AND('Mapa final'!$AB$59="Media",'Mapa final'!$AD$59="Moderado"),CONCATENATE("R9C",'Mapa final'!$R$59),"")</f>
        <v/>
      </c>
      <c r="X34" s="52" t="str">
        <f>IF(AND('Mapa final'!$AB$60="Media",'Mapa final'!$AD$60="Moderado"),CONCATENATE("R9C",'Mapa final'!$R$60),"")</f>
        <v/>
      </c>
      <c r="Y34" s="52" t="str">
        <f>IF(AND('Mapa final'!$AB$61="Media",'Mapa final'!$AD$61="Moderado"),CONCATENATE("R9C",'Mapa final'!$R$61),"")</f>
        <v/>
      </c>
      <c r="Z34" s="52" t="str">
        <f>IF(AND('Mapa final'!$AB$62="Media",'Mapa final'!$AD$62="Moderado"),CONCATENATE("R9C",'Mapa final'!$R$62),"")</f>
        <v/>
      </c>
      <c r="AA34" s="53" t="str">
        <f>IF(AND('Mapa final'!$AB$63="Media",'Mapa final'!$AD$63="Moderado"),CONCATENATE("R9C",'Mapa final'!$R$63),"")</f>
        <v/>
      </c>
      <c r="AB34" s="36" t="str">
        <f>IF(AND('Mapa final'!$AB$58="Media",'Mapa final'!$AD$58="Mayor"),CONCATENATE("R9C",'Mapa final'!$R$58),"")</f>
        <v/>
      </c>
      <c r="AC34" s="37" t="str">
        <f>IF(AND('Mapa final'!$AB$59="Media",'Mapa final'!$AD$59="Mayor"),CONCATENATE("R9C",'Mapa final'!$R$59),"")</f>
        <v/>
      </c>
      <c r="AD34" s="37" t="str">
        <f>IF(AND('Mapa final'!$AB$60="Media",'Mapa final'!$AD$60="Mayor"),CONCATENATE("R9C",'Mapa final'!$R$60),"")</f>
        <v/>
      </c>
      <c r="AE34" s="37" t="str">
        <f>IF(AND('Mapa final'!$AB$61="Media",'Mapa final'!$AD$61="Mayor"),CONCATENATE("R9C",'Mapa final'!$R$61),"")</f>
        <v/>
      </c>
      <c r="AF34" s="37" t="str">
        <f>IF(AND('Mapa final'!$AB$62="Media",'Mapa final'!$AD$62="Mayor"),CONCATENATE("R9C",'Mapa final'!$R$62),"")</f>
        <v/>
      </c>
      <c r="AG34" s="38" t="str">
        <f>IF(AND('Mapa final'!$AB$63="Media",'Mapa final'!$AD$63="Mayor"),CONCATENATE("R9C",'Mapa final'!$R$63),"")</f>
        <v/>
      </c>
      <c r="AH34" s="39" t="str">
        <f>IF(AND('Mapa final'!$AB$58="Media",'Mapa final'!$AD$58="Catastrófico"),CONCATENATE("R9C",'Mapa final'!$R$58),"")</f>
        <v/>
      </c>
      <c r="AI34" s="40" t="str">
        <f>IF(AND('Mapa final'!$AB$59="Media",'Mapa final'!$AD$59="Catastrófico"),CONCATENATE("R9C",'Mapa final'!$R$59),"")</f>
        <v/>
      </c>
      <c r="AJ34" s="40" t="str">
        <f>IF(AND('Mapa final'!$AB$60="Media",'Mapa final'!$AD$60="Catastrófico"),CONCATENATE("R9C",'Mapa final'!$R$60),"")</f>
        <v/>
      </c>
      <c r="AK34" s="40" t="str">
        <f>IF(AND('Mapa final'!$AB$61="Media",'Mapa final'!$AD$61="Catastrófico"),CONCATENATE("R9C",'Mapa final'!$R$61),"")</f>
        <v/>
      </c>
      <c r="AL34" s="40" t="str">
        <f>IF(AND('Mapa final'!$AB$62="Media",'Mapa final'!$AD$62="Catastrófico"),CONCATENATE("R9C",'Mapa final'!$R$62),"")</f>
        <v/>
      </c>
      <c r="AM34" s="41" t="str">
        <f>IF(AND('Mapa final'!$AB$63="Media",'Mapa final'!$AD$63="Catastrófico"),CONCATENATE("R9C",'Mapa final'!$R$63),"")</f>
        <v/>
      </c>
      <c r="AN34" s="67"/>
      <c r="AO34" s="667"/>
      <c r="AP34" s="668"/>
      <c r="AQ34" s="668"/>
      <c r="AR34" s="668"/>
      <c r="AS34" s="668"/>
      <c r="AT34" s="669"/>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586"/>
      <c r="C35" s="586"/>
      <c r="D35" s="587"/>
      <c r="E35" s="630"/>
      <c r="F35" s="631"/>
      <c r="G35" s="631"/>
      <c r="H35" s="631"/>
      <c r="I35" s="632"/>
      <c r="J35" s="51" t="str">
        <f>IF(AND('Mapa final'!$AB$64="Media",'Mapa final'!$AD$64="Leve"),CONCATENATE("R10C",'Mapa final'!$R$64),"")</f>
        <v/>
      </c>
      <c r="K35" s="52" t="str">
        <f>IF(AND('Mapa final'!$AB$65="Media",'Mapa final'!$AD$65="Leve"),CONCATENATE("R10C",'Mapa final'!$R$65),"")</f>
        <v/>
      </c>
      <c r="L35" s="52" t="str">
        <f>IF(AND('Mapa final'!$AB$66="Media",'Mapa final'!$AD$66="Leve"),CONCATENATE("R10C",'Mapa final'!$R$66),"")</f>
        <v/>
      </c>
      <c r="M35" s="52" t="str">
        <f>IF(AND('Mapa final'!$AB$67="Media",'Mapa final'!$AD$67="Leve"),CONCATENATE("R10C",'Mapa final'!$R$67),"")</f>
        <v/>
      </c>
      <c r="N35" s="52" t="str">
        <f>IF(AND('Mapa final'!$AB$68="Media",'Mapa final'!$AD$68="Leve"),CONCATENATE("R10C",'Mapa final'!$R$68),"")</f>
        <v/>
      </c>
      <c r="O35" s="53" t="str">
        <f>IF(AND('Mapa final'!$AB$69="Media",'Mapa final'!$AD$69="Leve"),CONCATENATE("R10C",'Mapa final'!$R$69),"")</f>
        <v/>
      </c>
      <c r="P35" s="51" t="str">
        <f>IF(AND('Mapa final'!$AB$64="Media",'Mapa final'!$AD$64="Menor"),CONCATENATE("R10C",'Mapa final'!$R$64),"")</f>
        <v/>
      </c>
      <c r="Q35" s="52" t="str">
        <f>IF(AND('Mapa final'!$AB$65="Media",'Mapa final'!$AD$65="Menor"),CONCATENATE("R10C",'Mapa final'!$R$65),"")</f>
        <v/>
      </c>
      <c r="R35" s="52" t="str">
        <f>IF(AND('Mapa final'!$AB$66="Media",'Mapa final'!$AD$66="Menor"),CONCATENATE("R10C",'Mapa final'!$R$66),"")</f>
        <v/>
      </c>
      <c r="S35" s="52" t="str">
        <f>IF(AND('Mapa final'!$AB$67="Media",'Mapa final'!$AD$67="Menor"),CONCATENATE("R10C",'Mapa final'!$R$67),"")</f>
        <v/>
      </c>
      <c r="T35" s="52" t="str">
        <f>IF(AND('Mapa final'!$AB$68="Media",'Mapa final'!$AD$68="Menor"),CONCATENATE("R10C",'Mapa final'!$R$68),"")</f>
        <v/>
      </c>
      <c r="U35" s="53" t="str">
        <f>IF(AND('Mapa final'!$AB$69="Media",'Mapa final'!$AD$69="Menor"),CONCATENATE("R10C",'Mapa final'!$R$69),"")</f>
        <v/>
      </c>
      <c r="V35" s="51" t="str">
        <f>IF(AND('Mapa final'!$AB$64="Media",'Mapa final'!$AD$64="Moderado"),CONCATENATE("R10C",'Mapa final'!$R$64),"")</f>
        <v/>
      </c>
      <c r="W35" s="52" t="str">
        <f>IF(AND('Mapa final'!$AB$65="Media",'Mapa final'!$AD$65="Moderado"),CONCATENATE("R10C",'Mapa final'!$R$65),"")</f>
        <v/>
      </c>
      <c r="X35" s="52" t="str">
        <f>IF(AND('Mapa final'!$AB$66="Media",'Mapa final'!$AD$66="Moderado"),CONCATENATE("R10C",'Mapa final'!$R$66),"")</f>
        <v/>
      </c>
      <c r="Y35" s="52" t="str">
        <f>IF(AND('Mapa final'!$AB$67="Media",'Mapa final'!$AD$67="Moderado"),CONCATENATE("R10C",'Mapa final'!$R$67),"")</f>
        <v/>
      </c>
      <c r="Z35" s="52" t="str">
        <f>IF(AND('Mapa final'!$AB$68="Media",'Mapa final'!$AD$68="Moderado"),CONCATENATE("R10C",'Mapa final'!$R$68),"")</f>
        <v/>
      </c>
      <c r="AA35" s="53" t="str">
        <f>IF(AND('Mapa final'!$AB$69="Media",'Mapa final'!$AD$69="Moderado"),CONCATENATE("R10C",'Mapa final'!$R$69),"")</f>
        <v/>
      </c>
      <c r="AB35" s="42" t="str">
        <f>IF(AND('Mapa final'!$AB$64="Media",'Mapa final'!$AD$64="Mayor"),CONCATENATE("R10C",'Mapa final'!$R$64),"")</f>
        <v/>
      </c>
      <c r="AC35" s="43" t="str">
        <f>IF(AND('Mapa final'!$AB$65="Media",'Mapa final'!$AD$65="Mayor"),CONCATENATE("R10C",'Mapa final'!$R$65),"")</f>
        <v/>
      </c>
      <c r="AD35" s="43" t="str">
        <f>IF(AND('Mapa final'!$AB$66="Media",'Mapa final'!$AD$66="Mayor"),CONCATENATE("R10C",'Mapa final'!$R$66),"")</f>
        <v/>
      </c>
      <c r="AE35" s="43" t="str">
        <f>IF(AND('Mapa final'!$AB$67="Media",'Mapa final'!$AD$67="Mayor"),CONCATENATE("R10C",'Mapa final'!$R$67),"")</f>
        <v/>
      </c>
      <c r="AF35" s="43" t="str">
        <f>IF(AND('Mapa final'!$AB$68="Media",'Mapa final'!$AD$68="Mayor"),CONCATENATE("R10C",'Mapa final'!$R$68),"")</f>
        <v/>
      </c>
      <c r="AG35" s="44" t="str">
        <f>IF(AND('Mapa final'!$AB$69="Media",'Mapa final'!$AD$69="Mayor"),CONCATENATE("R10C",'Mapa final'!$R$69),"")</f>
        <v/>
      </c>
      <c r="AH35" s="45" t="str">
        <f>IF(AND('Mapa final'!$AB$64="Media",'Mapa final'!$AD$64="Catastrófico"),CONCATENATE("R10C",'Mapa final'!$R$64),"")</f>
        <v/>
      </c>
      <c r="AI35" s="46" t="str">
        <f>IF(AND('Mapa final'!$AB$65="Media",'Mapa final'!$AD$65="Catastrófico"),CONCATENATE("R10C",'Mapa final'!$R$65),"")</f>
        <v/>
      </c>
      <c r="AJ35" s="46" t="str">
        <f>IF(AND('Mapa final'!$AB$66="Media",'Mapa final'!$AD$66="Catastrófico"),CONCATENATE("R10C",'Mapa final'!$R$66),"")</f>
        <v/>
      </c>
      <c r="AK35" s="46" t="str">
        <f>IF(AND('Mapa final'!$AB$67="Media",'Mapa final'!$AD$67="Catastrófico"),CONCATENATE("R10C",'Mapa final'!$R$67),"")</f>
        <v/>
      </c>
      <c r="AL35" s="46" t="str">
        <f>IF(AND('Mapa final'!$AB$68="Media",'Mapa final'!$AD$68="Catastrófico"),CONCATENATE("R10C",'Mapa final'!$R$68),"")</f>
        <v/>
      </c>
      <c r="AM35" s="47" t="str">
        <f>IF(AND('Mapa final'!$AB$69="Media",'Mapa final'!$AD$69="Catastrófico"),CONCATENATE("R10C",'Mapa final'!$R$69),"")</f>
        <v/>
      </c>
      <c r="AN35" s="67"/>
      <c r="AO35" s="670"/>
      <c r="AP35" s="671"/>
      <c r="AQ35" s="671"/>
      <c r="AR35" s="671"/>
      <c r="AS35" s="671"/>
      <c r="AT35" s="672"/>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586"/>
      <c r="C36" s="586"/>
      <c r="D36" s="587"/>
      <c r="E36" s="624" t="s">
        <v>108</v>
      </c>
      <c r="F36" s="625"/>
      <c r="G36" s="625"/>
      <c r="H36" s="625"/>
      <c r="I36" s="625"/>
      <c r="J36" s="57" t="str">
        <f>IF(AND('Mapa final'!$AB$10="Baja",'Mapa final'!$AD$10="Leve"),CONCATENATE("R1C",'Mapa final'!$R$10),"")</f>
        <v/>
      </c>
      <c r="K36" s="58" t="str">
        <f>IF(AND('Mapa final'!$AB$11="Baja",'Mapa final'!$AD$11="Leve"),CONCATENATE("R1C",'Mapa final'!$R$11),"")</f>
        <v/>
      </c>
      <c r="L36" s="58" t="str">
        <f>IF(AND('Mapa final'!$AB$12="Baja",'Mapa final'!$AD$12="Leve"),CONCATENATE("R1C",'Mapa final'!$R$12),"")</f>
        <v/>
      </c>
      <c r="M36" s="58" t="str">
        <f>IF(AND('Mapa final'!$AB$13="Baja",'Mapa final'!$AD$13="Leve"),CONCATENATE("R1C",'Mapa final'!$R$13),"")</f>
        <v/>
      </c>
      <c r="N36" s="58" t="str">
        <f>IF(AND('Mapa final'!$AB$14="Baja",'Mapa final'!$AD$14="Leve"),CONCATENATE("R1C",'Mapa final'!$R$14),"")</f>
        <v/>
      </c>
      <c r="O36" s="59" t="str">
        <f>IF(AND('Mapa final'!$AB$15="Baja",'Mapa final'!$AD$15="Leve"),CONCATENATE("R1C",'Mapa final'!$R$15),"")</f>
        <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str">
        <f>IF(AND('Mapa final'!$AB$13="Baja",'Mapa final'!$AD$13="Menor"),CONCATENATE("R1C",'Mapa final'!$R$13),"")</f>
        <v/>
      </c>
      <c r="T36" s="49" t="str">
        <f>IF(AND('Mapa final'!$AB$14="Baja",'Mapa final'!$AD$14="Menor"),CONCATENATE("R1C",'Mapa final'!$R$14),"")</f>
        <v/>
      </c>
      <c r="U36" s="50" t="str">
        <f>IF(AND('Mapa final'!$AB$15="Baja",'Mapa final'!$AD$15="Menor"),CONCATENATE("R1C",'Mapa final'!$R$15),"")</f>
        <v/>
      </c>
      <c r="V36" s="48" t="str">
        <f>IF(AND('Mapa final'!$AB$10="Baja",'Mapa final'!$AD$10="Moderado"),CONCATENATE("R1C",'Mapa final'!$R$10),"")</f>
        <v/>
      </c>
      <c r="W36" s="49" t="str">
        <f>IF(AND('Mapa final'!$AB$11="Baja",'Mapa final'!$AD$11="Moderado"),CONCATENATE("R1C",'Mapa final'!$R$11),"")</f>
        <v/>
      </c>
      <c r="X36" s="49" t="str">
        <f>IF(AND('Mapa final'!$AB$12="Baja",'Mapa final'!$AD$12="Moderado"),CONCATENATE("R1C",'Mapa final'!$R$12),"")</f>
        <v/>
      </c>
      <c r="Y36" s="49" t="str">
        <f>IF(AND('Mapa final'!$AB$13="Baja",'Mapa final'!$AD$13="Moderado"),CONCATENATE("R1C",'Mapa final'!$R$13),"")</f>
        <v/>
      </c>
      <c r="Z36" s="49" t="str">
        <f>IF(AND('Mapa final'!$AB$14="Baja",'Mapa final'!$AD$14="Moderado"),CONCATENATE("R1C",'Mapa final'!$R$14),"")</f>
        <v/>
      </c>
      <c r="AA36" s="50" t="str">
        <f>IF(AND('Mapa final'!$AB$15="Baja",'Mapa final'!$AD$15="Moderado"),CONCATENATE("R1C",'Mapa final'!$R$15),"")</f>
        <v/>
      </c>
      <c r="AB36" s="30" t="str">
        <f>IF(AND('Mapa final'!$AB$10="Baja",'Mapa final'!$AD$10="Mayor"),CONCATENATE("R1C",'Mapa final'!$R$10),"")</f>
        <v>R1C1</v>
      </c>
      <c r="AC36" s="31" t="str">
        <f>IF(AND('Mapa final'!$AB$11="Baja",'Mapa final'!$AD$11="Mayor"),CONCATENATE("R1C",'Mapa final'!$R$11),"")</f>
        <v>R1C2</v>
      </c>
      <c r="AD36" s="31" t="str">
        <f>IF(AND('Mapa final'!$AB$12="Baja",'Mapa final'!$AD$12="Mayor"),CONCATENATE("R1C",'Mapa final'!$R$12),"")</f>
        <v/>
      </c>
      <c r="AE36" s="31" t="str">
        <f>IF(AND('Mapa final'!$AB$13="Baja",'Mapa final'!$AD$13="Mayor"),CONCATENATE("R1C",'Mapa final'!$R$13),"")</f>
        <v/>
      </c>
      <c r="AF36" s="31" t="str">
        <f>IF(AND('Mapa final'!$AB$14="Baja",'Mapa final'!$AD$14="Mayor"),CONCATENATE("R1C",'Mapa final'!$R$14),"")</f>
        <v/>
      </c>
      <c r="AG36" s="32" t="str">
        <f>IF(AND('Mapa final'!$AB$15="Baja",'Mapa final'!$AD$15="Mayor"),CONCATENATE("R1C",'Mapa final'!$R$15),"")</f>
        <v/>
      </c>
      <c r="AH36" s="33" t="str">
        <f>IF(AND('Mapa final'!$AB$10="Baja",'Mapa final'!$AD$10="Catastrófico"),CONCATENATE("R1C",'Mapa final'!$R$10),"")</f>
        <v/>
      </c>
      <c r="AI36" s="34" t="str">
        <f>IF(AND('Mapa final'!$AB$11="Baja",'Mapa final'!$AD$11="Catastrófico"),CONCATENATE("R1C",'Mapa final'!$R$11),"")</f>
        <v/>
      </c>
      <c r="AJ36" s="34" t="str">
        <f>IF(AND('Mapa final'!$AB$12="Baja",'Mapa final'!$AD$12="Catastrófico"),CONCATENATE("R1C",'Mapa final'!$R$12),"")</f>
        <v/>
      </c>
      <c r="AK36" s="34" t="str">
        <f>IF(AND('Mapa final'!$AB$13="Baja",'Mapa final'!$AD$13="Catastrófico"),CONCATENATE("R1C",'Mapa final'!$R$13),"")</f>
        <v/>
      </c>
      <c r="AL36" s="34" t="str">
        <f>IF(AND('Mapa final'!$AB$14="Baja",'Mapa final'!$AD$14="Catastrófico"),CONCATENATE("R1C",'Mapa final'!$R$14),"")</f>
        <v/>
      </c>
      <c r="AM36" s="35" t="str">
        <f>IF(AND('Mapa final'!$AB$15="Baja",'Mapa final'!$AD$15="Catastrófico"),CONCATENATE("R1C",'Mapa final'!$R$15),"")</f>
        <v/>
      </c>
      <c r="AN36" s="67"/>
      <c r="AO36" s="655" t="s">
        <v>80</v>
      </c>
      <c r="AP36" s="656"/>
      <c r="AQ36" s="656"/>
      <c r="AR36" s="656"/>
      <c r="AS36" s="656"/>
      <c r="AT36" s="65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586"/>
      <c r="C37" s="586"/>
      <c r="D37" s="587"/>
      <c r="E37" s="643"/>
      <c r="F37" s="628"/>
      <c r="G37" s="628"/>
      <c r="H37" s="628"/>
      <c r="I37" s="628"/>
      <c r="J37" s="60" t="str">
        <f>IF(AND('Mapa final'!$AB$16="Baja",'Mapa final'!$AD$16="Leve"),CONCATENATE("R2C",'Mapa final'!$R$16),"")</f>
        <v/>
      </c>
      <c r="K37" s="61" t="str">
        <f>IF(AND('Mapa final'!$AB$17="Baja",'Mapa final'!$AD$17="Leve"),CONCATENATE("R2C",'Mapa final'!$R$17),"")</f>
        <v/>
      </c>
      <c r="L37" s="61" t="str">
        <f>IF(AND('Mapa final'!$AB$18="Baja",'Mapa final'!$AD$18="Leve"),CONCATENATE("R2C",'Mapa final'!$R$18),"")</f>
        <v/>
      </c>
      <c r="M37" s="61" t="str">
        <f>IF(AND('Mapa final'!$AB$19="Baja",'Mapa final'!$AD$19="Leve"),CONCATENATE("R2C",'Mapa final'!$R$19),"")</f>
        <v/>
      </c>
      <c r="N37" s="61" t="str">
        <f>IF(AND('Mapa final'!$AB$20="Baja",'Mapa final'!$AD$20="Leve"),CONCATENATE("R2C",'Mapa final'!$R$20),"")</f>
        <v/>
      </c>
      <c r="O37" s="62" t="str">
        <f>IF(AND('Mapa final'!$AB$21="Baja",'Mapa final'!$AD$21="Leve"),CONCATENATE("R2C",'Mapa final'!$R$21),"")</f>
        <v/>
      </c>
      <c r="P37" s="51" t="str">
        <f>IF(AND('Mapa final'!$AB$16="Baja",'Mapa final'!$AD$16="Menor"),CONCATENATE("R2C",'Mapa final'!$R$16),"")</f>
        <v/>
      </c>
      <c r="Q37" s="52" t="str">
        <f>IF(AND('Mapa final'!$AB$17="Baja",'Mapa final'!$AD$17="Menor"),CONCATENATE("R2C",'Mapa final'!$R$17),"")</f>
        <v/>
      </c>
      <c r="R37" s="52" t="str">
        <f>IF(AND('Mapa final'!$AB$18="Baja",'Mapa final'!$AD$18="Menor"),CONCATENATE("R2C",'Mapa final'!$R$18),"")</f>
        <v/>
      </c>
      <c r="S37" s="52" t="str">
        <f>IF(AND('Mapa final'!$AB$19="Baja",'Mapa final'!$AD$19="Menor"),CONCATENATE("R2C",'Mapa final'!$R$19),"")</f>
        <v/>
      </c>
      <c r="T37" s="52" t="str">
        <f>IF(AND('Mapa final'!$AB$20="Baja",'Mapa final'!$AD$20="Menor"),CONCATENATE("R2C",'Mapa final'!$R$20),"")</f>
        <v/>
      </c>
      <c r="U37" s="53" t="str">
        <f>IF(AND('Mapa final'!$AB$21="Baja",'Mapa final'!$AD$21="Menor"),CONCATENATE("R2C",'Mapa final'!$R$21),"")</f>
        <v/>
      </c>
      <c r="V37" s="51" t="str">
        <f>IF(AND('Mapa final'!$AB$16="Baja",'Mapa final'!$AD$16="Moderado"),CONCATENATE("R2C",'Mapa final'!$R$16),"")</f>
        <v/>
      </c>
      <c r="W37" s="52" t="str">
        <f>IF(AND('Mapa final'!$AB$17="Baja",'Mapa final'!$AD$17="Moderado"),CONCATENATE("R2C",'Mapa final'!$R$17),"")</f>
        <v/>
      </c>
      <c r="X37" s="52" t="str">
        <f>IF(AND('Mapa final'!$AB$18="Baja",'Mapa final'!$AD$18="Moderado"),CONCATENATE("R2C",'Mapa final'!$R$18),"")</f>
        <v/>
      </c>
      <c r="Y37" s="52" t="str">
        <f>IF(AND('Mapa final'!$AB$19="Baja",'Mapa final'!$AD$19="Moderado"),CONCATENATE("R2C",'Mapa final'!$R$19),"")</f>
        <v/>
      </c>
      <c r="Z37" s="52" t="str">
        <f>IF(AND('Mapa final'!$AB$20="Baja",'Mapa final'!$AD$20="Moderado"),CONCATENATE("R2C",'Mapa final'!$R$20),"")</f>
        <v/>
      </c>
      <c r="AA37" s="53" t="str">
        <f>IF(AND('Mapa final'!$AB$21="Baja",'Mapa final'!$AD$21="Moderado"),CONCATENATE("R2C",'Mapa final'!$R$21),"")</f>
        <v/>
      </c>
      <c r="AB37" s="36" t="str">
        <f>IF(AND('Mapa final'!$AB$16="Baja",'Mapa final'!$AD$16="Mayor"),CONCATENATE("R2C",'Mapa final'!$R$16),"")</f>
        <v/>
      </c>
      <c r="AC37" s="37" t="str">
        <f>IF(AND('Mapa final'!$AB$17="Baja",'Mapa final'!$AD$17="Mayor"),CONCATENATE("R2C",'Mapa final'!$R$17),"")</f>
        <v/>
      </c>
      <c r="AD37" s="37" t="str">
        <f>IF(AND('Mapa final'!$AB$18="Baja",'Mapa final'!$AD$18="Mayor"),CONCATENATE("R2C",'Mapa final'!$R$18),"")</f>
        <v/>
      </c>
      <c r="AE37" s="37" t="str">
        <f>IF(AND('Mapa final'!$AB$19="Baja",'Mapa final'!$AD$19="Mayor"),CONCATENATE("R2C",'Mapa final'!$R$19),"")</f>
        <v/>
      </c>
      <c r="AF37" s="37" t="str">
        <f>IF(AND('Mapa final'!$AB$20="Baja",'Mapa final'!$AD$20="Mayor"),CONCATENATE("R2C",'Mapa final'!$R$20),"")</f>
        <v/>
      </c>
      <c r="AG37" s="38" t="str">
        <f>IF(AND('Mapa final'!$AB$21="Baja",'Mapa final'!$AD$21="Mayor"),CONCATENATE("R2C",'Mapa final'!$R$21),"")</f>
        <v/>
      </c>
      <c r="AH37" s="39" t="str">
        <f>IF(AND('Mapa final'!$AB$16="Baja",'Mapa final'!$AD$16="Catastrófico"),CONCATENATE("R2C",'Mapa final'!$R$16),"")</f>
        <v/>
      </c>
      <c r="AI37" s="40" t="str">
        <f>IF(AND('Mapa final'!$AB$17="Baja",'Mapa final'!$AD$17="Catastrófico"),CONCATENATE("R2C",'Mapa final'!$R$17),"")</f>
        <v/>
      </c>
      <c r="AJ37" s="40" t="str">
        <f>IF(AND('Mapa final'!$AB$18="Baja",'Mapa final'!$AD$18="Catastrófico"),CONCATENATE("R2C",'Mapa final'!$R$18),"")</f>
        <v/>
      </c>
      <c r="AK37" s="40" t="str">
        <f>IF(AND('Mapa final'!$AB$19="Baja",'Mapa final'!$AD$19="Catastrófico"),CONCATENATE("R2C",'Mapa final'!$R$19),"")</f>
        <v/>
      </c>
      <c r="AL37" s="40" t="str">
        <f>IF(AND('Mapa final'!$AB$20="Baja",'Mapa final'!$AD$20="Catastrófico"),CONCATENATE("R2C",'Mapa final'!$R$20),"")</f>
        <v/>
      </c>
      <c r="AM37" s="41" t="str">
        <f>IF(AND('Mapa final'!$AB$21="Baja",'Mapa final'!$AD$21="Catastrófico"),CONCATENATE("R2C",'Mapa final'!$R$21),"")</f>
        <v/>
      </c>
      <c r="AN37" s="67"/>
      <c r="AO37" s="658"/>
      <c r="AP37" s="659"/>
      <c r="AQ37" s="659"/>
      <c r="AR37" s="659"/>
      <c r="AS37" s="659"/>
      <c r="AT37" s="660"/>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586"/>
      <c r="C38" s="586"/>
      <c r="D38" s="587"/>
      <c r="E38" s="627"/>
      <c r="F38" s="628"/>
      <c r="G38" s="628"/>
      <c r="H38" s="628"/>
      <c r="I38" s="628"/>
      <c r="J38" s="60" t="str">
        <f>IF(AND('Mapa final'!$AB$22="Baja",'Mapa final'!$AD$22="Leve"),CONCATENATE("R3C",'Mapa final'!$R$22),"")</f>
        <v/>
      </c>
      <c r="K38" s="61" t="str">
        <f>IF(AND('Mapa final'!$AB$23="Baja",'Mapa final'!$AD$23="Leve"),CONCATENATE("R3C",'Mapa final'!$R$23),"")</f>
        <v/>
      </c>
      <c r="L38" s="61" t="str">
        <f>IF(AND('Mapa final'!$AB$24="Baja",'Mapa final'!$AD$24="Leve"),CONCATENATE("R3C",'Mapa final'!$R$24),"")</f>
        <v/>
      </c>
      <c r="M38" s="61" t="str">
        <f>IF(AND('Mapa final'!$AB$25="Baja",'Mapa final'!$AD$25="Leve"),CONCATENATE("R3C",'Mapa final'!$R$25),"")</f>
        <v/>
      </c>
      <c r="N38" s="61" t="str">
        <f>IF(AND('Mapa final'!$AB$26="Baja",'Mapa final'!$AD$26="Leve"),CONCATENATE("R3C",'Mapa final'!$R$26),"")</f>
        <v/>
      </c>
      <c r="O38" s="62" t="str">
        <f>IF(AND('Mapa final'!$AB$27="Baja",'Mapa final'!$AD$27="Leve"),CONCATENATE("R3C",'Mapa final'!$R$27),"")</f>
        <v/>
      </c>
      <c r="P38" s="51" t="str">
        <f>IF(AND('Mapa final'!$AB$22="Baja",'Mapa final'!$AD$22="Menor"),CONCATENATE("R3C",'Mapa final'!$R$22),"")</f>
        <v/>
      </c>
      <c r="Q38" s="52" t="str">
        <f>IF(AND('Mapa final'!$AB$23="Baja",'Mapa final'!$AD$23="Menor"),CONCATENATE("R3C",'Mapa final'!$R$23),"")</f>
        <v/>
      </c>
      <c r="R38" s="52" t="str">
        <f>IF(AND('Mapa final'!$AB$24="Baja",'Mapa final'!$AD$24="Menor"),CONCATENATE("R3C",'Mapa final'!$R$24),"")</f>
        <v/>
      </c>
      <c r="S38" s="52" t="str">
        <f>IF(AND('Mapa final'!$AB$25="Baja",'Mapa final'!$AD$25="Menor"),CONCATENATE("R3C",'Mapa final'!$R$25),"")</f>
        <v/>
      </c>
      <c r="T38" s="52" t="str">
        <f>IF(AND('Mapa final'!$AB$26="Baja",'Mapa final'!$AD$26="Menor"),CONCATENATE("R3C",'Mapa final'!$R$26),"")</f>
        <v/>
      </c>
      <c r="U38" s="53" t="str">
        <f>IF(AND('Mapa final'!$AB$27="Baja",'Mapa final'!$AD$27="Menor"),CONCATENATE("R3C",'Mapa final'!$R$27),"")</f>
        <v/>
      </c>
      <c r="V38" s="51" t="str">
        <f>IF(AND('Mapa final'!$AB$22="Baja",'Mapa final'!$AD$22="Moderado"),CONCATENATE("R3C",'Mapa final'!$R$22),"")</f>
        <v/>
      </c>
      <c r="W38" s="52" t="str">
        <f>IF(AND('Mapa final'!$AB$23="Baja",'Mapa final'!$AD$23="Moderado"),CONCATENATE("R3C",'Mapa final'!$R$23),"")</f>
        <v/>
      </c>
      <c r="X38" s="52" t="str">
        <f>IF(AND('Mapa final'!$AB$24="Baja",'Mapa final'!$AD$24="Moderado"),CONCATENATE("R3C",'Mapa final'!$R$24),"")</f>
        <v/>
      </c>
      <c r="Y38" s="52" t="str">
        <f>IF(AND('Mapa final'!$AB$25="Baja",'Mapa final'!$AD$25="Moderado"),CONCATENATE("R3C",'Mapa final'!$R$25),"")</f>
        <v/>
      </c>
      <c r="Z38" s="52" t="str">
        <f>IF(AND('Mapa final'!$AB$26="Baja",'Mapa final'!$AD$26="Moderado"),CONCATENATE("R3C",'Mapa final'!$R$26),"")</f>
        <v/>
      </c>
      <c r="AA38" s="53" t="str">
        <f>IF(AND('Mapa final'!$AB$27="Baja",'Mapa final'!$AD$27="Moderado"),CONCATENATE("R3C",'Mapa final'!$R$27),"")</f>
        <v/>
      </c>
      <c r="AB38" s="36" t="str">
        <f>IF(AND('Mapa final'!$AB$22="Baja",'Mapa final'!$AD$22="Mayor"),CONCATENATE("R3C",'Mapa final'!$R$22),"")</f>
        <v/>
      </c>
      <c r="AC38" s="37" t="str">
        <f>IF(AND('Mapa final'!$AB$23="Baja",'Mapa final'!$AD$23="Mayor"),CONCATENATE("R3C",'Mapa final'!$R$23),"")</f>
        <v/>
      </c>
      <c r="AD38" s="37" t="str">
        <f>IF(AND('Mapa final'!$AB$24="Baja",'Mapa final'!$AD$24="Mayor"),CONCATENATE("R3C",'Mapa final'!$R$24),"")</f>
        <v/>
      </c>
      <c r="AE38" s="37" t="str">
        <f>IF(AND('Mapa final'!$AB$25="Baja",'Mapa final'!$AD$25="Mayor"),CONCATENATE("R3C",'Mapa final'!$R$25),"")</f>
        <v/>
      </c>
      <c r="AF38" s="37" t="str">
        <f>IF(AND('Mapa final'!$AB$26="Baja",'Mapa final'!$AD$26="Mayor"),CONCATENATE("R3C",'Mapa final'!$R$26),"")</f>
        <v/>
      </c>
      <c r="AG38" s="38" t="str">
        <f>IF(AND('Mapa final'!$AB$27="Baja",'Mapa final'!$AD$27="Mayor"),CONCATENATE("R3C",'Mapa final'!$R$27),"")</f>
        <v/>
      </c>
      <c r="AH38" s="39" t="str">
        <f>IF(AND('Mapa final'!$AB$22="Baja",'Mapa final'!$AD$22="Catastrófico"),CONCATENATE("R3C",'Mapa final'!$R$22),"")</f>
        <v/>
      </c>
      <c r="AI38" s="40" t="str">
        <f>IF(AND('Mapa final'!$AB$23="Baja",'Mapa final'!$AD$23="Catastrófico"),CONCATENATE("R3C",'Mapa final'!$R$23),"")</f>
        <v/>
      </c>
      <c r="AJ38" s="40" t="str">
        <f>IF(AND('Mapa final'!$AB$24="Baja",'Mapa final'!$AD$24="Catastrófico"),CONCATENATE("R3C",'Mapa final'!$R$24),"")</f>
        <v/>
      </c>
      <c r="AK38" s="40" t="str">
        <f>IF(AND('Mapa final'!$AB$25="Baja",'Mapa final'!$AD$25="Catastrófico"),CONCATENATE("R3C",'Mapa final'!$R$25),"")</f>
        <v/>
      </c>
      <c r="AL38" s="40" t="str">
        <f>IF(AND('Mapa final'!$AB$26="Baja",'Mapa final'!$AD$26="Catastrófico"),CONCATENATE("R3C",'Mapa final'!$R$26),"")</f>
        <v/>
      </c>
      <c r="AM38" s="41" t="str">
        <f>IF(AND('Mapa final'!$AB$27="Baja",'Mapa final'!$AD$27="Catastrófico"),CONCATENATE("R3C",'Mapa final'!$R$27),"")</f>
        <v/>
      </c>
      <c r="AN38" s="67"/>
      <c r="AO38" s="658"/>
      <c r="AP38" s="659"/>
      <c r="AQ38" s="659"/>
      <c r="AR38" s="659"/>
      <c r="AS38" s="659"/>
      <c r="AT38" s="660"/>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586"/>
      <c r="C39" s="586"/>
      <c r="D39" s="587"/>
      <c r="E39" s="627"/>
      <c r="F39" s="628"/>
      <c r="G39" s="628"/>
      <c r="H39" s="628"/>
      <c r="I39" s="628"/>
      <c r="J39" s="60" t="str">
        <f>IF(AND('Mapa final'!$AB$28="Baja",'Mapa final'!$AD$28="Leve"),CONCATENATE("R4C",'Mapa final'!$R$28),"")</f>
        <v/>
      </c>
      <c r="K39" s="61" t="str">
        <f>IF(AND('Mapa final'!$AB$29="Baja",'Mapa final'!$AD$29="Leve"),CONCATENATE("R4C",'Mapa final'!$R$29),"")</f>
        <v/>
      </c>
      <c r="L39" s="61" t="str">
        <f>IF(AND('Mapa final'!$AB$30="Baja",'Mapa final'!$AD$30="Leve"),CONCATENATE("R4C",'Mapa final'!$R$30),"")</f>
        <v/>
      </c>
      <c r="M39" s="61" t="str">
        <f>IF(AND('Mapa final'!$AB$31="Baja",'Mapa final'!$AD$31="Leve"),CONCATENATE("R4C",'Mapa final'!$R$31),"")</f>
        <v/>
      </c>
      <c r="N39" s="61" t="str">
        <f>IF(AND('Mapa final'!$AB$32="Baja",'Mapa final'!$AD$32="Leve"),CONCATENATE("R4C",'Mapa final'!$R$32),"")</f>
        <v/>
      </c>
      <c r="O39" s="62" t="str">
        <f>IF(AND('Mapa final'!$AB$33="Baja",'Mapa final'!$AD$33="Leve"),CONCATENATE("R4C",'Mapa final'!$R$33),"")</f>
        <v/>
      </c>
      <c r="P39" s="51" t="str">
        <f>IF(AND('Mapa final'!$AB$28="Baja",'Mapa final'!$AD$28="Menor"),CONCATENATE("R4C",'Mapa final'!$R$28),"")</f>
        <v/>
      </c>
      <c r="Q39" s="52" t="str">
        <f>IF(AND('Mapa final'!$AB$29="Baja",'Mapa final'!$AD$29="Menor"),CONCATENATE("R4C",'Mapa final'!$R$29),"")</f>
        <v/>
      </c>
      <c r="R39" s="52" t="str">
        <f>IF(AND('Mapa final'!$AB$30="Baja",'Mapa final'!$AD$30="Menor"),CONCATENATE("R4C",'Mapa final'!$R$30),"")</f>
        <v/>
      </c>
      <c r="S39" s="52" t="str">
        <f>IF(AND('Mapa final'!$AB$31="Baja",'Mapa final'!$AD$31="Menor"),CONCATENATE("R4C",'Mapa final'!$R$31),"")</f>
        <v/>
      </c>
      <c r="T39" s="52" t="str">
        <f>IF(AND('Mapa final'!$AB$32="Baja",'Mapa final'!$AD$32="Menor"),CONCATENATE("R4C",'Mapa final'!$R$32),"")</f>
        <v/>
      </c>
      <c r="U39" s="53" t="str">
        <f>IF(AND('Mapa final'!$AB$33="Baja",'Mapa final'!$AD$33="Menor"),CONCATENATE("R4C",'Mapa final'!$R$33),"")</f>
        <v/>
      </c>
      <c r="V39" s="51" t="str">
        <f>IF(AND('Mapa final'!$AB$28="Baja",'Mapa final'!$AD$28="Moderado"),CONCATENATE("R4C",'Mapa final'!$R$28),"")</f>
        <v/>
      </c>
      <c r="W39" s="52" t="str">
        <f>IF(AND('Mapa final'!$AB$29="Baja",'Mapa final'!$AD$29="Moderado"),CONCATENATE("R4C",'Mapa final'!$R$29),"")</f>
        <v/>
      </c>
      <c r="X39" s="52" t="str">
        <f>IF(AND('Mapa final'!$AB$30="Baja",'Mapa final'!$AD$30="Moderado"),CONCATENATE("R4C",'Mapa final'!$R$30),"")</f>
        <v/>
      </c>
      <c r="Y39" s="52" t="str">
        <f>IF(AND('Mapa final'!$AB$31="Baja",'Mapa final'!$AD$31="Moderado"),CONCATENATE("R4C",'Mapa final'!$R$31),"")</f>
        <v/>
      </c>
      <c r="Z39" s="52" t="str">
        <f>IF(AND('Mapa final'!$AB$32="Baja",'Mapa final'!$AD$32="Moderado"),CONCATENATE("R4C",'Mapa final'!$R$32),"")</f>
        <v/>
      </c>
      <c r="AA39" s="53" t="str">
        <f>IF(AND('Mapa final'!$AB$33="Baja",'Mapa final'!$AD$33="Moderado"),CONCATENATE("R4C",'Mapa final'!$R$33),"")</f>
        <v/>
      </c>
      <c r="AB39" s="36" t="str">
        <f>IF(AND('Mapa final'!$AB$28="Baja",'Mapa final'!$AD$28="Mayor"),CONCATENATE("R4C",'Mapa final'!$R$28),"")</f>
        <v/>
      </c>
      <c r="AC39" s="37" t="str">
        <f>IF(AND('Mapa final'!$AB$29="Baja",'Mapa final'!$AD$29="Mayor"),CONCATENATE("R4C",'Mapa final'!$R$29),"")</f>
        <v/>
      </c>
      <c r="AD39" s="37" t="str">
        <f>IF(AND('Mapa final'!$AB$30="Baja",'Mapa final'!$AD$30="Mayor"),CONCATENATE("R4C",'Mapa final'!$R$30),"")</f>
        <v/>
      </c>
      <c r="AE39" s="37" t="str">
        <f>IF(AND('Mapa final'!$AB$31="Baja",'Mapa final'!$AD$31="Mayor"),CONCATENATE("R4C",'Mapa final'!$R$31),"")</f>
        <v/>
      </c>
      <c r="AF39" s="37" t="str">
        <f>IF(AND('Mapa final'!$AB$32="Baja",'Mapa final'!$AD$32="Mayor"),CONCATENATE("R4C",'Mapa final'!$R$32),"")</f>
        <v/>
      </c>
      <c r="AG39" s="38" t="str">
        <f>IF(AND('Mapa final'!$AB$33="Baja",'Mapa final'!$AD$33="Mayor"),CONCATENATE("R4C",'Mapa final'!$R$33),"")</f>
        <v/>
      </c>
      <c r="AH39" s="39" t="str">
        <f>IF(AND('Mapa final'!$AB$28="Baja",'Mapa final'!$AD$28="Catastrófico"),CONCATENATE("R4C",'Mapa final'!$R$28),"")</f>
        <v/>
      </c>
      <c r="AI39" s="40" t="str">
        <f>IF(AND('Mapa final'!$AB$29="Baja",'Mapa final'!$AD$29="Catastrófico"),CONCATENATE("R4C",'Mapa final'!$R$29),"")</f>
        <v/>
      </c>
      <c r="AJ39" s="40" t="str">
        <f>IF(AND('Mapa final'!$AB$30="Baja",'Mapa final'!$AD$30="Catastrófico"),CONCATENATE("R4C",'Mapa final'!$R$30),"")</f>
        <v/>
      </c>
      <c r="AK39" s="40" t="str">
        <f>IF(AND('Mapa final'!$AB$31="Baja",'Mapa final'!$AD$31="Catastrófico"),CONCATENATE("R4C",'Mapa final'!$R$31),"")</f>
        <v/>
      </c>
      <c r="AL39" s="40" t="str">
        <f>IF(AND('Mapa final'!$AB$32="Baja",'Mapa final'!$AD$32="Catastrófico"),CONCATENATE("R4C",'Mapa final'!$R$32),"")</f>
        <v/>
      </c>
      <c r="AM39" s="41" t="str">
        <f>IF(AND('Mapa final'!$AB$33="Baja",'Mapa final'!$AD$33="Catastrófico"),CONCATENATE("R4C",'Mapa final'!$R$33),"")</f>
        <v/>
      </c>
      <c r="AN39" s="67"/>
      <c r="AO39" s="658"/>
      <c r="AP39" s="659"/>
      <c r="AQ39" s="659"/>
      <c r="AR39" s="659"/>
      <c r="AS39" s="659"/>
      <c r="AT39" s="660"/>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586"/>
      <c r="C40" s="586"/>
      <c r="D40" s="587"/>
      <c r="E40" s="627"/>
      <c r="F40" s="628"/>
      <c r="G40" s="628"/>
      <c r="H40" s="628"/>
      <c r="I40" s="628"/>
      <c r="J40" s="60" t="str">
        <f>IF(AND('Mapa final'!$AB$34="Baja",'Mapa final'!$AD$34="Leve"),CONCATENATE("R5C",'Mapa final'!$R$34),"")</f>
        <v/>
      </c>
      <c r="K40" s="61" t="str">
        <f>IF(AND('Mapa final'!$AB$35="Baja",'Mapa final'!$AD$35="Leve"),CONCATENATE("R5C",'Mapa final'!$R$35),"")</f>
        <v/>
      </c>
      <c r="L40" s="61" t="str">
        <f>IF(AND('Mapa final'!$AB$36="Baja",'Mapa final'!$AD$36="Leve"),CONCATENATE("R5C",'Mapa final'!$R$36),"")</f>
        <v/>
      </c>
      <c r="M40" s="61" t="str">
        <f>IF(AND('Mapa final'!$AB$37="Baja",'Mapa final'!$AD$37="Leve"),CONCATENATE("R5C",'Mapa final'!$R$37),"")</f>
        <v/>
      </c>
      <c r="N40" s="61" t="str">
        <f>IF(AND('Mapa final'!$AB$38="Baja",'Mapa final'!$AD$38="Leve"),CONCATENATE("R5C",'Mapa final'!$R$38),"")</f>
        <v/>
      </c>
      <c r="O40" s="62" t="str">
        <f>IF(AND('Mapa final'!$AB$39="Baja",'Mapa final'!$AD$39="Leve"),CONCATENATE("R5C",'Mapa final'!$R$39),"")</f>
        <v/>
      </c>
      <c r="P40" s="51" t="str">
        <f>IF(AND('Mapa final'!$AB$34="Baja",'Mapa final'!$AD$34="Menor"),CONCATENATE("R5C",'Mapa final'!$R$34),"")</f>
        <v/>
      </c>
      <c r="Q40" s="52" t="str">
        <f>IF(AND('Mapa final'!$AB$35="Baja",'Mapa final'!$AD$35="Menor"),CONCATENATE("R5C",'Mapa final'!$R$35),"")</f>
        <v/>
      </c>
      <c r="R40" s="52" t="str">
        <f>IF(AND('Mapa final'!$AB$36="Baja",'Mapa final'!$AD$36="Menor"),CONCATENATE("R5C",'Mapa final'!$R$36),"")</f>
        <v/>
      </c>
      <c r="S40" s="52" t="str">
        <f>IF(AND('Mapa final'!$AB$37="Baja",'Mapa final'!$AD$37="Menor"),CONCATENATE("R5C",'Mapa final'!$R$37),"")</f>
        <v/>
      </c>
      <c r="T40" s="52" t="str">
        <f>IF(AND('Mapa final'!$AB$38="Baja",'Mapa final'!$AD$38="Menor"),CONCATENATE("R5C",'Mapa final'!$R$38),"")</f>
        <v/>
      </c>
      <c r="U40" s="53" t="str">
        <f>IF(AND('Mapa final'!$AB$39="Baja",'Mapa final'!$AD$39="Menor"),CONCATENATE("R5C",'Mapa final'!$R$39),"")</f>
        <v/>
      </c>
      <c r="V40" s="51" t="str">
        <f>IF(AND('Mapa final'!$AB$34="Baja",'Mapa final'!$AD$34="Moderado"),CONCATENATE("R5C",'Mapa final'!$R$34),"")</f>
        <v/>
      </c>
      <c r="W40" s="52" t="str">
        <f>IF(AND('Mapa final'!$AB$35="Baja",'Mapa final'!$AD$35="Moderado"),CONCATENATE("R5C",'Mapa final'!$R$35),"")</f>
        <v/>
      </c>
      <c r="X40" s="52" t="str">
        <f>IF(AND('Mapa final'!$AB$36="Baja",'Mapa final'!$AD$36="Moderado"),CONCATENATE("R5C",'Mapa final'!$R$36),"")</f>
        <v/>
      </c>
      <c r="Y40" s="52" t="str">
        <f>IF(AND('Mapa final'!$AB$37="Baja",'Mapa final'!$AD$37="Moderado"),CONCATENATE("R5C",'Mapa final'!$R$37),"")</f>
        <v/>
      </c>
      <c r="Z40" s="52" t="str">
        <f>IF(AND('Mapa final'!$AB$38="Baja",'Mapa final'!$AD$38="Moderado"),CONCATENATE("R5C",'Mapa final'!$R$38),"")</f>
        <v/>
      </c>
      <c r="AA40" s="53" t="str">
        <f>IF(AND('Mapa final'!$AB$39="Baja",'Mapa final'!$AD$39="Moderado"),CONCATENATE("R5C",'Mapa final'!$R$39),"")</f>
        <v/>
      </c>
      <c r="AB40" s="36" t="str">
        <f>IF(AND('Mapa final'!$AB$34="Baja",'Mapa final'!$AD$34="Mayor"),CONCATENATE("R5C",'Mapa final'!$R$34),"")</f>
        <v/>
      </c>
      <c r="AC40" s="37" t="str">
        <f>IF(AND('Mapa final'!$AB$35="Baja",'Mapa final'!$AD$35="Mayor"),CONCATENATE("R5C",'Mapa final'!$R$35),"")</f>
        <v/>
      </c>
      <c r="AD40" s="37" t="str">
        <f>IF(AND('Mapa final'!$AB$36="Baja",'Mapa final'!$AD$36="Mayor"),CONCATENATE("R5C",'Mapa final'!$R$36),"")</f>
        <v/>
      </c>
      <c r="AE40" s="37" t="str">
        <f>IF(AND('Mapa final'!$AB$37="Baja",'Mapa final'!$AD$37="Mayor"),CONCATENATE("R5C",'Mapa final'!$R$37),"")</f>
        <v/>
      </c>
      <c r="AF40" s="37" t="str">
        <f>IF(AND('Mapa final'!$AB$38="Baja",'Mapa final'!$AD$38="Mayor"),CONCATENATE("R5C",'Mapa final'!$R$38),"")</f>
        <v/>
      </c>
      <c r="AG40" s="38" t="str">
        <f>IF(AND('Mapa final'!$AB$39="Baja",'Mapa final'!$AD$39="Mayor"),CONCATENATE("R5C",'Mapa final'!$R$39),"")</f>
        <v/>
      </c>
      <c r="AH40" s="39" t="str">
        <f>IF(AND('Mapa final'!$AB$34="Baja",'Mapa final'!$AD$34="Catastrófico"),CONCATENATE("R5C",'Mapa final'!$R$34),"")</f>
        <v/>
      </c>
      <c r="AI40" s="40" t="str">
        <f>IF(AND('Mapa final'!$AB$35="Baja",'Mapa final'!$AD$35="Catastrófico"),CONCATENATE("R5C",'Mapa final'!$R$35),"")</f>
        <v/>
      </c>
      <c r="AJ40" s="40" t="str">
        <f>IF(AND('Mapa final'!$AB$36="Baja",'Mapa final'!$AD$36="Catastrófico"),CONCATENATE("R5C",'Mapa final'!$R$36),"")</f>
        <v/>
      </c>
      <c r="AK40" s="40" t="str">
        <f>IF(AND('Mapa final'!$AB$37="Baja",'Mapa final'!$AD$37="Catastrófico"),CONCATENATE("R5C",'Mapa final'!$R$37),"")</f>
        <v/>
      </c>
      <c r="AL40" s="40" t="str">
        <f>IF(AND('Mapa final'!$AB$38="Baja",'Mapa final'!$AD$38="Catastrófico"),CONCATENATE("R5C",'Mapa final'!$R$38),"")</f>
        <v/>
      </c>
      <c r="AM40" s="41" t="str">
        <f>IF(AND('Mapa final'!$AB$39="Baja",'Mapa final'!$AD$39="Catastrófico"),CONCATENATE("R5C",'Mapa final'!$R$39),"")</f>
        <v/>
      </c>
      <c r="AN40" s="67"/>
      <c r="AO40" s="658"/>
      <c r="AP40" s="659"/>
      <c r="AQ40" s="659"/>
      <c r="AR40" s="659"/>
      <c r="AS40" s="659"/>
      <c r="AT40" s="660"/>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586"/>
      <c r="C41" s="586"/>
      <c r="D41" s="587"/>
      <c r="E41" s="627"/>
      <c r="F41" s="628"/>
      <c r="G41" s="628"/>
      <c r="H41" s="628"/>
      <c r="I41" s="628"/>
      <c r="J41" s="60" t="str">
        <f>IF(AND('Mapa final'!$AB$40="Baja",'Mapa final'!$AD$40="Leve"),CONCATENATE("R6C",'Mapa final'!$R$40),"")</f>
        <v/>
      </c>
      <c r="K41" s="61" t="str">
        <f>IF(AND('Mapa final'!$AB$41="Baja",'Mapa final'!$AD$41="Leve"),CONCATENATE("R6C",'Mapa final'!$R$41),"")</f>
        <v/>
      </c>
      <c r="L41" s="61" t="str">
        <f>IF(AND('Mapa final'!$AB$42="Baja",'Mapa final'!$AD$42="Leve"),CONCATENATE("R6C",'Mapa final'!$R$42),"")</f>
        <v/>
      </c>
      <c r="M41" s="61" t="str">
        <f>IF(AND('Mapa final'!$AB$43="Baja",'Mapa final'!$AD$43="Leve"),CONCATENATE("R6C",'Mapa final'!$R$43),"")</f>
        <v/>
      </c>
      <c r="N41" s="61" t="str">
        <f>IF(AND('Mapa final'!$AB$44="Baja",'Mapa final'!$AD$44="Leve"),CONCATENATE("R6C",'Mapa final'!$R$44),"")</f>
        <v/>
      </c>
      <c r="O41" s="62" t="str">
        <f>IF(AND('Mapa final'!$AB$45="Baja",'Mapa final'!$AD$45="Leve"),CONCATENATE("R6C",'Mapa final'!$R$45),"")</f>
        <v/>
      </c>
      <c r="P41" s="51" t="str">
        <f>IF(AND('Mapa final'!$AB$40="Baja",'Mapa final'!$AD$40="Menor"),CONCATENATE("R6C",'Mapa final'!$R$40),"")</f>
        <v/>
      </c>
      <c r="Q41" s="52" t="str">
        <f>IF(AND('Mapa final'!$AB$41="Baja",'Mapa final'!$AD$41="Menor"),CONCATENATE("R6C",'Mapa final'!$R$41),"")</f>
        <v/>
      </c>
      <c r="R41" s="52" t="str">
        <f>IF(AND('Mapa final'!$AB$42="Baja",'Mapa final'!$AD$42="Menor"),CONCATENATE("R6C",'Mapa final'!$R$42),"")</f>
        <v/>
      </c>
      <c r="S41" s="52" t="str">
        <f>IF(AND('Mapa final'!$AB$43="Baja",'Mapa final'!$AD$43="Menor"),CONCATENATE("R6C",'Mapa final'!$R$43),"")</f>
        <v/>
      </c>
      <c r="T41" s="52" t="str">
        <f>IF(AND('Mapa final'!$AB$44="Baja",'Mapa final'!$AD$44="Menor"),CONCATENATE("R6C",'Mapa final'!$R$44),"")</f>
        <v/>
      </c>
      <c r="U41" s="53" t="str">
        <f>IF(AND('Mapa final'!$AB$45="Baja",'Mapa final'!$AD$45="Menor"),CONCATENATE("R6C",'Mapa final'!$R$45),"")</f>
        <v/>
      </c>
      <c r="V41" s="51" t="str">
        <f>IF(AND('Mapa final'!$AB$40="Baja",'Mapa final'!$AD$40="Moderado"),CONCATENATE("R6C",'Mapa final'!$R$40),"")</f>
        <v/>
      </c>
      <c r="W41" s="52" t="str">
        <f>IF(AND('Mapa final'!$AB$41="Baja",'Mapa final'!$AD$41="Moderado"),CONCATENATE("R6C",'Mapa final'!$R$41),"")</f>
        <v/>
      </c>
      <c r="X41" s="52" t="str">
        <f>IF(AND('Mapa final'!$AB$42="Baja",'Mapa final'!$AD$42="Moderado"),CONCATENATE("R6C",'Mapa final'!$R$42),"")</f>
        <v/>
      </c>
      <c r="Y41" s="52" t="str">
        <f>IF(AND('Mapa final'!$AB$43="Baja",'Mapa final'!$AD$43="Moderado"),CONCATENATE("R6C",'Mapa final'!$R$43),"")</f>
        <v/>
      </c>
      <c r="Z41" s="52" t="str">
        <f>IF(AND('Mapa final'!$AB$44="Baja",'Mapa final'!$AD$44="Moderado"),CONCATENATE("R6C",'Mapa final'!$R$44),"")</f>
        <v/>
      </c>
      <c r="AA41" s="53" t="str">
        <f>IF(AND('Mapa final'!$AB$45="Baja",'Mapa final'!$AD$45="Moderado"),CONCATENATE("R6C",'Mapa final'!$R$45),"")</f>
        <v/>
      </c>
      <c r="AB41" s="36" t="str">
        <f>IF(AND('Mapa final'!$AB$40="Baja",'Mapa final'!$AD$40="Mayor"),CONCATENATE("R6C",'Mapa final'!$R$40),"")</f>
        <v/>
      </c>
      <c r="AC41" s="37" t="str">
        <f>IF(AND('Mapa final'!$AB$41="Baja",'Mapa final'!$AD$41="Mayor"),CONCATENATE("R6C",'Mapa final'!$R$41),"")</f>
        <v/>
      </c>
      <c r="AD41" s="37" t="str">
        <f>IF(AND('Mapa final'!$AB$42="Baja",'Mapa final'!$AD$42="Mayor"),CONCATENATE("R6C",'Mapa final'!$R$42),"")</f>
        <v/>
      </c>
      <c r="AE41" s="37" t="str">
        <f>IF(AND('Mapa final'!$AB$43="Baja",'Mapa final'!$AD$43="Mayor"),CONCATENATE("R6C",'Mapa final'!$R$43),"")</f>
        <v/>
      </c>
      <c r="AF41" s="37" t="str">
        <f>IF(AND('Mapa final'!$AB$44="Baja",'Mapa final'!$AD$44="Mayor"),CONCATENATE("R6C",'Mapa final'!$R$44),"")</f>
        <v/>
      </c>
      <c r="AG41" s="38" t="str">
        <f>IF(AND('Mapa final'!$AB$45="Baja",'Mapa final'!$AD$45="Mayor"),CONCATENATE("R6C",'Mapa final'!$R$45),"")</f>
        <v/>
      </c>
      <c r="AH41" s="39" t="str">
        <f>IF(AND('Mapa final'!$AB$40="Baja",'Mapa final'!$AD$40="Catastrófico"),CONCATENATE("R6C",'Mapa final'!$R$40),"")</f>
        <v/>
      </c>
      <c r="AI41" s="40" t="str">
        <f>IF(AND('Mapa final'!$AB$41="Baja",'Mapa final'!$AD$41="Catastrófico"),CONCATENATE("R6C",'Mapa final'!$R$41),"")</f>
        <v/>
      </c>
      <c r="AJ41" s="40" t="str">
        <f>IF(AND('Mapa final'!$AB$42="Baja",'Mapa final'!$AD$42="Catastrófico"),CONCATENATE("R6C",'Mapa final'!$R$42),"")</f>
        <v/>
      </c>
      <c r="AK41" s="40" t="str">
        <f>IF(AND('Mapa final'!$AB$43="Baja",'Mapa final'!$AD$43="Catastrófico"),CONCATENATE("R6C",'Mapa final'!$R$43),"")</f>
        <v/>
      </c>
      <c r="AL41" s="40" t="str">
        <f>IF(AND('Mapa final'!$AB$44="Baja",'Mapa final'!$AD$44="Catastrófico"),CONCATENATE("R6C",'Mapa final'!$R$44),"")</f>
        <v/>
      </c>
      <c r="AM41" s="41" t="str">
        <f>IF(AND('Mapa final'!$AB$45="Baja",'Mapa final'!$AD$45="Catastrófico"),CONCATENATE("R6C",'Mapa final'!$R$45),"")</f>
        <v/>
      </c>
      <c r="AN41" s="67"/>
      <c r="AO41" s="658"/>
      <c r="AP41" s="659"/>
      <c r="AQ41" s="659"/>
      <c r="AR41" s="659"/>
      <c r="AS41" s="659"/>
      <c r="AT41" s="660"/>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586"/>
      <c r="C42" s="586"/>
      <c r="D42" s="587"/>
      <c r="E42" s="627"/>
      <c r="F42" s="628"/>
      <c r="G42" s="628"/>
      <c r="H42" s="628"/>
      <c r="I42" s="628"/>
      <c r="J42" s="60" t="str">
        <f>IF(AND('Mapa final'!$AB$46="Baja",'Mapa final'!$AD$46="Leve"),CONCATENATE("R7C",'Mapa final'!$R$46),"")</f>
        <v/>
      </c>
      <c r="K42" s="61" t="str">
        <f>IF(AND('Mapa final'!$AB$47="Baja",'Mapa final'!$AD$47="Leve"),CONCATENATE("R7C",'Mapa final'!$R$47),"")</f>
        <v/>
      </c>
      <c r="L42" s="61" t="str">
        <f>IF(AND('Mapa final'!$AB$48="Baja",'Mapa final'!$AD$48="Leve"),CONCATENATE("R7C",'Mapa final'!$R$48),"")</f>
        <v/>
      </c>
      <c r="M42" s="61" t="str">
        <f>IF(AND('Mapa final'!$AB$49="Baja",'Mapa final'!$AD$49="Leve"),CONCATENATE("R7C",'Mapa final'!$R$49),"")</f>
        <v/>
      </c>
      <c r="N42" s="61" t="str">
        <f>IF(AND('Mapa final'!$AB$50="Baja",'Mapa final'!$AD$50="Leve"),CONCATENATE("R7C",'Mapa final'!$R$50),"")</f>
        <v/>
      </c>
      <c r="O42" s="62" t="str">
        <f>IF(AND('Mapa final'!$AB$51="Baja",'Mapa final'!$AD$51="Leve"),CONCATENATE("R7C",'Mapa final'!$R$51),"")</f>
        <v/>
      </c>
      <c r="P42" s="51" t="str">
        <f>IF(AND('Mapa final'!$AB$46="Baja",'Mapa final'!$AD$46="Menor"),CONCATENATE("R7C",'Mapa final'!$R$46),"")</f>
        <v/>
      </c>
      <c r="Q42" s="52" t="str">
        <f>IF(AND('Mapa final'!$AB$47="Baja",'Mapa final'!$AD$47="Menor"),CONCATENATE("R7C",'Mapa final'!$R$47),"")</f>
        <v/>
      </c>
      <c r="R42" s="52" t="str">
        <f>IF(AND('Mapa final'!$AB$48="Baja",'Mapa final'!$AD$48="Menor"),CONCATENATE("R7C",'Mapa final'!$R$48),"")</f>
        <v/>
      </c>
      <c r="S42" s="52" t="str">
        <f>IF(AND('Mapa final'!$AB$49="Baja",'Mapa final'!$AD$49="Menor"),CONCATENATE("R7C",'Mapa final'!$R$49),"")</f>
        <v/>
      </c>
      <c r="T42" s="52" t="str">
        <f>IF(AND('Mapa final'!$AB$50="Baja",'Mapa final'!$AD$50="Menor"),CONCATENATE("R7C",'Mapa final'!$R$50),"")</f>
        <v/>
      </c>
      <c r="U42" s="53" t="str">
        <f>IF(AND('Mapa final'!$AB$51="Baja",'Mapa final'!$AD$51="Menor"),CONCATENATE("R7C",'Mapa final'!$R$51),"")</f>
        <v/>
      </c>
      <c r="V42" s="51" t="str">
        <f>IF(AND('Mapa final'!$AB$46="Baja",'Mapa final'!$AD$46="Moderado"),CONCATENATE("R7C",'Mapa final'!$R$46),"")</f>
        <v/>
      </c>
      <c r="W42" s="52" t="str">
        <f>IF(AND('Mapa final'!$AB$47="Baja",'Mapa final'!$AD$47="Moderado"),CONCATENATE("R7C",'Mapa final'!$R$47),"")</f>
        <v/>
      </c>
      <c r="X42" s="52" t="str">
        <f>IF(AND('Mapa final'!$AB$48="Baja",'Mapa final'!$AD$48="Moderado"),CONCATENATE("R7C",'Mapa final'!$R$48),"")</f>
        <v/>
      </c>
      <c r="Y42" s="52" t="str">
        <f>IF(AND('Mapa final'!$AB$49="Baja",'Mapa final'!$AD$49="Moderado"),CONCATENATE("R7C",'Mapa final'!$R$49),"")</f>
        <v/>
      </c>
      <c r="Z42" s="52" t="str">
        <f>IF(AND('Mapa final'!$AB$50="Baja",'Mapa final'!$AD$50="Moderado"),CONCATENATE("R7C",'Mapa final'!$R$50),"")</f>
        <v/>
      </c>
      <c r="AA42" s="53" t="str">
        <f>IF(AND('Mapa final'!$AB$51="Baja",'Mapa final'!$AD$51="Moderado"),CONCATENATE("R7C",'Mapa final'!$R$51),"")</f>
        <v/>
      </c>
      <c r="AB42" s="36" t="str">
        <f>IF(AND('Mapa final'!$AB$46="Baja",'Mapa final'!$AD$46="Mayor"),CONCATENATE("R7C",'Mapa final'!$R$46),"")</f>
        <v/>
      </c>
      <c r="AC42" s="37" t="str">
        <f>IF(AND('Mapa final'!$AB$47="Baja",'Mapa final'!$AD$47="Mayor"),CONCATENATE("R7C",'Mapa final'!$R$47),"")</f>
        <v/>
      </c>
      <c r="AD42" s="37" t="str">
        <f>IF(AND('Mapa final'!$AB$48="Baja",'Mapa final'!$AD$48="Mayor"),CONCATENATE("R7C",'Mapa final'!$R$48),"")</f>
        <v/>
      </c>
      <c r="AE42" s="37" t="str">
        <f>IF(AND('Mapa final'!$AB$49="Baja",'Mapa final'!$AD$49="Mayor"),CONCATENATE("R7C",'Mapa final'!$R$49),"")</f>
        <v/>
      </c>
      <c r="AF42" s="37" t="str">
        <f>IF(AND('Mapa final'!$AB$50="Baja",'Mapa final'!$AD$50="Mayor"),CONCATENATE("R7C",'Mapa final'!$R$50),"")</f>
        <v/>
      </c>
      <c r="AG42" s="38" t="str">
        <f>IF(AND('Mapa final'!$AB$51="Baja",'Mapa final'!$AD$51="Mayor"),CONCATENATE("R7C",'Mapa final'!$R$51),"")</f>
        <v/>
      </c>
      <c r="AH42" s="39" t="str">
        <f>IF(AND('Mapa final'!$AB$46="Baja",'Mapa final'!$AD$46="Catastrófico"),CONCATENATE("R7C",'Mapa final'!$R$46),"")</f>
        <v/>
      </c>
      <c r="AI42" s="40" t="str">
        <f>IF(AND('Mapa final'!$AB$47="Baja",'Mapa final'!$AD$47="Catastrófico"),CONCATENATE("R7C",'Mapa final'!$R$47),"")</f>
        <v/>
      </c>
      <c r="AJ42" s="40" t="str">
        <f>IF(AND('Mapa final'!$AB$48="Baja",'Mapa final'!$AD$48="Catastrófico"),CONCATENATE("R7C",'Mapa final'!$R$48),"")</f>
        <v/>
      </c>
      <c r="AK42" s="40" t="str">
        <f>IF(AND('Mapa final'!$AB$49="Baja",'Mapa final'!$AD$49="Catastrófico"),CONCATENATE("R7C",'Mapa final'!$R$49),"")</f>
        <v/>
      </c>
      <c r="AL42" s="40" t="str">
        <f>IF(AND('Mapa final'!$AB$50="Baja",'Mapa final'!$AD$50="Catastrófico"),CONCATENATE("R7C",'Mapa final'!$R$50),"")</f>
        <v/>
      </c>
      <c r="AM42" s="41" t="str">
        <f>IF(AND('Mapa final'!$AB$51="Baja",'Mapa final'!$AD$51="Catastrófico"),CONCATENATE("R7C",'Mapa final'!$R$51),"")</f>
        <v/>
      </c>
      <c r="AN42" s="67"/>
      <c r="AO42" s="658"/>
      <c r="AP42" s="659"/>
      <c r="AQ42" s="659"/>
      <c r="AR42" s="659"/>
      <c r="AS42" s="659"/>
      <c r="AT42" s="660"/>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586"/>
      <c r="C43" s="586"/>
      <c r="D43" s="587"/>
      <c r="E43" s="627"/>
      <c r="F43" s="628"/>
      <c r="G43" s="628"/>
      <c r="H43" s="628"/>
      <c r="I43" s="628"/>
      <c r="J43" s="60" t="str">
        <f>IF(AND('Mapa final'!$AB$52="Baja",'Mapa final'!$AD$52="Leve"),CONCATENATE("R8C",'Mapa final'!$R$52),"")</f>
        <v/>
      </c>
      <c r="K43" s="61" t="str">
        <f>IF(AND('Mapa final'!$AB$53="Baja",'Mapa final'!$AD$53="Leve"),CONCATENATE("R8C",'Mapa final'!$R$53),"")</f>
        <v/>
      </c>
      <c r="L43" s="61" t="str">
        <f>IF(AND('Mapa final'!$AB$54="Baja",'Mapa final'!$AD$54="Leve"),CONCATENATE("R8C",'Mapa final'!$R$54),"")</f>
        <v/>
      </c>
      <c r="M43" s="61" t="str">
        <f>IF(AND('Mapa final'!$AB$55="Baja",'Mapa final'!$AD$55="Leve"),CONCATENATE("R8C",'Mapa final'!$R$55),"")</f>
        <v/>
      </c>
      <c r="N43" s="61" t="str">
        <f>IF(AND('Mapa final'!$AB$56="Baja",'Mapa final'!$AD$56="Leve"),CONCATENATE("R8C",'Mapa final'!$R$56),"")</f>
        <v/>
      </c>
      <c r="O43" s="62" t="str">
        <f>IF(AND('Mapa final'!$AB$57="Baja",'Mapa final'!$AD$57="Leve"),CONCATENATE("R8C",'Mapa final'!$R$57),"")</f>
        <v/>
      </c>
      <c r="P43" s="51" t="str">
        <f>IF(AND('Mapa final'!$AB$52="Baja",'Mapa final'!$AD$52="Menor"),CONCATENATE("R8C",'Mapa final'!$R$52),"")</f>
        <v/>
      </c>
      <c r="Q43" s="52" t="str">
        <f>IF(AND('Mapa final'!$AB$53="Baja",'Mapa final'!$AD$53="Menor"),CONCATENATE("R8C",'Mapa final'!$R$53),"")</f>
        <v/>
      </c>
      <c r="R43" s="52" t="str">
        <f>IF(AND('Mapa final'!$AB$54="Baja",'Mapa final'!$AD$54="Menor"),CONCATENATE("R8C",'Mapa final'!$R$54),"")</f>
        <v/>
      </c>
      <c r="S43" s="52" t="str">
        <f>IF(AND('Mapa final'!$AB$55="Baja",'Mapa final'!$AD$55="Menor"),CONCATENATE("R8C",'Mapa final'!$R$55),"")</f>
        <v/>
      </c>
      <c r="T43" s="52" t="str">
        <f>IF(AND('Mapa final'!$AB$56="Baja",'Mapa final'!$AD$56="Menor"),CONCATENATE("R8C",'Mapa final'!$R$56),"")</f>
        <v/>
      </c>
      <c r="U43" s="53" t="str">
        <f>IF(AND('Mapa final'!$AB$57="Baja",'Mapa final'!$AD$57="Menor"),CONCATENATE("R8C",'Mapa final'!$R$57),"")</f>
        <v/>
      </c>
      <c r="V43" s="51" t="str">
        <f>IF(AND('Mapa final'!$AB$52="Baja",'Mapa final'!$AD$52="Moderado"),CONCATENATE("R8C",'Mapa final'!$R$52),"")</f>
        <v/>
      </c>
      <c r="W43" s="52" t="str">
        <f>IF(AND('Mapa final'!$AB$53="Baja",'Mapa final'!$AD$53="Moderado"),CONCATENATE("R8C",'Mapa final'!$R$53),"")</f>
        <v/>
      </c>
      <c r="X43" s="52" t="str">
        <f>IF(AND('Mapa final'!$AB$54="Baja",'Mapa final'!$AD$54="Moderado"),CONCATENATE("R8C",'Mapa final'!$R$54),"")</f>
        <v/>
      </c>
      <c r="Y43" s="52" t="str">
        <f>IF(AND('Mapa final'!$AB$55="Baja",'Mapa final'!$AD$55="Moderado"),CONCATENATE("R8C",'Mapa final'!$R$55),"")</f>
        <v/>
      </c>
      <c r="Z43" s="52" t="str">
        <f>IF(AND('Mapa final'!$AB$56="Baja",'Mapa final'!$AD$56="Moderado"),CONCATENATE("R8C",'Mapa final'!$R$56),"")</f>
        <v/>
      </c>
      <c r="AA43" s="53" t="str">
        <f>IF(AND('Mapa final'!$AB$57="Baja",'Mapa final'!$AD$57="Moderado"),CONCATENATE("R8C",'Mapa final'!$R$57),"")</f>
        <v/>
      </c>
      <c r="AB43" s="36" t="str">
        <f>IF(AND('Mapa final'!$AB$52="Baja",'Mapa final'!$AD$52="Mayor"),CONCATENATE("R8C",'Mapa final'!$R$52),"")</f>
        <v/>
      </c>
      <c r="AC43" s="37" t="str">
        <f>IF(AND('Mapa final'!$AB$53="Baja",'Mapa final'!$AD$53="Mayor"),CONCATENATE("R8C",'Mapa final'!$R$53),"")</f>
        <v/>
      </c>
      <c r="AD43" s="37" t="str">
        <f>IF(AND('Mapa final'!$AB$54="Baja",'Mapa final'!$AD$54="Mayor"),CONCATENATE("R8C",'Mapa final'!$R$54),"")</f>
        <v/>
      </c>
      <c r="AE43" s="37" t="str">
        <f>IF(AND('Mapa final'!$AB$55="Baja",'Mapa final'!$AD$55="Mayor"),CONCATENATE("R8C",'Mapa final'!$R$55),"")</f>
        <v/>
      </c>
      <c r="AF43" s="37" t="str">
        <f>IF(AND('Mapa final'!$AB$56="Baja",'Mapa final'!$AD$56="Mayor"),CONCATENATE("R8C",'Mapa final'!$R$56),"")</f>
        <v/>
      </c>
      <c r="AG43" s="38" t="str">
        <f>IF(AND('Mapa final'!$AB$57="Baja",'Mapa final'!$AD$57="Mayor"),CONCATENATE("R8C",'Mapa final'!$R$57),"")</f>
        <v/>
      </c>
      <c r="AH43" s="39" t="str">
        <f>IF(AND('Mapa final'!$AB$52="Baja",'Mapa final'!$AD$52="Catastrófico"),CONCATENATE("R8C",'Mapa final'!$R$52),"")</f>
        <v/>
      </c>
      <c r="AI43" s="40" t="str">
        <f>IF(AND('Mapa final'!$AB$53="Baja",'Mapa final'!$AD$53="Catastrófico"),CONCATENATE("R8C",'Mapa final'!$R$53),"")</f>
        <v/>
      </c>
      <c r="AJ43" s="40" t="str">
        <f>IF(AND('Mapa final'!$AB$54="Baja",'Mapa final'!$AD$54="Catastrófico"),CONCATENATE("R8C",'Mapa final'!$R$54),"")</f>
        <v/>
      </c>
      <c r="AK43" s="40" t="str">
        <f>IF(AND('Mapa final'!$AB$55="Baja",'Mapa final'!$AD$55="Catastrófico"),CONCATENATE("R8C",'Mapa final'!$R$55),"")</f>
        <v/>
      </c>
      <c r="AL43" s="40" t="str">
        <f>IF(AND('Mapa final'!$AB$56="Baja",'Mapa final'!$AD$56="Catastrófico"),CONCATENATE("R8C",'Mapa final'!$R$56),"")</f>
        <v/>
      </c>
      <c r="AM43" s="41" t="str">
        <f>IF(AND('Mapa final'!$AB$57="Baja",'Mapa final'!$AD$57="Catastrófico"),CONCATENATE("R8C",'Mapa final'!$R$57),"")</f>
        <v/>
      </c>
      <c r="AN43" s="67"/>
      <c r="AO43" s="658"/>
      <c r="AP43" s="659"/>
      <c r="AQ43" s="659"/>
      <c r="AR43" s="659"/>
      <c r="AS43" s="659"/>
      <c r="AT43" s="660"/>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586"/>
      <c r="C44" s="586"/>
      <c r="D44" s="587"/>
      <c r="E44" s="627"/>
      <c r="F44" s="628"/>
      <c r="G44" s="628"/>
      <c r="H44" s="628"/>
      <c r="I44" s="628"/>
      <c r="J44" s="60" t="str">
        <f>IF(AND('Mapa final'!$AB$58="Baja",'Mapa final'!$AD$58="Leve"),CONCATENATE("R9C",'Mapa final'!$R$58),"")</f>
        <v/>
      </c>
      <c r="K44" s="61" t="str">
        <f>IF(AND('Mapa final'!$AB$59="Baja",'Mapa final'!$AD$59="Leve"),CONCATENATE("R9C",'Mapa final'!$R$59),"")</f>
        <v/>
      </c>
      <c r="L44" s="61" t="str">
        <f>IF(AND('Mapa final'!$AB$60="Baja",'Mapa final'!$AD$60="Leve"),CONCATENATE("R9C",'Mapa final'!$R$60),"")</f>
        <v/>
      </c>
      <c r="M44" s="61" t="str">
        <f>IF(AND('Mapa final'!$AB$61="Baja",'Mapa final'!$AD$61="Leve"),CONCATENATE("R9C",'Mapa final'!$R$61),"")</f>
        <v/>
      </c>
      <c r="N44" s="61" t="str">
        <f>IF(AND('Mapa final'!$AB$62="Baja",'Mapa final'!$AD$62="Leve"),CONCATENATE("R9C",'Mapa final'!$R$62),"")</f>
        <v/>
      </c>
      <c r="O44" s="62" t="str">
        <f>IF(AND('Mapa final'!$AB$63="Baja",'Mapa final'!$AD$63="Leve"),CONCATENATE("R9C",'Mapa final'!$R$63),"")</f>
        <v/>
      </c>
      <c r="P44" s="51" t="str">
        <f>IF(AND('Mapa final'!$AB$58="Baja",'Mapa final'!$AD$58="Menor"),CONCATENATE("R9C",'Mapa final'!$R$58),"")</f>
        <v/>
      </c>
      <c r="Q44" s="52" t="str">
        <f>IF(AND('Mapa final'!$AB$59="Baja",'Mapa final'!$AD$59="Menor"),CONCATENATE("R9C",'Mapa final'!$R$59),"")</f>
        <v/>
      </c>
      <c r="R44" s="52" t="str">
        <f>IF(AND('Mapa final'!$AB$60="Baja",'Mapa final'!$AD$60="Menor"),CONCATENATE("R9C",'Mapa final'!$R$60),"")</f>
        <v/>
      </c>
      <c r="S44" s="52" t="str">
        <f>IF(AND('Mapa final'!$AB$61="Baja",'Mapa final'!$AD$61="Menor"),CONCATENATE("R9C",'Mapa final'!$R$61),"")</f>
        <v/>
      </c>
      <c r="T44" s="52" t="str">
        <f>IF(AND('Mapa final'!$AB$62="Baja",'Mapa final'!$AD$62="Menor"),CONCATENATE("R9C",'Mapa final'!$R$62),"")</f>
        <v/>
      </c>
      <c r="U44" s="53" t="str">
        <f>IF(AND('Mapa final'!$AB$63="Baja",'Mapa final'!$AD$63="Menor"),CONCATENATE("R9C",'Mapa final'!$R$63),"")</f>
        <v/>
      </c>
      <c r="V44" s="51" t="str">
        <f>IF(AND('Mapa final'!$AB$58="Baja",'Mapa final'!$AD$58="Moderado"),CONCATENATE("R9C",'Mapa final'!$R$58),"")</f>
        <v/>
      </c>
      <c r="W44" s="52" t="str">
        <f>IF(AND('Mapa final'!$AB$59="Baja",'Mapa final'!$AD$59="Moderado"),CONCATENATE("R9C",'Mapa final'!$R$59),"")</f>
        <v/>
      </c>
      <c r="X44" s="52" t="str">
        <f>IF(AND('Mapa final'!$AB$60="Baja",'Mapa final'!$AD$60="Moderado"),CONCATENATE("R9C",'Mapa final'!$R$60),"")</f>
        <v/>
      </c>
      <c r="Y44" s="52" t="str">
        <f>IF(AND('Mapa final'!$AB$61="Baja",'Mapa final'!$AD$61="Moderado"),CONCATENATE("R9C",'Mapa final'!$R$61),"")</f>
        <v/>
      </c>
      <c r="Z44" s="52" t="str">
        <f>IF(AND('Mapa final'!$AB$62="Baja",'Mapa final'!$AD$62="Moderado"),CONCATENATE("R9C",'Mapa final'!$R$62),"")</f>
        <v/>
      </c>
      <c r="AA44" s="53" t="str">
        <f>IF(AND('Mapa final'!$AB$63="Baja",'Mapa final'!$AD$63="Moderado"),CONCATENATE("R9C",'Mapa final'!$R$63),"")</f>
        <v/>
      </c>
      <c r="AB44" s="36" t="str">
        <f>IF(AND('Mapa final'!$AB$58="Baja",'Mapa final'!$AD$58="Mayor"),CONCATENATE("R9C",'Mapa final'!$R$58),"")</f>
        <v/>
      </c>
      <c r="AC44" s="37" t="str">
        <f>IF(AND('Mapa final'!$AB$59="Baja",'Mapa final'!$AD$59="Mayor"),CONCATENATE("R9C",'Mapa final'!$R$59),"")</f>
        <v/>
      </c>
      <c r="AD44" s="37" t="str">
        <f>IF(AND('Mapa final'!$AB$60="Baja",'Mapa final'!$AD$60="Mayor"),CONCATENATE("R9C",'Mapa final'!$R$60),"")</f>
        <v/>
      </c>
      <c r="AE44" s="37" t="str">
        <f>IF(AND('Mapa final'!$AB$61="Baja",'Mapa final'!$AD$61="Mayor"),CONCATENATE("R9C",'Mapa final'!$R$61),"")</f>
        <v/>
      </c>
      <c r="AF44" s="37" t="str">
        <f>IF(AND('Mapa final'!$AB$62="Baja",'Mapa final'!$AD$62="Mayor"),CONCATENATE("R9C",'Mapa final'!$R$62),"")</f>
        <v/>
      </c>
      <c r="AG44" s="38" t="str">
        <f>IF(AND('Mapa final'!$AB$63="Baja",'Mapa final'!$AD$63="Mayor"),CONCATENATE("R9C",'Mapa final'!$R$63),"")</f>
        <v/>
      </c>
      <c r="AH44" s="39" t="str">
        <f>IF(AND('Mapa final'!$AB$58="Baja",'Mapa final'!$AD$58="Catastrófico"),CONCATENATE("R9C",'Mapa final'!$R$58),"")</f>
        <v/>
      </c>
      <c r="AI44" s="40" t="str">
        <f>IF(AND('Mapa final'!$AB$59="Baja",'Mapa final'!$AD$59="Catastrófico"),CONCATENATE("R9C",'Mapa final'!$R$59),"")</f>
        <v/>
      </c>
      <c r="AJ44" s="40" t="str">
        <f>IF(AND('Mapa final'!$AB$60="Baja",'Mapa final'!$AD$60="Catastrófico"),CONCATENATE("R9C",'Mapa final'!$R$60),"")</f>
        <v/>
      </c>
      <c r="AK44" s="40" t="str">
        <f>IF(AND('Mapa final'!$AB$61="Baja",'Mapa final'!$AD$61="Catastrófico"),CONCATENATE("R9C",'Mapa final'!$R$61),"")</f>
        <v/>
      </c>
      <c r="AL44" s="40" t="str">
        <f>IF(AND('Mapa final'!$AB$62="Baja",'Mapa final'!$AD$62="Catastrófico"),CONCATENATE("R9C",'Mapa final'!$R$62),"")</f>
        <v/>
      </c>
      <c r="AM44" s="41" t="str">
        <f>IF(AND('Mapa final'!$AB$63="Baja",'Mapa final'!$AD$63="Catastrófico"),CONCATENATE("R9C",'Mapa final'!$R$63),"")</f>
        <v/>
      </c>
      <c r="AN44" s="67"/>
      <c r="AO44" s="658"/>
      <c r="AP44" s="659"/>
      <c r="AQ44" s="659"/>
      <c r="AR44" s="659"/>
      <c r="AS44" s="659"/>
      <c r="AT44" s="660"/>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586"/>
      <c r="C45" s="586"/>
      <c r="D45" s="587"/>
      <c r="E45" s="630"/>
      <c r="F45" s="631"/>
      <c r="G45" s="631"/>
      <c r="H45" s="631"/>
      <c r="I45" s="631"/>
      <c r="J45" s="63" t="str">
        <f>IF(AND('Mapa final'!$AB$64="Baja",'Mapa final'!$AD$64="Leve"),CONCATENATE("R10C",'Mapa final'!$R$64),"")</f>
        <v/>
      </c>
      <c r="K45" s="64" t="str">
        <f>IF(AND('Mapa final'!$AB$65="Baja",'Mapa final'!$AD$65="Leve"),CONCATENATE("R10C",'Mapa final'!$R$65),"")</f>
        <v/>
      </c>
      <c r="L45" s="64" t="str">
        <f>IF(AND('Mapa final'!$AB$66="Baja",'Mapa final'!$AD$66="Leve"),CONCATENATE("R10C",'Mapa final'!$R$66),"")</f>
        <v/>
      </c>
      <c r="M45" s="64" t="str">
        <f>IF(AND('Mapa final'!$AB$67="Baja",'Mapa final'!$AD$67="Leve"),CONCATENATE("R10C",'Mapa final'!$R$67),"")</f>
        <v/>
      </c>
      <c r="N45" s="64" t="str">
        <f>IF(AND('Mapa final'!$AB$68="Baja",'Mapa final'!$AD$68="Leve"),CONCATENATE("R10C",'Mapa final'!$R$68),"")</f>
        <v/>
      </c>
      <c r="O45" s="65" t="str">
        <f>IF(AND('Mapa final'!$AB$69="Baja",'Mapa final'!$AD$69="Leve"),CONCATENATE("R10C",'Mapa final'!$R$69),"")</f>
        <v/>
      </c>
      <c r="P45" s="51" t="str">
        <f>IF(AND('Mapa final'!$AB$64="Baja",'Mapa final'!$AD$64="Menor"),CONCATENATE("R10C",'Mapa final'!$R$64),"")</f>
        <v/>
      </c>
      <c r="Q45" s="52" t="str">
        <f>IF(AND('Mapa final'!$AB$65="Baja",'Mapa final'!$AD$65="Menor"),CONCATENATE("R10C",'Mapa final'!$R$65),"")</f>
        <v/>
      </c>
      <c r="R45" s="52" t="str">
        <f>IF(AND('Mapa final'!$AB$66="Baja",'Mapa final'!$AD$66="Menor"),CONCATENATE("R10C",'Mapa final'!$R$66),"")</f>
        <v/>
      </c>
      <c r="S45" s="52" t="str">
        <f>IF(AND('Mapa final'!$AB$67="Baja",'Mapa final'!$AD$67="Menor"),CONCATENATE("R10C",'Mapa final'!$R$67),"")</f>
        <v/>
      </c>
      <c r="T45" s="52" t="str">
        <f>IF(AND('Mapa final'!$AB$68="Baja",'Mapa final'!$AD$68="Menor"),CONCATENATE("R10C",'Mapa final'!$R$68),"")</f>
        <v/>
      </c>
      <c r="U45" s="53" t="str">
        <f>IF(AND('Mapa final'!$AB$69="Baja",'Mapa final'!$AD$69="Menor"),CONCATENATE("R10C",'Mapa final'!$R$69),"")</f>
        <v/>
      </c>
      <c r="V45" s="54" t="str">
        <f>IF(AND('Mapa final'!$AB$64="Baja",'Mapa final'!$AD$64="Moderado"),CONCATENATE("R10C",'Mapa final'!$R$64),"")</f>
        <v/>
      </c>
      <c r="W45" s="55" t="str">
        <f>IF(AND('Mapa final'!$AB$65="Baja",'Mapa final'!$AD$65="Moderado"),CONCATENATE("R10C",'Mapa final'!$R$65),"")</f>
        <v/>
      </c>
      <c r="X45" s="55" t="str">
        <f>IF(AND('Mapa final'!$AB$66="Baja",'Mapa final'!$AD$66="Moderado"),CONCATENATE("R10C",'Mapa final'!$R$66),"")</f>
        <v/>
      </c>
      <c r="Y45" s="55" t="str">
        <f>IF(AND('Mapa final'!$AB$67="Baja",'Mapa final'!$AD$67="Moderado"),CONCATENATE("R10C",'Mapa final'!$R$67),"")</f>
        <v/>
      </c>
      <c r="Z45" s="55" t="str">
        <f>IF(AND('Mapa final'!$AB$68="Baja",'Mapa final'!$AD$68="Moderado"),CONCATENATE("R10C",'Mapa final'!$R$68),"")</f>
        <v/>
      </c>
      <c r="AA45" s="56" t="str">
        <f>IF(AND('Mapa final'!$AB$69="Baja",'Mapa final'!$AD$69="Moderado"),CONCATENATE("R10C",'Mapa final'!$R$69),"")</f>
        <v/>
      </c>
      <c r="AB45" s="42" t="str">
        <f>IF(AND('Mapa final'!$AB$64="Baja",'Mapa final'!$AD$64="Mayor"),CONCATENATE("R10C",'Mapa final'!$R$64),"")</f>
        <v/>
      </c>
      <c r="AC45" s="43" t="str">
        <f>IF(AND('Mapa final'!$AB$65="Baja",'Mapa final'!$AD$65="Mayor"),CONCATENATE("R10C",'Mapa final'!$R$65),"")</f>
        <v/>
      </c>
      <c r="AD45" s="43" t="str">
        <f>IF(AND('Mapa final'!$AB$66="Baja",'Mapa final'!$AD$66="Mayor"),CONCATENATE("R10C",'Mapa final'!$R$66),"")</f>
        <v/>
      </c>
      <c r="AE45" s="43" t="str">
        <f>IF(AND('Mapa final'!$AB$67="Baja",'Mapa final'!$AD$67="Mayor"),CONCATENATE("R10C",'Mapa final'!$R$67),"")</f>
        <v/>
      </c>
      <c r="AF45" s="43" t="str">
        <f>IF(AND('Mapa final'!$AB$68="Baja",'Mapa final'!$AD$68="Mayor"),CONCATENATE("R10C",'Mapa final'!$R$68),"")</f>
        <v/>
      </c>
      <c r="AG45" s="44" t="str">
        <f>IF(AND('Mapa final'!$AB$69="Baja",'Mapa final'!$AD$69="Mayor"),CONCATENATE("R10C",'Mapa final'!$R$69),"")</f>
        <v/>
      </c>
      <c r="AH45" s="45" t="str">
        <f>IF(AND('Mapa final'!$AB$64="Baja",'Mapa final'!$AD$64="Catastrófico"),CONCATENATE("R10C",'Mapa final'!$R$64),"")</f>
        <v/>
      </c>
      <c r="AI45" s="46" t="str">
        <f>IF(AND('Mapa final'!$AB$65="Baja",'Mapa final'!$AD$65="Catastrófico"),CONCATENATE("R10C",'Mapa final'!$R$65),"")</f>
        <v/>
      </c>
      <c r="AJ45" s="46" t="str">
        <f>IF(AND('Mapa final'!$AB$66="Baja",'Mapa final'!$AD$66="Catastrófico"),CONCATENATE("R10C",'Mapa final'!$R$66),"")</f>
        <v/>
      </c>
      <c r="AK45" s="46" t="str">
        <f>IF(AND('Mapa final'!$AB$67="Baja",'Mapa final'!$AD$67="Catastrófico"),CONCATENATE("R10C",'Mapa final'!$R$67),"")</f>
        <v/>
      </c>
      <c r="AL45" s="46" t="str">
        <f>IF(AND('Mapa final'!$AB$68="Baja",'Mapa final'!$AD$68="Catastrófico"),CONCATENATE("R10C",'Mapa final'!$R$68),"")</f>
        <v/>
      </c>
      <c r="AM45" s="47" t="str">
        <f>IF(AND('Mapa final'!$AB$69="Baja",'Mapa final'!$AD$69="Catastrófico"),CONCATENATE("R10C",'Mapa final'!$R$69),"")</f>
        <v/>
      </c>
      <c r="AN45" s="67"/>
      <c r="AO45" s="661"/>
      <c r="AP45" s="662"/>
      <c r="AQ45" s="662"/>
      <c r="AR45" s="662"/>
      <c r="AS45" s="662"/>
      <c r="AT45" s="663"/>
    </row>
    <row r="46" spans="1:80" ht="46.5" customHeight="1" x14ac:dyDescent="0.45">
      <c r="A46" s="67"/>
      <c r="B46" s="586"/>
      <c r="C46" s="586"/>
      <c r="D46" s="587"/>
      <c r="E46" s="624" t="s">
        <v>107</v>
      </c>
      <c r="F46" s="625"/>
      <c r="G46" s="625"/>
      <c r="H46" s="625"/>
      <c r="I46" s="626"/>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str">
        <f>IF(AND('Mapa final'!$AB$13="Muy Baja",'Mapa final'!$AD$13="Leve"),CONCATENATE("R1C",'Mapa final'!$R$13),"")</f>
        <v/>
      </c>
      <c r="N46" s="58" t="str">
        <f>IF(AND('Mapa final'!$AB$14="Muy Baja",'Mapa final'!$AD$14="Leve"),CONCATENATE("R1C",'Mapa final'!$R$14),"")</f>
        <v/>
      </c>
      <c r="O46" s="59" t="str">
        <f>IF(AND('Mapa final'!$AB$15="Muy Baja",'Mapa final'!$AD$15="Leve"),CONCATENATE("R1C",'Mapa final'!$R$15),"")</f>
        <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str">
        <f>IF(AND('Mapa final'!$AB$13="Muy Baja",'Mapa final'!$AD$13="Menor"),CONCATENATE("R1C",'Mapa final'!$R$13),"")</f>
        <v/>
      </c>
      <c r="T46" s="58" t="str">
        <f>IF(AND('Mapa final'!$AB$14="Muy Baja",'Mapa final'!$AD$14="Menor"),CONCATENATE("R1C",'Mapa final'!$R$14),"")</f>
        <v/>
      </c>
      <c r="U46" s="59" t="str">
        <f>IF(AND('Mapa final'!$AB$15="Muy Baja",'Mapa final'!$AD$15="Menor"),CONCATENATE("R1C",'Mapa final'!$R$15),"")</f>
        <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
      </c>
      <c r="Y46" s="49" t="str">
        <f>IF(AND('Mapa final'!$AB$13="Muy Baja",'Mapa final'!$AD$13="Moderado"),CONCATENATE("R1C",'Mapa final'!$R$13),"")</f>
        <v/>
      </c>
      <c r="Z46" s="49" t="str">
        <f>IF(AND('Mapa final'!$AB$14="Muy Baja",'Mapa final'!$AD$14="Moderado"),CONCATENATE("R1C",'Mapa final'!$R$14),"")</f>
        <v/>
      </c>
      <c r="AA46" s="50" t="str">
        <f>IF(AND('Mapa final'!$AB$15="Muy Baja",'Mapa final'!$AD$15="Moderado"),CONCATENATE("R1C",'Mapa final'!$R$15),"")</f>
        <v/>
      </c>
      <c r="AB46" s="30" t="str">
        <f>IF(AND('Mapa final'!$AB$10="Muy Baja",'Mapa final'!$AD$10="Mayor"),CONCATENATE("R1C",'Mapa final'!$R$10),"")</f>
        <v/>
      </c>
      <c r="AC46" s="31" t="str">
        <f>IF(AND('Mapa final'!$AB$11="Muy Baja",'Mapa final'!$AD$11="Mayor"),CONCATENATE("R1C",'Mapa final'!$R$11),"")</f>
        <v/>
      </c>
      <c r="AD46" s="31" t="str">
        <f>IF(AND('Mapa final'!$AB$12="Muy Baja",'Mapa final'!$AD$12="Mayor"),CONCATENATE("R1C",'Mapa final'!$R$12),"")</f>
        <v>R1C3</v>
      </c>
      <c r="AE46" s="31" t="str">
        <f>IF(AND('Mapa final'!$AB$13="Muy Baja",'Mapa final'!$AD$13="Mayor"),CONCATENATE("R1C",'Mapa final'!$R$13),"")</f>
        <v/>
      </c>
      <c r="AF46" s="31" t="str">
        <f>IF(AND('Mapa final'!$AB$14="Muy Baja",'Mapa final'!$AD$14="Mayor"),CONCATENATE("R1C",'Mapa final'!$R$14),"")</f>
        <v/>
      </c>
      <c r="AG46" s="32" t="str">
        <f>IF(AND('Mapa final'!$AB$15="Muy Baja",'Mapa final'!$AD$15="Mayor"),CONCATENATE("R1C",'Mapa final'!$R$15),"")</f>
        <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
      </c>
      <c r="AK46" s="34" t="str">
        <f>IF(AND('Mapa final'!$AB$13="Muy Baja",'Mapa final'!$AD$13="Catastrófico"),CONCATENATE("R1C",'Mapa final'!$R$13),"")</f>
        <v/>
      </c>
      <c r="AL46" s="34" t="str">
        <f>IF(AND('Mapa final'!$AB$14="Muy Baja",'Mapa final'!$AD$14="Catastrófico"),CONCATENATE("R1C",'Mapa final'!$R$14),"")</f>
        <v/>
      </c>
      <c r="AM46" s="35" t="str">
        <f>IF(AND('Mapa final'!$AB$15="Muy Baja",'Mapa final'!$AD$15="Catastrófico"),CONCATENATE("R1C",'Mapa final'!$R$15),"")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586"/>
      <c r="C47" s="586"/>
      <c r="D47" s="587"/>
      <c r="E47" s="643"/>
      <c r="F47" s="628"/>
      <c r="G47" s="628"/>
      <c r="H47" s="628"/>
      <c r="I47" s="629"/>
      <c r="J47" s="60" t="str">
        <f>IF(AND('Mapa final'!$AB$16="Muy Baja",'Mapa final'!$AD$16="Leve"),CONCATENATE("R2C",'Mapa final'!$R$16),"")</f>
        <v/>
      </c>
      <c r="K47" s="61" t="str">
        <f>IF(AND('Mapa final'!$AB$17="Muy Baja",'Mapa final'!$AD$17="Leve"),CONCATENATE("R2C",'Mapa final'!$R$17),"")</f>
        <v/>
      </c>
      <c r="L47" s="61" t="str">
        <f>IF(AND('Mapa final'!$AB$18="Muy Baja",'Mapa final'!$AD$18="Leve"),CONCATENATE("R2C",'Mapa final'!$R$18),"")</f>
        <v/>
      </c>
      <c r="M47" s="61" t="str">
        <f>IF(AND('Mapa final'!$AB$19="Muy Baja",'Mapa final'!$AD$19="Leve"),CONCATENATE("R2C",'Mapa final'!$R$19),"")</f>
        <v/>
      </c>
      <c r="N47" s="61" t="str">
        <f>IF(AND('Mapa final'!$AB$20="Muy Baja",'Mapa final'!$AD$20="Leve"),CONCATENATE("R2C",'Mapa final'!$R$20),"")</f>
        <v/>
      </c>
      <c r="O47" s="62" t="str">
        <f>IF(AND('Mapa final'!$AB$21="Muy Baja",'Mapa final'!$AD$21="Leve"),CONCATENATE("R2C",'Mapa final'!$R$21),"")</f>
        <v/>
      </c>
      <c r="P47" s="60" t="str">
        <f>IF(AND('Mapa final'!$AB$16="Muy Baja",'Mapa final'!$AD$16="Menor"),CONCATENATE("R2C",'Mapa final'!$R$16),"")</f>
        <v/>
      </c>
      <c r="Q47" s="61" t="str">
        <f>IF(AND('Mapa final'!$AB$17="Muy Baja",'Mapa final'!$AD$17="Menor"),CONCATENATE("R2C",'Mapa final'!$R$17),"")</f>
        <v/>
      </c>
      <c r="R47" s="61" t="str">
        <f>IF(AND('Mapa final'!$AB$18="Muy Baja",'Mapa final'!$AD$18="Menor"),CONCATENATE("R2C",'Mapa final'!$R$18),"")</f>
        <v/>
      </c>
      <c r="S47" s="61" t="str">
        <f>IF(AND('Mapa final'!$AB$19="Muy Baja",'Mapa final'!$AD$19="Menor"),CONCATENATE("R2C",'Mapa final'!$R$19),"")</f>
        <v/>
      </c>
      <c r="T47" s="61" t="str">
        <f>IF(AND('Mapa final'!$AB$20="Muy Baja",'Mapa final'!$AD$20="Menor"),CONCATENATE("R2C",'Mapa final'!$R$20),"")</f>
        <v/>
      </c>
      <c r="U47" s="62" t="str">
        <f>IF(AND('Mapa final'!$AB$21="Muy Baja",'Mapa final'!$AD$21="Menor"),CONCATENATE("R2C",'Mapa final'!$R$21),"")</f>
        <v/>
      </c>
      <c r="V47" s="51" t="str">
        <f>IF(AND('Mapa final'!$AB$16="Muy Baja",'Mapa final'!$AD$16="Moderado"),CONCATENATE("R2C",'Mapa final'!$R$16),"")</f>
        <v/>
      </c>
      <c r="W47" s="52" t="str">
        <f>IF(AND('Mapa final'!$AB$17="Muy Baja",'Mapa final'!$AD$17="Moderado"),CONCATENATE("R2C",'Mapa final'!$R$17),"")</f>
        <v/>
      </c>
      <c r="X47" s="52" t="str">
        <f>IF(AND('Mapa final'!$AB$18="Muy Baja",'Mapa final'!$AD$18="Moderado"),CONCATENATE("R2C",'Mapa final'!$R$18),"")</f>
        <v/>
      </c>
      <c r="Y47" s="52" t="str">
        <f>IF(AND('Mapa final'!$AB$19="Muy Baja",'Mapa final'!$AD$19="Moderado"),CONCATENATE("R2C",'Mapa final'!$R$19),"")</f>
        <v/>
      </c>
      <c r="Z47" s="52" t="str">
        <f>IF(AND('Mapa final'!$AB$20="Muy Baja",'Mapa final'!$AD$20="Moderado"),CONCATENATE("R2C",'Mapa final'!$R$20),"")</f>
        <v/>
      </c>
      <c r="AA47" s="53" t="str">
        <f>IF(AND('Mapa final'!$AB$21="Muy Baja",'Mapa final'!$AD$21="Moderado"),CONCATENATE("R2C",'Mapa final'!$R$21),"")</f>
        <v/>
      </c>
      <c r="AB47" s="36" t="str">
        <f>IF(AND('Mapa final'!$AB$16="Muy Baja",'Mapa final'!$AD$16="Mayor"),CONCATENATE("R2C",'Mapa final'!$R$16),"")</f>
        <v/>
      </c>
      <c r="AC47" s="37" t="str">
        <f>IF(AND('Mapa final'!$AB$17="Muy Baja",'Mapa final'!$AD$17="Mayor"),CONCATENATE("R2C",'Mapa final'!$R$17),"")</f>
        <v/>
      </c>
      <c r="AD47" s="37" t="str">
        <f>IF(AND('Mapa final'!$AB$18="Muy Baja",'Mapa final'!$AD$18="Mayor"),CONCATENATE("R2C",'Mapa final'!$R$18),"")</f>
        <v/>
      </c>
      <c r="AE47" s="37" t="str">
        <f>IF(AND('Mapa final'!$AB$19="Muy Baja",'Mapa final'!$AD$19="Mayor"),CONCATENATE("R2C",'Mapa final'!$R$19),"")</f>
        <v/>
      </c>
      <c r="AF47" s="37" t="str">
        <f>IF(AND('Mapa final'!$AB$20="Muy Baja",'Mapa final'!$AD$20="Mayor"),CONCATENATE("R2C",'Mapa final'!$R$20),"")</f>
        <v/>
      </c>
      <c r="AG47" s="38" t="str">
        <f>IF(AND('Mapa final'!$AB$21="Muy Baja",'Mapa final'!$AD$21="Mayor"),CONCATENATE("R2C",'Mapa final'!$R$21),"")</f>
        <v/>
      </c>
      <c r="AH47" s="39" t="str">
        <f>IF(AND('Mapa final'!$AB$16="Muy Baja",'Mapa final'!$AD$16="Catastrófico"),CONCATENATE("R2C",'Mapa final'!$R$16),"")</f>
        <v/>
      </c>
      <c r="AI47" s="40" t="str">
        <f>IF(AND('Mapa final'!$AB$17="Muy Baja",'Mapa final'!$AD$17="Catastrófico"),CONCATENATE("R2C",'Mapa final'!$R$17),"")</f>
        <v/>
      </c>
      <c r="AJ47" s="40" t="str">
        <f>IF(AND('Mapa final'!$AB$18="Muy Baja",'Mapa final'!$AD$18="Catastrófico"),CONCATENATE("R2C",'Mapa final'!$R$18),"")</f>
        <v/>
      </c>
      <c r="AK47" s="40" t="str">
        <f>IF(AND('Mapa final'!$AB$19="Muy Baja",'Mapa final'!$AD$19="Catastrófico"),CONCATENATE("R2C",'Mapa final'!$R$19),"")</f>
        <v/>
      </c>
      <c r="AL47" s="40" t="str">
        <f>IF(AND('Mapa final'!$AB$20="Muy Baja",'Mapa final'!$AD$20="Catastrófico"),CONCATENATE("R2C",'Mapa final'!$R$20),"")</f>
        <v/>
      </c>
      <c r="AM47" s="41" t="str">
        <f>IF(AND('Mapa final'!$AB$21="Muy Baja",'Mapa final'!$AD$21="Catastrófico"),CONCATENATE("R2C",'Mapa final'!$R$21),"")</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586"/>
      <c r="C48" s="586"/>
      <c r="D48" s="587"/>
      <c r="E48" s="643"/>
      <c r="F48" s="628"/>
      <c r="G48" s="628"/>
      <c r="H48" s="628"/>
      <c r="I48" s="629"/>
      <c r="J48" s="60" t="str">
        <f>IF(AND('Mapa final'!$AB$22="Muy Baja",'Mapa final'!$AD$22="Leve"),CONCATENATE("R3C",'Mapa final'!$R$22),"")</f>
        <v/>
      </c>
      <c r="K48" s="61" t="str">
        <f>IF(AND('Mapa final'!$AB$23="Muy Baja",'Mapa final'!$AD$23="Leve"),CONCATENATE("R3C",'Mapa final'!$R$23),"")</f>
        <v/>
      </c>
      <c r="L48" s="61" t="str">
        <f>IF(AND('Mapa final'!$AB$24="Muy Baja",'Mapa final'!$AD$24="Leve"),CONCATENATE("R3C",'Mapa final'!$R$24),"")</f>
        <v/>
      </c>
      <c r="M48" s="61" t="str">
        <f>IF(AND('Mapa final'!$AB$25="Muy Baja",'Mapa final'!$AD$25="Leve"),CONCATENATE("R3C",'Mapa final'!$R$25),"")</f>
        <v/>
      </c>
      <c r="N48" s="61" t="str">
        <f>IF(AND('Mapa final'!$AB$26="Muy Baja",'Mapa final'!$AD$26="Leve"),CONCATENATE("R3C",'Mapa final'!$R$26),"")</f>
        <v/>
      </c>
      <c r="O48" s="62" t="str">
        <f>IF(AND('Mapa final'!$AB$27="Muy Baja",'Mapa final'!$AD$27="Leve"),CONCATENATE("R3C",'Mapa final'!$R$27),"")</f>
        <v/>
      </c>
      <c r="P48" s="60" t="str">
        <f>IF(AND('Mapa final'!$AB$22="Muy Baja",'Mapa final'!$AD$22="Menor"),CONCATENATE("R3C",'Mapa final'!$R$22),"")</f>
        <v/>
      </c>
      <c r="Q48" s="61" t="str">
        <f>IF(AND('Mapa final'!$AB$23="Muy Baja",'Mapa final'!$AD$23="Menor"),CONCATENATE("R3C",'Mapa final'!$R$23),"")</f>
        <v/>
      </c>
      <c r="R48" s="61" t="str">
        <f>IF(AND('Mapa final'!$AB$24="Muy Baja",'Mapa final'!$AD$24="Menor"),CONCATENATE("R3C",'Mapa final'!$R$24),"")</f>
        <v/>
      </c>
      <c r="S48" s="61" t="str">
        <f>IF(AND('Mapa final'!$AB$25="Muy Baja",'Mapa final'!$AD$25="Menor"),CONCATENATE("R3C",'Mapa final'!$R$25),"")</f>
        <v/>
      </c>
      <c r="T48" s="61" t="str">
        <f>IF(AND('Mapa final'!$AB$26="Muy Baja",'Mapa final'!$AD$26="Menor"),CONCATENATE("R3C",'Mapa final'!$R$26),"")</f>
        <v/>
      </c>
      <c r="U48" s="62" t="str">
        <f>IF(AND('Mapa final'!$AB$27="Muy Baja",'Mapa final'!$AD$27="Menor"),CONCATENATE("R3C",'Mapa final'!$R$27),"")</f>
        <v/>
      </c>
      <c r="V48" s="51" t="str">
        <f>IF(AND('Mapa final'!$AB$22="Muy Baja",'Mapa final'!$AD$22="Moderado"),CONCATENATE("R3C",'Mapa final'!$R$22),"")</f>
        <v/>
      </c>
      <c r="W48" s="52" t="str">
        <f>IF(AND('Mapa final'!$AB$23="Muy Baja",'Mapa final'!$AD$23="Moderado"),CONCATENATE("R3C",'Mapa final'!$R$23),"")</f>
        <v/>
      </c>
      <c r="X48" s="52" t="str">
        <f>IF(AND('Mapa final'!$AB$24="Muy Baja",'Mapa final'!$AD$24="Moderado"),CONCATENATE("R3C",'Mapa final'!$R$24),"")</f>
        <v/>
      </c>
      <c r="Y48" s="52" t="str">
        <f>IF(AND('Mapa final'!$AB$25="Muy Baja",'Mapa final'!$AD$25="Moderado"),CONCATENATE("R3C",'Mapa final'!$R$25),"")</f>
        <v/>
      </c>
      <c r="Z48" s="52" t="str">
        <f>IF(AND('Mapa final'!$AB$26="Muy Baja",'Mapa final'!$AD$26="Moderado"),CONCATENATE("R3C",'Mapa final'!$R$26),"")</f>
        <v/>
      </c>
      <c r="AA48" s="53" t="str">
        <f>IF(AND('Mapa final'!$AB$27="Muy Baja",'Mapa final'!$AD$27="Moderado"),CONCATENATE("R3C",'Mapa final'!$R$27),"")</f>
        <v/>
      </c>
      <c r="AB48" s="36" t="str">
        <f>IF(AND('Mapa final'!$AB$22="Muy Baja",'Mapa final'!$AD$22="Mayor"),CONCATENATE("R3C",'Mapa final'!$R$22),"")</f>
        <v/>
      </c>
      <c r="AC48" s="37" t="str">
        <f>IF(AND('Mapa final'!$AB$23="Muy Baja",'Mapa final'!$AD$23="Mayor"),CONCATENATE("R3C",'Mapa final'!$R$23),"")</f>
        <v/>
      </c>
      <c r="AD48" s="37" t="str">
        <f>IF(AND('Mapa final'!$AB$24="Muy Baja",'Mapa final'!$AD$24="Mayor"),CONCATENATE("R3C",'Mapa final'!$R$24),"")</f>
        <v/>
      </c>
      <c r="AE48" s="37" t="str">
        <f>IF(AND('Mapa final'!$AB$25="Muy Baja",'Mapa final'!$AD$25="Mayor"),CONCATENATE("R3C",'Mapa final'!$R$25),"")</f>
        <v/>
      </c>
      <c r="AF48" s="37" t="str">
        <f>IF(AND('Mapa final'!$AB$26="Muy Baja",'Mapa final'!$AD$26="Mayor"),CONCATENATE("R3C",'Mapa final'!$R$26),"")</f>
        <v/>
      </c>
      <c r="AG48" s="38" t="str">
        <f>IF(AND('Mapa final'!$AB$27="Muy Baja",'Mapa final'!$AD$27="Mayor"),CONCATENATE("R3C",'Mapa final'!$R$27),"")</f>
        <v/>
      </c>
      <c r="AH48" s="39" t="str">
        <f>IF(AND('Mapa final'!$AB$22="Muy Baja",'Mapa final'!$AD$22="Catastrófico"),CONCATENATE("R3C",'Mapa final'!$R$22),"")</f>
        <v/>
      </c>
      <c r="AI48" s="40" t="str">
        <f>IF(AND('Mapa final'!$AB$23="Muy Baja",'Mapa final'!$AD$23="Catastrófico"),CONCATENATE("R3C",'Mapa final'!$R$23),"")</f>
        <v/>
      </c>
      <c r="AJ48" s="40" t="str">
        <f>IF(AND('Mapa final'!$AB$24="Muy Baja",'Mapa final'!$AD$24="Catastrófico"),CONCATENATE("R3C",'Mapa final'!$R$24),"")</f>
        <v/>
      </c>
      <c r="AK48" s="40" t="str">
        <f>IF(AND('Mapa final'!$AB$25="Muy Baja",'Mapa final'!$AD$25="Catastrófico"),CONCATENATE("R3C",'Mapa final'!$R$25),"")</f>
        <v/>
      </c>
      <c r="AL48" s="40" t="str">
        <f>IF(AND('Mapa final'!$AB$26="Muy Baja",'Mapa final'!$AD$26="Catastrófico"),CONCATENATE("R3C",'Mapa final'!$R$26),"")</f>
        <v/>
      </c>
      <c r="AM48" s="41" t="str">
        <f>IF(AND('Mapa final'!$AB$27="Muy Baja",'Mapa final'!$AD$27="Catastrófico"),CONCATENATE("R3C",'Mapa final'!$R$27),"")</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586"/>
      <c r="C49" s="586"/>
      <c r="D49" s="587"/>
      <c r="E49" s="627"/>
      <c r="F49" s="628"/>
      <c r="G49" s="628"/>
      <c r="H49" s="628"/>
      <c r="I49" s="629"/>
      <c r="J49" s="60" t="str">
        <f>IF(AND('Mapa final'!$AB$28="Muy Baja",'Mapa final'!$AD$28="Leve"),CONCATENATE("R4C",'Mapa final'!$R$28),"")</f>
        <v/>
      </c>
      <c r="K49" s="61" t="str">
        <f>IF(AND('Mapa final'!$AB$29="Muy Baja",'Mapa final'!$AD$29="Leve"),CONCATENATE("R4C",'Mapa final'!$R$29),"")</f>
        <v/>
      </c>
      <c r="L49" s="61" t="str">
        <f>IF(AND('Mapa final'!$AB$30="Muy Baja",'Mapa final'!$AD$30="Leve"),CONCATENATE("R4C",'Mapa final'!$R$30),"")</f>
        <v/>
      </c>
      <c r="M49" s="61" t="str">
        <f>IF(AND('Mapa final'!$AB$31="Muy Baja",'Mapa final'!$AD$31="Leve"),CONCATENATE("R4C",'Mapa final'!$R$31),"")</f>
        <v/>
      </c>
      <c r="N49" s="61" t="str">
        <f>IF(AND('Mapa final'!$AB$32="Muy Baja",'Mapa final'!$AD$32="Leve"),CONCATENATE("R4C",'Mapa final'!$R$32),"")</f>
        <v/>
      </c>
      <c r="O49" s="62" t="str">
        <f>IF(AND('Mapa final'!$AB$33="Muy Baja",'Mapa final'!$AD$33="Leve"),CONCATENATE("R4C",'Mapa final'!$R$33),"")</f>
        <v/>
      </c>
      <c r="P49" s="60" t="str">
        <f>IF(AND('Mapa final'!$AB$28="Muy Baja",'Mapa final'!$AD$28="Menor"),CONCATENATE("R4C",'Mapa final'!$R$28),"")</f>
        <v/>
      </c>
      <c r="Q49" s="61" t="str">
        <f>IF(AND('Mapa final'!$AB$29="Muy Baja",'Mapa final'!$AD$29="Menor"),CONCATENATE("R4C",'Mapa final'!$R$29),"")</f>
        <v/>
      </c>
      <c r="R49" s="61" t="str">
        <f>IF(AND('Mapa final'!$AB$30="Muy Baja",'Mapa final'!$AD$30="Menor"),CONCATENATE("R4C",'Mapa final'!$R$30),"")</f>
        <v/>
      </c>
      <c r="S49" s="61" t="str">
        <f>IF(AND('Mapa final'!$AB$31="Muy Baja",'Mapa final'!$AD$31="Menor"),CONCATENATE("R4C",'Mapa final'!$R$31),"")</f>
        <v/>
      </c>
      <c r="T49" s="61" t="str">
        <f>IF(AND('Mapa final'!$AB$32="Muy Baja",'Mapa final'!$AD$32="Menor"),CONCATENATE("R4C",'Mapa final'!$R$32),"")</f>
        <v/>
      </c>
      <c r="U49" s="62" t="str">
        <f>IF(AND('Mapa final'!$AB$33="Muy Baja",'Mapa final'!$AD$33="Menor"),CONCATENATE("R4C",'Mapa final'!$R$33),"")</f>
        <v/>
      </c>
      <c r="V49" s="51" t="str">
        <f>IF(AND('Mapa final'!$AB$28="Muy Baja",'Mapa final'!$AD$28="Moderado"),CONCATENATE("R4C",'Mapa final'!$R$28),"")</f>
        <v/>
      </c>
      <c r="W49" s="52" t="str">
        <f>IF(AND('Mapa final'!$AB$29="Muy Baja",'Mapa final'!$AD$29="Moderado"),CONCATENATE("R4C",'Mapa final'!$R$29),"")</f>
        <v/>
      </c>
      <c r="X49" s="52" t="str">
        <f>IF(AND('Mapa final'!$AB$30="Muy Baja",'Mapa final'!$AD$30="Moderado"),CONCATENATE("R4C",'Mapa final'!$R$30),"")</f>
        <v/>
      </c>
      <c r="Y49" s="52" t="str">
        <f>IF(AND('Mapa final'!$AB$31="Muy Baja",'Mapa final'!$AD$31="Moderado"),CONCATENATE("R4C",'Mapa final'!$R$31),"")</f>
        <v/>
      </c>
      <c r="Z49" s="52" t="str">
        <f>IF(AND('Mapa final'!$AB$32="Muy Baja",'Mapa final'!$AD$32="Moderado"),CONCATENATE("R4C",'Mapa final'!$R$32),"")</f>
        <v/>
      </c>
      <c r="AA49" s="53" t="str">
        <f>IF(AND('Mapa final'!$AB$33="Muy Baja",'Mapa final'!$AD$33="Moderado"),CONCATENATE("R4C",'Mapa final'!$R$33),"")</f>
        <v/>
      </c>
      <c r="AB49" s="36" t="str">
        <f>IF(AND('Mapa final'!$AB$28="Muy Baja",'Mapa final'!$AD$28="Mayor"),CONCATENATE("R4C",'Mapa final'!$R$28),"")</f>
        <v/>
      </c>
      <c r="AC49" s="37" t="str">
        <f>IF(AND('Mapa final'!$AB$29="Muy Baja",'Mapa final'!$AD$29="Mayor"),CONCATENATE("R4C",'Mapa final'!$R$29),"")</f>
        <v/>
      </c>
      <c r="AD49" s="37" t="str">
        <f>IF(AND('Mapa final'!$AB$30="Muy Baja",'Mapa final'!$AD$30="Mayor"),CONCATENATE("R4C",'Mapa final'!$R$30),"")</f>
        <v/>
      </c>
      <c r="AE49" s="37" t="str">
        <f>IF(AND('Mapa final'!$AB$31="Muy Baja",'Mapa final'!$AD$31="Mayor"),CONCATENATE("R4C",'Mapa final'!$R$31),"")</f>
        <v/>
      </c>
      <c r="AF49" s="37" t="str">
        <f>IF(AND('Mapa final'!$AB$32="Muy Baja",'Mapa final'!$AD$32="Mayor"),CONCATENATE("R4C",'Mapa final'!$R$32),"")</f>
        <v/>
      </c>
      <c r="AG49" s="38" t="str">
        <f>IF(AND('Mapa final'!$AB$33="Muy Baja",'Mapa final'!$AD$33="Mayor"),CONCATENATE("R4C",'Mapa final'!$R$33),"")</f>
        <v/>
      </c>
      <c r="AH49" s="39" t="str">
        <f>IF(AND('Mapa final'!$AB$28="Muy Baja",'Mapa final'!$AD$28="Catastrófico"),CONCATENATE("R4C",'Mapa final'!$R$28),"")</f>
        <v/>
      </c>
      <c r="AI49" s="40" t="str">
        <f>IF(AND('Mapa final'!$AB$29="Muy Baja",'Mapa final'!$AD$29="Catastrófico"),CONCATENATE("R4C",'Mapa final'!$R$29),"")</f>
        <v/>
      </c>
      <c r="AJ49" s="40" t="str">
        <f>IF(AND('Mapa final'!$AB$30="Muy Baja",'Mapa final'!$AD$30="Catastrófico"),CONCATENATE("R4C",'Mapa final'!$R$30),"")</f>
        <v/>
      </c>
      <c r="AK49" s="40" t="str">
        <f>IF(AND('Mapa final'!$AB$31="Muy Baja",'Mapa final'!$AD$31="Catastrófico"),CONCATENATE("R4C",'Mapa final'!$R$31),"")</f>
        <v/>
      </c>
      <c r="AL49" s="40" t="str">
        <f>IF(AND('Mapa final'!$AB$32="Muy Baja",'Mapa final'!$AD$32="Catastrófico"),CONCATENATE("R4C",'Mapa final'!$R$32),"")</f>
        <v/>
      </c>
      <c r="AM49" s="41" t="str">
        <f>IF(AND('Mapa final'!$AB$33="Muy Baja",'Mapa final'!$AD$33="Catastrófico"),CONCATENATE("R4C",'Mapa final'!$R$33),"")</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586"/>
      <c r="C50" s="586"/>
      <c r="D50" s="587"/>
      <c r="E50" s="627"/>
      <c r="F50" s="628"/>
      <c r="G50" s="628"/>
      <c r="H50" s="628"/>
      <c r="I50" s="629"/>
      <c r="J50" s="60" t="str">
        <f>IF(AND('Mapa final'!$AB$34="Muy Baja",'Mapa final'!$AD$34="Leve"),CONCATENATE("R5C",'Mapa final'!$R$34),"")</f>
        <v/>
      </c>
      <c r="K50" s="61" t="str">
        <f>IF(AND('Mapa final'!$AB$35="Muy Baja",'Mapa final'!$AD$35="Leve"),CONCATENATE("R5C",'Mapa final'!$R$35),"")</f>
        <v/>
      </c>
      <c r="L50" s="61" t="str">
        <f>IF(AND('Mapa final'!$AB$36="Muy Baja",'Mapa final'!$AD$36="Leve"),CONCATENATE("R5C",'Mapa final'!$R$36),"")</f>
        <v/>
      </c>
      <c r="M50" s="61" t="str">
        <f>IF(AND('Mapa final'!$AB$37="Muy Baja",'Mapa final'!$AD$37="Leve"),CONCATENATE("R5C",'Mapa final'!$R$37),"")</f>
        <v/>
      </c>
      <c r="N50" s="61" t="str">
        <f>IF(AND('Mapa final'!$AB$38="Muy Baja",'Mapa final'!$AD$38="Leve"),CONCATENATE("R5C",'Mapa final'!$R$38),"")</f>
        <v/>
      </c>
      <c r="O50" s="62" t="str">
        <f>IF(AND('Mapa final'!$AB$39="Muy Baja",'Mapa final'!$AD$39="Leve"),CONCATENATE("R5C",'Mapa final'!$R$39),"")</f>
        <v/>
      </c>
      <c r="P50" s="60" t="str">
        <f>IF(AND('Mapa final'!$AB$34="Muy Baja",'Mapa final'!$AD$34="Menor"),CONCATENATE("R5C",'Mapa final'!$R$34),"")</f>
        <v/>
      </c>
      <c r="Q50" s="61" t="str">
        <f>IF(AND('Mapa final'!$AB$35="Muy Baja",'Mapa final'!$AD$35="Menor"),CONCATENATE("R5C",'Mapa final'!$R$35),"")</f>
        <v/>
      </c>
      <c r="R50" s="61" t="str">
        <f>IF(AND('Mapa final'!$AB$36="Muy Baja",'Mapa final'!$AD$36="Menor"),CONCATENATE("R5C",'Mapa final'!$R$36),"")</f>
        <v/>
      </c>
      <c r="S50" s="61" t="str">
        <f>IF(AND('Mapa final'!$AB$37="Muy Baja",'Mapa final'!$AD$37="Menor"),CONCATENATE("R5C",'Mapa final'!$R$37),"")</f>
        <v/>
      </c>
      <c r="T50" s="61" t="str">
        <f>IF(AND('Mapa final'!$AB$38="Muy Baja",'Mapa final'!$AD$38="Menor"),CONCATENATE("R5C",'Mapa final'!$R$38),"")</f>
        <v/>
      </c>
      <c r="U50" s="62" t="str">
        <f>IF(AND('Mapa final'!$AB$39="Muy Baja",'Mapa final'!$AD$39="Menor"),CONCATENATE("R5C",'Mapa final'!$R$39),"")</f>
        <v/>
      </c>
      <c r="V50" s="51" t="str">
        <f>IF(AND('Mapa final'!$AB$34="Muy Baja",'Mapa final'!$AD$34="Moderado"),CONCATENATE("R5C",'Mapa final'!$R$34),"")</f>
        <v/>
      </c>
      <c r="W50" s="52" t="str">
        <f>IF(AND('Mapa final'!$AB$35="Muy Baja",'Mapa final'!$AD$35="Moderado"),CONCATENATE("R5C",'Mapa final'!$R$35),"")</f>
        <v/>
      </c>
      <c r="X50" s="52" t="str">
        <f>IF(AND('Mapa final'!$AB$36="Muy Baja",'Mapa final'!$AD$36="Moderado"),CONCATENATE("R5C",'Mapa final'!$R$36),"")</f>
        <v/>
      </c>
      <c r="Y50" s="52" t="str">
        <f>IF(AND('Mapa final'!$AB$37="Muy Baja",'Mapa final'!$AD$37="Moderado"),CONCATENATE("R5C",'Mapa final'!$R$37),"")</f>
        <v/>
      </c>
      <c r="Z50" s="52" t="str">
        <f>IF(AND('Mapa final'!$AB$38="Muy Baja",'Mapa final'!$AD$38="Moderado"),CONCATENATE("R5C",'Mapa final'!$R$38),"")</f>
        <v/>
      </c>
      <c r="AA50" s="53" t="str">
        <f>IF(AND('Mapa final'!$AB$39="Muy Baja",'Mapa final'!$AD$39="Moderado"),CONCATENATE("R5C",'Mapa final'!$R$39),"")</f>
        <v/>
      </c>
      <c r="AB50" s="36" t="str">
        <f>IF(AND('Mapa final'!$AB$34="Muy Baja",'Mapa final'!$AD$34="Mayor"),CONCATENATE("R5C",'Mapa final'!$R$34),"")</f>
        <v/>
      </c>
      <c r="AC50" s="37" t="str">
        <f>IF(AND('Mapa final'!$AB$35="Muy Baja",'Mapa final'!$AD$35="Mayor"),CONCATENATE("R5C",'Mapa final'!$R$35),"")</f>
        <v/>
      </c>
      <c r="AD50" s="37" t="str">
        <f>IF(AND('Mapa final'!$AB$36="Muy Baja",'Mapa final'!$AD$36="Mayor"),CONCATENATE("R5C",'Mapa final'!$R$36),"")</f>
        <v/>
      </c>
      <c r="AE50" s="37" t="str">
        <f>IF(AND('Mapa final'!$AB$37="Muy Baja",'Mapa final'!$AD$37="Mayor"),CONCATENATE("R5C",'Mapa final'!$R$37),"")</f>
        <v/>
      </c>
      <c r="AF50" s="37" t="str">
        <f>IF(AND('Mapa final'!$AB$38="Muy Baja",'Mapa final'!$AD$38="Mayor"),CONCATENATE("R5C",'Mapa final'!$R$38),"")</f>
        <v/>
      </c>
      <c r="AG50" s="38" t="str">
        <f>IF(AND('Mapa final'!$AB$39="Muy Baja",'Mapa final'!$AD$39="Mayor"),CONCATENATE("R5C",'Mapa final'!$R$39),"")</f>
        <v/>
      </c>
      <c r="AH50" s="39" t="str">
        <f>IF(AND('Mapa final'!$AB$34="Muy Baja",'Mapa final'!$AD$34="Catastrófico"),CONCATENATE("R5C",'Mapa final'!$R$34),"")</f>
        <v/>
      </c>
      <c r="AI50" s="40" t="str">
        <f>IF(AND('Mapa final'!$AB$35="Muy Baja",'Mapa final'!$AD$35="Catastrófico"),CONCATENATE("R5C",'Mapa final'!$R$35),"")</f>
        <v/>
      </c>
      <c r="AJ50" s="40" t="str">
        <f>IF(AND('Mapa final'!$AB$36="Muy Baja",'Mapa final'!$AD$36="Catastrófico"),CONCATENATE("R5C",'Mapa final'!$R$36),"")</f>
        <v/>
      </c>
      <c r="AK50" s="40" t="str">
        <f>IF(AND('Mapa final'!$AB$37="Muy Baja",'Mapa final'!$AD$37="Catastrófico"),CONCATENATE("R5C",'Mapa final'!$R$37),"")</f>
        <v/>
      </c>
      <c r="AL50" s="40" t="str">
        <f>IF(AND('Mapa final'!$AB$38="Muy Baja",'Mapa final'!$AD$38="Catastrófico"),CONCATENATE("R5C",'Mapa final'!$R$38),"")</f>
        <v/>
      </c>
      <c r="AM50" s="41" t="str">
        <f>IF(AND('Mapa final'!$AB$39="Muy Baja",'Mapa final'!$AD$39="Catastrófico"),CONCATENATE("R5C",'Mapa final'!$R$39),"")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586"/>
      <c r="C51" s="586"/>
      <c r="D51" s="587"/>
      <c r="E51" s="627"/>
      <c r="F51" s="628"/>
      <c r="G51" s="628"/>
      <c r="H51" s="628"/>
      <c r="I51" s="629"/>
      <c r="J51" s="60" t="str">
        <f>IF(AND('Mapa final'!$AB$40="Muy Baja",'Mapa final'!$AD$40="Leve"),CONCATENATE("R6C",'Mapa final'!$R$40),"")</f>
        <v/>
      </c>
      <c r="K51" s="61" t="str">
        <f>IF(AND('Mapa final'!$AB$41="Muy Baja",'Mapa final'!$AD$41="Leve"),CONCATENATE("R6C",'Mapa final'!$R$41),"")</f>
        <v/>
      </c>
      <c r="L51" s="61" t="str">
        <f>IF(AND('Mapa final'!$AB$42="Muy Baja",'Mapa final'!$AD$42="Leve"),CONCATENATE("R6C",'Mapa final'!$R$42),"")</f>
        <v/>
      </c>
      <c r="M51" s="61" t="str">
        <f>IF(AND('Mapa final'!$AB$43="Muy Baja",'Mapa final'!$AD$43="Leve"),CONCATENATE("R6C",'Mapa final'!$R$43),"")</f>
        <v/>
      </c>
      <c r="N51" s="61" t="str">
        <f>IF(AND('Mapa final'!$AB$44="Muy Baja",'Mapa final'!$AD$44="Leve"),CONCATENATE("R6C",'Mapa final'!$R$44),"")</f>
        <v/>
      </c>
      <c r="O51" s="62" t="str">
        <f>IF(AND('Mapa final'!$AB$45="Muy Baja",'Mapa final'!$AD$45="Leve"),CONCATENATE("R6C",'Mapa final'!$R$45),"")</f>
        <v/>
      </c>
      <c r="P51" s="60" t="str">
        <f>IF(AND('Mapa final'!$AB$40="Muy Baja",'Mapa final'!$AD$40="Menor"),CONCATENATE("R6C",'Mapa final'!$R$40),"")</f>
        <v/>
      </c>
      <c r="Q51" s="61" t="str">
        <f>IF(AND('Mapa final'!$AB$41="Muy Baja",'Mapa final'!$AD$41="Menor"),CONCATENATE("R6C",'Mapa final'!$R$41),"")</f>
        <v/>
      </c>
      <c r="R51" s="61" t="str">
        <f>IF(AND('Mapa final'!$AB$42="Muy Baja",'Mapa final'!$AD$42="Menor"),CONCATENATE("R6C",'Mapa final'!$R$42),"")</f>
        <v/>
      </c>
      <c r="S51" s="61" t="str">
        <f>IF(AND('Mapa final'!$AB$43="Muy Baja",'Mapa final'!$AD$43="Menor"),CONCATENATE("R6C",'Mapa final'!$R$43),"")</f>
        <v/>
      </c>
      <c r="T51" s="61" t="str">
        <f>IF(AND('Mapa final'!$AB$44="Muy Baja",'Mapa final'!$AD$44="Menor"),CONCATENATE("R6C",'Mapa final'!$R$44),"")</f>
        <v/>
      </c>
      <c r="U51" s="62" t="str">
        <f>IF(AND('Mapa final'!$AB$45="Muy Baja",'Mapa final'!$AD$45="Menor"),CONCATENATE("R6C",'Mapa final'!$R$45),"")</f>
        <v/>
      </c>
      <c r="V51" s="51" t="str">
        <f>IF(AND('Mapa final'!$AB$40="Muy Baja",'Mapa final'!$AD$40="Moderado"),CONCATENATE("R6C",'Mapa final'!$R$40),"")</f>
        <v/>
      </c>
      <c r="W51" s="52" t="str">
        <f>IF(AND('Mapa final'!$AB$41="Muy Baja",'Mapa final'!$AD$41="Moderado"),CONCATENATE("R6C",'Mapa final'!$R$41),"")</f>
        <v/>
      </c>
      <c r="X51" s="52" t="str">
        <f>IF(AND('Mapa final'!$AB$42="Muy Baja",'Mapa final'!$AD$42="Moderado"),CONCATENATE("R6C",'Mapa final'!$R$42),"")</f>
        <v/>
      </c>
      <c r="Y51" s="52" t="str">
        <f>IF(AND('Mapa final'!$AB$43="Muy Baja",'Mapa final'!$AD$43="Moderado"),CONCATENATE("R6C",'Mapa final'!$R$43),"")</f>
        <v/>
      </c>
      <c r="Z51" s="52" t="str">
        <f>IF(AND('Mapa final'!$AB$44="Muy Baja",'Mapa final'!$AD$44="Moderado"),CONCATENATE("R6C",'Mapa final'!$R$44),"")</f>
        <v/>
      </c>
      <c r="AA51" s="53" t="str">
        <f>IF(AND('Mapa final'!$AB$45="Muy Baja",'Mapa final'!$AD$45="Moderado"),CONCATENATE("R6C",'Mapa final'!$R$45),"")</f>
        <v/>
      </c>
      <c r="AB51" s="36" t="str">
        <f>IF(AND('Mapa final'!$AB$40="Muy Baja",'Mapa final'!$AD$40="Mayor"),CONCATENATE("R6C",'Mapa final'!$R$40),"")</f>
        <v/>
      </c>
      <c r="AC51" s="37" t="str">
        <f>IF(AND('Mapa final'!$AB$41="Muy Baja",'Mapa final'!$AD$41="Mayor"),CONCATENATE("R6C",'Mapa final'!$R$41),"")</f>
        <v/>
      </c>
      <c r="AD51" s="37" t="str">
        <f>IF(AND('Mapa final'!$AB$42="Muy Baja",'Mapa final'!$AD$42="Mayor"),CONCATENATE("R6C",'Mapa final'!$R$42),"")</f>
        <v/>
      </c>
      <c r="AE51" s="37" t="str">
        <f>IF(AND('Mapa final'!$AB$43="Muy Baja",'Mapa final'!$AD$43="Mayor"),CONCATENATE("R6C",'Mapa final'!$R$43),"")</f>
        <v/>
      </c>
      <c r="AF51" s="37" t="str">
        <f>IF(AND('Mapa final'!$AB$44="Muy Baja",'Mapa final'!$AD$44="Mayor"),CONCATENATE("R6C",'Mapa final'!$R$44),"")</f>
        <v/>
      </c>
      <c r="AG51" s="38" t="str">
        <f>IF(AND('Mapa final'!$AB$45="Muy Baja",'Mapa final'!$AD$45="Mayor"),CONCATENATE("R6C",'Mapa final'!$R$45),"")</f>
        <v/>
      </c>
      <c r="AH51" s="39" t="str">
        <f>IF(AND('Mapa final'!$AB$40="Muy Baja",'Mapa final'!$AD$40="Catastrófico"),CONCATENATE("R6C",'Mapa final'!$R$40),"")</f>
        <v/>
      </c>
      <c r="AI51" s="40" t="str">
        <f>IF(AND('Mapa final'!$AB$41="Muy Baja",'Mapa final'!$AD$41="Catastrófico"),CONCATENATE("R6C",'Mapa final'!$R$41),"")</f>
        <v/>
      </c>
      <c r="AJ51" s="40" t="str">
        <f>IF(AND('Mapa final'!$AB$42="Muy Baja",'Mapa final'!$AD$42="Catastrófico"),CONCATENATE("R6C",'Mapa final'!$R$42),"")</f>
        <v/>
      </c>
      <c r="AK51" s="40" t="str">
        <f>IF(AND('Mapa final'!$AB$43="Muy Baja",'Mapa final'!$AD$43="Catastrófico"),CONCATENATE("R6C",'Mapa final'!$R$43),"")</f>
        <v/>
      </c>
      <c r="AL51" s="40" t="str">
        <f>IF(AND('Mapa final'!$AB$44="Muy Baja",'Mapa final'!$AD$44="Catastrófico"),CONCATENATE("R6C",'Mapa final'!$R$44),"")</f>
        <v/>
      </c>
      <c r="AM51" s="41" t="str">
        <f>IF(AND('Mapa final'!$AB$45="Muy Baja",'Mapa final'!$AD$45="Catastrófico"),CONCATENATE("R6C",'Mapa final'!$R$45),"")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586"/>
      <c r="C52" s="586"/>
      <c r="D52" s="587"/>
      <c r="E52" s="627"/>
      <c r="F52" s="628"/>
      <c r="G52" s="628"/>
      <c r="H52" s="628"/>
      <c r="I52" s="629"/>
      <c r="J52" s="60" t="str">
        <f>IF(AND('Mapa final'!$AB$46="Muy Baja",'Mapa final'!$AD$46="Leve"),CONCATENATE("R7C",'Mapa final'!$R$46),"")</f>
        <v/>
      </c>
      <c r="K52" s="61" t="str">
        <f>IF(AND('Mapa final'!$AB$47="Muy Baja",'Mapa final'!$AD$47="Leve"),CONCATENATE("R7C",'Mapa final'!$R$47),"")</f>
        <v/>
      </c>
      <c r="L52" s="61" t="str">
        <f>IF(AND('Mapa final'!$AB$48="Muy Baja",'Mapa final'!$AD$48="Leve"),CONCATENATE("R7C",'Mapa final'!$R$48),"")</f>
        <v/>
      </c>
      <c r="M52" s="61" t="str">
        <f>IF(AND('Mapa final'!$AB$49="Muy Baja",'Mapa final'!$AD$49="Leve"),CONCATENATE("R7C",'Mapa final'!$R$49),"")</f>
        <v/>
      </c>
      <c r="N52" s="61" t="str">
        <f>IF(AND('Mapa final'!$AB$50="Muy Baja",'Mapa final'!$AD$50="Leve"),CONCATENATE("R7C",'Mapa final'!$R$50),"")</f>
        <v/>
      </c>
      <c r="O52" s="62" t="str">
        <f>IF(AND('Mapa final'!$AB$51="Muy Baja",'Mapa final'!$AD$51="Leve"),CONCATENATE("R7C",'Mapa final'!$R$51),"")</f>
        <v/>
      </c>
      <c r="P52" s="60" t="str">
        <f>IF(AND('Mapa final'!$AB$46="Muy Baja",'Mapa final'!$AD$46="Menor"),CONCATENATE("R7C",'Mapa final'!$R$46),"")</f>
        <v/>
      </c>
      <c r="Q52" s="61" t="str">
        <f>IF(AND('Mapa final'!$AB$47="Muy Baja",'Mapa final'!$AD$47="Menor"),CONCATENATE("R7C",'Mapa final'!$R$47),"")</f>
        <v/>
      </c>
      <c r="R52" s="61" t="str">
        <f>IF(AND('Mapa final'!$AB$48="Muy Baja",'Mapa final'!$AD$48="Menor"),CONCATENATE("R7C",'Mapa final'!$R$48),"")</f>
        <v/>
      </c>
      <c r="S52" s="61" t="str">
        <f>IF(AND('Mapa final'!$AB$49="Muy Baja",'Mapa final'!$AD$49="Menor"),CONCATENATE("R7C",'Mapa final'!$R$49),"")</f>
        <v/>
      </c>
      <c r="T52" s="61" t="str">
        <f>IF(AND('Mapa final'!$AB$50="Muy Baja",'Mapa final'!$AD$50="Menor"),CONCATENATE("R7C",'Mapa final'!$R$50),"")</f>
        <v/>
      </c>
      <c r="U52" s="62" t="str">
        <f>IF(AND('Mapa final'!$AB$51="Muy Baja",'Mapa final'!$AD$51="Menor"),CONCATENATE("R7C",'Mapa final'!$R$51),"")</f>
        <v/>
      </c>
      <c r="V52" s="51" t="str">
        <f>IF(AND('Mapa final'!$AB$46="Muy Baja",'Mapa final'!$AD$46="Moderado"),CONCATENATE("R7C",'Mapa final'!$R$46),"")</f>
        <v/>
      </c>
      <c r="W52" s="52" t="str">
        <f>IF(AND('Mapa final'!$AB$47="Muy Baja",'Mapa final'!$AD$47="Moderado"),CONCATENATE("R7C",'Mapa final'!$R$47),"")</f>
        <v/>
      </c>
      <c r="X52" s="52" t="str">
        <f>IF(AND('Mapa final'!$AB$48="Muy Baja",'Mapa final'!$AD$48="Moderado"),CONCATENATE("R7C",'Mapa final'!$R$48),"")</f>
        <v/>
      </c>
      <c r="Y52" s="52" t="str">
        <f>IF(AND('Mapa final'!$AB$49="Muy Baja",'Mapa final'!$AD$49="Moderado"),CONCATENATE("R7C",'Mapa final'!$R$49),"")</f>
        <v/>
      </c>
      <c r="Z52" s="52" t="str">
        <f>IF(AND('Mapa final'!$AB$50="Muy Baja",'Mapa final'!$AD$50="Moderado"),CONCATENATE("R7C",'Mapa final'!$R$50),"")</f>
        <v/>
      </c>
      <c r="AA52" s="53" t="str">
        <f>IF(AND('Mapa final'!$AB$51="Muy Baja",'Mapa final'!$AD$51="Moderado"),CONCATENATE("R7C",'Mapa final'!$R$51),"")</f>
        <v/>
      </c>
      <c r="AB52" s="36" t="str">
        <f>IF(AND('Mapa final'!$AB$46="Muy Baja",'Mapa final'!$AD$46="Mayor"),CONCATENATE("R7C",'Mapa final'!$R$46),"")</f>
        <v/>
      </c>
      <c r="AC52" s="37" t="str">
        <f>IF(AND('Mapa final'!$AB$47="Muy Baja",'Mapa final'!$AD$47="Mayor"),CONCATENATE("R7C",'Mapa final'!$R$47),"")</f>
        <v/>
      </c>
      <c r="AD52" s="37" t="str">
        <f>IF(AND('Mapa final'!$AB$48="Muy Baja",'Mapa final'!$AD$48="Mayor"),CONCATENATE("R7C",'Mapa final'!$R$48),"")</f>
        <v/>
      </c>
      <c r="AE52" s="37" t="str">
        <f>IF(AND('Mapa final'!$AB$49="Muy Baja",'Mapa final'!$AD$49="Mayor"),CONCATENATE("R7C",'Mapa final'!$R$49),"")</f>
        <v/>
      </c>
      <c r="AF52" s="37" t="str">
        <f>IF(AND('Mapa final'!$AB$50="Muy Baja",'Mapa final'!$AD$50="Mayor"),CONCATENATE("R7C",'Mapa final'!$R$50),"")</f>
        <v/>
      </c>
      <c r="AG52" s="38" t="str">
        <f>IF(AND('Mapa final'!$AB$51="Muy Baja",'Mapa final'!$AD$51="Mayor"),CONCATENATE("R7C",'Mapa final'!$R$51),"")</f>
        <v/>
      </c>
      <c r="AH52" s="39" t="str">
        <f>IF(AND('Mapa final'!$AB$46="Muy Baja",'Mapa final'!$AD$46="Catastrófico"),CONCATENATE("R7C",'Mapa final'!$R$46),"")</f>
        <v/>
      </c>
      <c r="AI52" s="40" t="str">
        <f>IF(AND('Mapa final'!$AB$47="Muy Baja",'Mapa final'!$AD$47="Catastrófico"),CONCATENATE("R7C",'Mapa final'!$R$47),"")</f>
        <v/>
      </c>
      <c r="AJ52" s="40" t="str">
        <f>IF(AND('Mapa final'!$AB$48="Muy Baja",'Mapa final'!$AD$48="Catastrófico"),CONCATENATE("R7C",'Mapa final'!$R$48),"")</f>
        <v/>
      </c>
      <c r="AK52" s="40" t="str">
        <f>IF(AND('Mapa final'!$AB$49="Muy Baja",'Mapa final'!$AD$49="Catastrófico"),CONCATENATE("R7C",'Mapa final'!$R$49),"")</f>
        <v/>
      </c>
      <c r="AL52" s="40" t="str">
        <f>IF(AND('Mapa final'!$AB$50="Muy Baja",'Mapa final'!$AD$50="Catastrófico"),CONCATENATE("R7C",'Mapa final'!$R$50),"")</f>
        <v/>
      </c>
      <c r="AM52" s="41" t="str">
        <f>IF(AND('Mapa final'!$AB$51="Muy Baja",'Mapa final'!$AD$51="Catastrófico"),CONCATENATE("R7C",'Mapa final'!$R$51),"")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586"/>
      <c r="C53" s="586"/>
      <c r="D53" s="587"/>
      <c r="E53" s="627"/>
      <c r="F53" s="628"/>
      <c r="G53" s="628"/>
      <c r="H53" s="628"/>
      <c r="I53" s="629"/>
      <c r="J53" s="60" t="str">
        <f>IF(AND('Mapa final'!$AB$52="Muy Baja",'Mapa final'!$AD$52="Leve"),CONCATENATE("R8C",'Mapa final'!$R$52),"")</f>
        <v/>
      </c>
      <c r="K53" s="61" t="str">
        <f>IF(AND('Mapa final'!$AB$53="Muy Baja",'Mapa final'!$AD$53="Leve"),CONCATENATE("R8C",'Mapa final'!$R$53),"")</f>
        <v/>
      </c>
      <c r="L53" s="61" t="str">
        <f>IF(AND('Mapa final'!$AB$54="Muy Baja",'Mapa final'!$AD$54="Leve"),CONCATENATE("R8C",'Mapa final'!$R$54),"")</f>
        <v/>
      </c>
      <c r="M53" s="61" t="str">
        <f>IF(AND('Mapa final'!$AB$55="Muy Baja",'Mapa final'!$AD$55="Leve"),CONCATENATE("R8C",'Mapa final'!$R$55),"")</f>
        <v/>
      </c>
      <c r="N53" s="61" t="str">
        <f>IF(AND('Mapa final'!$AB$56="Muy Baja",'Mapa final'!$AD$56="Leve"),CONCATENATE("R8C",'Mapa final'!$R$56),"")</f>
        <v/>
      </c>
      <c r="O53" s="62" t="str">
        <f>IF(AND('Mapa final'!$AB$57="Muy Baja",'Mapa final'!$AD$57="Leve"),CONCATENATE("R8C",'Mapa final'!$R$57),"")</f>
        <v/>
      </c>
      <c r="P53" s="60" t="str">
        <f>IF(AND('Mapa final'!$AB$52="Muy Baja",'Mapa final'!$AD$52="Menor"),CONCATENATE("R8C",'Mapa final'!$R$52),"")</f>
        <v/>
      </c>
      <c r="Q53" s="61" t="str">
        <f>IF(AND('Mapa final'!$AB$53="Muy Baja",'Mapa final'!$AD$53="Menor"),CONCATENATE("R8C",'Mapa final'!$R$53),"")</f>
        <v/>
      </c>
      <c r="R53" s="61" t="str">
        <f>IF(AND('Mapa final'!$AB$54="Muy Baja",'Mapa final'!$AD$54="Menor"),CONCATENATE("R8C",'Mapa final'!$R$54),"")</f>
        <v/>
      </c>
      <c r="S53" s="61" t="str">
        <f>IF(AND('Mapa final'!$AB$55="Muy Baja",'Mapa final'!$AD$55="Menor"),CONCATENATE("R8C",'Mapa final'!$R$55),"")</f>
        <v/>
      </c>
      <c r="T53" s="61" t="str">
        <f>IF(AND('Mapa final'!$AB$56="Muy Baja",'Mapa final'!$AD$56="Menor"),CONCATENATE("R8C",'Mapa final'!$R$56),"")</f>
        <v/>
      </c>
      <c r="U53" s="62" t="str">
        <f>IF(AND('Mapa final'!$AB$57="Muy Baja",'Mapa final'!$AD$57="Menor"),CONCATENATE("R8C",'Mapa final'!$R$57),"")</f>
        <v/>
      </c>
      <c r="V53" s="51" t="str">
        <f>IF(AND('Mapa final'!$AB$52="Muy Baja",'Mapa final'!$AD$52="Moderado"),CONCATENATE("R8C",'Mapa final'!$R$52),"")</f>
        <v/>
      </c>
      <c r="W53" s="52" t="str">
        <f>IF(AND('Mapa final'!$AB$53="Muy Baja",'Mapa final'!$AD$53="Moderado"),CONCATENATE("R8C",'Mapa final'!$R$53),"")</f>
        <v/>
      </c>
      <c r="X53" s="52" t="str">
        <f>IF(AND('Mapa final'!$AB$54="Muy Baja",'Mapa final'!$AD$54="Moderado"),CONCATENATE("R8C",'Mapa final'!$R$54),"")</f>
        <v/>
      </c>
      <c r="Y53" s="52" t="str">
        <f>IF(AND('Mapa final'!$AB$55="Muy Baja",'Mapa final'!$AD$55="Moderado"),CONCATENATE("R8C",'Mapa final'!$R$55),"")</f>
        <v/>
      </c>
      <c r="Z53" s="52" t="str">
        <f>IF(AND('Mapa final'!$AB$56="Muy Baja",'Mapa final'!$AD$56="Moderado"),CONCATENATE("R8C",'Mapa final'!$R$56),"")</f>
        <v/>
      </c>
      <c r="AA53" s="53" t="str">
        <f>IF(AND('Mapa final'!$AB$57="Muy Baja",'Mapa final'!$AD$57="Moderado"),CONCATENATE("R8C",'Mapa final'!$R$57),"")</f>
        <v/>
      </c>
      <c r="AB53" s="36" t="str">
        <f>IF(AND('Mapa final'!$AB$52="Muy Baja",'Mapa final'!$AD$52="Mayor"),CONCATENATE("R8C",'Mapa final'!$R$52),"")</f>
        <v/>
      </c>
      <c r="AC53" s="37" t="str">
        <f>IF(AND('Mapa final'!$AB$53="Muy Baja",'Mapa final'!$AD$53="Mayor"),CONCATENATE("R8C",'Mapa final'!$R$53),"")</f>
        <v/>
      </c>
      <c r="AD53" s="37" t="str">
        <f>IF(AND('Mapa final'!$AB$54="Muy Baja",'Mapa final'!$AD$54="Mayor"),CONCATENATE("R8C",'Mapa final'!$R$54),"")</f>
        <v/>
      </c>
      <c r="AE53" s="37" t="str">
        <f>IF(AND('Mapa final'!$AB$55="Muy Baja",'Mapa final'!$AD$55="Mayor"),CONCATENATE("R8C",'Mapa final'!$R$55),"")</f>
        <v/>
      </c>
      <c r="AF53" s="37" t="str">
        <f>IF(AND('Mapa final'!$AB$56="Muy Baja",'Mapa final'!$AD$56="Mayor"),CONCATENATE("R8C",'Mapa final'!$R$56),"")</f>
        <v/>
      </c>
      <c r="AG53" s="38" t="str">
        <f>IF(AND('Mapa final'!$AB$57="Muy Baja",'Mapa final'!$AD$57="Mayor"),CONCATENATE("R8C",'Mapa final'!$R$57),"")</f>
        <v/>
      </c>
      <c r="AH53" s="39" t="str">
        <f>IF(AND('Mapa final'!$AB$52="Muy Baja",'Mapa final'!$AD$52="Catastrófico"),CONCATENATE("R8C",'Mapa final'!$R$52),"")</f>
        <v/>
      </c>
      <c r="AI53" s="40" t="str">
        <f>IF(AND('Mapa final'!$AB$53="Muy Baja",'Mapa final'!$AD$53="Catastrófico"),CONCATENATE("R8C",'Mapa final'!$R$53),"")</f>
        <v/>
      </c>
      <c r="AJ53" s="40" t="str">
        <f>IF(AND('Mapa final'!$AB$54="Muy Baja",'Mapa final'!$AD$54="Catastrófico"),CONCATENATE("R8C",'Mapa final'!$R$54),"")</f>
        <v/>
      </c>
      <c r="AK53" s="40" t="str">
        <f>IF(AND('Mapa final'!$AB$55="Muy Baja",'Mapa final'!$AD$55="Catastrófico"),CONCATENATE("R8C",'Mapa final'!$R$55),"")</f>
        <v/>
      </c>
      <c r="AL53" s="40" t="str">
        <f>IF(AND('Mapa final'!$AB$56="Muy Baja",'Mapa final'!$AD$56="Catastrófico"),CONCATENATE("R8C",'Mapa final'!$R$56),"")</f>
        <v/>
      </c>
      <c r="AM53" s="41" t="str">
        <f>IF(AND('Mapa final'!$AB$57="Muy Baja",'Mapa final'!$AD$57="Catastrófico"),CONCATENATE("R8C",'Mapa final'!$R$57),"")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586"/>
      <c r="C54" s="586"/>
      <c r="D54" s="587"/>
      <c r="E54" s="627"/>
      <c r="F54" s="628"/>
      <c r="G54" s="628"/>
      <c r="H54" s="628"/>
      <c r="I54" s="629"/>
      <c r="J54" s="60" t="str">
        <f>IF(AND('Mapa final'!$AB$58="Muy Baja",'Mapa final'!$AD$58="Leve"),CONCATENATE("R9C",'Mapa final'!$R$58),"")</f>
        <v/>
      </c>
      <c r="K54" s="61" t="str">
        <f>IF(AND('Mapa final'!$AB$59="Muy Baja",'Mapa final'!$AD$59="Leve"),CONCATENATE("R9C",'Mapa final'!$R$59),"")</f>
        <v/>
      </c>
      <c r="L54" s="61" t="str">
        <f>IF(AND('Mapa final'!$AB$60="Muy Baja",'Mapa final'!$AD$60="Leve"),CONCATENATE("R9C",'Mapa final'!$R$60),"")</f>
        <v/>
      </c>
      <c r="M54" s="61" t="str">
        <f>IF(AND('Mapa final'!$AB$61="Muy Baja",'Mapa final'!$AD$61="Leve"),CONCATENATE("R9C",'Mapa final'!$R$61),"")</f>
        <v/>
      </c>
      <c r="N54" s="61" t="str">
        <f>IF(AND('Mapa final'!$AB$62="Muy Baja",'Mapa final'!$AD$62="Leve"),CONCATENATE("R9C",'Mapa final'!$R$62),"")</f>
        <v/>
      </c>
      <c r="O54" s="62" t="str">
        <f>IF(AND('Mapa final'!$AB$63="Muy Baja",'Mapa final'!$AD$63="Leve"),CONCATENATE("R9C",'Mapa final'!$R$63),"")</f>
        <v/>
      </c>
      <c r="P54" s="60" t="str">
        <f>IF(AND('Mapa final'!$AB$58="Muy Baja",'Mapa final'!$AD$58="Menor"),CONCATENATE("R9C",'Mapa final'!$R$58),"")</f>
        <v/>
      </c>
      <c r="Q54" s="61" t="str">
        <f>IF(AND('Mapa final'!$AB$59="Muy Baja",'Mapa final'!$AD$59="Menor"),CONCATENATE("R9C",'Mapa final'!$R$59),"")</f>
        <v/>
      </c>
      <c r="R54" s="61" t="str">
        <f>IF(AND('Mapa final'!$AB$60="Muy Baja",'Mapa final'!$AD$60="Menor"),CONCATENATE("R9C",'Mapa final'!$R$60),"")</f>
        <v/>
      </c>
      <c r="S54" s="61" t="str">
        <f>IF(AND('Mapa final'!$AB$61="Muy Baja",'Mapa final'!$AD$61="Menor"),CONCATENATE("R9C",'Mapa final'!$R$61),"")</f>
        <v/>
      </c>
      <c r="T54" s="61" t="str">
        <f>IF(AND('Mapa final'!$AB$62="Muy Baja",'Mapa final'!$AD$62="Menor"),CONCATENATE("R9C",'Mapa final'!$R$62),"")</f>
        <v/>
      </c>
      <c r="U54" s="62" t="str">
        <f>IF(AND('Mapa final'!$AB$63="Muy Baja",'Mapa final'!$AD$63="Menor"),CONCATENATE("R9C",'Mapa final'!$R$63),"")</f>
        <v/>
      </c>
      <c r="V54" s="51" t="str">
        <f>IF(AND('Mapa final'!$AB$58="Muy Baja",'Mapa final'!$AD$58="Moderado"),CONCATENATE("R9C",'Mapa final'!$R$58),"")</f>
        <v/>
      </c>
      <c r="W54" s="52" t="str">
        <f>IF(AND('Mapa final'!$AB$59="Muy Baja",'Mapa final'!$AD$59="Moderado"),CONCATENATE("R9C",'Mapa final'!$R$59),"")</f>
        <v/>
      </c>
      <c r="X54" s="52" t="str">
        <f>IF(AND('Mapa final'!$AB$60="Muy Baja",'Mapa final'!$AD$60="Moderado"),CONCATENATE("R9C",'Mapa final'!$R$60),"")</f>
        <v/>
      </c>
      <c r="Y54" s="52" t="str">
        <f>IF(AND('Mapa final'!$AB$61="Muy Baja",'Mapa final'!$AD$61="Moderado"),CONCATENATE("R9C",'Mapa final'!$R$61),"")</f>
        <v/>
      </c>
      <c r="Z54" s="52" t="str">
        <f>IF(AND('Mapa final'!$AB$62="Muy Baja",'Mapa final'!$AD$62="Moderado"),CONCATENATE("R9C",'Mapa final'!$R$62),"")</f>
        <v/>
      </c>
      <c r="AA54" s="53" t="str">
        <f>IF(AND('Mapa final'!$AB$63="Muy Baja",'Mapa final'!$AD$63="Moderado"),CONCATENATE("R9C",'Mapa final'!$R$63),"")</f>
        <v/>
      </c>
      <c r="AB54" s="36" t="str">
        <f>IF(AND('Mapa final'!$AB$58="Muy Baja",'Mapa final'!$AD$58="Mayor"),CONCATENATE("R9C",'Mapa final'!$R$58),"")</f>
        <v/>
      </c>
      <c r="AC54" s="37" t="str">
        <f>IF(AND('Mapa final'!$AB$59="Muy Baja",'Mapa final'!$AD$59="Mayor"),CONCATENATE("R9C",'Mapa final'!$R$59),"")</f>
        <v/>
      </c>
      <c r="AD54" s="37" t="str">
        <f>IF(AND('Mapa final'!$AB$60="Muy Baja",'Mapa final'!$AD$60="Mayor"),CONCATENATE("R9C",'Mapa final'!$R$60),"")</f>
        <v/>
      </c>
      <c r="AE54" s="37" t="str">
        <f>IF(AND('Mapa final'!$AB$61="Muy Baja",'Mapa final'!$AD$61="Mayor"),CONCATENATE("R9C",'Mapa final'!$R$61),"")</f>
        <v/>
      </c>
      <c r="AF54" s="37" t="str">
        <f>IF(AND('Mapa final'!$AB$62="Muy Baja",'Mapa final'!$AD$62="Mayor"),CONCATENATE("R9C",'Mapa final'!$R$62),"")</f>
        <v/>
      </c>
      <c r="AG54" s="38" t="str">
        <f>IF(AND('Mapa final'!$AB$63="Muy Baja",'Mapa final'!$AD$63="Mayor"),CONCATENATE("R9C",'Mapa final'!$R$63),"")</f>
        <v/>
      </c>
      <c r="AH54" s="39" t="str">
        <f>IF(AND('Mapa final'!$AB$58="Muy Baja",'Mapa final'!$AD$58="Catastrófico"),CONCATENATE("R9C",'Mapa final'!$R$58),"")</f>
        <v/>
      </c>
      <c r="AI54" s="40" t="str">
        <f>IF(AND('Mapa final'!$AB$59="Muy Baja",'Mapa final'!$AD$59="Catastrófico"),CONCATENATE("R9C",'Mapa final'!$R$59),"")</f>
        <v/>
      </c>
      <c r="AJ54" s="40" t="str">
        <f>IF(AND('Mapa final'!$AB$60="Muy Baja",'Mapa final'!$AD$60="Catastrófico"),CONCATENATE("R9C",'Mapa final'!$R$60),"")</f>
        <v/>
      </c>
      <c r="AK54" s="40" t="str">
        <f>IF(AND('Mapa final'!$AB$61="Muy Baja",'Mapa final'!$AD$61="Catastrófico"),CONCATENATE("R9C",'Mapa final'!$R$61),"")</f>
        <v/>
      </c>
      <c r="AL54" s="40" t="str">
        <f>IF(AND('Mapa final'!$AB$62="Muy Baja",'Mapa final'!$AD$62="Catastrófico"),CONCATENATE("R9C",'Mapa final'!$R$62),"")</f>
        <v/>
      </c>
      <c r="AM54" s="41" t="str">
        <f>IF(AND('Mapa final'!$AB$63="Muy Baja",'Mapa final'!$AD$63="Catastrófico"),CONCATENATE("R9C",'Mapa final'!$R$63),"")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586"/>
      <c r="C55" s="586"/>
      <c r="D55" s="587"/>
      <c r="E55" s="630"/>
      <c r="F55" s="631"/>
      <c r="G55" s="631"/>
      <c r="H55" s="631"/>
      <c r="I55" s="632"/>
      <c r="J55" s="63" t="str">
        <f>IF(AND('Mapa final'!$AB$64="Muy Baja",'Mapa final'!$AD$64="Leve"),CONCATENATE("R10C",'Mapa final'!$R$64),"")</f>
        <v/>
      </c>
      <c r="K55" s="64" t="str">
        <f>IF(AND('Mapa final'!$AB$65="Muy Baja",'Mapa final'!$AD$65="Leve"),CONCATENATE("R10C",'Mapa final'!$R$65),"")</f>
        <v/>
      </c>
      <c r="L55" s="64" t="str">
        <f>IF(AND('Mapa final'!$AB$66="Muy Baja",'Mapa final'!$AD$66="Leve"),CONCATENATE("R10C",'Mapa final'!$R$66),"")</f>
        <v/>
      </c>
      <c r="M55" s="64" t="str">
        <f>IF(AND('Mapa final'!$AB$67="Muy Baja",'Mapa final'!$AD$67="Leve"),CONCATENATE("R10C",'Mapa final'!$R$67),"")</f>
        <v/>
      </c>
      <c r="N55" s="64" t="str">
        <f>IF(AND('Mapa final'!$AB$68="Muy Baja",'Mapa final'!$AD$68="Leve"),CONCATENATE("R10C",'Mapa final'!$R$68),"")</f>
        <v/>
      </c>
      <c r="O55" s="65" t="str">
        <f>IF(AND('Mapa final'!$AB$69="Muy Baja",'Mapa final'!$AD$69="Leve"),CONCATENATE("R10C",'Mapa final'!$R$69),"")</f>
        <v/>
      </c>
      <c r="P55" s="63" t="str">
        <f>IF(AND('Mapa final'!$AB$64="Muy Baja",'Mapa final'!$AD$64="Menor"),CONCATENATE("R10C",'Mapa final'!$R$64),"")</f>
        <v/>
      </c>
      <c r="Q55" s="64" t="str">
        <f>IF(AND('Mapa final'!$AB$65="Muy Baja",'Mapa final'!$AD$65="Menor"),CONCATENATE("R10C",'Mapa final'!$R$65),"")</f>
        <v/>
      </c>
      <c r="R55" s="64" t="str">
        <f>IF(AND('Mapa final'!$AB$66="Muy Baja",'Mapa final'!$AD$66="Menor"),CONCATENATE("R10C",'Mapa final'!$R$66),"")</f>
        <v/>
      </c>
      <c r="S55" s="64" t="str">
        <f>IF(AND('Mapa final'!$AB$67="Muy Baja",'Mapa final'!$AD$67="Menor"),CONCATENATE("R10C",'Mapa final'!$R$67),"")</f>
        <v/>
      </c>
      <c r="T55" s="64" t="str">
        <f>IF(AND('Mapa final'!$AB$68="Muy Baja",'Mapa final'!$AD$68="Menor"),CONCATENATE("R10C",'Mapa final'!$R$68),"")</f>
        <v/>
      </c>
      <c r="U55" s="65" t="str">
        <f>IF(AND('Mapa final'!$AB$69="Muy Baja",'Mapa final'!$AD$69="Menor"),CONCATENATE("R10C",'Mapa final'!$R$69),"")</f>
        <v/>
      </c>
      <c r="V55" s="54" t="str">
        <f>IF(AND('Mapa final'!$AB$64="Muy Baja",'Mapa final'!$AD$64="Moderado"),CONCATENATE("R10C",'Mapa final'!$R$64),"")</f>
        <v/>
      </c>
      <c r="W55" s="55" t="str">
        <f>IF(AND('Mapa final'!$AB$65="Muy Baja",'Mapa final'!$AD$65="Moderado"),CONCATENATE("R10C",'Mapa final'!$R$65),"")</f>
        <v/>
      </c>
      <c r="X55" s="55" t="str">
        <f>IF(AND('Mapa final'!$AB$66="Muy Baja",'Mapa final'!$AD$66="Moderado"),CONCATENATE("R10C",'Mapa final'!$R$66),"")</f>
        <v/>
      </c>
      <c r="Y55" s="55" t="str">
        <f>IF(AND('Mapa final'!$AB$67="Muy Baja",'Mapa final'!$AD$67="Moderado"),CONCATENATE("R10C",'Mapa final'!$R$67),"")</f>
        <v/>
      </c>
      <c r="Z55" s="55" t="str">
        <f>IF(AND('Mapa final'!$AB$68="Muy Baja",'Mapa final'!$AD$68="Moderado"),CONCATENATE("R10C",'Mapa final'!$R$68),"")</f>
        <v/>
      </c>
      <c r="AA55" s="56" t="str">
        <f>IF(AND('Mapa final'!$AB$69="Muy Baja",'Mapa final'!$AD$69="Moderado"),CONCATENATE("R10C",'Mapa final'!$R$69),"")</f>
        <v/>
      </c>
      <c r="AB55" s="42" t="str">
        <f>IF(AND('Mapa final'!$AB$64="Muy Baja",'Mapa final'!$AD$64="Mayor"),CONCATENATE("R10C",'Mapa final'!$R$64),"")</f>
        <v/>
      </c>
      <c r="AC55" s="43" t="str">
        <f>IF(AND('Mapa final'!$AB$65="Muy Baja",'Mapa final'!$AD$65="Mayor"),CONCATENATE("R10C",'Mapa final'!$R$65),"")</f>
        <v/>
      </c>
      <c r="AD55" s="43" t="str">
        <f>IF(AND('Mapa final'!$AB$66="Muy Baja",'Mapa final'!$AD$66="Mayor"),CONCATENATE("R10C",'Mapa final'!$R$66),"")</f>
        <v/>
      </c>
      <c r="AE55" s="43" t="str">
        <f>IF(AND('Mapa final'!$AB$67="Muy Baja",'Mapa final'!$AD$67="Mayor"),CONCATENATE("R10C",'Mapa final'!$R$67),"")</f>
        <v/>
      </c>
      <c r="AF55" s="43" t="str">
        <f>IF(AND('Mapa final'!$AB$68="Muy Baja",'Mapa final'!$AD$68="Mayor"),CONCATENATE("R10C",'Mapa final'!$R$68),"")</f>
        <v/>
      </c>
      <c r="AG55" s="44" t="str">
        <f>IF(AND('Mapa final'!$AB$69="Muy Baja",'Mapa final'!$AD$69="Mayor"),CONCATENATE("R10C",'Mapa final'!$R$69),"")</f>
        <v/>
      </c>
      <c r="AH55" s="45" t="str">
        <f>IF(AND('Mapa final'!$AB$64="Muy Baja",'Mapa final'!$AD$64="Catastrófico"),CONCATENATE("R10C",'Mapa final'!$R$64),"")</f>
        <v/>
      </c>
      <c r="AI55" s="46" t="str">
        <f>IF(AND('Mapa final'!$AB$65="Muy Baja",'Mapa final'!$AD$65="Catastrófico"),CONCATENATE("R10C",'Mapa final'!$R$65),"")</f>
        <v/>
      </c>
      <c r="AJ55" s="46" t="str">
        <f>IF(AND('Mapa final'!$AB$66="Muy Baja",'Mapa final'!$AD$66="Catastrófico"),CONCATENATE("R10C",'Mapa final'!$R$66),"")</f>
        <v/>
      </c>
      <c r="AK55" s="46" t="str">
        <f>IF(AND('Mapa final'!$AB$67="Muy Baja",'Mapa final'!$AD$67="Catastrófico"),CONCATENATE("R10C",'Mapa final'!$R$67),"")</f>
        <v/>
      </c>
      <c r="AL55" s="46" t="str">
        <f>IF(AND('Mapa final'!$AB$68="Muy Baja",'Mapa final'!$AD$68="Catastrófico"),CONCATENATE("R10C",'Mapa final'!$R$68),"")</f>
        <v/>
      </c>
      <c r="AM55" s="47" t="str">
        <f>IF(AND('Mapa final'!$AB$69="Muy Baja",'Mapa final'!$AD$69="Catastrófico"),CONCATENATE("R10C",'Mapa final'!$R$69),"")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24" t="s">
        <v>106</v>
      </c>
      <c r="K56" s="625"/>
      <c r="L56" s="625"/>
      <c r="M56" s="625"/>
      <c r="N56" s="625"/>
      <c r="O56" s="626"/>
      <c r="P56" s="624" t="s">
        <v>105</v>
      </c>
      <c r="Q56" s="625"/>
      <c r="R56" s="625"/>
      <c r="S56" s="625"/>
      <c r="T56" s="625"/>
      <c r="U56" s="626"/>
      <c r="V56" s="624" t="s">
        <v>104</v>
      </c>
      <c r="W56" s="625"/>
      <c r="X56" s="625"/>
      <c r="Y56" s="625"/>
      <c r="Z56" s="625"/>
      <c r="AA56" s="626"/>
      <c r="AB56" s="624" t="s">
        <v>103</v>
      </c>
      <c r="AC56" s="633"/>
      <c r="AD56" s="625"/>
      <c r="AE56" s="625"/>
      <c r="AF56" s="625"/>
      <c r="AG56" s="626"/>
      <c r="AH56" s="624" t="s">
        <v>102</v>
      </c>
      <c r="AI56" s="625"/>
      <c r="AJ56" s="625"/>
      <c r="AK56" s="625"/>
      <c r="AL56" s="625"/>
      <c r="AM56" s="626"/>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27"/>
      <c r="K57" s="628"/>
      <c r="L57" s="628"/>
      <c r="M57" s="628"/>
      <c r="N57" s="628"/>
      <c r="O57" s="629"/>
      <c r="P57" s="627"/>
      <c r="Q57" s="628"/>
      <c r="R57" s="628"/>
      <c r="S57" s="628"/>
      <c r="T57" s="628"/>
      <c r="U57" s="629"/>
      <c r="V57" s="627"/>
      <c r="W57" s="628"/>
      <c r="X57" s="628"/>
      <c r="Y57" s="628"/>
      <c r="Z57" s="628"/>
      <c r="AA57" s="629"/>
      <c r="AB57" s="627"/>
      <c r="AC57" s="628"/>
      <c r="AD57" s="628"/>
      <c r="AE57" s="628"/>
      <c r="AF57" s="628"/>
      <c r="AG57" s="629"/>
      <c r="AH57" s="627"/>
      <c r="AI57" s="628"/>
      <c r="AJ57" s="628"/>
      <c r="AK57" s="628"/>
      <c r="AL57" s="628"/>
      <c r="AM57" s="629"/>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27"/>
      <c r="K58" s="628"/>
      <c r="L58" s="628"/>
      <c r="M58" s="628"/>
      <c r="N58" s="628"/>
      <c r="O58" s="629"/>
      <c r="P58" s="627"/>
      <c r="Q58" s="628"/>
      <c r="R58" s="628"/>
      <c r="S58" s="628"/>
      <c r="T58" s="628"/>
      <c r="U58" s="629"/>
      <c r="V58" s="627"/>
      <c r="W58" s="628"/>
      <c r="X58" s="628"/>
      <c r="Y58" s="628"/>
      <c r="Z58" s="628"/>
      <c r="AA58" s="629"/>
      <c r="AB58" s="627"/>
      <c r="AC58" s="628"/>
      <c r="AD58" s="628"/>
      <c r="AE58" s="628"/>
      <c r="AF58" s="628"/>
      <c r="AG58" s="629"/>
      <c r="AH58" s="627"/>
      <c r="AI58" s="628"/>
      <c r="AJ58" s="628"/>
      <c r="AK58" s="628"/>
      <c r="AL58" s="628"/>
      <c r="AM58" s="629"/>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27"/>
      <c r="K59" s="628"/>
      <c r="L59" s="628"/>
      <c r="M59" s="628"/>
      <c r="N59" s="628"/>
      <c r="O59" s="629"/>
      <c r="P59" s="627"/>
      <c r="Q59" s="628"/>
      <c r="R59" s="628"/>
      <c r="S59" s="628"/>
      <c r="T59" s="628"/>
      <c r="U59" s="629"/>
      <c r="V59" s="627"/>
      <c r="W59" s="628"/>
      <c r="X59" s="628"/>
      <c r="Y59" s="628"/>
      <c r="Z59" s="628"/>
      <c r="AA59" s="629"/>
      <c r="AB59" s="627"/>
      <c r="AC59" s="628"/>
      <c r="AD59" s="628"/>
      <c r="AE59" s="628"/>
      <c r="AF59" s="628"/>
      <c r="AG59" s="629"/>
      <c r="AH59" s="627"/>
      <c r="AI59" s="628"/>
      <c r="AJ59" s="628"/>
      <c r="AK59" s="628"/>
      <c r="AL59" s="628"/>
      <c r="AM59" s="629"/>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27"/>
      <c r="K60" s="628"/>
      <c r="L60" s="628"/>
      <c r="M60" s="628"/>
      <c r="N60" s="628"/>
      <c r="O60" s="629"/>
      <c r="P60" s="627"/>
      <c r="Q60" s="628"/>
      <c r="R60" s="628"/>
      <c r="S60" s="628"/>
      <c r="T60" s="628"/>
      <c r="U60" s="629"/>
      <c r="V60" s="627"/>
      <c r="W60" s="628"/>
      <c r="X60" s="628"/>
      <c r="Y60" s="628"/>
      <c r="Z60" s="628"/>
      <c r="AA60" s="629"/>
      <c r="AB60" s="627"/>
      <c r="AC60" s="628"/>
      <c r="AD60" s="628"/>
      <c r="AE60" s="628"/>
      <c r="AF60" s="628"/>
      <c r="AG60" s="629"/>
      <c r="AH60" s="627"/>
      <c r="AI60" s="628"/>
      <c r="AJ60" s="628"/>
      <c r="AK60" s="628"/>
      <c r="AL60" s="628"/>
      <c r="AM60" s="629"/>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630"/>
      <c r="K61" s="631"/>
      <c r="L61" s="631"/>
      <c r="M61" s="631"/>
      <c r="N61" s="631"/>
      <c r="O61" s="632"/>
      <c r="P61" s="630"/>
      <c r="Q61" s="631"/>
      <c r="R61" s="631"/>
      <c r="S61" s="631"/>
      <c r="T61" s="631"/>
      <c r="U61" s="632"/>
      <c r="V61" s="630"/>
      <c r="W61" s="631"/>
      <c r="X61" s="631"/>
      <c r="Y61" s="631"/>
      <c r="Z61" s="631"/>
      <c r="AA61" s="632"/>
      <c r="AB61" s="630"/>
      <c r="AC61" s="631"/>
      <c r="AD61" s="631"/>
      <c r="AE61" s="631"/>
      <c r="AF61" s="631"/>
      <c r="AG61" s="632"/>
      <c r="AH61" s="630"/>
      <c r="AI61" s="631"/>
      <c r="AJ61" s="631"/>
      <c r="AK61" s="631"/>
      <c r="AL61" s="631"/>
      <c r="AM61" s="632"/>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85" zoomScaleNormal="85" workbookViewId="0"/>
  </sheetViews>
  <sheetFormatPr baseColWidth="10" defaultColWidth="11.44140625" defaultRowHeight="14.4" x14ac:dyDescent="0.3"/>
  <cols>
    <col min="2" max="2" width="24.109375" customWidth="1"/>
    <col min="3" max="3" width="70.109375" customWidth="1"/>
    <col min="4" max="4" width="29.88671875" customWidth="1"/>
  </cols>
  <sheetData>
    <row r="1" spans="1:37" ht="23.4" x14ac:dyDescent="0.3">
      <c r="A1" s="67"/>
      <c r="B1" s="673" t="s">
        <v>54</v>
      </c>
      <c r="C1" s="673"/>
      <c r="D1" s="673"/>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50</v>
      </c>
      <c r="C4" s="14" t="s">
        <v>96</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52</v>
      </c>
      <c r="C5" s="17" t="s">
        <v>97</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101</v>
      </c>
      <c r="C6" s="17" t="s">
        <v>98</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99</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53</v>
      </c>
      <c r="C8" s="17" t="s">
        <v>100</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674" t="s">
        <v>61</v>
      </c>
      <c r="C1" s="674"/>
      <c r="D1" s="674"/>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5" t="s">
        <v>55</v>
      </c>
      <c r="D3" s="125" t="s">
        <v>56</v>
      </c>
      <c r="E3" s="89"/>
      <c r="F3" s="89"/>
      <c r="G3" s="89"/>
      <c r="H3" s="89"/>
      <c r="I3" s="89"/>
      <c r="J3" s="89"/>
      <c r="K3" s="89"/>
      <c r="L3" s="89"/>
      <c r="M3" s="89"/>
      <c r="N3" s="89"/>
      <c r="O3" s="89"/>
      <c r="P3" s="89"/>
      <c r="Q3" s="89"/>
      <c r="R3" s="89"/>
      <c r="S3" s="89"/>
      <c r="T3" s="89"/>
      <c r="U3" s="89"/>
    </row>
    <row r="4" spans="1:21" ht="32.4" x14ac:dyDescent="0.3">
      <c r="A4" s="89" t="s">
        <v>81</v>
      </c>
      <c r="B4" s="126" t="s">
        <v>95</v>
      </c>
      <c r="C4" s="127" t="s">
        <v>204</v>
      </c>
      <c r="D4" s="128" t="s">
        <v>91</v>
      </c>
      <c r="E4" s="89"/>
      <c r="F4" s="89"/>
      <c r="G4" s="89"/>
      <c r="H4" s="89"/>
      <c r="I4" s="89"/>
      <c r="J4" s="89"/>
      <c r="K4" s="89"/>
      <c r="L4" s="89"/>
      <c r="M4" s="89"/>
      <c r="N4" s="89"/>
      <c r="O4" s="89"/>
      <c r="P4" s="89"/>
      <c r="Q4" s="89"/>
      <c r="R4" s="89"/>
      <c r="S4" s="89"/>
      <c r="T4" s="89"/>
      <c r="U4" s="89"/>
    </row>
    <row r="5" spans="1:21" ht="64.8" x14ac:dyDescent="0.3">
      <c r="A5" s="89" t="s">
        <v>82</v>
      </c>
      <c r="B5" s="129" t="s">
        <v>57</v>
      </c>
      <c r="C5" s="130" t="s">
        <v>205</v>
      </c>
      <c r="D5" s="131" t="s">
        <v>92</v>
      </c>
      <c r="E5" s="89"/>
      <c r="F5" s="89"/>
      <c r="G5" s="89"/>
      <c r="H5" s="89"/>
      <c r="I5" s="89"/>
      <c r="J5" s="89"/>
      <c r="K5" s="89"/>
      <c r="L5" s="89"/>
      <c r="M5" s="89"/>
      <c r="N5" s="89"/>
      <c r="O5" s="89"/>
      <c r="P5" s="89"/>
      <c r="Q5" s="89"/>
      <c r="R5" s="89"/>
      <c r="S5" s="89"/>
      <c r="T5" s="89"/>
      <c r="U5" s="89"/>
    </row>
    <row r="6" spans="1:21" ht="64.8" x14ac:dyDescent="0.3">
      <c r="A6" s="89" t="s">
        <v>79</v>
      </c>
      <c r="B6" s="132" t="s">
        <v>58</v>
      </c>
      <c r="C6" s="130" t="s">
        <v>209</v>
      </c>
      <c r="D6" s="131" t="s">
        <v>94</v>
      </c>
      <c r="E6" s="89"/>
      <c r="F6" s="89"/>
      <c r="G6" s="89"/>
      <c r="H6" s="89"/>
      <c r="I6" s="89"/>
      <c r="J6" s="89"/>
      <c r="K6" s="89"/>
      <c r="L6" s="89"/>
      <c r="M6" s="89"/>
      <c r="N6" s="89"/>
      <c r="O6" s="89"/>
      <c r="P6" s="89"/>
      <c r="Q6" s="89"/>
      <c r="R6" s="89"/>
      <c r="S6" s="89"/>
      <c r="T6" s="89"/>
      <c r="U6" s="89"/>
    </row>
    <row r="7" spans="1:21" ht="97.2" x14ac:dyDescent="0.3">
      <c r="A7" s="89" t="s">
        <v>7</v>
      </c>
      <c r="B7" s="133" t="s">
        <v>59</v>
      </c>
      <c r="C7" s="130" t="s">
        <v>210</v>
      </c>
      <c r="D7" s="131" t="s">
        <v>93</v>
      </c>
      <c r="E7" s="89"/>
      <c r="F7" s="89"/>
      <c r="G7" s="89"/>
      <c r="H7" s="89"/>
      <c r="I7" s="89"/>
      <c r="J7" s="89"/>
      <c r="K7" s="89"/>
      <c r="L7" s="89"/>
      <c r="M7" s="89"/>
      <c r="N7" s="89"/>
      <c r="O7" s="89"/>
      <c r="P7" s="89"/>
      <c r="Q7" s="89"/>
      <c r="R7" s="89"/>
      <c r="S7" s="89"/>
      <c r="T7" s="89"/>
      <c r="U7" s="89"/>
    </row>
    <row r="8" spans="1:21" ht="64.8" x14ac:dyDescent="0.3">
      <c r="A8" s="89" t="s">
        <v>83</v>
      </c>
      <c r="B8" s="134" t="s">
        <v>60</v>
      </c>
      <c r="C8" s="130" t="s">
        <v>206</v>
      </c>
      <c r="D8" s="131" t="s">
        <v>112</v>
      </c>
      <c r="E8" s="89"/>
      <c r="F8" s="89"/>
      <c r="G8" s="89"/>
      <c r="H8" s="89"/>
      <c r="I8" s="89"/>
      <c r="J8" s="89"/>
      <c r="K8" s="89"/>
      <c r="L8" s="89"/>
      <c r="M8" s="89"/>
      <c r="N8" s="89"/>
      <c r="O8" s="89"/>
      <c r="P8" s="89"/>
      <c r="Q8" s="89"/>
      <c r="R8" s="89"/>
      <c r="S8" s="89"/>
      <c r="T8" s="89"/>
      <c r="U8" s="89"/>
    </row>
    <row r="9" spans="1:21" s="23" customFormat="1" ht="20.399999999999999" x14ac:dyDescent="0.3">
      <c r="A9" s="87"/>
      <c r="B9" s="87"/>
      <c r="C9" s="138"/>
      <c r="D9" s="138"/>
      <c r="E9" s="87"/>
      <c r="F9" s="87"/>
      <c r="G9" s="87"/>
      <c r="H9" s="87"/>
      <c r="I9" s="87"/>
      <c r="J9" s="87"/>
      <c r="K9" s="87"/>
      <c r="L9" s="87"/>
      <c r="M9" s="87"/>
      <c r="N9" s="87"/>
      <c r="O9" s="87"/>
      <c r="P9" s="87"/>
      <c r="Q9" s="87"/>
      <c r="R9" s="87"/>
      <c r="S9" s="87"/>
      <c r="T9" s="87"/>
      <c r="U9" s="87"/>
    </row>
    <row r="10" spans="1:21" s="23" customFormat="1" x14ac:dyDescent="0.3">
      <c r="A10" s="87"/>
      <c r="B10" s="139"/>
      <c r="C10" s="139"/>
      <c r="D10" s="139"/>
      <c r="E10" s="87"/>
      <c r="F10" s="87"/>
      <c r="G10" s="87"/>
      <c r="H10" s="87"/>
      <c r="I10" s="87"/>
      <c r="J10" s="87"/>
      <c r="K10" s="87"/>
      <c r="L10" s="87"/>
      <c r="M10" s="87"/>
      <c r="N10" s="87"/>
      <c r="O10" s="87"/>
      <c r="P10" s="87"/>
      <c r="Q10" s="87"/>
      <c r="R10" s="87"/>
      <c r="S10" s="87"/>
      <c r="T10" s="87"/>
      <c r="U10" s="87"/>
    </row>
    <row r="11" spans="1:21" s="23" customFormat="1" x14ac:dyDescent="0.3">
      <c r="A11" s="87"/>
      <c r="B11" s="87" t="s">
        <v>89</v>
      </c>
      <c r="C11" s="87" t="s">
        <v>208</v>
      </c>
      <c r="D11" s="87" t="s">
        <v>142</v>
      </c>
      <c r="E11" s="87"/>
      <c r="F11" s="87"/>
      <c r="G11" s="87"/>
      <c r="H11" s="87"/>
      <c r="I11" s="87"/>
      <c r="J11" s="87"/>
      <c r="K11" s="87"/>
      <c r="L11" s="87"/>
      <c r="M11" s="87"/>
      <c r="N11" s="87"/>
      <c r="O11" s="87"/>
      <c r="P11" s="87"/>
      <c r="Q11" s="87"/>
      <c r="R11" s="87"/>
      <c r="S11" s="87"/>
      <c r="T11" s="87"/>
      <c r="U11" s="87"/>
    </row>
    <row r="12" spans="1:21" s="23" customFormat="1" x14ac:dyDescent="0.3">
      <c r="A12" s="87"/>
      <c r="B12" s="87" t="s">
        <v>87</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211</v>
      </c>
      <c r="D13" s="87" t="s">
        <v>144</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213</v>
      </c>
      <c r="D14" s="87" t="s">
        <v>145</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212</v>
      </c>
      <c r="D15" s="87" t="s">
        <v>146</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38"/>
      <c r="D22" s="138"/>
      <c r="E22" s="87"/>
      <c r="F22" s="87"/>
      <c r="G22" s="87"/>
      <c r="H22" s="87"/>
      <c r="I22" s="87"/>
      <c r="J22" s="87"/>
      <c r="K22" s="87"/>
      <c r="L22" s="87"/>
      <c r="M22" s="87"/>
      <c r="N22" s="87"/>
      <c r="O22" s="87"/>
    </row>
    <row r="23" spans="1:15" s="23" customFormat="1" ht="20.399999999999999" x14ac:dyDescent="0.3">
      <c r="A23" s="87"/>
      <c r="B23" s="87"/>
      <c r="C23" s="138"/>
      <c r="D23" s="138"/>
      <c r="E23" s="87"/>
      <c r="F23" s="87"/>
      <c r="G23" s="87"/>
      <c r="H23" s="87"/>
      <c r="I23" s="87"/>
      <c r="J23" s="87"/>
      <c r="K23" s="87"/>
      <c r="L23" s="87"/>
      <c r="M23" s="87"/>
      <c r="N23" s="87"/>
      <c r="O23" s="87"/>
    </row>
    <row r="24" spans="1:15" s="23" customFormat="1" ht="20.399999999999999" x14ac:dyDescent="0.3">
      <c r="A24" s="87"/>
      <c r="B24" s="87"/>
      <c r="C24" s="138"/>
      <c r="D24" s="138"/>
      <c r="E24" s="87"/>
      <c r="F24" s="87"/>
      <c r="G24" s="87"/>
      <c r="H24" s="87"/>
      <c r="I24" s="87"/>
      <c r="J24" s="87"/>
      <c r="K24" s="87"/>
      <c r="L24" s="87"/>
      <c r="M24" s="87"/>
      <c r="N24" s="87"/>
      <c r="O24" s="87"/>
    </row>
    <row r="25" spans="1:15" s="23" customFormat="1" ht="20.399999999999999" x14ac:dyDescent="0.3">
      <c r="A25" s="87"/>
      <c r="B25" s="87"/>
      <c r="C25" s="138"/>
      <c r="D25" s="138"/>
      <c r="E25" s="87"/>
      <c r="F25" s="87"/>
      <c r="G25" s="87"/>
      <c r="H25" s="87"/>
      <c r="I25" s="87"/>
      <c r="J25" s="87"/>
      <c r="K25" s="87"/>
      <c r="L25" s="87"/>
      <c r="M25" s="87"/>
      <c r="N25" s="87"/>
      <c r="O25" s="87"/>
    </row>
    <row r="26" spans="1:15" s="23" customFormat="1" ht="20.399999999999999" x14ac:dyDescent="0.3">
      <c r="A26" s="87"/>
      <c r="B26" s="87"/>
      <c r="C26" s="138"/>
      <c r="D26" s="138"/>
      <c r="E26" s="87"/>
      <c r="F26" s="87"/>
      <c r="G26" s="87"/>
      <c r="H26" s="87"/>
      <c r="I26" s="87"/>
      <c r="J26" s="87"/>
      <c r="K26" s="87"/>
      <c r="L26" s="87"/>
      <c r="M26" s="87"/>
      <c r="N26" s="87"/>
      <c r="O26" s="87"/>
    </row>
    <row r="27" spans="1:15" s="23" customFormat="1" ht="20.399999999999999" x14ac:dyDescent="0.3">
      <c r="A27" s="87"/>
      <c r="B27" s="87"/>
      <c r="C27" s="138"/>
      <c r="D27" s="138"/>
      <c r="E27" s="87"/>
      <c r="F27" s="87"/>
      <c r="G27" s="87"/>
      <c r="H27" s="87"/>
      <c r="I27" s="87"/>
      <c r="J27" s="87"/>
      <c r="K27" s="87"/>
      <c r="L27" s="87"/>
      <c r="M27" s="87"/>
      <c r="N27" s="87"/>
      <c r="O27" s="87"/>
    </row>
    <row r="28" spans="1:15" s="23" customFormat="1" ht="20.399999999999999" x14ac:dyDescent="0.3">
      <c r="A28" s="87"/>
      <c r="B28" s="87"/>
      <c r="C28" s="138"/>
      <c r="D28" s="138"/>
      <c r="E28" s="87"/>
      <c r="F28" s="87"/>
      <c r="G28" s="87"/>
      <c r="H28" s="87"/>
      <c r="I28" s="87"/>
      <c r="J28" s="87"/>
      <c r="K28" s="87"/>
      <c r="L28" s="87"/>
      <c r="M28" s="87"/>
      <c r="N28" s="87"/>
      <c r="O28" s="87"/>
    </row>
    <row r="29" spans="1:15" s="23" customFormat="1" ht="20.399999999999999" x14ac:dyDescent="0.3">
      <c r="A29" s="87"/>
      <c r="B29" s="87"/>
      <c r="C29" s="138"/>
      <c r="D29" s="138"/>
      <c r="E29" s="87"/>
      <c r="F29" s="87"/>
      <c r="G29" s="87"/>
      <c r="H29" s="87"/>
      <c r="I29" s="87"/>
      <c r="J29" s="87"/>
      <c r="K29" s="87"/>
      <c r="L29" s="87"/>
      <c r="M29" s="87"/>
      <c r="N29" s="87"/>
      <c r="O29" s="87"/>
    </row>
    <row r="30" spans="1:15" s="23" customFormat="1" ht="20.399999999999999" x14ac:dyDescent="0.3">
      <c r="A30" s="87"/>
      <c r="B30" s="87"/>
      <c r="C30" s="138"/>
      <c r="D30" s="138"/>
      <c r="E30" s="87"/>
      <c r="F30" s="87"/>
      <c r="G30" s="87"/>
      <c r="H30" s="87"/>
      <c r="I30" s="87"/>
      <c r="J30" s="87"/>
      <c r="K30" s="87"/>
      <c r="L30" s="87"/>
      <c r="M30" s="87"/>
      <c r="N30" s="87"/>
      <c r="O30" s="87"/>
    </row>
    <row r="31" spans="1:15" s="23" customFormat="1" ht="20.399999999999999" x14ac:dyDescent="0.3">
      <c r="A31" s="87"/>
      <c r="B31" s="87"/>
      <c r="C31" s="138"/>
      <c r="D31" s="138"/>
      <c r="E31" s="87"/>
      <c r="F31" s="87"/>
      <c r="G31" s="87"/>
      <c r="H31" s="87"/>
      <c r="I31" s="87"/>
      <c r="J31" s="87"/>
      <c r="K31" s="87"/>
      <c r="L31" s="87"/>
      <c r="M31" s="87"/>
      <c r="N31" s="87"/>
      <c r="O31" s="87"/>
    </row>
    <row r="32" spans="1:15" s="23" customFormat="1" ht="20.399999999999999" x14ac:dyDescent="0.3">
      <c r="A32" s="87"/>
      <c r="B32" s="87"/>
      <c r="C32" s="138"/>
      <c r="D32" s="138"/>
      <c r="E32" s="87"/>
      <c r="F32" s="87"/>
      <c r="G32" s="87"/>
      <c r="H32" s="87"/>
      <c r="I32" s="87"/>
      <c r="J32" s="87"/>
      <c r="K32" s="87"/>
      <c r="L32" s="87"/>
      <c r="M32" s="87"/>
      <c r="N32" s="87"/>
      <c r="O32" s="87"/>
    </row>
    <row r="33" spans="1:15" s="23" customFormat="1" ht="20.399999999999999" x14ac:dyDescent="0.3">
      <c r="A33" s="87"/>
      <c r="B33" s="87"/>
      <c r="C33" s="138"/>
      <c r="D33" s="138"/>
      <c r="E33" s="87"/>
      <c r="F33" s="87"/>
      <c r="G33" s="87"/>
      <c r="H33" s="87"/>
      <c r="I33" s="87"/>
      <c r="J33" s="87"/>
      <c r="K33" s="87"/>
      <c r="L33" s="87"/>
      <c r="M33" s="87"/>
      <c r="N33" s="87"/>
      <c r="O33" s="87"/>
    </row>
    <row r="34" spans="1:15" s="23" customFormat="1" ht="20.399999999999999" x14ac:dyDescent="0.3">
      <c r="A34" s="87"/>
      <c r="B34" s="87"/>
      <c r="C34" s="138"/>
      <c r="D34" s="138"/>
      <c r="E34" s="87"/>
      <c r="F34" s="87"/>
      <c r="G34" s="87"/>
      <c r="H34" s="87"/>
      <c r="I34" s="87"/>
      <c r="J34" s="87"/>
      <c r="K34" s="87"/>
      <c r="L34" s="87"/>
      <c r="M34" s="87"/>
      <c r="N34" s="87"/>
      <c r="O34" s="87"/>
    </row>
    <row r="35" spans="1:15" s="23" customFormat="1" ht="20.399999999999999" x14ac:dyDescent="0.3">
      <c r="A35" s="87"/>
      <c r="B35" s="87"/>
      <c r="C35" s="138"/>
      <c r="D35" s="138"/>
      <c r="E35" s="87"/>
      <c r="F35" s="87"/>
      <c r="G35" s="87"/>
      <c r="H35" s="87"/>
      <c r="I35" s="87"/>
      <c r="J35" s="87"/>
      <c r="K35" s="87"/>
      <c r="L35" s="87"/>
      <c r="M35" s="87"/>
      <c r="N35" s="87"/>
      <c r="O35" s="87"/>
    </row>
    <row r="36" spans="1:15" s="23" customFormat="1" ht="20.399999999999999" x14ac:dyDescent="0.3">
      <c r="A36" s="87"/>
      <c r="B36" s="87"/>
      <c r="C36" s="138"/>
      <c r="D36" s="138"/>
      <c r="E36" s="87"/>
      <c r="F36" s="87"/>
      <c r="G36" s="87"/>
      <c r="H36" s="87"/>
      <c r="I36" s="87"/>
      <c r="J36" s="87"/>
      <c r="K36" s="87"/>
      <c r="L36" s="87"/>
      <c r="M36" s="87"/>
      <c r="N36" s="87"/>
      <c r="O36" s="87"/>
    </row>
    <row r="37" spans="1:15" s="23" customFormat="1" ht="20.399999999999999" x14ac:dyDescent="0.3">
      <c r="A37" s="87"/>
      <c r="B37" s="87"/>
      <c r="C37" s="138"/>
      <c r="D37" s="138"/>
      <c r="E37" s="87"/>
      <c r="F37" s="87"/>
      <c r="G37" s="87"/>
      <c r="H37" s="87"/>
      <c r="I37" s="87"/>
      <c r="J37" s="87"/>
      <c r="K37" s="87"/>
      <c r="L37" s="87"/>
      <c r="M37" s="87"/>
      <c r="N37" s="87"/>
      <c r="O37" s="87"/>
    </row>
    <row r="38" spans="1:15" s="23" customFormat="1" ht="20.399999999999999" x14ac:dyDescent="0.3">
      <c r="A38" s="87"/>
      <c r="B38" s="87"/>
      <c r="C38" s="138"/>
      <c r="D38" s="138"/>
      <c r="E38" s="87"/>
      <c r="F38" s="87"/>
      <c r="G38" s="87"/>
      <c r="H38" s="87"/>
      <c r="I38" s="87"/>
      <c r="J38" s="87"/>
      <c r="K38" s="87"/>
      <c r="L38" s="87"/>
      <c r="M38" s="87"/>
      <c r="N38" s="87"/>
      <c r="O38" s="87"/>
    </row>
    <row r="39" spans="1:15" s="23" customFormat="1" ht="20.399999999999999" x14ac:dyDescent="0.3">
      <c r="A39" s="87"/>
      <c r="B39" s="87"/>
      <c r="C39" s="138"/>
      <c r="D39" s="138"/>
      <c r="E39" s="87"/>
      <c r="F39" s="87"/>
      <c r="G39" s="87"/>
      <c r="H39" s="87"/>
      <c r="I39" s="87"/>
      <c r="J39" s="87"/>
      <c r="K39" s="87"/>
      <c r="L39" s="87"/>
      <c r="M39" s="87"/>
      <c r="N39" s="87"/>
      <c r="O39" s="87"/>
    </row>
    <row r="40" spans="1:15" s="23" customFormat="1" ht="20.399999999999999" x14ac:dyDescent="0.3">
      <c r="A40" s="87"/>
      <c r="B40" s="87"/>
      <c r="C40" s="138"/>
      <c r="D40" s="138"/>
      <c r="E40" s="87"/>
      <c r="F40" s="87"/>
      <c r="G40" s="87"/>
      <c r="H40" s="87"/>
      <c r="I40" s="87"/>
      <c r="J40" s="87"/>
      <c r="K40" s="87"/>
      <c r="L40" s="87"/>
      <c r="M40" s="87"/>
      <c r="N40" s="87"/>
      <c r="O40" s="87"/>
    </row>
    <row r="41" spans="1:15" s="23" customFormat="1" ht="20.399999999999999" x14ac:dyDescent="0.3">
      <c r="A41" s="87"/>
      <c r="B41" s="87"/>
      <c r="C41" s="138"/>
      <c r="D41" s="138"/>
      <c r="E41" s="87"/>
      <c r="F41" s="87"/>
      <c r="G41" s="87"/>
      <c r="H41" s="87"/>
      <c r="I41" s="87"/>
      <c r="J41" s="87"/>
      <c r="K41" s="87"/>
      <c r="L41" s="87"/>
      <c r="M41" s="87"/>
      <c r="N41" s="87"/>
      <c r="O41" s="87"/>
    </row>
    <row r="42" spans="1:15" s="23" customFormat="1" ht="20.399999999999999" x14ac:dyDescent="0.3">
      <c r="A42" s="87"/>
      <c r="B42" s="87"/>
      <c r="C42" s="138"/>
      <c r="D42" s="138"/>
      <c r="E42" s="87"/>
      <c r="F42" s="87"/>
      <c r="G42" s="87"/>
      <c r="H42" s="87"/>
      <c r="I42" s="87"/>
      <c r="J42" s="87"/>
      <c r="K42" s="87"/>
      <c r="L42" s="87"/>
      <c r="M42" s="87"/>
      <c r="N42" s="87"/>
      <c r="O42" s="87"/>
    </row>
    <row r="43" spans="1:15" s="23" customFormat="1" ht="20.399999999999999" x14ac:dyDescent="0.3">
      <c r="A43" s="87"/>
      <c r="B43" s="87"/>
      <c r="C43" s="138"/>
      <c r="D43" s="138"/>
      <c r="E43" s="87"/>
      <c r="F43" s="87"/>
      <c r="G43" s="87"/>
      <c r="H43" s="87"/>
      <c r="I43" s="87"/>
      <c r="J43" s="87"/>
      <c r="K43" s="87"/>
      <c r="L43" s="87"/>
      <c r="M43" s="87"/>
      <c r="N43" s="87"/>
      <c r="O43" s="87"/>
    </row>
    <row r="44" spans="1:15" s="23" customFormat="1" ht="20.399999999999999" x14ac:dyDescent="0.3">
      <c r="A44" s="87"/>
      <c r="B44" s="87"/>
      <c r="C44" s="138"/>
      <c r="D44" s="138"/>
      <c r="E44" s="87"/>
      <c r="F44" s="87"/>
      <c r="G44" s="87"/>
      <c r="H44" s="87"/>
      <c r="I44" s="87"/>
      <c r="J44" s="87"/>
      <c r="K44" s="87"/>
      <c r="L44" s="87"/>
      <c r="M44" s="87"/>
      <c r="N44" s="87"/>
      <c r="O44" s="87"/>
    </row>
    <row r="45" spans="1:15" s="23" customFormat="1" ht="20.399999999999999" x14ac:dyDescent="0.3">
      <c r="A45" s="87"/>
      <c r="B45" s="87"/>
      <c r="C45" s="138"/>
      <c r="D45" s="138"/>
      <c r="E45" s="87"/>
      <c r="F45" s="87"/>
      <c r="G45" s="87"/>
      <c r="H45" s="87"/>
      <c r="I45" s="87"/>
      <c r="J45" s="87"/>
      <c r="K45" s="87"/>
      <c r="L45" s="87"/>
      <c r="M45" s="87"/>
      <c r="N45" s="87"/>
      <c r="O45" s="87"/>
    </row>
    <row r="46" spans="1:15" s="23" customFormat="1" ht="20.399999999999999" x14ac:dyDescent="0.3">
      <c r="A46" s="87"/>
      <c r="B46" s="87"/>
      <c r="C46" s="138"/>
      <c r="D46" s="138"/>
      <c r="E46" s="87"/>
      <c r="F46" s="87"/>
      <c r="G46" s="87"/>
      <c r="H46" s="87"/>
      <c r="I46" s="87"/>
      <c r="J46" s="87"/>
      <c r="K46" s="87"/>
      <c r="L46" s="87"/>
      <c r="M46" s="87"/>
      <c r="N46" s="87"/>
      <c r="O46" s="87"/>
    </row>
    <row r="47" spans="1:15" s="23" customFormat="1" ht="20.399999999999999" x14ac:dyDescent="0.3">
      <c r="A47" s="87"/>
      <c r="B47" s="87"/>
      <c r="C47" s="138"/>
      <c r="D47" s="138"/>
      <c r="E47" s="87"/>
      <c r="F47" s="87"/>
      <c r="G47" s="87"/>
      <c r="H47" s="87"/>
      <c r="I47" s="87"/>
      <c r="J47" s="87"/>
      <c r="K47" s="87"/>
      <c r="L47" s="87"/>
      <c r="M47" s="87"/>
      <c r="N47" s="87"/>
      <c r="O47" s="87"/>
    </row>
    <row r="48" spans="1:15" s="23" customFormat="1" ht="20.399999999999999" x14ac:dyDescent="0.3">
      <c r="A48" s="87"/>
      <c r="B48" s="87"/>
      <c r="C48" s="138"/>
      <c r="D48" s="138"/>
      <c r="E48" s="87"/>
      <c r="F48" s="87"/>
      <c r="G48" s="87"/>
      <c r="H48" s="87"/>
      <c r="I48" s="87"/>
      <c r="J48" s="87"/>
      <c r="K48" s="87"/>
      <c r="L48" s="87"/>
      <c r="M48" s="87"/>
      <c r="N48" s="87"/>
      <c r="O48" s="87"/>
    </row>
    <row r="49" spans="1:15" s="23" customFormat="1" ht="20.399999999999999" x14ac:dyDescent="0.3">
      <c r="A49" s="87"/>
      <c r="B49" s="87"/>
      <c r="C49" s="138"/>
      <c r="D49" s="138"/>
      <c r="E49" s="87"/>
      <c r="F49" s="87"/>
      <c r="G49" s="87"/>
      <c r="H49" s="87"/>
      <c r="I49" s="87"/>
      <c r="J49" s="87"/>
      <c r="K49" s="87"/>
      <c r="L49" s="87"/>
      <c r="M49" s="87"/>
      <c r="N49" s="87"/>
      <c r="O49" s="87"/>
    </row>
    <row r="50" spans="1:15" s="23" customFormat="1" ht="20.399999999999999" x14ac:dyDescent="0.3">
      <c r="A50" s="87"/>
      <c r="B50" s="87"/>
      <c r="C50" s="138"/>
      <c r="D50" s="138"/>
      <c r="E50" s="87"/>
      <c r="F50" s="87"/>
      <c r="G50" s="87"/>
      <c r="H50" s="87"/>
      <c r="I50" s="87"/>
      <c r="J50" s="87"/>
      <c r="K50" s="87"/>
      <c r="L50" s="87"/>
      <c r="M50" s="87"/>
      <c r="N50" s="87"/>
      <c r="O50" s="87"/>
    </row>
    <row r="51" spans="1:15" s="23" customFormat="1" ht="20.399999999999999" x14ac:dyDescent="0.3">
      <c r="A51" s="87"/>
      <c r="B51" s="87"/>
      <c r="C51" s="138"/>
      <c r="D51" s="138"/>
      <c r="E51" s="87"/>
      <c r="F51" s="87"/>
      <c r="G51" s="87"/>
      <c r="H51" s="87"/>
      <c r="I51" s="87"/>
      <c r="J51" s="87"/>
      <c r="K51" s="87"/>
      <c r="L51" s="87"/>
      <c r="M51" s="87"/>
      <c r="N51" s="87"/>
      <c r="O51" s="87"/>
    </row>
    <row r="52" spans="1:15" s="23" customFormat="1" ht="20.399999999999999" x14ac:dyDescent="0.3">
      <c r="A52" s="87"/>
      <c r="C52" s="140"/>
      <c r="D52" s="140"/>
    </row>
    <row r="53" spans="1:15" s="23" customFormat="1" ht="20.399999999999999" x14ac:dyDescent="0.3">
      <c r="A53" s="87"/>
      <c r="C53" s="140"/>
      <c r="D53" s="140"/>
    </row>
    <row r="54" spans="1:15" s="23" customFormat="1" ht="20.399999999999999" x14ac:dyDescent="0.3">
      <c r="A54" s="87"/>
      <c r="C54" s="140"/>
      <c r="D54" s="140"/>
    </row>
    <row r="55" spans="1:15" s="23" customFormat="1" ht="20.399999999999999" x14ac:dyDescent="0.3">
      <c r="A55" s="87"/>
      <c r="C55" s="140"/>
      <c r="D55" s="140"/>
    </row>
    <row r="56" spans="1:15" s="23" customFormat="1" ht="20.399999999999999" x14ac:dyDescent="0.3">
      <c r="A56" s="87"/>
      <c r="C56" s="140"/>
      <c r="D56" s="140"/>
    </row>
    <row r="57" spans="1:15" s="23" customFormat="1" ht="20.399999999999999" x14ac:dyDescent="0.3">
      <c r="A57" s="87"/>
      <c r="C57" s="140"/>
      <c r="D57" s="140"/>
    </row>
    <row r="58" spans="1:15" s="23" customFormat="1" ht="20.399999999999999" x14ac:dyDescent="0.3">
      <c r="A58" s="87"/>
      <c r="C58" s="140"/>
      <c r="D58" s="140"/>
    </row>
    <row r="59" spans="1:15" s="23" customFormat="1" ht="20.399999999999999" x14ac:dyDescent="0.3">
      <c r="A59" s="87"/>
      <c r="C59" s="140"/>
      <c r="D59" s="140"/>
    </row>
    <row r="60" spans="1:15" s="23" customFormat="1" ht="20.399999999999999" x14ac:dyDescent="0.3">
      <c r="A60" s="87"/>
      <c r="C60" s="140"/>
      <c r="D60" s="140"/>
    </row>
    <row r="61" spans="1:15" s="23" customFormat="1" ht="20.399999999999999" x14ac:dyDescent="0.3">
      <c r="A61" s="87"/>
      <c r="C61" s="140"/>
      <c r="D61" s="140"/>
    </row>
    <row r="62" spans="1:15" s="23" customFormat="1" ht="20.399999999999999" x14ac:dyDescent="0.3">
      <c r="A62" s="87"/>
      <c r="C62" s="140"/>
      <c r="D62" s="140"/>
    </row>
    <row r="63" spans="1:15" s="23" customFormat="1" ht="20.399999999999999" x14ac:dyDescent="0.3">
      <c r="A63" s="87"/>
      <c r="C63" s="140"/>
      <c r="D63" s="140"/>
    </row>
    <row r="64" spans="1:15" s="23" customFormat="1" ht="20.399999999999999" x14ac:dyDescent="0.3">
      <c r="A64" s="87"/>
      <c r="C64" s="140"/>
      <c r="D64" s="140"/>
    </row>
    <row r="65" spans="1:4" s="23" customFormat="1" ht="20.399999999999999" x14ac:dyDescent="0.3">
      <c r="A65" s="87"/>
      <c r="C65" s="140"/>
      <c r="D65" s="140"/>
    </row>
    <row r="66" spans="1:4" s="23" customFormat="1" ht="20.399999999999999" x14ac:dyDescent="0.3">
      <c r="A66" s="87"/>
      <c r="C66" s="140"/>
      <c r="D66" s="140"/>
    </row>
    <row r="67" spans="1:4" s="23" customFormat="1" ht="20.399999999999999" x14ac:dyDescent="0.3">
      <c r="A67" s="87"/>
      <c r="C67" s="140"/>
      <c r="D67" s="140"/>
    </row>
    <row r="68" spans="1:4" s="23" customFormat="1" ht="20.399999999999999" x14ac:dyDescent="0.3">
      <c r="A68" s="87"/>
      <c r="C68" s="140"/>
      <c r="D68" s="140"/>
    </row>
    <row r="69" spans="1:4" s="23" customFormat="1" ht="20.399999999999999" x14ac:dyDescent="0.3">
      <c r="A69" s="87"/>
      <c r="C69" s="140"/>
      <c r="D69" s="140"/>
    </row>
    <row r="70" spans="1:4" s="23" customFormat="1" ht="20.399999999999999" x14ac:dyDescent="0.3">
      <c r="A70" s="87"/>
      <c r="C70" s="140"/>
      <c r="D70" s="140"/>
    </row>
    <row r="71" spans="1:4" s="23" customFormat="1" ht="20.399999999999999" x14ac:dyDescent="0.3">
      <c r="A71" s="87"/>
      <c r="C71" s="140"/>
      <c r="D71" s="140"/>
    </row>
    <row r="72" spans="1:4" s="23" customFormat="1" ht="20.399999999999999" x14ac:dyDescent="0.3">
      <c r="A72" s="87"/>
      <c r="C72" s="140"/>
      <c r="D72" s="140"/>
    </row>
    <row r="73" spans="1:4" s="23" customFormat="1" ht="20.399999999999999" x14ac:dyDescent="0.3">
      <c r="A73" s="87"/>
      <c r="C73" s="140"/>
      <c r="D73" s="140"/>
    </row>
    <row r="74" spans="1:4" s="23" customFormat="1" ht="20.399999999999999" x14ac:dyDescent="0.3">
      <c r="A74" s="87"/>
      <c r="C74" s="140"/>
      <c r="D74" s="140"/>
    </row>
    <row r="75" spans="1:4" s="23" customFormat="1" ht="20.399999999999999" x14ac:dyDescent="0.3">
      <c r="A75" s="87"/>
      <c r="C75" s="140"/>
      <c r="D75" s="140"/>
    </row>
    <row r="76" spans="1:4" s="23" customFormat="1" ht="20.399999999999999" x14ac:dyDescent="0.3">
      <c r="A76" s="87"/>
      <c r="C76" s="140"/>
      <c r="D76" s="140"/>
    </row>
    <row r="77" spans="1:4" s="23" customFormat="1" ht="20.399999999999999" x14ac:dyDescent="0.3">
      <c r="A77" s="87"/>
      <c r="C77" s="140"/>
      <c r="D77" s="140"/>
    </row>
    <row r="78" spans="1:4" s="23" customFormat="1" ht="20.399999999999999" x14ac:dyDescent="0.3">
      <c r="A78" s="87"/>
      <c r="C78" s="140"/>
      <c r="D78" s="140"/>
    </row>
    <row r="79" spans="1:4" s="23" customFormat="1" ht="20.399999999999999" x14ac:dyDescent="0.3">
      <c r="A79" s="87"/>
      <c r="C79" s="140"/>
      <c r="D79" s="140"/>
    </row>
    <row r="80" spans="1:4" s="23" customFormat="1" ht="20.399999999999999" x14ac:dyDescent="0.3">
      <c r="A80" s="87"/>
      <c r="C80" s="140"/>
      <c r="D80" s="140"/>
    </row>
    <row r="81" spans="1:4" s="23" customFormat="1" ht="20.399999999999999" x14ac:dyDescent="0.3">
      <c r="A81" s="87"/>
      <c r="C81" s="140"/>
      <c r="D81" s="140"/>
    </row>
    <row r="82" spans="1:4" s="23" customFormat="1" ht="20.399999999999999" x14ac:dyDescent="0.3">
      <c r="A82" s="87"/>
      <c r="C82" s="140"/>
      <c r="D82" s="140"/>
    </row>
    <row r="83" spans="1:4" s="23" customFormat="1" ht="20.399999999999999" x14ac:dyDescent="0.3">
      <c r="A83" s="87"/>
      <c r="C83" s="140"/>
      <c r="D83" s="140"/>
    </row>
    <row r="84" spans="1:4" s="23" customFormat="1" ht="20.399999999999999" x14ac:dyDescent="0.3">
      <c r="A84" s="87"/>
      <c r="C84" s="140"/>
      <c r="D84" s="140"/>
    </row>
    <row r="85" spans="1:4" s="23" customFormat="1" ht="20.399999999999999" x14ac:dyDescent="0.3">
      <c r="A85" s="87"/>
      <c r="C85" s="140"/>
      <c r="D85" s="140"/>
    </row>
    <row r="86" spans="1:4" s="23" customFormat="1" ht="20.399999999999999" x14ac:dyDescent="0.3">
      <c r="A86" s="87"/>
      <c r="C86" s="140"/>
      <c r="D86" s="140"/>
    </row>
    <row r="87" spans="1:4" s="23" customFormat="1" ht="20.399999999999999" x14ac:dyDescent="0.3">
      <c r="A87" s="87"/>
      <c r="C87" s="140"/>
      <c r="D87" s="140"/>
    </row>
    <row r="88" spans="1:4" s="23" customFormat="1" ht="20.399999999999999" x14ac:dyDescent="0.3">
      <c r="A88" s="87"/>
      <c r="C88" s="140"/>
      <c r="D88" s="140"/>
    </row>
    <row r="89" spans="1:4" s="23" customFormat="1" ht="20.399999999999999" x14ac:dyDescent="0.3">
      <c r="A89" s="87"/>
      <c r="C89" s="140"/>
      <c r="D89" s="140"/>
    </row>
    <row r="90" spans="1:4" s="23" customFormat="1" ht="20.399999999999999" x14ac:dyDescent="0.3">
      <c r="A90" s="87"/>
      <c r="C90" s="140"/>
      <c r="D90" s="140"/>
    </row>
    <row r="91" spans="1:4" s="23" customFormat="1" ht="20.399999999999999" x14ac:dyDescent="0.3">
      <c r="A91" s="87"/>
      <c r="C91" s="140"/>
      <c r="D91" s="140"/>
    </row>
    <row r="92" spans="1:4" s="23" customFormat="1" ht="20.399999999999999" x14ac:dyDescent="0.3">
      <c r="A92" s="87"/>
      <c r="C92" s="140"/>
      <c r="D92" s="140"/>
    </row>
    <row r="93" spans="1:4" s="23" customFormat="1" ht="20.399999999999999" x14ac:dyDescent="0.3">
      <c r="A93" s="87"/>
      <c r="C93" s="140"/>
      <c r="D93" s="140"/>
    </row>
    <row r="94" spans="1:4" s="23" customFormat="1" ht="20.399999999999999" x14ac:dyDescent="0.3">
      <c r="A94" s="87"/>
      <c r="C94" s="140"/>
      <c r="D94" s="140"/>
    </row>
    <row r="95" spans="1:4" s="23" customFormat="1" ht="20.399999999999999" x14ac:dyDescent="0.3">
      <c r="A95" s="87"/>
      <c r="C95" s="140"/>
      <c r="D95" s="140"/>
    </row>
    <row r="96" spans="1:4" s="23" customFormat="1" ht="20.399999999999999" x14ac:dyDescent="0.3">
      <c r="A96" s="87"/>
      <c r="C96" s="140"/>
      <c r="D96" s="140"/>
    </row>
    <row r="97" spans="1:4" s="23" customFormat="1" ht="20.399999999999999" x14ac:dyDescent="0.3">
      <c r="A97" s="87"/>
      <c r="C97" s="140"/>
      <c r="D97" s="140"/>
    </row>
    <row r="98" spans="1:4" s="23" customFormat="1" ht="20.399999999999999" x14ac:dyDescent="0.3">
      <c r="A98" s="87"/>
      <c r="C98" s="140"/>
      <c r="D98" s="140"/>
    </row>
    <row r="99" spans="1:4" s="23" customFormat="1" ht="20.399999999999999" x14ac:dyDescent="0.3">
      <c r="A99" s="87"/>
      <c r="C99" s="140"/>
      <c r="D99" s="140"/>
    </row>
    <row r="100" spans="1:4" s="23" customFormat="1" ht="20.399999999999999" x14ac:dyDescent="0.3">
      <c r="A100" s="87"/>
      <c r="C100" s="140"/>
      <c r="D100" s="140"/>
    </row>
    <row r="101" spans="1:4" s="23" customFormat="1" ht="20.399999999999999" x14ac:dyDescent="0.3">
      <c r="A101" s="87"/>
      <c r="C101" s="140"/>
      <c r="D101" s="140"/>
    </row>
    <row r="102" spans="1:4" s="23" customFormat="1" ht="20.399999999999999" x14ac:dyDescent="0.3">
      <c r="A102" s="87"/>
      <c r="C102" s="140"/>
      <c r="D102" s="140"/>
    </row>
    <row r="103" spans="1:4" s="23" customFormat="1" ht="20.399999999999999" x14ac:dyDescent="0.3">
      <c r="A103" s="87"/>
      <c r="C103" s="140"/>
      <c r="D103" s="140"/>
    </row>
    <row r="104" spans="1:4" s="23" customFormat="1" ht="20.399999999999999" x14ac:dyDescent="0.3">
      <c r="A104" s="87"/>
      <c r="C104" s="140"/>
      <c r="D104" s="140"/>
    </row>
    <row r="105" spans="1:4" s="23" customFormat="1" ht="20.399999999999999" x14ac:dyDescent="0.3">
      <c r="A105" s="87"/>
      <c r="C105" s="140"/>
      <c r="D105" s="140"/>
    </row>
    <row r="106" spans="1:4" s="23" customFormat="1" ht="20.399999999999999" x14ac:dyDescent="0.3">
      <c r="A106" s="87"/>
      <c r="C106" s="140"/>
      <c r="D106" s="140"/>
    </row>
    <row r="107" spans="1:4" s="23" customFormat="1" ht="20.399999999999999" x14ac:dyDescent="0.3">
      <c r="A107" s="87"/>
      <c r="C107" s="140"/>
      <c r="D107" s="140"/>
    </row>
    <row r="108" spans="1:4" s="23" customFormat="1" ht="20.399999999999999" x14ac:dyDescent="0.3">
      <c r="A108" s="87"/>
      <c r="C108" s="140"/>
      <c r="D108" s="140"/>
    </row>
    <row r="109" spans="1:4" s="23" customFormat="1" ht="20.399999999999999" x14ac:dyDescent="0.3">
      <c r="A109" s="87"/>
      <c r="C109" s="140"/>
      <c r="D109" s="140"/>
    </row>
    <row r="110" spans="1:4" s="23" customFormat="1" ht="20.399999999999999" x14ac:dyDescent="0.3">
      <c r="A110" s="87"/>
      <c r="C110" s="140"/>
      <c r="D110" s="140"/>
    </row>
    <row r="111" spans="1:4" s="23" customFormat="1" ht="20.399999999999999" x14ac:dyDescent="0.3">
      <c r="A111" s="87"/>
      <c r="C111" s="140"/>
      <c r="D111" s="140"/>
    </row>
    <row r="112" spans="1:4" s="23" customFormat="1" ht="20.399999999999999" x14ac:dyDescent="0.3">
      <c r="A112" s="87"/>
      <c r="C112" s="140"/>
      <c r="D112" s="140"/>
    </row>
    <row r="113" spans="1:4" s="23" customFormat="1" ht="20.399999999999999" x14ac:dyDescent="0.3">
      <c r="A113" s="87"/>
      <c r="C113" s="140"/>
      <c r="D113" s="140"/>
    </row>
    <row r="114" spans="1:4" s="23" customFormat="1" ht="20.399999999999999" x14ac:dyDescent="0.3">
      <c r="A114" s="87"/>
      <c r="C114" s="140"/>
      <c r="D114" s="140"/>
    </row>
    <row r="115" spans="1:4" s="23" customFormat="1" ht="20.399999999999999" x14ac:dyDescent="0.3">
      <c r="A115" s="87"/>
      <c r="C115" s="140"/>
      <c r="D115" s="140"/>
    </row>
    <row r="116" spans="1:4" s="23" customFormat="1" ht="20.399999999999999" x14ac:dyDescent="0.3">
      <c r="A116" s="87"/>
      <c r="C116" s="140"/>
      <c r="D116" s="140"/>
    </row>
    <row r="117" spans="1:4" s="23" customFormat="1" ht="20.399999999999999" x14ac:dyDescent="0.3">
      <c r="A117" s="87"/>
      <c r="C117" s="140"/>
      <c r="D117" s="140"/>
    </row>
    <row r="118" spans="1:4" s="23" customFormat="1" ht="20.399999999999999" x14ac:dyDescent="0.3">
      <c r="A118" s="87"/>
      <c r="C118" s="140"/>
      <c r="D118" s="140"/>
    </row>
    <row r="119" spans="1:4" s="23" customFormat="1" ht="20.399999999999999" x14ac:dyDescent="0.3">
      <c r="A119" s="87"/>
      <c r="C119" s="140"/>
      <c r="D119" s="140"/>
    </row>
    <row r="120" spans="1:4" s="23" customFormat="1" ht="20.399999999999999" x14ac:dyDescent="0.3">
      <c r="A120" s="87"/>
      <c r="C120" s="140"/>
      <c r="D120" s="140"/>
    </row>
    <row r="121" spans="1:4" s="23" customFormat="1" ht="20.399999999999999" x14ac:dyDescent="0.3">
      <c r="A121" s="87"/>
      <c r="C121" s="140"/>
      <c r="D121" s="140"/>
    </row>
    <row r="122" spans="1:4" s="23" customFormat="1" ht="20.399999999999999" x14ac:dyDescent="0.3">
      <c r="A122" s="87"/>
      <c r="C122" s="140"/>
      <c r="D122" s="140"/>
    </row>
    <row r="123" spans="1:4" s="23" customFormat="1" ht="20.399999999999999" x14ac:dyDescent="0.3">
      <c r="A123" s="87"/>
      <c r="C123" s="140"/>
      <c r="D123" s="140"/>
    </row>
    <row r="124" spans="1:4" s="23" customFormat="1" ht="20.399999999999999" x14ac:dyDescent="0.3">
      <c r="A124" s="87"/>
      <c r="C124" s="140"/>
      <c r="D124" s="140"/>
    </row>
    <row r="125" spans="1:4" s="23" customFormat="1" ht="20.399999999999999" x14ac:dyDescent="0.3">
      <c r="A125" s="87"/>
      <c r="C125" s="140"/>
      <c r="D125" s="140"/>
    </row>
    <row r="126" spans="1:4" s="23" customFormat="1" ht="20.399999999999999" x14ac:dyDescent="0.3">
      <c r="A126" s="87"/>
      <c r="C126" s="140"/>
      <c r="D126" s="140"/>
    </row>
    <row r="127" spans="1:4" s="23" customFormat="1" ht="20.399999999999999" x14ac:dyDescent="0.3">
      <c r="A127" s="87"/>
      <c r="C127" s="140"/>
      <c r="D127" s="140"/>
    </row>
    <row r="128" spans="1:4" s="23" customFormat="1" ht="20.399999999999999" x14ac:dyDescent="0.3">
      <c r="A128" s="87"/>
      <c r="C128" s="140"/>
      <c r="D128" s="140"/>
    </row>
    <row r="129" spans="1:4" s="23" customFormat="1" ht="20.399999999999999" x14ac:dyDescent="0.3">
      <c r="A129" s="87"/>
      <c r="C129" s="140"/>
      <c r="D129" s="140"/>
    </row>
    <row r="130" spans="1:4" s="23" customFormat="1" ht="20.399999999999999" x14ac:dyDescent="0.3">
      <c r="A130" s="87"/>
      <c r="C130" s="140"/>
      <c r="D130" s="140"/>
    </row>
    <row r="131" spans="1:4" s="23" customFormat="1" ht="20.399999999999999" x14ac:dyDescent="0.3">
      <c r="A131" s="87"/>
      <c r="C131" s="140"/>
      <c r="D131" s="140"/>
    </row>
    <row r="132" spans="1:4" s="23" customFormat="1" ht="20.399999999999999" x14ac:dyDescent="0.3">
      <c r="A132" s="87"/>
      <c r="C132" s="140"/>
      <c r="D132" s="140"/>
    </row>
    <row r="133" spans="1:4" s="23" customFormat="1" ht="20.399999999999999" x14ac:dyDescent="0.3">
      <c r="A133" s="87"/>
      <c r="C133" s="140"/>
      <c r="D133" s="140"/>
    </row>
    <row r="134" spans="1:4" s="23" customFormat="1" ht="20.399999999999999" x14ac:dyDescent="0.3">
      <c r="A134" s="87"/>
      <c r="C134" s="140"/>
      <c r="D134" s="140"/>
    </row>
    <row r="135" spans="1:4" s="23" customFormat="1" ht="20.399999999999999" x14ac:dyDescent="0.3">
      <c r="A135" s="87"/>
      <c r="C135" s="140"/>
      <c r="D135" s="140"/>
    </row>
    <row r="136" spans="1:4" s="23" customFormat="1" ht="20.399999999999999" x14ac:dyDescent="0.3">
      <c r="A136" s="87"/>
      <c r="C136" s="140"/>
      <c r="D136" s="140"/>
    </row>
    <row r="137" spans="1:4" s="23" customFormat="1" ht="20.399999999999999" x14ac:dyDescent="0.3">
      <c r="A137" s="87"/>
      <c r="C137" s="140"/>
      <c r="D137" s="140"/>
    </row>
    <row r="138" spans="1:4" s="23" customFormat="1" ht="20.399999999999999" x14ac:dyDescent="0.3">
      <c r="A138" s="87"/>
      <c r="C138" s="140"/>
      <c r="D138" s="140"/>
    </row>
    <row r="139" spans="1:4" s="23" customFormat="1" ht="20.399999999999999" x14ac:dyDescent="0.3">
      <c r="A139" s="87"/>
      <c r="C139" s="140"/>
      <c r="D139" s="140"/>
    </row>
    <row r="140" spans="1:4" s="23" customFormat="1" ht="20.399999999999999" x14ac:dyDescent="0.3">
      <c r="A140" s="87"/>
      <c r="C140" s="140"/>
      <c r="D140" s="140"/>
    </row>
    <row r="141" spans="1:4" s="23" customFormat="1" ht="20.399999999999999" x14ac:dyDescent="0.3">
      <c r="A141" s="87"/>
      <c r="C141" s="140"/>
      <c r="D141" s="140"/>
    </row>
    <row r="142" spans="1:4" s="23" customFormat="1" ht="20.399999999999999" x14ac:dyDescent="0.3">
      <c r="A142" s="87"/>
      <c r="C142" s="140"/>
      <c r="D142" s="140"/>
    </row>
    <row r="143" spans="1:4" s="23" customFormat="1" ht="20.399999999999999" x14ac:dyDescent="0.3">
      <c r="A143" s="87"/>
      <c r="C143" s="140"/>
      <c r="D143" s="140"/>
    </row>
    <row r="144" spans="1:4" s="23" customFormat="1" ht="20.399999999999999" x14ac:dyDescent="0.3">
      <c r="A144" s="87"/>
      <c r="C144" s="140"/>
      <c r="D144" s="140"/>
    </row>
    <row r="145" spans="1:4" s="23" customFormat="1" ht="20.399999999999999" x14ac:dyDescent="0.3">
      <c r="A145" s="87"/>
      <c r="C145" s="140"/>
      <c r="D145" s="140"/>
    </row>
    <row r="146" spans="1:4" s="23" customFormat="1" ht="20.399999999999999" x14ac:dyDescent="0.3">
      <c r="A146" s="87"/>
      <c r="C146" s="140"/>
      <c r="D146" s="140"/>
    </row>
    <row r="147" spans="1:4" s="23" customFormat="1" ht="20.399999999999999" x14ac:dyDescent="0.3">
      <c r="A147" s="87"/>
      <c r="C147" s="140"/>
      <c r="D147" s="140"/>
    </row>
    <row r="148" spans="1:4" s="23" customFormat="1" ht="20.399999999999999" x14ac:dyDescent="0.3">
      <c r="A148" s="87"/>
      <c r="C148" s="140"/>
      <c r="D148" s="140"/>
    </row>
    <row r="149" spans="1:4" s="23" customFormat="1" ht="20.399999999999999" x14ac:dyDescent="0.3">
      <c r="A149" s="87"/>
      <c r="C149" s="140"/>
      <c r="D149" s="140"/>
    </row>
    <row r="150" spans="1:4" s="23" customFormat="1" ht="20.399999999999999" x14ac:dyDescent="0.3">
      <c r="A150" s="87"/>
      <c r="C150" s="140"/>
      <c r="D150" s="140"/>
    </row>
    <row r="151" spans="1:4" s="23" customFormat="1" ht="20.399999999999999" x14ac:dyDescent="0.3">
      <c r="A151" s="87"/>
      <c r="C151" s="140"/>
      <c r="D151" s="140"/>
    </row>
    <row r="152" spans="1:4" s="23" customFormat="1" ht="20.399999999999999" x14ac:dyDescent="0.3">
      <c r="A152" s="87"/>
      <c r="C152" s="140"/>
      <c r="D152" s="140"/>
    </row>
    <row r="153" spans="1:4" s="23" customFormat="1" ht="20.399999999999999" x14ac:dyDescent="0.3">
      <c r="A153" s="87"/>
      <c r="C153" s="140"/>
      <c r="D153" s="140"/>
    </row>
    <row r="154" spans="1:4" s="23" customFormat="1" ht="20.399999999999999" x14ac:dyDescent="0.3">
      <c r="A154" s="87"/>
      <c r="C154" s="140"/>
      <c r="D154" s="140"/>
    </row>
    <row r="155" spans="1:4" s="23" customFormat="1" ht="20.399999999999999" x14ac:dyDescent="0.3">
      <c r="A155" s="87"/>
      <c r="C155" s="140"/>
      <c r="D155" s="140"/>
    </row>
    <row r="156" spans="1:4" s="23" customFormat="1" ht="20.399999999999999" x14ac:dyDescent="0.3">
      <c r="A156" s="87"/>
      <c r="C156" s="140"/>
      <c r="D156" s="140"/>
    </row>
    <row r="157" spans="1:4" s="23" customFormat="1" ht="20.399999999999999" x14ac:dyDescent="0.3">
      <c r="A157" s="87"/>
      <c r="C157" s="140"/>
      <c r="D157" s="140"/>
    </row>
    <row r="158" spans="1:4" s="23" customFormat="1" ht="20.399999999999999" x14ac:dyDescent="0.3">
      <c r="A158" s="87"/>
      <c r="C158" s="140"/>
      <c r="D158" s="140"/>
    </row>
    <row r="159" spans="1:4" s="23" customFormat="1" ht="20.399999999999999" x14ac:dyDescent="0.3">
      <c r="A159" s="87"/>
      <c r="C159" s="140"/>
      <c r="D159" s="140"/>
    </row>
    <row r="160" spans="1:4" s="23" customFormat="1" ht="20.399999999999999" x14ac:dyDescent="0.3">
      <c r="A160" s="87"/>
      <c r="C160" s="140"/>
      <c r="D160" s="140"/>
    </row>
    <row r="161" spans="1:4" s="23" customFormat="1" ht="20.399999999999999" x14ac:dyDescent="0.3">
      <c r="A161" s="87"/>
      <c r="C161" s="140"/>
      <c r="D161" s="140"/>
    </row>
    <row r="162" spans="1:4" s="23" customFormat="1" ht="20.399999999999999" x14ac:dyDescent="0.3">
      <c r="A162" s="87"/>
      <c r="C162" s="140"/>
      <c r="D162" s="140"/>
    </row>
    <row r="163" spans="1:4" s="23" customFormat="1" ht="20.399999999999999" x14ac:dyDescent="0.3">
      <c r="A163" s="87"/>
      <c r="C163" s="140"/>
      <c r="D163" s="140"/>
    </row>
    <row r="164" spans="1:4" s="23" customFormat="1" ht="20.399999999999999" x14ac:dyDescent="0.3">
      <c r="A164" s="87"/>
      <c r="C164" s="140"/>
      <c r="D164" s="140"/>
    </row>
    <row r="165" spans="1:4" s="23" customFormat="1" ht="20.399999999999999" x14ac:dyDescent="0.3">
      <c r="A165" s="87"/>
      <c r="C165" s="140"/>
      <c r="D165" s="140"/>
    </row>
    <row r="166" spans="1:4" s="23" customFormat="1" ht="20.399999999999999" x14ac:dyDescent="0.3">
      <c r="A166" s="87"/>
      <c r="C166" s="140"/>
      <c r="D166" s="140"/>
    </row>
    <row r="167" spans="1:4" s="23" customFormat="1" ht="20.399999999999999" x14ac:dyDescent="0.3">
      <c r="A167" s="87"/>
      <c r="C167" s="140"/>
      <c r="D167" s="140"/>
    </row>
    <row r="168" spans="1:4" s="23" customFormat="1" ht="20.399999999999999" x14ac:dyDescent="0.3">
      <c r="A168" s="87"/>
      <c r="C168" s="140"/>
      <c r="D168" s="140"/>
    </row>
    <row r="169" spans="1:4" s="23" customFormat="1" ht="20.399999999999999" x14ac:dyDescent="0.3">
      <c r="A169" s="87"/>
      <c r="C169" s="140"/>
      <c r="D169" s="140"/>
    </row>
    <row r="170" spans="1:4" s="23" customFormat="1" ht="20.399999999999999" x14ac:dyDescent="0.3">
      <c r="A170" s="87"/>
      <c r="C170" s="140"/>
      <c r="D170" s="140"/>
    </row>
    <row r="171" spans="1:4" s="23" customFormat="1" ht="20.399999999999999" x14ac:dyDescent="0.3">
      <c r="A171" s="87"/>
      <c r="C171" s="140"/>
      <c r="D171" s="140"/>
    </row>
    <row r="172" spans="1:4" s="23" customFormat="1" ht="20.399999999999999" x14ac:dyDescent="0.3">
      <c r="A172" s="87"/>
      <c r="C172" s="140"/>
      <c r="D172" s="140"/>
    </row>
    <row r="173" spans="1:4" s="23" customFormat="1" ht="20.399999999999999" x14ac:dyDescent="0.3">
      <c r="A173" s="87"/>
      <c r="C173" s="140"/>
      <c r="D173" s="140"/>
    </row>
    <row r="174" spans="1:4" s="23" customFormat="1" ht="20.399999999999999" x14ac:dyDescent="0.3">
      <c r="A174" s="87"/>
      <c r="C174" s="140"/>
      <c r="D174" s="140"/>
    </row>
    <row r="175" spans="1:4" s="23" customFormat="1" ht="20.399999999999999" x14ac:dyDescent="0.3">
      <c r="A175" s="87"/>
      <c r="C175" s="140"/>
      <c r="D175" s="140"/>
    </row>
    <row r="176" spans="1:4" s="23" customFormat="1" ht="20.399999999999999" x14ac:dyDescent="0.3">
      <c r="A176" s="87"/>
      <c r="C176" s="140"/>
      <c r="D176" s="140"/>
    </row>
    <row r="177" spans="1:4" s="23" customFormat="1" ht="20.399999999999999" x14ac:dyDescent="0.3">
      <c r="A177" s="87"/>
      <c r="C177" s="140"/>
      <c r="D177" s="140"/>
    </row>
    <row r="178" spans="1:4" s="23" customFormat="1" ht="20.399999999999999" x14ac:dyDescent="0.3">
      <c r="A178" s="87"/>
      <c r="C178" s="140"/>
      <c r="D178" s="140"/>
    </row>
    <row r="179" spans="1:4" s="23" customFormat="1" ht="20.399999999999999" x14ac:dyDescent="0.3">
      <c r="A179" s="87"/>
      <c r="C179" s="140"/>
      <c r="D179" s="140"/>
    </row>
    <row r="180" spans="1:4" s="23" customFormat="1" ht="20.399999999999999" x14ac:dyDescent="0.3">
      <c r="A180" s="87"/>
      <c r="C180" s="140"/>
      <c r="D180" s="140"/>
    </row>
    <row r="181" spans="1:4" s="23" customFormat="1" ht="20.399999999999999" x14ac:dyDescent="0.3">
      <c r="A181" s="87"/>
      <c r="C181" s="140"/>
      <c r="D181" s="140"/>
    </row>
    <row r="182" spans="1:4" s="23" customFormat="1" ht="20.399999999999999" x14ac:dyDescent="0.3">
      <c r="A182" s="87"/>
      <c r="C182" s="140"/>
      <c r="D182" s="140"/>
    </row>
    <row r="183" spans="1:4" s="23" customFormat="1" ht="20.399999999999999" x14ac:dyDescent="0.3">
      <c r="A183" s="87"/>
      <c r="C183" s="140"/>
      <c r="D183" s="140"/>
    </row>
    <row r="184" spans="1:4" s="23" customFormat="1" ht="20.399999999999999" x14ac:dyDescent="0.3">
      <c r="A184" s="87"/>
      <c r="C184" s="140"/>
      <c r="D184" s="140"/>
    </row>
    <row r="185" spans="1:4" s="23" customFormat="1" ht="20.399999999999999" x14ac:dyDescent="0.3">
      <c r="A185" s="87"/>
      <c r="C185" s="140"/>
      <c r="D185" s="140"/>
    </row>
    <row r="186" spans="1:4" s="23" customFormat="1" ht="20.399999999999999" x14ac:dyDescent="0.3">
      <c r="A186" s="87"/>
      <c r="C186" s="140"/>
      <c r="D186" s="140"/>
    </row>
    <row r="187" spans="1:4" s="23" customFormat="1" ht="20.399999999999999" x14ac:dyDescent="0.3">
      <c r="A187" s="87"/>
      <c r="C187" s="140"/>
      <c r="D187" s="140"/>
    </row>
    <row r="188" spans="1:4" s="23" customFormat="1" ht="20.399999999999999" x14ac:dyDescent="0.3">
      <c r="A188" s="87"/>
      <c r="C188" s="140"/>
      <c r="D188" s="140"/>
    </row>
    <row r="189" spans="1:4" s="23" customFormat="1" ht="20.399999999999999" x14ac:dyDescent="0.3">
      <c r="A189" s="87"/>
      <c r="C189" s="140"/>
      <c r="D189" s="140"/>
    </row>
    <row r="190" spans="1:4" s="23" customFormat="1" ht="20.399999999999999" x14ac:dyDescent="0.3">
      <c r="A190" s="87"/>
      <c r="C190" s="140"/>
      <c r="D190" s="140"/>
    </row>
    <row r="191" spans="1:4" s="23" customFormat="1" ht="20.399999999999999" x14ac:dyDescent="0.3">
      <c r="A191" s="87"/>
      <c r="C191" s="140"/>
      <c r="D191" s="140"/>
    </row>
    <row r="192" spans="1:4" s="23" customFormat="1" ht="20.399999999999999" x14ac:dyDescent="0.3">
      <c r="A192" s="87"/>
      <c r="C192" s="140"/>
      <c r="D192" s="140"/>
    </row>
    <row r="193" spans="1:4" s="23" customFormat="1" ht="20.399999999999999" x14ac:dyDescent="0.3">
      <c r="A193" s="87"/>
      <c r="C193" s="140"/>
      <c r="D193" s="140"/>
    </row>
    <row r="194" spans="1:4" s="23" customFormat="1" ht="20.399999999999999" x14ac:dyDescent="0.3">
      <c r="A194" s="87"/>
      <c r="C194" s="140"/>
      <c r="D194" s="140"/>
    </row>
    <row r="195" spans="1:4" s="23" customFormat="1" ht="20.399999999999999" x14ac:dyDescent="0.3">
      <c r="A195" s="87"/>
      <c r="C195" s="140"/>
      <c r="D195" s="140"/>
    </row>
    <row r="196" spans="1:4" s="23" customFormat="1" ht="20.399999999999999" x14ac:dyDescent="0.3">
      <c r="A196" s="87"/>
      <c r="C196" s="140"/>
      <c r="D196" s="140"/>
    </row>
    <row r="197" spans="1:4" s="23" customFormat="1" ht="20.399999999999999" x14ac:dyDescent="0.3">
      <c r="A197" s="87"/>
      <c r="C197" s="140"/>
      <c r="D197" s="140"/>
    </row>
    <row r="198" spans="1:4" s="23" customFormat="1" ht="20.399999999999999" x14ac:dyDescent="0.3">
      <c r="A198" s="87"/>
      <c r="C198" s="140"/>
      <c r="D198" s="140"/>
    </row>
    <row r="199" spans="1:4" s="23" customFormat="1" ht="20.399999999999999" x14ac:dyDescent="0.3">
      <c r="A199" s="87"/>
      <c r="C199" s="140"/>
      <c r="D199" s="140"/>
    </row>
    <row r="200" spans="1:4" s="23" customFormat="1" ht="20.399999999999999" x14ac:dyDescent="0.3">
      <c r="A200" s="87"/>
      <c r="C200" s="140"/>
      <c r="D200" s="140"/>
    </row>
    <row r="201" spans="1:4" s="23" customFormat="1" ht="20.399999999999999" x14ac:dyDescent="0.3">
      <c r="A201" s="87"/>
      <c r="C201" s="140"/>
      <c r="D201" s="140"/>
    </row>
    <row r="202" spans="1:4" s="23" customFormat="1" ht="20.399999999999999" x14ac:dyDescent="0.3">
      <c r="A202" s="87"/>
      <c r="C202" s="140"/>
      <c r="D202" s="140"/>
    </row>
    <row r="203" spans="1:4" s="23" customFormat="1" ht="20.399999999999999" x14ac:dyDescent="0.3">
      <c r="A203" s="87"/>
      <c r="C203" s="140"/>
      <c r="D203" s="140"/>
    </row>
    <row r="204" spans="1:4" s="23" customFormat="1" ht="20.399999999999999" x14ac:dyDescent="0.3">
      <c r="A204" s="87"/>
      <c r="C204" s="140"/>
      <c r="D204" s="140"/>
    </row>
    <row r="205" spans="1:4" s="23" customFormat="1" ht="20.399999999999999" x14ac:dyDescent="0.3">
      <c r="A205" s="87"/>
      <c r="C205" s="140"/>
      <c r="D205" s="140"/>
    </row>
    <row r="206" spans="1:4" s="23" customFormat="1" ht="20.399999999999999" x14ac:dyDescent="0.3">
      <c r="A206" s="87"/>
      <c r="C206" s="140"/>
      <c r="D206" s="140"/>
    </row>
    <row r="207" spans="1:4" s="23" customFormat="1" ht="20.399999999999999" x14ac:dyDescent="0.3">
      <c r="A207" s="87"/>
      <c r="C207" s="140"/>
      <c r="D207" s="140"/>
    </row>
    <row r="208" spans="1:4" s="23" customFormat="1" x14ac:dyDescent="0.3">
      <c r="A208" s="87"/>
    </row>
    <row r="209" spans="1:8" s="23" customFormat="1" ht="20.399999999999999" x14ac:dyDescent="0.3">
      <c r="A209" s="87"/>
      <c r="B209" s="141" t="s">
        <v>86</v>
      </c>
      <c r="C209" s="141" t="s">
        <v>139</v>
      </c>
      <c r="D209" s="142" t="s">
        <v>86</v>
      </c>
      <c r="E209" s="142" t="s">
        <v>139</v>
      </c>
    </row>
    <row r="210" spans="1:8" s="23" customFormat="1" ht="42" x14ac:dyDescent="0.4">
      <c r="A210" s="87"/>
      <c r="B210" s="143" t="s">
        <v>88</v>
      </c>
      <c r="C210" s="143" t="s">
        <v>204</v>
      </c>
      <c r="D210" s="23" t="s">
        <v>88</v>
      </c>
      <c r="F210" s="23" t="str">
        <f>IF(NOT(ISBLANK(D210)),D210,IF(NOT(ISBLANK(E210)),"     "&amp;E210,FALSE))</f>
        <v>Afectación Económica o presupuestal</v>
      </c>
      <c r="G210" s="23" t="s">
        <v>88</v>
      </c>
      <c r="H210" s="23" t="str">
        <f>IF(NOT(ISERROR(MATCH(G210,_xlfn.ANCHORARRAY(B221),0))),F223&amp;"Por favor no seleccionar los criterios de impacto",G210)</f>
        <v>❌Por favor no seleccionar los criterios de impacto</v>
      </c>
    </row>
    <row r="211" spans="1:8" s="23" customFormat="1" ht="42" x14ac:dyDescent="0.4">
      <c r="A211" s="87"/>
      <c r="B211" s="143" t="s">
        <v>88</v>
      </c>
      <c r="C211" s="143" t="s">
        <v>205</v>
      </c>
      <c r="E211" s="23" t="s">
        <v>204</v>
      </c>
      <c r="F211" s="23" t="str">
        <f t="shared" ref="F211:F221" si="0">IF(NOT(ISBLANK(D211)),D211,IF(NOT(ISBLANK(E211)),"     "&amp;E211,FALSE))</f>
        <v xml:space="preserve">     Afectación menor a 200 SMLMV</v>
      </c>
    </row>
    <row r="212" spans="1:8" s="23" customFormat="1" ht="42" x14ac:dyDescent="0.4">
      <c r="A212" s="87"/>
      <c r="B212" s="143" t="s">
        <v>88</v>
      </c>
      <c r="C212" s="143" t="s">
        <v>209</v>
      </c>
      <c r="E212" s="23" t="s">
        <v>205</v>
      </c>
      <c r="F212" s="23" t="str">
        <f t="shared" si="0"/>
        <v xml:space="preserve">     Entre 200 y 1000 SMLMV</v>
      </c>
    </row>
    <row r="213" spans="1:8" s="23" customFormat="1" ht="42" x14ac:dyDescent="0.4">
      <c r="A213" s="87"/>
      <c r="B213" s="143" t="s">
        <v>88</v>
      </c>
      <c r="C213" s="143" t="s">
        <v>210</v>
      </c>
      <c r="E213" s="23" t="s">
        <v>209</v>
      </c>
      <c r="F213" s="23" t="str">
        <f t="shared" si="0"/>
        <v xml:space="preserve">     Entre 1000 y 5000 SMLMV </v>
      </c>
    </row>
    <row r="214" spans="1:8" s="23" customFormat="1" ht="42" x14ac:dyDescent="0.4">
      <c r="A214" s="87"/>
      <c r="B214" s="143" t="s">
        <v>88</v>
      </c>
      <c r="C214" s="143" t="s">
        <v>206</v>
      </c>
      <c r="E214" s="23" t="s">
        <v>210</v>
      </c>
      <c r="F214" s="23" t="str">
        <f t="shared" si="0"/>
        <v xml:space="preserve">     Entre 5000 y 10000 SMLMV</v>
      </c>
    </row>
    <row r="215" spans="1:8" s="23" customFormat="1" ht="21" x14ac:dyDescent="0.4">
      <c r="A215" s="87"/>
      <c r="B215" s="143" t="s">
        <v>56</v>
      </c>
      <c r="C215" s="143" t="s">
        <v>91</v>
      </c>
      <c r="E215" s="23" t="s">
        <v>206</v>
      </c>
      <c r="F215" s="23" t="str">
        <f t="shared" si="0"/>
        <v xml:space="preserve">     Mayor a 10000 SMLMV</v>
      </c>
    </row>
    <row r="216" spans="1:8" s="23" customFormat="1" ht="63" x14ac:dyDescent="0.4">
      <c r="A216" s="87"/>
      <c r="B216" s="143" t="s">
        <v>56</v>
      </c>
      <c r="C216" s="143" t="s">
        <v>92</v>
      </c>
      <c r="D216" s="23" t="s">
        <v>56</v>
      </c>
      <c r="F216" s="23" t="str">
        <f t="shared" si="0"/>
        <v>Pérdida Reputacional</v>
      </c>
    </row>
    <row r="217" spans="1:8" s="23" customFormat="1" ht="42" x14ac:dyDescent="0.4">
      <c r="A217" s="87"/>
      <c r="B217" s="143" t="s">
        <v>56</v>
      </c>
      <c r="C217" s="143" t="s">
        <v>94</v>
      </c>
      <c r="E217" s="23" t="s">
        <v>91</v>
      </c>
      <c r="F217" s="23" t="str">
        <f>IF(NOT(ISBLANK(D217)),D217,IF(NOT(ISBLANK(E217)),"     "&amp;E217,FALSE))</f>
        <v xml:space="preserve">     El riesgo afecta la imagen de alguna área de la organización</v>
      </c>
    </row>
    <row r="218" spans="1:8" s="23" customFormat="1" ht="63" x14ac:dyDescent="0.4">
      <c r="A218" s="87"/>
      <c r="B218" s="143" t="s">
        <v>56</v>
      </c>
      <c r="C218" s="143"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3" t="s">
        <v>56</v>
      </c>
      <c r="C219" s="143" t="s">
        <v>112</v>
      </c>
      <c r="E219" s="23" t="s">
        <v>94</v>
      </c>
      <c r="F219" s="23" t="str">
        <f t="shared" si="0"/>
        <v xml:space="preserve">     El riesgo afecta la imagen de la entidad con algunos usuarios de relevancia frente al logro de los objetivos</v>
      </c>
    </row>
    <row r="220" spans="1:8" s="23" customFormat="1" x14ac:dyDescent="0.3">
      <c r="A220" s="87"/>
      <c r="E220" s="23" t="s">
        <v>93</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112</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4" t="s">
        <v>140</v>
      </c>
    </row>
    <row r="224" spans="1:8" s="23" customFormat="1" x14ac:dyDescent="0.3">
      <c r="F224" s="144" t="s">
        <v>141</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Instructivo</vt:lpstr>
      <vt:lpstr>Contexto</vt:lpstr>
      <vt:lpstr>Priorizacion de Causas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2025-04-21T16:32:02Z</dcterms:modified>
</cp:coreProperties>
</file>